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/>
  <mc:AlternateContent xmlns:mc="http://schemas.openxmlformats.org/markup-compatibility/2006">
    <mc:Choice Requires="x15">
      <x15ac:absPath xmlns:x15ac="http://schemas.microsoft.com/office/spreadsheetml/2010/11/ac" url="P:\TElrod\_PNM\Analysis and Tracking\0_Marketing\Securities Lit Analysis\Movant Analysis\Movant Report\"/>
    </mc:Choice>
  </mc:AlternateContent>
  <xr:revisionPtr revIDLastSave="0" documentId="13_ncr:1_{F2E49FE9-24C3-4BFE-95C4-8E8296EB0447}" xr6:coauthVersionLast="40" xr6:coauthVersionMax="40" xr10:uidLastSave="{00000000-0000-0000-0000-000000000000}"/>
  <bookViews>
    <workbookView xWindow="0" yWindow="0" windowWidth="28800" windowHeight="11865" firstSheet="1" activeTab="5" xr2:uid="{00000000-000D-0000-FFFF-FFFF00000000}"/>
  </bookViews>
  <sheets>
    <sheet name="Sheet4" sheetId="22" state="hidden" r:id="rId1"/>
    <sheet name="KM Data Edits" sheetId="1" r:id="rId2"/>
    <sheet name="Removed Cases-Movants" sheetId="18" state="hidden" r:id="rId3"/>
    <sheet name="Data Pull Sheet" sheetId="12" r:id="rId4"/>
    <sheet name="FF Institution AUMs" sheetId="24" state="hidden" r:id="rId5"/>
    <sheet name="All Institution AUMs" sheetId="25" r:id="rId6"/>
    <sheet name="Largest and Second Movants" sheetId="26" r:id="rId7"/>
    <sheet name="Removed cases" sheetId="23" r:id="rId8"/>
    <sheet name="Sheet2" sheetId="17" state="hidden" r:id="rId9"/>
    <sheet name="Institution AUM" sheetId="15" state="hidden" r:id="rId10"/>
    <sheet name="Abbrev Key" sheetId="13" state="hidden" r:id="rId11"/>
    <sheet name="revisit" sheetId="19" state="hidden" r:id="rId12"/>
    <sheet name="Frequent Flyer as of 123118" sheetId="20" state="hidden" r:id="rId13"/>
    <sheet name="Raw Verteris" sheetId="3" state="hidden" r:id="rId14"/>
    <sheet name="Sheet7" sheetId="8" state="hidden" r:id="rId15"/>
  </sheets>
  <externalReferences>
    <externalReference r:id="rId16"/>
    <externalReference r:id="rId17"/>
    <externalReference r:id="rId18"/>
  </externalReferences>
  <definedNames>
    <definedName name="_xlnm._FilterDatabase" localSheetId="5" hidden="1">'All Institution AUMs'!$A$1:$B$427</definedName>
    <definedName name="_xlnm._FilterDatabase" localSheetId="3" hidden="1">'Data Pull Sheet'!$A$1:$W$590</definedName>
    <definedName name="_xlnm._FilterDatabase" localSheetId="1" hidden="1">'KM Data Edits'!$A$1:$R$2847</definedName>
    <definedName name="_xlnm._FilterDatabase" localSheetId="6" hidden="1">'Largest and Second Movants'!$U$2:$W$130</definedName>
    <definedName name="_xlnm._FilterDatabase" localSheetId="14" hidden="1">Sheet7!$A$1:$J$201</definedName>
  </definedNames>
  <calcPr calcId="191029" concurrentCalc="0"/>
  <pivotCaches>
    <pivotCache cacheId="7" r:id="rId19"/>
  </pivotCaches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1" l="1"/>
  <c r="M2" i="1"/>
  <c r="B3" i="1"/>
  <c r="M3" i="1"/>
  <c r="B4" i="1"/>
  <c r="B5" i="1"/>
  <c r="M5" i="1"/>
  <c r="B6" i="1"/>
  <c r="B7" i="1"/>
  <c r="B8" i="1"/>
  <c r="M8" i="1"/>
  <c r="B9" i="1"/>
  <c r="B10" i="1"/>
  <c r="M10" i="1"/>
  <c r="B11" i="1"/>
  <c r="M11" i="1"/>
  <c r="B12" i="1"/>
  <c r="M12" i="1"/>
  <c r="B13" i="1"/>
  <c r="M13" i="1"/>
  <c r="B14" i="1"/>
  <c r="M14" i="1"/>
  <c r="B15" i="1"/>
  <c r="M15" i="1"/>
  <c r="B16" i="1"/>
  <c r="M16" i="1"/>
  <c r="B17" i="1"/>
  <c r="M17" i="1"/>
  <c r="B18" i="1"/>
  <c r="B19" i="1"/>
  <c r="M19" i="1"/>
  <c r="B20" i="1"/>
  <c r="M20" i="1"/>
  <c r="B21" i="1"/>
  <c r="M21" i="1"/>
  <c r="B22" i="1"/>
  <c r="M22" i="1"/>
  <c r="B23" i="1"/>
  <c r="B24" i="1"/>
  <c r="M24" i="1"/>
  <c r="B25" i="1"/>
  <c r="B26" i="1"/>
  <c r="M26" i="1"/>
  <c r="B27" i="1"/>
  <c r="M27" i="1"/>
  <c r="B28" i="1"/>
  <c r="B29" i="1"/>
  <c r="B30" i="1"/>
  <c r="M30" i="1"/>
  <c r="M536" i="1"/>
  <c r="B537" i="1"/>
  <c r="M537" i="1"/>
  <c r="B1116" i="1"/>
  <c r="M1116" i="1"/>
  <c r="B1117" i="1"/>
  <c r="B1118" i="1"/>
  <c r="M1118" i="1"/>
  <c r="B1119" i="1"/>
  <c r="M1119" i="1"/>
  <c r="M1665" i="1"/>
  <c r="M1666" i="1"/>
  <c r="B39" i="1"/>
  <c r="M39" i="1"/>
  <c r="B40" i="1"/>
  <c r="M40" i="1"/>
  <c r="B41" i="1"/>
  <c r="M41" i="1"/>
  <c r="B42" i="1"/>
  <c r="M42" i="1"/>
  <c r="B43" i="1"/>
  <c r="B44" i="1"/>
  <c r="B45" i="1"/>
  <c r="B46" i="1"/>
  <c r="M46" i="1"/>
  <c r="B47" i="1"/>
  <c r="M47" i="1"/>
  <c r="B48" i="1"/>
  <c r="M48" i="1"/>
  <c r="B49" i="1"/>
  <c r="B50" i="1"/>
  <c r="B51" i="1"/>
  <c r="B52" i="1"/>
  <c r="M52" i="1"/>
  <c r="B53" i="1"/>
  <c r="B54" i="1"/>
  <c r="M54" i="1"/>
  <c r="B55" i="1"/>
  <c r="B56" i="1"/>
  <c r="M56" i="1"/>
  <c r="B57" i="1"/>
  <c r="B58" i="1"/>
  <c r="B59" i="1"/>
  <c r="M59" i="1"/>
  <c r="B60" i="1"/>
  <c r="B61" i="1"/>
  <c r="M61" i="1"/>
  <c r="B62" i="1"/>
  <c r="M62" i="1"/>
  <c r="B63" i="1"/>
  <c r="B64" i="1"/>
  <c r="M64" i="1"/>
  <c r="B65" i="1"/>
  <c r="B66" i="1"/>
  <c r="B67" i="1"/>
  <c r="M67" i="1"/>
  <c r="B68" i="1"/>
  <c r="M68" i="1"/>
  <c r="B69" i="1"/>
  <c r="M69" i="1"/>
  <c r="B70" i="1"/>
  <c r="B71" i="1"/>
  <c r="B72" i="1"/>
  <c r="B73" i="1"/>
  <c r="B74" i="1"/>
  <c r="M74" i="1"/>
  <c r="B75" i="1"/>
  <c r="M75" i="1"/>
  <c r="B76" i="1"/>
  <c r="M76" i="1"/>
  <c r="B77" i="1"/>
  <c r="B78" i="1"/>
  <c r="M79" i="1"/>
  <c r="M80" i="1"/>
  <c r="B83" i="1"/>
  <c r="M83" i="1"/>
  <c r="B84" i="1"/>
  <c r="M84" i="1"/>
  <c r="B85" i="1"/>
  <c r="B86" i="1"/>
  <c r="M86" i="1"/>
  <c r="B87" i="1"/>
  <c r="B88" i="1"/>
  <c r="B89" i="1"/>
  <c r="M89" i="1"/>
  <c r="B90" i="1"/>
  <c r="M90" i="1"/>
  <c r="B91" i="1"/>
  <c r="B92" i="1"/>
  <c r="M92" i="1"/>
  <c r="B93" i="1"/>
  <c r="B94" i="1"/>
  <c r="B95" i="1"/>
  <c r="B96" i="1"/>
  <c r="B97" i="1"/>
  <c r="M97" i="1"/>
  <c r="B98" i="1"/>
  <c r="M98" i="1"/>
  <c r="B99" i="1"/>
  <c r="M99" i="1"/>
  <c r="B100" i="1"/>
  <c r="M100" i="1"/>
  <c r="B101" i="1"/>
  <c r="M101" i="1"/>
  <c r="B102" i="1"/>
  <c r="M102" i="1"/>
  <c r="B103" i="1"/>
  <c r="M103" i="1"/>
  <c r="B104" i="1"/>
  <c r="M104" i="1"/>
  <c r="B105" i="1"/>
  <c r="B106" i="1"/>
  <c r="M106" i="1"/>
  <c r="B107" i="1"/>
  <c r="M107" i="1"/>
  <c r="B108" i="1"/>
  <c r="B109" i="1"/>
  <c r="B110" i="1"/>
  <c r="B111" i="1"/>
  <c r="B112" i="1"/>
  <c r="M112" i="1"/>
  <c r="B113" i="1"/>
  <c r="B114" i="1"/>
  <c r="B115" i="1"/>
  <c r="M115" i="1"/>
  <c r="B116" i="1"/>
  <c r="M116" i="1"/>
  <c r="B117" i="1"/>
  <c r="B118" i="1"/>
  <c r="B119" i="1"/>
  <c r="B120" i="1"/>
  <c r="B121" i="1"/>
  <c r="M121" i="1"/>
  <c r="B122" i="1"/>
  <c r="B123" i="1"/>
  <c r="B124" i="1"/>
  <c r="B125" i="1"/>
  <c r="M125" i="1"/>
  <c r="M1669" i="1"/>
  <c r="M1671" i="1"/>
  <c r="B167" i="1"/>
  <c r="M167" i="1"/>
  <c r="B168" i="1"/>
  <c r="M168" i="1"/>
  <c r="B282" i="1"/>
  <c r="M282" i="1"/>
  <c r="M1585" i="1"/>
  <c r="B134" i="1"/>
  <c r="M134" i="1"/>
  <c r="B135" i="1"/>
  <c r="B136" i="1"/>
  <c r="B137" i="1"/>
  <c r="B138" i="1"/>
  <c r="M138" i="1"/>
  <c r="B139" i="1"/>
  <c r="B140" i="1"/>
  <c r="B141" i="1"/>
  <c r="B142" i="1"/>
  <c r="M142" i="1"/>
  <c r="B143" i="1"/>
  <c r="M143" i="1"/>
  <c r="B144" i="1"/>
  <c r="B145" i="1"/>
  <c r="B146" i="1"/>
  <c r="B147" i="1"/>
  <c r="M147" i="1"/>
  <c r="B148" i="1"/>
  <c r="M148" i="1"/>
  <c r="B149" i="1"/>
  <c r="B150" i="1"/>
  <c r="M150" i="1"/>
  <c r="B151" i="1"/>
  <c r="M151" i="1"/>
  <c r="B152" i="1"/>
  <c r="B153" i="1"/>
  <c r="B154" i="1"/>
  <c r="M154" i="1"/>
  <c r="B155" i="1"/>
  <c r="M155" i="1"/>
  <c r="B156" i="1"/>
  <c r="B157" i="1"/>
  <c r="M157" i="1"/>
  <c r="B158" i="1"/>
  <c r="M158" i="1"/>
  <c r="B159" i="1"/>
  <c r="M159" i="1"/>
  <c r="B160" i="1"/>
  <c r="B161" i="1"/>
  <c r="B162" i="1"/>
  <c r="M162" i="1"/>
  <c r="B163" i="1"/>
  <c r="M163" i="1"/>
  <c r="B164" i="1"/>
  <c r="B165" i="1"/>
  <c r="M165" i="1"/>
  <c r="B166" i="1"/>
  <c r="M166" i="1"/>
  <c r="M1586" i="1"/>
  <c r="B169" i="1"/>
  <c r="M169" i="1"/>
  <c r="B170" i="1"/>
  <c r="M170" i="1"/>
  <c r="B171" i="1"/>
  <c r="M171" i="1"/>
  <c r="B172" i="1"/>
  <c r="M172" i="1"/>
  <c r="B173" i="1"/>
  <c r="M173" i="1"/>
  <c r="B174" i="1"/>
  <c r="B175" i="1"/>
  <c r="M175" i="1"/>
  <c r="M176" i="1"/>
  <c r="M177" i="1"/>
  <c r="M179" i="1"/>
  <c r="M181" i="1"/>
  <c r="M183" i="1"/>
  <c r="M184" i="1"/>
  <c r="M185" i="1"/>
  <c r="M190" i="1"/>
  <c r="M193" i="1"/>
  <c r="M194" i="1"/>
  <c r="M195" i="1"/>
  <c r="M197" i="1"/>
  <c r="M199" i="1"/>
  <c r="M200" i="1"/>
  <c r="M201" i="1"/>
  <c r="M202" i="1"/>
  <c r="M209" i="1"/>
  <c r="M210" i="1"/>
  <c r="M211" i="1"/>
  <c r="M216" i="1"/>
  <c r="M220" i="1"/>
  <c r="M221" i="1"/>
  <c r="B222" i="1"/>
  <c r="M222" i="1"/>
  <c r="B223" i="1"/>
  <c r="M223" i="1"/>
  <c r="B224" i="1"/>
  <c r="B225" i="1"/>
  <c r="B226" i="1"/>
  <c r="B227" i="1"/>
  <c r="M227" i="1"/>
  <c r="M228" i="1"/>
  <c r="M229" i="1"/>
  <c r="B230" i="1"/>
  <c r="M230" i="1"/>
  <c r="B231" i="1"/>
  <c r="B232" i="1"/>
  <c r="M232" i="1"/>
  <c r="B233" i="1"/>
  <c r="M233" i="1"/>
  <c r="B234" i="1"/>
  <c r="B235" i="1"/>
  <c r="B236" i="1"/>
  <c r="M236" i="1"/>
  <c r="B237" i="1"/>
  <c r="M237" i="1"/>
  <c r="B238" i="1"/>
  <c r="B239" i="1"/>
  <c r="B240" i="1"/>
  <c r="M240" i="1"/>
  <c r="B241" i="1"/>
  <c r="M241" i="1"/>
  <c r="B242" i="1"/>
  <c r="M242" i="1"/>
  <c r="M243" i="1"/>
  <c r="B244" i="1"/>
  <c r="M244" i="1"/>
  <c r="B245" i="1"/>
  <c r="M245" i="1"/>
  <c r="B246" i="1"/>
  <c r="B247" i="1"/>
  <c r="M247" i="1"/>
  <c r="B248" i="1"/>
  <c r="M248" i="1"/>
  <c r="B249" i="1"/>
  <c r="M249" i="1"/>
  <c r="B250" i="1"/>
  <c r="B251" i="1"/>
  <c r="B252" i="1"/>
  <c r="M252" i="1"/>
  <c r="B253" i="1"/>
  <c r="M253" i="1"/>
  <c r="B254" i="1"/>
  <c r="B255" i="1"/>
  <c r="B256" i="1"/>
  <c r="M256" i="1"/>
  <c r="M257" i="1"/>
  <c r="M258" i="1"/>
  <c r="M260" i="1"/>
  <c r="M261" i="1"/>
  <c r="M262" i="1"/>
  <c r="B263" i="1"/>
  <c r="M263" i="1"/>
  <c r="B264" i="1"/>
  <c r="M264" i="1"/>
  <c r="B265" i="1"/>
  <c r="B266" i="1"/>
  <c r="M266" i="1"/>
  <c r="B267" i="1"/>
  <c r="B268" i="1"/>
  <c r="B269" i="1"/>
  <c r="M269" i="1"/>
  <c r="B270" i="1"/>
  <c r="M270" i="1"/>
  <c r="B271" i="1"/>
  <c r="B272" i="1"/>
  <c r="B273" i="1"/>
  <c r="B274" i="1"/>
  <c r="M274" i="1"/>
  <c r="B275" i="1"/>
  <c r="M275" i="1"/>
  <c r="B276" i="1"/>
  <c r="B277" i="1"/>
  <c r="M277" i="1"/>
  <c r="B278" i="1"/>
  <c r="M278" i="1"/>
  <c r="M1588" i="1"/>
  <c r="M1589" i="1"/>
  <c r="B1472" i="1"/>
  <c r="M1472" i="1"/>
  <c r="B1473" i="1"/>
  <c r="M1473" i="1"/>
  <c r="B283" i="1"/>
  <c r="M283" i="1"/>
  <c r="B284" i="1"/>
  <c r="B285" i="1"/>
  <c r="M285" i="1"/>
  <c r="B286" i="1"/>
  <c r="M286" i="1"/>
  <c r="B287" i="1"/>
  <c r="B288" i="1"/>
  <c r="M288" i="1"/>
  <c r="B289" i="1"/>
  <c r="B290" i="1"/>
  <c r="B291" i="1"/>
  <c r="B292" i="1"/>
  <c r="M292" i="1"/>
  <c r="B293" i="1"/>
  <c r="B294" i="1"/>
  <c r="M294" i="1"/>
  <c r="M295" i="1"/>
  <c r="M298" i="1"/>
  <c r="M302" i="1"/>
  <c r="M303" i="1"/>
  <c r="B304" i="1"/>
  <c r="M304" i="1"/>
  <c r="B305" i="1"/>
  <c r="M305" i="1"/>
  <c r="B306" i="1"/>
  <c r="B307" i="1"/>
  <c r="M307" i="1"/>
  <c r="B308" i="1"/>
  <c r="B309" i="1"/>
  <c r="M309" i="1"/>
  <c r="B310" i="1"/>
  <c r="M310" i="1"/>
  <c r="B311" i="1"/>
  <c r="B312" i="1"/>
  <c r="M312" i="1"/>
  <c r="B313" i="1"/>
  <c r="B314" i="1"/>
  <c r="M314" i="1"/>
  <c r="B315" i="1"/>
  <c r="M315" i="1"/>
  <c r="B316" i="1"/>
  <c r="M316" i="1"/>
  <c r="B317" i="1"/>
  <c r="B318" i="1"/>
  <c r="M318" i="1"/>
  <c r="B319" i="1"/>
  <c r="M319" i="1"/>
  <c r="B320" i="1"/>
  <c r="M320" i="1"/>
  <c r="B321" i="1"/>
  <c r="M321" i="1"/>
  <c r="B322" i="1"/>
  <c r="M322" i="1"/>
  <c r="B323" i="1"/>
  <c r="M323" i="1"/>
  <c r="B324" i="1"/>
  <c r="B325" i="1"/>
  <c r="M325" i="1"/>
  <c r="B326" i="1"/>
  <c r="B327" i="1"/>
  <c r="M327" i="1"/>
  <c r="B328" i="1"/>
  <c r="M328" i="1"/>
  <c r="B329" i="1"/>
  <c r="B330" i="1"/>
  <c r="B331" i="1"/>
  <c r="B332" i="1"/>
  <c r="M332" i="1"/>
  <c r="B333" i="1"/>
  <c r="B334" i="1"/>
  <c r="B335" i="1"/>
  <c r="B336" i="1"/>
  <c r="M336" i="1"/>
  <c r="B337" i="1"/>
  <c r="M337" i="1"/>
  <c r="B338" i="1"/>
  <c r="M338" i="1"/>
  <c r="B1474" i="1"/>
  <c r="B1475" i="1"/>
  <c r="B1476" i="1"/>
  <c r="B342" i="1"/>
  <c r="M342" i="1"/>
  <c r="B343" i="1"/>
  <c r="B344" i="1"/>
  <c r="B345" i="1"/>
  <c r="M345" i="1"/>
  <c r="B346" i="1"/>
  <c r="M346" i="1"/>
  <c r="B347" i="1"/>
  <c r="M347" i="1"/>
  <c r="B348" i="1"/>
  <c r="B349" i="1"/>
  <c r="B350" i="1"/>
  <c r="B351" i="1"/>
  <c r="M351" i="1"/>
  <c r="B352" i="1"/>
  <c r="B353" i="1"/>
  <c r="M353" i="1"/>
  <c r="B354" i="1"/>
  <c r="M354" i="1"/>
  <c r="B355" i="1"/>
  <c r="M355" i="1"/>
  <c r="B356" i="1"/>
  <c r="M356" i="1"/>
  <c r="B357" i="1"/>
  <c r="M357" i="1"/>
  <c r="B358" i="1"/>
  <c r="M358" i="1"/>
  <c r="B359" i="1"/>
  <c r="M359" i="1"/>
  <c r="B360" i="1"/>
  <c r="M361" i="1"/>
  <c r="M362" i="1"/>
  <c r="B364" i="1"/>
  <c r="M364" i="1"/>
  <c r="B365" i="1"/>
  <c r="M365" i="1"/>
  <c r="B366" i="1"/>
  <c r="M366" i="1"/>
  <c r="B367" i="1"/>
  <c r="B368" i="1"/>
  <c r="M368" i="1"/>
  <c r="B369" i="1"/>
  <c r="M369" i="1"/>
  <c r="B370" i="1"/>
  <c r="M370" i="1"/>
  <c r="B371" i="1"/>
  <c r="B372" i="1"/>
  <c r="M372" i="1"/>
  <c r="B373" i="1"/>
  <c r="M373" i="1"/>
  <c r="B374" i="1"/>
  <c r="B375" i="1"/>
  <c r="M375" i="1"/>
  <c r="B376" i="1"/>
  <c r="M376" i="1"/>
  <c r="B377" i="1"/>
  <c r="M377" i="1"/>
  <c r="B378" i="1"/>
  <c r="B379" i="1"/>
  <c r="M379" i="1"/>
  <c r="B380" i="1"/>
  <c r="M380" i="1"/>
  <c r="B381" i="1"/>
  <c r="M381" i="1"/>
  <c r="B382" i="1"/>
  <c r="M382" i="1"/>
  <c r="B383" i="1"/>
  <c r="M383" i="1"/>
  <c r="B384" i="1"/>
  <c r="M384" i="1"/>
  <c r="B385" i="1"/>
  <c r="M385" i="1"/>
  <c r="B386" i="1"/>
  <c r="M386" i="1"/>
  <c r="B387" i="1"/>
  <c r="M387" i="1"/>
  <c r="B388" i="1"/>
  <c r="B389" i="1"/>
  <c r="M389" i="1"/>
  <c r="B390" i="1"/>
  <c r="M390" i="1"/>
  <c r="B391" i="1"/>
  <c r="M391" i="1"/>
  <c r="B400" i="1"/>
  <c r="M400" i="1"/>
  <c r="B392" i="1"/>
  <c r="M392" i="1"/>
  <c r="B393" i="1"/>
  <c r="M393" i="1"/>
  <c r="B394" i="1"/>
  <c r="B395" i="1"/>
  <c r="B396" i="1"/>
  <c r="B397" i="1"/>
  <c r="M397" i="1"/>
  <c r="B398" i="1"/>
  <c r="B399" i="1"/>
  <c r="B401" i="1"/>
  <c r="M401" i="1"/>
  <c r="B402" i="1"/>
  <c r="M402" i="1"/>
  <c r="B403" i="1"/>
  <c r="M403" i="1"/>
  <c r="B404" i="1"/>
  <c r="M404" i="1"/>
  <c r="B405" i="1"/>
  <c r="M405" i="1"/>
  <c r="B406" i="1"/>
  <c r="M406" i="1"/>
  <c r="B407" i="1"/>
  <c r="M407" i="1"/>
  <c r="B1477" i="1"/>
  <c r="B1478" i="1"/>
  <c r="M1478" i="1"/>
  <c r="B1479" i="1"/>
  <c r="M1479" i="1"/>
  <c r="B1480" i="1"/>
  <c r="B2082" i="1"/>
  <c r="M2082" i="1"/>
  <c r="B2083" i="1"/>
  <c r="M2083" i="1"/>
  <c r="B2084" i="1"/>
  <c r="B415" i="1"/>
  <c r="M415" i="1"/>
  <c r="B416" i="1"/>
  <c r="M416" i="1"/>
  <c r="B417" i="1"/>
  <c r="B418" i="1"/>
  <c r="B419" i="1"/>
  <c r="M419" i="1"/>
  <c r="B420" i="1"/>
  <c r="B421" i="1"/>
  <c r="M421" i="1"/>
  <c r="B422" i="1"/>
  <c r="M422" i="1"/>
  <c r="B423" i="1"/>
  <c r="B424" i="1"/>
  <c r="M424" i="1"/>
  <c r="B425" i="1"/>
  <c r="B426" i="1"/>
  <c r="B1046" i="1"/>
  <c r="M1046" i="1"/>
  <c r="B1047" i="1"/>
  <c r="M1047" i="1"/>
  <c r="B1048" i="1"/>
  <c r="B1049" i="1"/>
  <c r="B1050" i="1"/>
  <c r="B410" i="1"/>
  <c r="M410" i="1"/>
  <c r="B433" i="1"/>
  <c r="M433" i="1"/>
  <c r="B434" i="1"/>
  <c r="M434" i="1"/>
  <c r="B435" i="1"/>
  <c r="M435" i="1"/>
  <c r="B436" i="1"/>
  <c r="B437" i="1"/>
  <c r="M437" i="1"/>
  <c r="B438" i="1"/>
  <c r="M438" i="1"/>
  <c r="B439" i="1"/>
  <c r="B440" i="1"/>
  <c r="M440" i="1"/>
  <c r="B411" i="1"/>
  <c r="M411" i="1"/>
  <c r="B412" i="1"/>
  <c r="B413" i="1"/>
  <c r="B444" i="1"/>
  <c r="M444" i="1"/>
  <c r="B445" i="1"/>
  <c r="B446" i="1"/>
  <c r="B447" i="1"/>
  <c r="B448" i="1"/>
  <c r="B449" i="1"/>
  <c r="M449" i="1"/>
  <c r="B450" i="1"/>
  <c r="M450" i="1"/>
  <c r="B451" i="1"/>
  <c r="B452" i="1"/>
  <c r="M452" i="1"/>
  <c r="B453" i="1"/>
  <c r="M453" i="1"/>
  <c r="B454" i="1"/>
  <c r="M454" i="1"/>
  <c r="B414" i="1"/>
  <c r="M1686" i="1"/>
  <c r="B457" i="1"/>
  <c r="M457" i="1"/>
  <c r="B458" i="1"/>
  <c r="B459" i="1"/>
  <c r="M459" i="1"/>
  <c r="B460" i="1"/>
  <c r="M460" i="1"/>
  <c r="B461" i="1"/>
  <c r="B462" i="1"/>
  <c r="B463" i="1"/>
  <c r="M463" i="1"/>
  <c r="B464" i="1"/>
  <c r="M464" i="1"/>
  <c r="B465" i="1"/>
  <c r="M465" i="1"/>
  <c r="B466" i="1"/>
  <c r="M466" i="1"/>
  <c r="B467" i="1"/>
  <c r="M467" i="1"/>
  <c r="B469" i="1"/>
  <c r="M469" i="1"/>
  <c r="B470" i="1"/>
  <c r="M470" i="1"/>
  <c r="B471" i="1"/>
  <c r="M471" i="1"/>
  <c r="B1434" i="1"/>
  <c r="M1434" i="1"/>
  <c r="B474" i="1"/>
  <c r="M474" i="1"/>
  <c r="B475" i="1"/>
  <c r="B476" i="1"/>
  <c r="B477" i="1"/>
  <c r="M477" i="1"/>
  <c r="B478" i="1"/>
  <c r="M478" i="1"/>
  <c r="B479" i="1"/>
  <c r="M479" i="1"/>
  <c r="B480" i="1"/>
  <c r="M480" i="1"/>
  <c r="B481" i="1"/>
  <c r="B482" i="1"/>
  <c r="B483" i="1"/>
  <c r="M483" i="1"/>
  <c r="M484" i="1"/>
  <c r="M485" i="1"/>
  <c r="B489" i="1"/>
  <c r="M489" i="1"/>
  <c r="B490" i="1"/>
  <c r="M490" i="1"/>
  <c r="B491" i="1"/>
  <c r="M491" i="1"/>
  <c r="B492" i="1"/>
  <c r="M492" i="1"/>
  <c r="B493" i="1"/>
  <c r="B1435" i="1"/>
  <c r="M1435" i="1"/>
  <c r="B1436" i="1"/>
  <c r="M1436" i="1"/>
  <c r="B2489" i="1"/>
  <c r="M2489" i="1"/>
  <c r="B2490" i="1"/>
  <c r="M2490" i="1"/>
  <c r="B2491" i="1"/>
  <c r="B2492" i="1"/>
  <c r="M500" i="1"/>
  <c r="M503" i="1"/>
  <c r="M504" i="1"/>
  <c r="M505" i="1"/>
  <c r="M506" i="1"/>
  <c r="B507" i="1"/>
  <c r="M507" i="1"/>
  <c r="B508" i="1"/>
  <c r="M508" i="1"/>
  <c r="B509" i="1"/>
  <c r="M509" i="1"/>
  <c r="B510" i="1"/>
  <c r="B511" i="1"/>
  <c r="M511" i="1"/>
  <c r="B512" i="1"/>
  <c r="M512" i="1"/>
  <c r="B513" i="1"/>
  <c r="M513" i="1"/>
  <c r="B514" i="1"/>
  <c r="B515" i="1"/>
  <c r="M515" i="1"/>
  <c r="B516" i="1"/>
  <c r="M516" i="1"/>
  <c r="M517" i="1"/>
  <c r="M518" i="1"/>
  <c r="M519" i="1"/>
  <c r="M520" i="1"/>
  <c r="M521" i="1"/>
  <c r="M524" i="1"/>
  <c r="M525" i="1"/>
  <c r="B526" i="1"/>
  <c r="M526" i="1"/>
  <c r="B527" i="1"/>
  <c r="B528" i="1"/>
  <c r="B529" i="1"/>
  <c r="B530" i="1"/>
  <c r="B531" i="1"/>
  <c r="B532" i="1"/>
  <c r="M532" i="1"/>
  <c r="B533" i="1"/>
  <c r="M533" i="1"/>
  <c r="B534" i="1"/>
  <c r="M534" i="1"/>
  <c r="B535" i="1"/>
  <c r="M535" i="1"/>
  <c r="B495" i="1"/>
  <c r="M495" i="1"/>
  <c r="B496" i="1"/>
  <c r="M496" i="1"/>
  <c r="M538" i="1"/>
  <c r="M540" i="1"/>
  <c r="M541" i="1"/>
  <c r="M542" i="1"/>
  <c r="M543" i="1"/>
  <c r="M545" i="1"/>
  <c r="M546" i="1"/>
  <c r="B547" i="1"/>
  <c r="M547" i="1"/>
  <c r="B548" i="1"/>
  <c r="M548" i="1"/>
  <c r="B549" i="1"/>
  <c r="M549" i="1"/>
  <c r="B550" i="1"/>
  <c r="M550" i="1"/>
  <c r="B551" i="1"/>
  <c r="B552" i="1"/>
  <c r="M552" i="1"/>
  <c r="B497" i="1"/>
  <c r="M497" i="1"/>
  <c r="B498" i="1"/>
  <c r="B555" i="1"/>
  <c r="M555" i="1"/>
  <c r="B556" i="1"/>
  <c r="B557" i="1"/>
  <c r="M557" i="1"/>
  <c r="B558" i="1"/>
  <c r="M558" i="1"/>
  <c r="B559" i="1"/>
  <c r="M559" i="1"/>
  <c r="B560" i="1"/>
  <c r="B561" i="1"/>
  <c r="M561" i="1"/>
  <c r="B562" i="1"/>
  <c r="B563" i="1"/>
  <c r="M563" i="1"/>
  <c r="B564" i="1"/>
  <c r="M564" i="1"/>
  <c r="B565" i="1"/>
  <c r="M565" i="1"/>
  <c r="B499" i="1"/>
  <c r="M499" i="1"/>
  <c r="B1313" i="1"/>
  <c r="M1313" i="1"/>
  <c r="B1314" i="1"/>
  <c r="M1314" i="1"/>
  <c r="B569" i="1"/>
  <c r="M569" i="1"/>
  <c r="B570" i="1"/>
  <c r="B571" i="1"/>
  <c r="B572" i="1"/>
  <c r="B573" i="1"/>
  <c r="M573" i="1"/>
  <c r="B574" i="1"/>
  <c r="B575" i="1"/>
  <c r="B576" i="1"/>
  <c r="M576" i="1"/>
  <c r="B577" i="1"/>
  <c r="M577" i="1"/>
  <c r="B578" i="1"/>
  <c r="B579" i="1"/>
  <c r="B580" i="1"/>
  <c r="M580" i="1"/>
  <c r="B581" i="1"/>
  <c r="M581" i="1"/>
  <c r="B582" i="1"/>
  <c r="B583" i="1"/>
  <c r="B584" i="1"/>
  <c r="B585" i="1"/>
  <c r="M585" i="1"/>
  <c r="B586" i="1"/>
  <c r="B587" i="1"/>
  <c r="M587" i="1"/>
  <c r="B588" i="1"/>
  <c r="M588" i="1"/>
  <c r="B589" i="1"/>
  <c r="B590" i="1"/>
  <c r="M590" i="1"/>
  <c r="B591" i="1"/>
  <c r="M591" i="1"/>
  <c r="B592" i="1"/>
  <c r="B593" i="1"/>
  <c r="B594" i="1"/>
  <c r="M594" i="1"/>
  <c r="B595" i="1"/>
  <c r="M595" i="1"/>
  <c r="B596" i="1"/>
  <c r="B1315" i="1"/>
  <c r="B1316" i="1"/>
  <c r="B1317" i="1"/>
  <c r="B600" i="1"/>
  <c r="M600" i="1"/>
  <c r="B601" i="1"/>
  <c r="B602" i="1"/>
  <c r="B603" i="1"/>
  <c r="B604" i="1"/>
  <c r="M604" i="1"/>
  <c r="B605" i="1"/>
  <c r="B606" i="1"/>
  <c r="M606" i="1"/>
  <c r="B607" i="1"/>
  <c r="M607" i="1"/>
  <c r="B608" i="1"/>
  <c r="M608" i="1"/>
  <c r="B609" i="1"/>
  <c r="M609" i="1"/>
  <c r="B610" i="1"/>
  <c r="B611" i="1"/>
  <c r="B612" i="1"/>
  <c r="M612" i="1"/>
  <c r="B613" i="1"/>
  <c r="M613" i="1"/>
  <c r="B614" i="1"/>
  <c r="M614" i="1"/>
  <c r="B615" i="1"/>
  <c r="M615" i="1"/>
  <c r="B616" i="1"/>
  <c r="M616" i="1"/>
  <c r="B617" i="1"/>
  <c r="M617" i="1"/>
  <c r="B618" i="1"/>
  <c r="M618" i="1"/>
  <c r="B619" i="1"/>
  <c r="M619" i="1"/>
  <c r="B620" i="1"/>
  <c r="M620" i="1"/>
  <c r="B621" i="1"/>
  <c r="B622" i="1"/>
  <c r="B623" i="1"/>
  <c r="M623" i="1"/>
  <c r="M624" i="1"/>
  <c r="B628" i="1"/>
  <c r="M628" i="1"/>
  <c r="B629" i="1"/>
  <c r="B630" i="1"/>
  <c r="B631" i="1"/>
  <c r="B632" i="1"/>
  <c r="B633" i="1"/>
  <c r="M633" i="1"/>
  <c r="B634" i="1"/>
  <c r="M634" i="1"/>
  <c r="B635" i="1"/>
  <c r="M635" i="1"/>
  <c r="B636" i="1"/>
  <c r="M636" i="1"/>
  <c r="B637" i="1"/>
  <c r="B638" i="1"/>
  <c r="M638" i="1"/>
  <c r="B639" i="1"/>
  <c r="B640" i="1"/>
  <c r="B641" i="1"/>
  <c r="B642" i="1"/>
  <c r="M642" i="1"/>
  <c r="B643" i="1"/>
  <c r="M643" i="1"/>
  <c r="B644" i="1"/>
  <c r="B645" i="1"/>
  <c r="M645" i="1"/>
  <c r="B646" i="1"/>
  <c r="B647" i="1"/>
  <c r="M647" i="1"/>
  <c r="B648" i="1"/>
  <c r="M648" i="1"/>
  <c r="B649" i="1"/>
  <c r="M649" i="1"/>
  <c r="B650" i="1"/>
  <c r="M650" i="1"/>
  <c r="B651" i="1"/>
  <c r="B652" i="1"/>
  <c r="B653" i="1"/>
  <c r="B654" i="1"/>
  <c r="B655" i="1"/>
  <c r="B656" i="1"/>
  <c r="M656" i="1"/>
  <c r="B657" i="1"/>
  <c r="M657" i="1"/>
  <c r="B658" i="1"/>
  <c r="M658" i="1"/>
  <c r="B659" i="1"/>
  <c r="M659" i="1"/>
  <c r="B660" i="1"/>
  <c r="M660" i="1"/>
  <c r="B1318" i="1"/>
  <c r="B1319" i="1"/>
  <c r="M1319" i="1"/>
  <c r="B1320" i="1"/>
  <c r="M1320" i="1"/>
  <c r="B1321" i="1"/>
  <c r="B665" i="1"/>
  <c r="M665" i="1"/>
  <c r="B666" i="1"/>
  <c r="M666" i="1"/>
  <c r="B667" i="1"/>
  <c r="B668" i="1"/>
  <c r="M668" i="1"/>
  <c r="B669" i="1"/>
  <c r="M669" i="1"/>
  <c r="B670" i="1"/>
  <c r="B671" i="1"/>
  <c r="M671" i="1"/>
  <c r="B672" i="1"/>
  <c r="M672" i="1"/>
  <c r="B673" i="1"/>
  <c r="B674" i="1"/>
  <c r="M674" i="1"/>
  <c r="B675" i="1"/>
  <c r="B676" i="1"/>
  <c r="M676" i="1"/>
  <c r="B677" i="1"/>
  <c r="M677" i="1"/>
  <c r="B678" i="1"/>
  <c r="M678" i="1"/>
  <c r="B679" i="1"/>
  <c r="B680" i="1"/>
  <c r="B681" i="1"/>
  <c r="B682" i="1"/>
  <c r="M682" i="1"/>
  <c r="B683" i="1"/>
  <c r="B684" i="1"/>
  <c r="M684" i="1"/>
  <c r="B685" i="1"/>
  <c r="M685" i="1"/>
  <c r="B686" i="1"/>
  <c r="B687" i="1"/>
  <c r="M687" i="1"/>
  <c r="B688" i="1"/>
  <c r="B689" i="1"/>
  <c r="B690" i="1"/>
  <c r="M690" i="1"/>
  <c r="B691" i="1"/>
  <c r="B692" i="1"/>
  <c r="B693" i="1"/>
  <c r="B694" i="1"/>
  <c r="B695" i="1"/>
  <c r="B696" i="1"/>
  <c r="M696" i="1"/>
  <c r="B697" i="1"/>
  <c r="B698" i="1"/>
  <c r="B699" i="1"/>
  <c r="B700" i="1"/>
  <c r="M700" i="1"/>
  <c r="B701" i="1"/>
  <c r="M701" i="1"/>
  <c r="B702" i="1"/>
  <c r="B703" i="1"/>
  <c r="B704" i="1"/>
  <c r="M704" i="1"/>
  <c r="B705" i="1"/>
  <c r="B706" i="1"/>
  <c r="M706" i="1"/>
  <c r="B707" i="1"/>
  <c r="M707" i="1"/>
  <c r="B708" i="1"/>
  <c r="M708" i="1"/>
  <c r="B709" i="1"/>
  <c r="B710" i="1"/>
  <c r="M710" i="1"/>
  <c r="B711" i="1"/>
  <c r="M711" i="1"/>
  <c r="B712" i="1"/>
  <c r="M712" i="1"/>
  <c r="B713" i="1"/>
  <c r="M713" i="1"/>
  <c r="B714" i="1"/>
  <c r="M714" i="1"/>
  <c r="B715" i="1"/>
  <c r="M715" i="1"/>
  <c r="B716" i="1"/>
  <c r="B717" i="1"/>
  <c r="B718" i="1"/>
  <c r="B719" i="1"/>
  <c r="B720" i="1"/>
  <c r="B1322" i="1"/>
  <c r="B1323" i="1"/>
  <c r="B1324" i="1"/>
  <c r="B724" i="1"/>
  <c r="M724" i="1"/>
  <c r="B725" i="1"/>
  <c r="M725" i="1"/>
  <c r="B726" i="1"/>
  <c r="B727" i="1"/>
  <c r="M727" i="1"/>
  <c r="B728" i="1"/>
  <c r="B729" i="1"/>
  <c r="B730" i="1"/>
  <c r="M730" i="1"/>
  <c r="B731" i="1"/>
  <c r="M731" i="1"/>
  <c r="B732" i="1"/>
  <c r="B733" i="1"/>
  <c r="B734" i="1"/>
  <c r="B735" i="1"/>
  <c r="B1481" i="1"/>
  <c r="M1481" i="1"/>
  <c r="B1482" i="1"/>
  <c r="M1482" i="1"/>
  <c r="B1483" i="1"/>
  <c r="B739" i="1"/>
  <c r="M739" i="1"/>
  <c r="B740" i="1"/>
  <c r="M740" i="1"/>
  <c r="B741" i="1"/>
  <c r="M741" i="1"/>
  <c r="B742" i="1"/>
  <c r="B743" i="1"/>
  <c r="B744" i="1"/>
  <c r="M744" i="1"/>
  <c r="B1484" i="1"/>
  <c r="M1484" i="1"/>
  <c r="B1485" i="1"/>
  <c r="M1485" i="1"/>
  <c r="B2366" i="1"/>
  <c r="M2366" i="1"/>
  <c r="B2367" i="1"/>
  <c r="M2367" i="1"/>
  <c r="B1398" i="1"/>
  <c r="M1398" i="1"/>
  <c r="B1399" i="1"/>
  <c r="B468" i="1"/>
  <c r="M468" i="1"/>
  <c r="B752" i="1"/>
  <c r="M752" i="1"/>
  <c r="B753" i="1"/>
  <c r="B754" i="1"/>
  <c r="M754" i="1"/>
  <c r="B755" i="1"/>
  <c r="B756" i="1"/>
  <c r="M756" i="1"/>
  <c r="B757" i="1"/>
  <c r="M757" i="1"/>
  <c r="B758" i="1"/>
  <c r="B759" i="1"/>
  <c r="M759" i="1"/>
  <c r="B760" i="1"/>
  <c r="M760" i="1"/>
  <c r="B761" i="1"/>
  <c r="M761" i="1"/>
  <c r="B762" i="1"/>
  <c r="M762" i="1"/>
  <c r="B763" i="1"/>
  <c r="M763" i="1"/>
  <c r="B764" i="1"/>
  <c r="M764" i="1"/>
  <c r="B765" i="1"/>
  <c r="B766" i="1"/>
  <c r="M766" i="1"/>
  <c r="B767" i="1"/>
  <c r="B768" i="1"/>
  <c r="M768" i="1"/>
  <c r="B769" i="1"/>
  <c r="B770" i="1"/>
  <c r="M770" i="1"/>
  <c r="B771" i="1"/>
  <c r="B772" i="1"/>
  <c r="M772" i="1"/>
  <c r="B773" i="1"/>
  <c r="M773" i="1"/>
  <c r="B774" i="1"/>
  <c r="B775" i="1"/>
  <c r="M775" i="1"/>
  <c r="B776" i="1"/>
  <c r="M776" i="1"/>
  <c r="B2671" i="1"/>
  <c r="M2671" i="1"/>
  <c r="B2672" i="1"/>
  <c r="M2672" i="1"/>
  <c r="B2673" i="1"/>
  <c r="B2674" i="1"/>
  <c r="B2675" i="1"/>
  <c r="M2675" i="1"/>
  <c r="B2676" i="1"/>
  <c r="B783" i="1"/>
  <c r="M783" i="1"/>
  <c r="B784" i="1"/>
  <c r="M784" i="1"/>
  <c r="B785" i="1"/>
  <c r="M785" i="1"/>
  <c r="B786" i="1"/>
  <c r="M786" i="1"/>
  <c r="B787" i="1"/>
  <c r="M787" i="1"/>
  <c r="B1085" i="1"/>
  <c r="M1085" i="1"/>
  <c r="B1086" i="1"/>
  <c r="M1086" i="1"/>
  <c r="B427" i="1"/>
  <c r="M427" i="1"/>
  <c r="B428" i="1"/>
  <c r="M792" i="1"/>
  <c r="B793" i="1"/>
  <c r="M793" i="1"/>
  <c r="B794" i="1"/>
  <c r="B795" i="1"/>
  <c r="M795" i="1"/>
  <c r="B796" i="1"/>
  <c r="M796" i="1"/>
  <c r="B797" i="1"/>
  <c r="B798" i="1"/>
  <c r="B799" i="1"/>
  <c r="B800" i="1"/>
  <c r="M800" i="1"/>
  <c r="B801" i="1"/>
  <c r="M801" i="1"/>
  <c r="B802" i="1"/>
  <c r="M802" i="1"/>
  <c r="B803" i="1"/>
  <c r="B804" i="1"/>
  <c r="B805" i="1"/>
  <c r="M805" i="1"/>
  <c r="B806" i="1"/>
  <c r="M806" i="1"/>
  <c r="B807" i="1"/>
  <c r="M807" i="1"/>
  <c r="B808" i="1"/>
  <c r="B809" i="1"/>
  <c r="B810" i="1"/>
  <c r="B811" i="1"/>
  <c r="M811" i="1"/>
  <c r="B812" i="1"/>
  <c r="M812" i="1"/>
  <c r="B429" i="1"/>
  <c r="M429" i="1"/>
  <c r="B430" i="1"/>
  <c r="M430" i="1"/>
  <c r="B815" i="1"/>
  <c r="M815" i="1"/>
  <c r="B816" i="1"/>
  <c r="M816" i="1"/>
  <c r="B817" i="1"/>
  <c r="B818" i="1"/>
  <c r="M818" i="1"/>
  <c r="B819" i="1"/>
  <c r="M819" i="1"/>
  <c r="B820" i="1"/>
  <c r="M820" i="1"/>
  <c r="B821" i="1"/>
  <c r="M822" i="1"/>
  <c r="M823" i="1"/>
  <c r="M824" i="1"/>
  <c r="M831" i="1"/>
  <c r="B832" i="1"/>
  <c r="M832" i="1"/>
  <c r="B833" i="1"/>
  <c r="B834" i="1"/>
  <c r="B835" i="1"/>
  <c r="M835" i="1"/>
  <c r="B836" i="1"/>
  <c r="M836" i="1"/>
  <c r="B837" i="1"/>
  <c r="M837" i="1"/>
  <c r="B838" i="1"/>
  <c r="M838" i="1"/>
  <c r="B839" i="1"/>
  <c r="B840" i="1"/>
  <c r="M840" i="1"/>
  <c r="B841" i="1"/>
  <c r="M841" i="1"/>
  <c r="B842" i="1"/>
  <c r="B843" i="1"/>
  <c r="B844" i="1"/>
  <c r="M844" i="1"/>
  <c r="B845" i="1"/>
  <c r="M845" i="1"/>
  <c r="B846" i="1"/>
  <c r="M846" i="1"/>
  <c r="B847" i="1"/>
  <c r="B848" i="1"/>
  <c r="B849" i="1"/>
  <c r="M849" i="1"/>
  <c r="B850" i="1"/>
  <c r="B851" i="1"/>
  <c r="M851" i="1"/>
  <c r="B852" i="1"/>
  <c r="M852" i="1"/>
  <c r="B853" i="1"/>
  <c r="M853" i="1"/>
  <c r="B854" i="1"/>
  <c r="B855" i="1"/>
  <c r="B856" i="1"/>
  <c r="B857" i="1"/>
  <c r="B858" i="1"/>
  <c r="M858" i="1"/>
  <c r="B859" i="1"/>
  <c r="B860" i="1"/>
  <c r="B861" i="1"/>
  <c r="B862" i="1"/>
  <c r="M862" i="1"/>
  <c r="B863" i="1"/>
  <c r="M863" i="1"/>
  <c r="B864" i="1"/>
  <c r="B865" i="1"/>
  <c r="B866" i="1"/>
  <c r="B867" i="1"/>
  <c r="M867" i="1"/>
  <c r="B868" i="1"/>
  <c r="M868" i="1"/>
  <c r="B869" i="1"/>
  <c r="M869" i="1"/>
  <c r="B870" i="1"/>
  <c r="B871" i="1"/>
  <c r="B872" i="1"/>
  <c r="B873" i="1"/>
  <c r="B431" i="1"/>
  <c r="M431" i="1"/>
  <c r="B875" i="1"/>
  <c r="M875" i="1"/>
  <c r="B876" i="1"/>
  <c r="B877" i="1"/>
  <c r="B878" i="1"/>
  <c r="B879" i="1"/>
  <c r="M879" i="1"/>
  <c r="B880" i="1"/>
  <c r="M880" i="1"/>
  <c r="B881" i="1"/>
  <c r="M881" i="1"/>
  <c r="B882" i="1"/>
  <c r="B883" i="1"/>
  <c r="B884" i="1"/>
  <c r="M884" i="1"/>
  <c r="B885" i="1"/>
  <c r="B886" i="1"/>
  <c r="B887" i="1"/>
  <c r="M887" i="1"/>
  <c r="B888" i="1"/>
  <c r="B889" i="1"/>
  <c r="M889" i="1"/>
  <c r="B890" i="1"/>
  <c r="M890" i="1"/>
  <c r="B891" i="1"/>
  <c r="M891" i="1"/>
  <c r="B892" i="1"/>
  <c r="B893" i="1"/>
  <c r="B894" i="1"/>
  <c r="B895" i="1"/>
  <c r="B896" i="1"/>
  <c r="M896" i="1"/>
  <c r="B897" i="1"/>
  <c r="B898" i="1"/>
  <c r="M898" i="1"/>
  <c r="B899" i="1"/>
  <c r="B900" i="1"/>
  <c r="M900" i="1"/>
  <c r="B901" i="1"/>
  <c r="M901" i="1"/>
  <c r="B902" i="1"/>
  <c r="M902" i="1"/>
  <c r="B903" i="1"/>
  <c r="M903" i="1"/>
  <c r="B904" i="1"/>
  <c r="M904" i="1"/>
  <c r="B905" i="1"/>
  <c r="M905" i="1"/>
  <c r="B906" i="1"/>
  <c r="B907" i="1"/>
  <c r="B908" i="1"/>
  <c r="B909" i="1"/>
  <c r="B910" i="1"/>
  <c r="B911" i="1"/>
  <c r="M911" i="1"/>
  <c r="B912" i="1"/>
  <c r="M912" i="1"/>
  <c r="B913" i="1"/>
  <c r="M913" i="1"/>
  <c r="B914" i="1"/>
  <c r="B915" i="1"/>
  <c r="B916" i="1"/>
  <c r="B917" i="1"/>
  <c r="M917" i="1"/>
  <c r="B918" i="1"/>
  <c r="B919" i="1"/>
  <c r="M919" i="1"/>
  <c r="B920" i="1"/>
  <c r="M920" i="1"/>
  <c r="B921" i="1"/>
  <c r="B922" i="1"/>
  <c r="M922" i="1"/>
  <c r="B923" i="1"/>
  <c r="M923" i="1"/>
  <c r="B924" i="1"/>
  <c r="B925" i="1"/>
  <c r="M925" i="1"/>
  <c r="B926" i="1"/>
  <c r="M926" i="1"/>
  <c r="B927" i="1"/>
  <c r="B928" i="1"/>
  <c r="M928" i="1"/>
  <c r="B929" i="1"/>
  <c r="M929" i="1"/>
  <c r="B930" i="1"/>
  <c r="M930" i="1"/>
  <c r="B931" i="1"/>
  <c r="M931" i="1"/>
  <c r="B932" i="1"/>
  <c r="M932" i="1"/>
  <c r="B933" i="1"/>
  <c r="B934" i="1"/>
  <c r="M934" i="1"/>
  <c r="B935" i="1"/>
  <c r="M935" i="1"/>
  <c r="B936" i="1"/>
  <c r="B937" i="1"/>
  <c r="M937" i="1"/>
  <c r="B938" i="1"/>
  <c r="M938" i="1"/>
  <c r="B939" i="1"/>
  <c r="M939" i="1"/>
  <c r="B940" i="1"/>
  <c r="M940" i="1"/>
  <c r="B941" i="1"/>
  <c r="B942" i="1"/>
  <c r="M942" i="1"/>
  <c r="B943" i="1"/>
  <c r="M943" i="1"/>
  <c r="B944" i="1"/>
  <c r="M944" i="1"/>
  <c r="B945" i="1"/>
  <c r="B946" i="1"/>
  <c r="B947" i="1"/>
  <c r="B948" i="1"/>
  <c r="B949" i="1"/>
  <c r="M949" i="1"/>
  <c r="B950" i="1"/>
  <c r="M950" i="1"/>
  <c r="B951" i="1"/>
  <c r="B952" i="1"/>
  <c r="B953" i="1"/>
  <c r="M953" i="1"/>
  <c r="B954" i="1"/>
  <c r="B955" i="1"/>
  <c r="M955" i="1"/>
  <c r="B956" i="1"/>
  <c r="B957" i="1"/>
  <c r="B958" i="1"/>
  <c r="B432" i="1"/>
  <c r="B1204" i="1"/>
  <c r="M1204" i="1"/>
  <c r="M961" i="1"/>
  <c r="M962" i="1"/>
  <c r="M965" i="1"/>
  <c r="M966" i="1"/>
  <c r="M969" i="1"/>
  <c r="B970" i="1"/>
  <c r="M970" i="1"/>
  <c r="B971" i="1"/>
  <c r="M971" i="1"/>
  <c r="B972" i="1"/>
  <c r="B973" i="1"/>
  <c r="M973" i="1"/>
  <c r="B974" i="1"/>
  <c r="M974" i="1"/>
  <c r="B975" i="1"/>
  <c r="B976" i="1"/>
  <c r="B977" i="1"/>
  <c r="M977" i="1"/>
  <c r="B978" i="1"/>
  <c r="B979" i="1"/>
  <c r="M979" i="1"/>
  <c r="B980" i="1"/>
  <c r="M980" i="1"/>
  <c r="B981" i="1"/>
  <c r="B1205" i="1"/>
  <c r="B1206" i="1"/>
  <c r="B984" i="1"/>
  <c r="M984" i="1"/>
  <c r="B985" i="1"/>
  <c r="B986" i="1"/>
  <c r="M986" i="1"/>
  <c r="B987" i="1"/>
  <c r="M987" i="1"/>
  <c r="B988" i="1"/>
  <c r="B989" i="1"/>
  <c r="M989" i="1"/>
  <c r="B990" i="1"/>
  <c r="M990" i="1"/>
  <c r="B991" i="1"/>
  <c r="M991" i="1"/>
  <c r="B992" i="1"/>
  <c r="B993" i="1"/>
  <c r="M993" i="1"/>
  <c r="B994" i="1"/>
  <c r="M994" i="1"/>
  <c r="B995" i="1"/>
  <c r="M995" i="1"/>
  <c r="B996" i="1"/>
  <c r="B997" i="1"/>
  <c r="M997" i="1"/>
  <c r="B998" i="1"/>
  <c r="M998" i="1"/>
  <c r="B999" i="1"/>
  <c r="M999" i="1"/>
  <c r="B1000" i="1"/>
  <c r="M1000" i="1"/>
  <c r="B1001" i="1"/>
  <c r="M1001" i="1"/>
  <c r="B1002" i="1"/>
  <c r="B1003" i="1"/>
  <c r="B1004" i="1"/>
  <c r="M1004" i="1"/>
  <c r="B1005" i="1"/>
  <c r="B1006" i="1"/>
  <c r="B1007" i="1"/>
  <c r="M1007" i="1"/>
  <c r="B1008" i="1"/>
  <c r="B1009" i="1"/>
  <c r="B1010" i="1"/>
  <c r="M1010" i="1"/>
  <c r="B1011" i="1"/>
  <c r="M1011" i="1"/>
  <c r="M1012" i="1"/>
  <c r="M1013" i="1"/>
  <c r="M1014" i="1"/>
  <c r="M1015" i="1"/>
  <c r="M1016" i="1"/>
  <c r="M1020" i="1"/>
  <c r="M1025" i="1"/>
  <c r="M1026" i="1"/>
  <c r="M1028" i="1"/>
  <c r="M1029" i="1"/>
  <c r="M1033" i="1"/>
  <c r="M1034" i="1"/>
  <c r="B1035" i="1"/>
  <c r="M1035" i="1"/>
  <c r="B1036" i="1"/>
  <c r="M1036" i="1"/>
  <c r="B1037" i="1"/>
  <c r="M1037" i="1"/>
  <c r="B1038" i="1"/>
  <c r="M1038" i="1"/>
  <c r="B1039" i="1"/>
  <c r="B1040" i="1"/>
  <c r="M1040" i="1"/>
  <c r="B1207" i="1"/>
  <c r="M1207" i="1"/>
  <c r="B1208" i="1"/>
  <c r="B1209" i="1"/>
  <c r="B566" i="1"/>
  <c r="M566" i="1"/>
  <c r="B567" i="1"/>
  <c r="B568" i="1"/>
  <c r="B2079" i="1"/>
  <c r="M2079" i="1"/>
  <c r="B2080" i="1"/>
  <c r="B2081" i="1"/>
  <c r="M2081" i="1"/>
  <c r="B81" i="1"/>
  <c r="M81" i="1"/>
  <c r="B1051" i="1"/>
  <c r="M1051" i="1"/>
  <c r="B1052" i="1"/>
  <c r="B1053" i="1"/>
  <c r="B1054" i="1"/>
  <c r="B1055" i="1"/>
  <c r="B1056" i="1"/>
  <c r="M1056" i="1"/>
  <c r="B1057" i="1"/>
  <c r="B1058" i="1"/>
  <c r="B1059" i="1"/>
  <c r="B1060" i="1"/>
  <c r="M1060" i="1"/>
  <c r="B1061" i="1"/>
  <c r="M1061" i="1"/>
  <c r="B1062" i="1"/>
  <c r="M1062" i="1"/>
  <c r="B1063" i="1"/>
  <c r="M1063" i="1"/>
  <c r="B1064" i="1"/>
  <c r="B1065" i="1"/>
  <c r="B1066" i="1"/>
  <c r="M1066" i="1"/>
  <c r="B1067" i="1"/>
  <c r="B1068" i="1"/>
  <c r="B1069" i="1"/>
  <c r="B1070" i="1"/>
  <c r="B1071" i="1"/>
  <c r="M1071" i="1"/>
  <c r="B1072" i="1"/>
  <c r="M1072" i="1"/>
  <c r="B1073" i="1"/>
  <c r="B1074" i="1"/>
  <c r="B1075" i="1"/>
  <c r="B1076" i="1"/>
  <c r="B1077" i="1"/>
  <c r="M1077" i="1"/>
  <c r="B1078" i="1"/>
  <c r="B1079" i="1"/>
  <c r="M1080" i="1"/>
  <c r="B1081" i="1"/>
  <c r="M1081" i="1"/>
  <c r="B1082" i="1"/>
  <c r="M1082" i="1"/>
  <c r="B1083" i="1"/>
  <c r="B1084" i="1"/>
  <c r="B82" i="1"/>
  <c r="M82" i="1"/>
  <c r="B31" i="1"/>
  <c r="M31" i="1"/>
  <c r="B1087" i="1"/>
  <c r="M1087" i="1"/>
  <c r="B1088" i="1"/>
  <c r="B1089" i="1"/>
  <c r="M1089" i="1"/>
  <c r="B1090" i="1"/>
  <c r="M1090" i="1"/>
  <c r="B1091" i="1"/>
  <c r="M1091" i="1"/>
  <c r="B1092" i="1"/>
  <c r="B1093" i="1"/>
  <c r="M1093" i="1"/>
  <c r="B1094" i="1"/>
  <c r="M1094" i="1"/>
  <c r="B1095" i="1"/>
  <c r="B1096" i="1"/>
  <c r="M1096" i="1"/>
  <c r="B1097" i="1"/>
  <c r="M1097" i="1"/>
  <c r="B1098" i="1"/>
  <c r="M1098" i="1"/>
  <c r="B1099" i="1"/>
  <c r="B1100" i="1"/>
  <c r="B1101" i="1"/>
  <c r="M1101" i="1"/>
  <c r="B1102" i="1"/>
  <c r="M1102" i="1"/>
  <c r="B1103" i="1"/>
  <c r="M1103" i="1"/>
  <c r="B1104" i="1"/>
  <c r="B1105" i="1"/>
  <c r="M1105" i="1"/>
  <c r="M1106" i="1"/>
  <c r="M1108" i="1"/>
  <c r="B1109" i="1"/>
  <c r="M1109" i="1"/>
  <c r="B1110" i="1"/>
  <c r="M1110" i="1"/>
  <c r="B1111" i="1"/>
  <c r="M1111" i="1"/>
  <c r="B1112" i="1"/>
  <c r="B1113" i="1"/>
  <c r="M1113" i="1"/>
  <c r="B1114" i="1"/>
  <c r="B1115" i="1"/>
  <c r="M1115" i="1"/>
  <c r="B32" i="1"/>
  <c r="M32" i="1"/>
  <c r="B33" i="1"/>
  <c r="B34" i="1"/>
  <c r="M34" i="1"/>
  <c r="B35" i="1"/>
  <c r="M35" i="1"/>
  <c r="B1120" i="1"/>
  <c r="M1120" i="1"/>
  <c r="B1121" i="1"/>
  <c r="B1122" i="1"/>
  <c r="B1123" i="1"/>
  <c r="M1123" i="1"/>
  <c r="B1124" i="1"/>
  <c r="M1124" i="1"/>
  <c r="M1125" i="1"/>
  <c r="B36" i="1"/>
  <c r="B37" i="1"/>
  <c r="M37" i="1"/>
  <c r="B38" i="1"/>
  <c r="M38" i="1"/>
  <c r="M1624" i="1"/>
  <c r="B1131" i="1"/>
  <c r="M1131" i="1"/>
  <c r="B1132" i="1"/>
  <c r="B1133" i="1"/>
  <c r="B1134" i="1"/>
  <c r="B1135" i="1"/>
  <c r="M1135" i="1"/>
  <c r="B1136" i="1"/>
  <c r="M1136" i="1"/>
  <c r="B1137" i="1"/>
  <c r="M1137" i="1"/>
  <c r="B1138" i="1"/>
  <c r="M1138" i="1"/>
  <c r="B1139" i="1"/>
  <c r="B1140" i="1"/>
  <c r="B1141" i="1"/>
  <c r="M1141" i="1"/>
  <c r="B1142" i="1"/>
  <c r="M1142" i="1"/>
  <c r="B1143" i="1"/>
  <c r="M1143" i="1"/>
  <c r="B1144" i="1"/>
  <c r="M1144" i="1"/>
  <c r="B1145" i="1"/>
  <c r="M1145" i="1"/>
  <c r="B1146" i="1"/>
  <c r="B1147" i="1"/>
  <c r="B1148" i="1"/>
  <c r="B1149" i="1"/>
  <c r="B1150" i="1"/>
  <c r="M1150" i="1"/>
  <c r="B1151" i="1"/>
  <c r="M1151" i="1"/>
  <c r="B1152" i="1"/>
  <c r="M1152" i="1"/>
  <c r="B1153" i="1"/>
  <c r="M1153" i="1"/>
  <c r="B1154" i="1"/>
  <c r="M1154" i="1"/>
  <c r="B1155" i="1"/>
  <c r="M1155" i="1"/>
  <c r="B1156" i="1"/>
  <c r="M1156" i="1"/>
  <c r="B1157" i="1"/>
  <c r="M1157" i="1"/>
  <c r="B1158" i="1"/>
  <c r="B1159" i="1"/>
  <c r="M1159" i="1"/>
  <c r="B1160" i="1"/>
  <c r="M1160" i="1"/>
  <c r="M1161" i="1"/>
  <c r="M1163" i="1"/>
  <c r="M1164" i="1"/>
  <c r="M1167" i="1"/>
  <c r="B1168" i="1"/>
  <c r="M1168" i="1"/>
  <c r="B1169" i="1"/>
  <c r="M1169" i="1"/>
  <c r="B1170" i="1"/>
  <c r="B1171" i="1"/>
  <c r="B1172" i="1"/>
  <c r="B1173" i="1"/>
  <c r="M1173" i="1"/>
  <c r="B1174" i="1"/>
  <c r="M1174" i="1"/>
  <c r="B1175" i="1"/>
  <c r="B1176" i="1"/>
  <c r="B1177" i="1"/>
  <c r="B1178" i="1"/>
  <c r="M1178" i="1"/>
  <c r="B1179" i="1"/>
  <c r="M1179" i="1"/>
  <c r="B1180" i="1"/>
  <c r="M1180" i="1"/>
  <c r="B1181" i="1"/>
  <c r="M1181" i="1"/>
  <c r="B1182" i="1"/>
  <c r="B1183" i="1"/>
  <c r="B1184" i="1"/>
  <c r="M1184" i="1"/>
  <c r="M1625" i="1"/>
  <c r="M1626" i="1"/>
  <c r="B2713" i="1"/>
  <c r="M2713" i="1"/>
  <c r="B2677" i="1"/>
  <c r="M2677" i="1"/>
  <c r="B2678" i="1"/>
  <c r="B2679" i="1"/>
  <c r="M2679" i="1"/>
  <c r="B1195" i="1"/>
  <c r="M1195" i="1"/>
  <c r="B1196" i="1"/>
  <c r="M1196" i="1"/>
  <c r="B1197" i="1"/>
  <c r="M1197" i="1"/>
  <c r="B1198" i="1"/>
  <c r="M1198" i="1"/>
  <c r="B1199" i="1"/>
  <c r="M1199" i="1"/>
  <c r="B1200" i="1"/>
  <c r="M1200" i="1"/>
  <c r="B1201" i="1"/>
  <c r="M1201" i="1"/>
  <c r="B1202" i="1"/>
  <c r="M1202" i="1"/>
  <c r="B1203" i="1"/>
  <c r="B1127" i="1"/>
  <c r="M1127" i="1"/>
  <c r="B1128" i="1"/>
  <c r="B1129" i="1"/>
  <c r="B1130" i="1"/>
  <c r="M1130" i="1"/>
  <c r="M874" i="1"/>
  <c r="B2530" i="1"/>
  <c r="M2530" i="1"/>
  <c r="M1210" i="1"/>
  <c r="B1212" i="1"/>
  <c r="M1212" i="1"/>
  <c r="B1213" i="1"/>
  <c r="B1214" i="1"/>
  <c r="B1215" i="1"/>
  <c r="B1216" i="1"/>
  <c r="B1217" i="1"/>
  <c r="M1217" i="1"/>
  <c r="B1218" i="1"/>
  <c r="M1218" i="1"/>
  <c r="B1219" i="1"/>
  <c r="M1219" i="1"/>
  <c r="B1220" i="1"/>
  <c r="B1221" i="1"/>
  <c r="B1222" i="1"/>
  <c r="B1223" i="1"/>
  <c r="M1223" i="1"/>
  <c r="B1224" i="1"/>
  <c r="M1224" i="1"/>
  <c r="B1225" i="1"/>
  <c r="M1225" i="1"/>
  <c r="B1226" i="1"/>
  <c r="M1226" i="1"/>
  <c r="B1227" i="1"/>
  <c r="B2531" i="1"/>
  <c r="B2532" i="1"/>
  <c r="M2532" i="1"/>
  <c r="B2533" i="1"/>
  <c r="M2533" i="1"/>
  <c r="B455" i="1"/>
  <c r="M455" i="1"/>
  <c r="B456" i="1"/>
  <c r="M456" i="1"/>
  <c r="B1302" i="1"/>
  <c r="M1302" i="1"/>
  <c r="B1303" i="1"/>
  <c r="M1303" i="1"/>
  <c r="B1281" i="1"/>
  <c r="M1281" i="1"/>
  <c r="B1282" i="1"/>
  <c r="M1282" i="1"/>
  <c r="B1283" i="1"/>
  <c r="B1284" i="1"/>
  <c r="B1239" i="1"/>
  <c r="M1239" i="1"/>
  <c r="B1240" i="1"/>
  <c r="B1241" i="1"/>
  <c r="M1241" i="1"/>
  <c r="B1242" i="1"/>
  <c r="M1242" i="1"/>
  <c r="B1243" i="1"/>
  <c r="B1244" i="1"/>
  <c r="B1245" i="1"/>
  <c r="B1246" i="1"/>
  <c r="M1246" i="1"/>
  <c r="B1247" i="1"/>
  <c r="M1247" i="1"/>
  <c r="B1248" i="1"/>
  <c r="M1248" i="1"/>
  <c r="B1249" i="1"/>
  <c r="M1249" i="1"/>
  <c r="B1250" i="1"/>
  <c r="M1250" i="1"/>
  <c r="B1251" i="1"/>
  <c r="M1251" i="1"/>
  <c r="B1252" i="1"/>
  <c r="B1253" i="1"/>
  <c r="B1254" i="1"/>
  <c r="M1254" i="1"/>
  <c r="B1255" i="1"/>
  <c r="B1256" i="1"/>
  <c r="B1257" i="1"/>
  <c r="M1257" i="1"/>
  <c r="B1258" i="1"/>
  <c r="M1258" i="1"/>
  <c r="B1259" i="1"/>
  <c r="B1260" i="1"/>
  <c r="B1285" i="1"/>
  <c r="B1286" i="1"/>
  <c r="B745" i="1"/>
  <c r="M745" i="1"/>
  <c r="B746" i="1"/>
  <c r="B747" i="1"/>
  <c r="B748" i="1"/>
  <c r="M748" i="1"/>
  <c r="B749" i="1"/>
  <c r="M749" i="1"/>
  <c r="B750" i="1"/>
  <c r="M750" i="1"/>
  <c r="B751" i="1"/>
  <c r="B1261" i="1"/>
  <c r="M1261" i="1"/>
  <c r="B1262" i="1"/>
  <c r="B1263" i="1"/>
  <c r="M1263" i="1"/>
  <c r="B1264" i="1"/>
  <c r="M1264" i="1"/>
  <c r="B1265" i="1"/>
  <c r="M1265" i="1"/>
  <c r="B1266" i="1"/>
  <c r="M1266" i="1"/>
  <c r="B1276" i="1"/>
  <c r="M1276" i="1"/>
  <c r="B1277" i="1"/>
  <c r="M1277" i="1"/>
  <c r="B1278" i="1"/>
  <c r="B1279" i="1"/>
  <c r="B1280" i="1"/>
  <c r="M1280" i="1"/>
  <c r="B1267" i="1"/>
  <c r="M1267" i="1"/>
  <c r="B1268" i="1"/>
  <c r="B1269" i="1"/>
  <c r="B1270" i="1"/>
  <c r="B1271" i="1"/>
  <c r="M1271" i="1"/>
  <c r="B1272" i="1"/>
  <c r="B1287" i="1"/>
  <c r="M1287" i="1"/>
  <c r="B1288" i="1"/>
  <c r="M1288" i="1"/>
  <c r="B1289" i="1"/>
  <c r="M1289" i="1"/>
  <c r="B1290" i="1"/>
  <c r="B1291" i="1"/>
  <c r="B1292" i="1"/>
  <c r="B1293" i="1"/>
  <c r="M1293" i="1"/>
  <c r="B1294" i="1"/>
  <c r="B1295" i="1"/>
  <c r="M1295" i="1"/>
  <c r="B1296" i="1"/>
  <c r="M1296" i="1"/>
  <c r="B1297" i="1"/>
  <c r="B1298" i="1"/>
  <c r="M1298" i="1"/>
  <c r="B1299" i="1"/>
  <c r="B1300" i="1"/>
  <c r="M1300" i="1"/>
  <c r="B1301" i="1"/>
  <c r="B1273" i="1"/>
  <c r="M1273" i="1"/>
  <c r="M1791" i="1"/>
  <c r="M1792" i="1"/>
  <c r="B2408" i="1"/>
  <c r="M2408" i="1"/>
  <c r="B2409" i="1"/>
  <c r="B2410" i="1"/>
  <c r="B1308" i="1"/>
  <c r="B2411" i="1"/>
  <c r="M2411" i="1"/>
  <c r="B2412" i="1"/>
  <c r="M2412" i="1"/>
  <c r="B2413" i="1"/>
  <c r="M2413" i="1"/>
  <c r="B2414" i="1"/>
  <c r="M2414" i="1"/>
  <c r="B2542" i="1"/>
  <c r="M2542" i="1"/>
  <c r="B2543" i="1"/>
  <c r="M2543" i="1"/>
  <c r="B2121" i="1"/>
  <c r="M2121" i="1"/>
  <c r="B2122" i="1"/>
  <c r="M2122" i="1"/>
  <c r="B2123" i="1"/>
  <c r="M2123" i="1"/>
  <c r="B2596" i="1"/>
  <c r="M2596" i="1"/>
  <c r="B2597" i="1"/>
  <c r="B2598" i="1"/>
  <c r="B2599" i="1"/>
  <c r="B2600" i="1"/>
  <c r="B2601" i="1"/>
  <c r="M2601" i="1"/>
  <c r="B2602" i="1"/>
  <c r="B1325" i="1"/>
  <c r="M1325" i="1"/>
  <c r="B1326" i="1"/>
  <c r="B1327" i="1"/>
  <c r="M1327" i="1"/>
  <c r="B1328" i="1"/>
  <c r="M1328" i="1"/>
  <c r="B1329" i="1"/>
  <c r="M1329" i="1"/>
  <c r="B1330" i="1"/>
  <c r="B1331" i="1"/>
  <c r="B1332" i="1"/>
  <c r="B2603" i="1"/>
  <c r="B2604" i="1"/>
  <c r="B1335" i="1"/>
  <c r="M1335" i="1"/>
  <c r="B1336" i="1"/>
  <c r="M1336" i="1"/>
  <c r="B1337" i="1"/>
  <c r="M1337" i="1"/>
  <c r="B1338" i="1"/>
  <c r="M1338" i="1"/>
  <c r="B1339" i="1"/>
  <c r="M1339" i="1"/>
  <c r="B1340" i="1"/>
  <c r="B1341" i="1"/>
  <c r="B1342" i="1"/>
  <c r="B1343" i="1"/>
  <c r="B1344" i="1"/>
  <c r="M1344" i="1"/>
  <c r="B1345" i="1"/>
  <c r="B1346" i="1"/>
  <c r="M1346" i="1"/>
  <c r="B1347" i="1"/>
  <c r="M1347" i="1"/>
  <c r="B1348" i="1"/>
  <c r="M1348" i="1"/>
  <c r="B1349" i="1"/>
  <c r="M1349" i="1"/>
  <c r="B1350" i="1"/>
  <c r="M1350" i="1"/>
  <c r="B1351" i="1"/>
  <c r="M1351" i="1"/>
  <c r="B1352" i="1"/>
  <c r="M1352" i="1"/>
  <c r="B1353" i="1"/>
  <c r="B1354" i="1"/>
  <c r="M1354" i="1"/>
  <c r="B1355" i="1"/>
  <c r="B1356" i="1"/>
  <c r="M1356" i="1"/>
  <c r="B1357" i="1"/>
  <c r="B1358" i="1"/>
  <c r="M1358" i="1"/>
  <c r="B1359" i="1"/>
  <c r="M1359" i="1"/>
  <c r="B1360" i="1"/>
  <c r="M1360" i="1"/>
  <c r="B1361" i="1"/>
  <c r="B1362" i="1"/>
  <c r="B1363" i="1"/>
  <c r="B1364" i="1"/>
  <c r="B1365" i="1"/>
  <c r="B1366" i="1"/>
  <c r="B1367" i="1"/>
  <c r="M1367" i="1"/>
  <c r="B1368" i="1"/>
  <c r="M1368" i="1"/>
  <c r="B1369" i="1"/>
  <c r="M1369" i="1"/>
  <c r="B1370" i="1"/>
  <c r="M1370" i="1"/>
  <c r="B1371" i="1"/>
  <c r="M1371" i="1"/>
  <c r="B1372" i="1"/>
  <c r="B1373" i="1"/>
  <c r="B2605" i="1"/>
  <c r="M2605" i="1"/>
  <c r="B2606" i="1"/>
  <c r="M2606" i="1"/>
  <c r="B1376" i="1"/>
  <c r="M1376" i="1"/>
  <c r="B1377" i="1"/>
  <c r="B1378" i="1"/>
  <c r="B2607" i="1"/>
  <c r="M2607" i="1"/>
  <c r="B2608" i="1"/>
  <c r="B2609" i="1"/>
  <c r="B2610" i="1"/>
  <c r="M2610" i="1"/>
  <c r="B2611" i="1"/>
  <c r="B2612" i="1"/>
  <c r="B2613" i="1"/>
  <c r="B2614" i="1"/>
  <c r="B1387" i="1"/>
  <c r="M1387" i="1"/>
  <c r="B1388" i="1"/>
  <c r="M1388" i="1"/>
  <c r="B1389" i="1"/>
  <c r="M1389" i="1"/>
  <c r="B1390" i="1"/>
  <c r="B1391" i="1"/>
  <c r="M1391" i="1"/>
  <c r="B1392" i="1"/>
  <c r="B1393" i="1"/>
  <c r="B1394" i="1"/>
  <c r="B1395" i="1"/>
  <c r="B1396" i="1"/>
  <c r="M1396" i="1"/>
  <c r="B1397" i="1"/>
  <c r="B2615" i="1"/>
  <c r="B2616" i="1"/>
  <c r="M2616" i="1"/>
  <c r="B1400" i="1"/>
  <c r="M1400" i="1"/>
  <c r="B1401" i="1"/>
  <c r="M1401" i="1"/>
  <c r="B2617" i="1"/>
  <c r="B2618" i="1"/>
  <c r="M2618" i="1"/>
  <c r="B1374" i="1"/>
  <c r="M1374" i="1"/>
  <c r="B1375" i="1"/>
  <c r="M1762" i="1"/>
  <c r="M1764" i="1"/>
  <c r="B597" i="1"/>
  <c r="M597" i="1"/>
  <c r="B598" i="1"/>
  <c r="M598" i="1"/>
  <c r="B599" i="1"/>
  <c r="B982" i="1"/>
  <c r="M982" i="1"/>
  <c r="B983" i="1"/>
  <c r="M983" i="1"/>
  <c r="M279" i="1"/>
  <c r="M280" i="1"/>
  <c r="M281" i="1"/>
  <c r="B129" i="1"/>
  <c r="M129" i="1"/>
  <c r="B130" i="1"/>
  <c r="M130" i="1"/>
  <c r="B131" i="1"/>
  <c r="B132" i="1"/>
  <c r="B133" i="1"/>
  <c r="M133" i="1"/>
  <c r="B2439" i="1"/>
  <c r="M2439" i="1"/>
  <c r="B494" i="1"/>
  <c r="M494" i="1"/>
  <c r="B1333" i="1"/>
  <c r="M1333" i="1"/>
  <c r="B1334" i="1"/>
  <c r="M1334" i="1"/>
  <c r="B2368" i="1"/>
  <c r="M2368" i="1"/>
  <c r="B2369" i="1"/>
  <c r="M1429" i="1"/>
  <c r="M1433" i="1"/>
  <c r="B2370" i="1"/>
  <c r="M1614" i="1"/>
  <c r="B1437" i="1"/>
  <c r="M1437" i="1"/>
  <c r="B1438" i="1"/>
  <c r="M1438" i="1"/>
  <c r="B1439" i="1"/>
  <c r="M1439" i="1"/>
  <c r="B1440" i="1"/>
  <c r="M1440" i="1"/>
  <c r="B1441" i="1"/>
  <c r="M1441" i="1"/>
  <c r="M1442" i="1"/>
  <c r="M1443" i="1"/>
  <c r="M1616" i="1"/>
  <c r="B2032" i="1"/>
  <c r="M2032" i="1"/>
  <c r="M1402" i="1"/>
  <c r="M1403" i="1"/>
  <c r="B1452" i="1"/>
  <c r="M1452" i="1"/>
  <c r="B1453" i="1"/>
  <c r="B1454" i="1"/>
  <c r="B1455" i="1"/>
  <c r="M1455" i="1"/>
  <c r="B1456" i="1"/>
  <c r="B1457" i="1"/>
  <c r="B1458" i="1"/>
  <c r="B1459" i="1"/>
  <c r="M1459" i="1"/>
  <c r="M1409" i="1"/>
  <c r="M1410" i="1"/>
  <c r="M1411" i="1"/>
  <c r="M1412" i="1"/>
  <c r="B1465" i="1"/>
  <c r="M1465" i="1"/>
  <c r="B1466" i="1"/>
  <c r="B1467" i="1"/>
  <c r="M1467" i="1"/>
  <c r="B1468" i="1"/>
  <c r="M1468" i="1"/>
  <c r="B1469" i="1"/>
  <c r="B1470" i="1"/>
  <c r="B1471" i="1"/>
  <c r="B1274" i="1"/>
  <c r="M1274" i="1"/>
  <c r="B1275" i="1"/>
  <c r="B788" i="1"/>
  <c r="M788" i="1"/>
  <c r="B789" i="1"/>
  <c r="M789" i="1"/>
  <c r="B790" i="1"/>
  <c r="B791" i="1"/>
  <c r="M791" i="1"/>
  <c r="M1561" i="1"/>
  <c r="B2471" i="1"/>
  <c r="M2471" i="1"/>
  <c r="B2472" i="1"/>
  <c r="M2472" i="1"/>
  <c r="B2473" i="1"/>
  <c r="B2474" i="1"/>
  <c r="B1486" i="1"/>
  <c r="M1486" i="1"/>
  <c r="B1487" i="1"/>
  <c r="B1488" i="1"/>
  <c r="B1489" i="1"/>
  <c r="M1489" i="1"/>
  <c r="B1490" i="1"/>
  <c r="M1490" i="1"/>
  <c r="B1491" i="1"/>
  <c r="B1492" i="1"/>
  <c r="B1493" i="1"/>
  <c r="M1493" i="1"/>
  <c r="B1494" i="1"/>
  <c r="M1494" i="1"/>
  <c r="B1495" i="1"/>
  <c r="B1496" i="1"/>
  <c r="M1496" i="1"/>
  <c r="B1497" i="1"/>
  <c r="B1498" i="1"/>
  <c r="B1499" i="1"/>
  <c r="M1499" i="1"/>
  <c r="B1500" i="1"/>
  <c r="B1501" i="1"/>
  <c r="M1501" i="1"/>
  <c r="B1502" i="1"/>
  <c r="M1502" i="1"/>
  <c r="B1503" i="1"/>
  <c r="M1503" i="1"/>
  <c r="B1504" i="1"/>
  <c r="B1505" i="1"/>
  <c r="B1506" i="1"/>
  <c r="B1507" i="1"/>
  <c r="B1508" i="1"/>
  <c r="B1509" i="1"/>
  <c r="B1510" i="1"/>
  <c r="M1510" i="1"/>
  <c r="B1511" i="1"/>
  <c r="B1512" i="1"/>
  <c r="B1513" i="1"/>
  <c r="B1514" i="1"/>
  <c r="B1515" i="1"/>
  <c r="B1516" i="1"/>
  <c r="M1516" i="1"/>
  <c r="B1517" i="1"/>
  <c r="B1518" i="1"/>
  <c r="B1519" i="1"/>
  <c r="B1520" i="1"/>
  <c r="B1521" i="1"/>
  <c r="M1521" i="1"/>
  <c r="B1522" i="1"/>
  <c r="M1522" i="1"/>
  <c r="B1523" i="1"/>
  <c r="M1523" i="1"/>
  <c r="B1524" i="1"/>
  <c r="M1524" i="1"/>
  <c r="B1525" i="1"/>
  <c r="M1525" i="1"/>
  <c r="B1526" i="1"/>
  <c r="M1526" i="1"/>
  <c r="B1527" i="1"/>
  <c r="M1527" i="1"/>
  <c r="B1528" i="1"/>
  <c r="B1529" i="1"/>
  <c r="B1530" i="1"/>
  <c r="B1531" i="1"/>
  <c r="B1532" i="1"/>
  <c r="M1532" i="1"/>
  <c r="B1533" i="1"/>
  <c r="M1534" i="1"/>
  <c r="M1535" i="1"/>
  <c r="M1536" i="1"/>
  <c r="M1538" i="1"/>
  <c r="B2475" i="1"/>
  <c r="M2475" i="1"/>
  <c r="B2476" i="1"/>
  <c r="B777" i="1"/>
  <c r="M777" i="1"/>
  <c r="B778" i="1"/>
  <c r="M1543" i="1"/>
  <c r="M1548" i="1"/>
  <c r="M1550" i="1"/>
  <c r="M1551" i="1"/>
  <c r="M1556" i="1"/>
  <c r="M1558" i="1"/>
  <c r="M1559" i="1"/>
  <c r="M1560" i="1"/>
  <c r="B779" i="1"/>
  <c r="M779" i="1"/>
  <c r="B780" i="1"/>
  <c r="M1563" i="1"/>
  <c r="M1565" i="1"/>
  <c r="M1566" i="1"/>
  <c r="M1567" i="1"/>
  <c r="B781" i="1"/>
  <c r="M1569" i="1"/>
  <c r="M1571" i="1"/>
  <c r="M1576" i="1"/>
  <c r="M1577" i="1"/>
  <c r="M1581" i="1"/>
  <c r="M1582" i="1"/>
  <c r="M1583" i="1"/>
  <c r="M1584" i="1"/>
  <c r="B782" i="1"/>
  <c r="B813" i="1"/>
  <c r="M813" i="1"/>
  <c r="B814" i="1"/>
  <c r="M1648" i="1"/>
  <c r="M1590" i="1"/>
  <c r="M1591" i="1"/>
  <c r="M1593" i="1"/>
  <c r="M1595" i="1"/>
  <c r="M1596" i="1"/>
  <c r="M1597" i="1"/>
  <c r="M1598" i="1"/>
  <c r="M1599" i="1"/>
  <c r="M1601" i="1"/>
  <c r="M1603" i="1"/>
  <c r="M1605" i="1"/>
  <c r="M1607" i="1"/>
  <c r="M1608" i="1"/>
  <c r="M1609" i="1"/>
  <c r="M1613" i="1"/>
  <c r="M1650" i="1"/>
  <c r="M1651" i="1"/>
  <c r="M1617" i="1"/>
  <c r="M1619" i="1"/>
  <c r="B1379" i="1"/>
  <c r="M1379" i="1"/>
  <c r="B1380" i="1"/>
  <c r="B1381" i="1"/>
  <c r="M1381" i="1"/>
  <c r="B1382" i="1"/>
  <c r="M1382" i="1"/>
  <c r="B1383" i="1"/>
  <c r="B1384" i="1"/>
  <c r="B1385" i="1"/>
  <c r="M1631" i="1"/>
  <c r="M1636" i="1"/>
  <c r="M1637" i="1"/>
  <c r="M1638" i="1"/>
  <c r="B1386" i="1"/>
  <c r="B408" i="1"/>
  <c r="M408" i="1"/>
  <c r="B409" i="1"/>
  <c r="B721" i="1"/>
  <c r="M721" i="1"/>
  <c r="B722" i="1"/>
  <c r="B723" i="1"/>
  <c r="M723" i="1"/>
  <c r="M1645" i="1"/>
  <c r="B2805" i="1"/>
  <c r="M2805" i="1"/>
  <c r="B2806" i="1"/>
  <c r="B2807" i="1"/>
  <c r="B2808" i="1"/>
  <c r="M2808" i="1"/>
  <c r="B2809" i="1"/>
  <c r="M2809" i="1"/>
  <c r="B2810" i="1"/>
  <c r="B2811" i="1"/>
  <c r="M1653" i="1"/>
  <c r="M1654" i="1"/>
  <c r="M1655" i="1"/>
  <c r="M1657" i="1"/>
  <c r="M1658" i="1"/>
  <c r="M1659" i="1"/>
  <c r="M1661" i="1"/>
  <c r="M1662" i="1"/>
  <c r="M1663" i="1"/>
  <c r="M1664" i="1"/>
  <c r="B2203" i="1"/>
  <c r="M2203" i="1"/>
  <c r="B2204" i="1"/>
  <c r="M2204" i="1"/>
  <c r="M1539" i="1"/>
  <c r="M1540" i="1"/>
  <c r="B2666" i="1"/>
  <c r="M2666" i="1"/>
  <c r="B2667" i="1"/>
  <c r="M2667" i="1"/>
  <c r="M1673" i="1"/>
  <c r="M1675" i="1"/>
  <c r="M1676" i="1"/>
  <c r="M1677" i="1"/>
  <c r="M1678" i="1"/>
  <c r="M1679" i="1"/>
  <c r="B2668" i="1"/>
  <c r="M2668" i="1"/>
  <c r="B2669" i="1"/>
  <c r="M2669" i="1"/>
  <c r="B2670" i="1"/>
  <c r="B2629" i="1"/>
  <c r="M2629" i="1"/>
  <c r="B2630" i="1"/>
  <c r="M2630" i="1"/>
  <c r="M1689" i="1"/>
  <c r="M1690" i="1"/>
  <c r="M1691" i="1"/>
  <c r="M1695" i="1"/>
  <c r="M1696" i="1"/>
  <c r="M1698" i="1"/>
  <c r="M1699" i="1"/>
  <c r="M1701" i="1"/>
  <c r="M1703" i="1"/>
  <c r="M1704" i="1"/>
  <c r="M1705" i="1"/>
  <c r="M1709" i="1"/>
  <c r="M1710" i="1"/>
  <c r="M1711" i="1"/>
  <c r="M1712" i="1"/>
  <c r="M1715" i="1"/>
  <c r="M1716" i="1"/>
  <c r="M1717" i="1"/>
  <c r="M1718" i="1"/>
  <c r="M1719" i="1"/>
  <c r="M1722" i="1"/>
  <c r="M1725" i="1"/>
  <c r="M1729" i="1"/>
  <c r="M1732" i="1"/>
  <c r="M1733" i="1"/>
  <c r="M1735" i="1"/>
  <c r="M1736" i="1"/>
  <c r="M1737" i="1"/>
  <c r="M1738" i="1"/>
  <c r="M1741" i="1"/>
  <c r="M1742" i="1"/>
  <c r="M1747" i="1"/>
  <c r="M1748" i="1"/>
  <c r="M1749" i="1"/>
  <c r="M1750" i="1"/>
  <c r="M1751" i="1"/>
  <c r="M1752" i="1"/>
  <c r="M1753" i="1"/>
  <c r="M1754" i="1"/>
  <c r="M1755" i="1"/>
  <c r="M1757" i="1"/>
  <c r="M1759" i="1"/>
  <c r="M1760" i="1"/>
  <c r="B2631" i="1"/>
  <c r="M2631" i="1"/>
  <c r="B443" i="1"/>
  <c r="M443" i="1"/>
  <c r="B1228" i="1"/>
  <c r="M1228" i="1"/>
  <c r="B1229" i="1"/>
  <c r="M1766" i="1"/>
  <c r="M1767" i="1"/>
  <c r="M1769" i="1"/>
  <c r="M1770" i="1"/>
  <c r="M1771" i="1"/>
  <c r="M1772" i="1"/>
  <c r="M1774" i="1"/>
  <c r="M1775" i="1"/>
  <c r="M1776" i="1"/>
  <c r="M1779" i="1"/>
  <c r="M1784" i="1"/>
  <c r="M1785" i="1"/>
  <c r="M1786" i="1"/>
  <c r="M1787" i="1"/>
  <c r="M1788" i="1"/>
  <c r="M1789" i="1"/>
  <c r="M1790" i="1"/>
  <c r="B1230" i="1"/>
  <c r="B1231" i="1"/>
  <c r="B1232" i="1"/>
  <c r="B1233" i="1"/>
  <c r="M1233" i="1"/>
  <c r="M1684" i="1"/>
  <c r="M1685" i="1"/>
  <c r="M1797" i="1"/>
  <c r="M1798" i="1"/>
  <c r="M1799" i="1"/>
  <c r="M1801" i="1"/>
  <c r="M1802" i="1"/>
  <c r="M1803" i="1"/>
  <c r="M1804" i="1"/>
  <c r="M1805" i="1"/>
  <c r="M1806" i="1"/>
  <c r="M1807" i="1"/>
  <c r="M1811" i="1"/>
  <c r="M1812" i="1"/>
  <c r="M1813" i="1"/>
  <c r="M1815" i="1"/>
  <c r="M1819" i="1"/>
  <c r="M1821" i="1"/>
  <c r="M1822" i="1"/>
  <c r="M1826" i="1"/>
  <c r="M1828" i="1"/>
  <c r="M1832" i="1"/>
  <c r="M1833" i="1"/>
  <c r="M1834" i="1"/>
  <c r="M1836" i="1"/>
  <c r="M1840" i="1"/>
  <c r="M1841" i="1"/>
  <c r="M1844" i="1"/>
  <c r="M1846" i="1"/>
  <c r="M1847" i="1"/>
  <c r="M1848" i="1"/>
  <c r="M1849" i="1"/>
  <c r="M1855" i="1"/>
  <c r="M1857" i="1"/>
  <c r="M1858" i="1"/>
  <c r="M1859" i="1"/>
  <c r="M1861" i="1"/>
  <c r="M1862" i="1"/>
  <c r="M1863" i="1"/>
  <c r="M1864" i="1"/>
  <c r="M1866" i="1"/>
  <c r="M1868" i="1"/>
  <c r="M1871" i="1"/>
  <c r="M1873" i="1"/>
  <c r="M1876" i="1"/>
  <c r="M1877" i="1"/>
  <c r="M1878" i="1"/>
  <c r="M1880" i="1"/>
  <c r="M1881" i="1"/>
  <c r="M1882" i="1"/>
  <c r="M1883" i="1"/>
  <c r="M1884" i="1"/>
  <c r="M1887" i="1"/>
  <c r="B1415" i="1"/>
  <c r="M1415" i="1"/>
  <c r="M1889" i="1"/>
  <c r="M1890" i="1"/>
  <c r="M1891" i="1"/>
  <c r="M1892" i="1"/>
  <c r="B1893" i="1"/>
  <c r="M1893" i="1"/>
  <c r="B1894" i="1"/>
  <c r="M1894" i="1"/>
  <c r="B1416" i="1"/>
  <c r="B1417" i="1"/>
  <c r="M1417" i="1"/>
  <c r="B1418" i="1"/>
  <c r="B1419" i="1"/>
  <c r="M1899" i="1"/>
  <c r="M1901" i="1"/>
  <c r="M1902" i="1"/>
  <c r="M1903" i="1"/>
  <c r="M1908" i="1"/>
  <c r="M1910" i="1"/>
  <c r="M1911" i="1"/>
  <c r="M1913" i="1"/>
  <c r="M1914" i="1"/>
  <c r="M1915" i="1"/>
  <c r="M1916" i="1"/>
  <c r="M1917" i="1"/>
  <c r="M1919" i="1"/>
  <c r="M1920" i="1"/>
  <c r="M1921" i="1"/>
  <c r="M1925" i="1"/>
  <c r="M1926" i="1"/>
  <c r="M1927" i="1"/>
  <c r="M1929" i="1"/>
  <c r="M1932" i="1"/>
  <c r="M1935" i="1"/>
  <c r="M1938" i="1"/>
  <c r="M1939" i="1"/>
  <c r="M1940" i="1"/>
  <c r="M1941" i="1"/>
  <c r="M1942" i="1"/>
  <c r="M1944" i="1"/>
  <c r="M1946" i="1"/>
  <c r="M1947" i="1"/>
  <c r="M1948" i="1"/>
  <c r="M1953" i="1"/>
  <c r="M1954" i="1"/>
  <c r="M1955" i="1"/>
  <c r="M1956" i="1"/>
  <c r="M1958" i="1"/>
  <c r="M1960" i="1"/>
  <c r="M1963" i="1"/>
  <c r="M1965" i="1"/>
  <c r="M1966" i="1"/>
  <c r="M1967" i="1"/>
  <c r="M1970" i="1"/>
  <c r="M1971" i="1"/>
  <c r="M1972" i="1"/>
  <c r="M1973" i="1"/>
  <c r="M1975" i="1"/>
  <c r="M1976" i="1"/>
  <c r="M1980" i="1"/>
  <c r="M1981" i="1"/>
  <c r="M1982" i="1"/>
  <c r="M1983" i="1"/>
  <c r="B1986" i="1"/>
  <c r="M1986" i="1"/>
  <c r="B1987" i="1"/>
  <c r="M1987" i="1"/>
  <c r="B1988" i="1"/>
  <c r="B1989" i="1"/>
  <c r="M1989" i="1"/>
  <c r="B1990" i="1"/>
  <c r="B1991" i="1"/>
  <c r="B1992" i="1"/>
  <c r="B1993" i="1"/>
  <c r="B1994" i="1"/>
  <c r="M1994" i="1"/>
  <c r="B1995" i="1"/>
  <c r="M1995" i="1"/>
  <c r="B1996" i="1"/>
  <c r="M1997" i="1"/>
  <c r="M1998" i="1"/>
  <c r="M2000" i="1"/>
  <c r="B2001" i="1"/>
  <c r="M2001" i="1"/>
  <c r="B2002" i="1"/>
  <c r="M2002" i="1"/>
  <c r="B2003" i="1"/>
  <c r="M2003" i="1"/>
  <c r="B2004" i="1"/>
  <c r="M2004" i="1"/>
  <c r="B2005" i="1"/>
  <c r="B2006" i="1"/>
  <c r="B2007" i="1"/>
  <c r="B2008" i="1"/>
  <c r="B2009" i="1"/>
  <c r="M2009" i="1"/>
  <c r="B1420" i="1"/>
  <c r="M1420" i="1"/>
  <c r="B2011" i="1"/>
  <c r="M2011" i="1"/>
  <c r="B2012" i="1"/>
  <c r="M2012" i="1"/>
  <c r="B2013" i="1"/>
  <c r="M2013" i="1"/>
  <c r="B2014" i="1"/>
  <c r="M2014" i="1"/>
  <c r="B2015" i="1"/>
  <c r="M2015" i="1"/>
  <c r="B2016" i="1"/>
  <c r="M2016" i="1"/>
  <c r="B2017" i="1"/>
  <c r="M2017" i="1"/>
  <c r="B2018" i="1"/>
  <c r="M2019" i="1"/>
  <c r="B2020" i="1"/>
  <c r="M2020" i="1"/>
  <c r="B2021" i="1"/>
  <c r="M2021" i="1"/>
  <c r="B2022" i="1"/>
  <c r="B2023" i="1"/>
  <c r="B2024" i="1"/>
  <c r="B2025" i="1"/>
  <c r="M2025" i="1"/>
  <c r="B2026" i="1"/>
  <c r="M2026" i="1"/>
  <c r="B2027" i="1"/>
  <c r="M2027" i="1"/>
  <c r="B2028" i="1"/>
  <c r="B2029" i="1"/>
  <c r="B2030" i="1"/>
  <c r="M2030" i="1"/>
  <c r="B2031" i="1"/>
  <c r="B1421" i="1"/>
  <c r="M1421" i="1"/>
  <c r="B2033" i="1"/>
  <c r="M2033" i="1"/>
  <c r="B2034" i="1"/>
  <c r="M2034" i="1"/>
  <c r="B2035" i="1"/>
  <c r="B2036" i="1"/>
  <c r="M2036" i="1"/>
  <c r="B2037" i="1"/>
  <c r="M2037" i="1"/>
  <c r="B2038" i="1"/>
  <c r="M2038" i="1"/>
  <c r="B2039" i="1"/>
  <c r="M2039" i="1"/>
  <c r="B2040" i="1"/>
  <c r="M2040" i="1"/>
  <c r="B2041" i="1"/>
  <c r="B2042" i="1"/>
  <c r="M2042" i="1"/>
  <c r="B2043" i="1"/>
  <c r="M2043" i="1"/>
  <c r="B2044" i="1"/>
  <c r="M2044" i="1"/>
  <c r="B2045" i="1"/>
  <c r="M2045" i="1"/>
  <c r="B2046" i="1"/>
  <c r="M2046" i="1"/>
  <c r="B2047" i="1"/>
  <c r="M2047" i="1"/>
  <c r="B2048" i="1"/>
  <c r="B2049" i="1"/>
  <c r="M2049" i="1"/>
  <c r="B2050" i="1"/>
  <c r="M2050" i="1"/>
  <c r="B2051" i="1"/>
  <c r="M2051" i="1"/>
  <c r="B2052" i="1"/>
  <c r="M2052" i="1"/>
  <c r="B2053" i="1"/>
  <c r="M2053" i="1"/>
  <c r="B2054" i="1"/>
  <c r="B2055" i="1"/>
  <c r="B1422" i="1"/>
  <c r="B1423" i="1"/>
  <c r="B736" i="1"/>
  <c r="M736" i="1"/>
  <c r="B737" i="1"/>
  <c r="M737" i="1"/>
  <c r="B2060" i="1"/>
  <c r="M2060" i="1"/>
  <c r="B2061" i="1"/>
  <c r="M2061" i="1"/>
  <c r="B2062" i="1"/>
  <c r="B2063" i="1"/>
  <c r="B2064" i="1"/>
  <c r="B2065" i="1"/>
  <c r="M2066" i="1"/>
  <c r="M2067" i="1"/>
  <c r="M2068" i="1"/>
  <c r="B2069" i="1"/>
  <c r="M2069" i="1"/>
  <c r="B2070" i="1"/>
  <c r="M2070" i="1"/>
  <c r="B2071" i="1"/>
  <c r="B2072" i="1"/>
  <c r="B2073" i="1"/>
  <c r="M2073" i="1"/>
  <c r="B2074" i="1"/>
  <c r="M2074" i="1"/>
  <c r="B2075" i="1"/>
  <c r="M2075" i="1"/>
  <c r="B2076" i="1"/>
  <c r="M2076" i="1"/>
  <c r="B2077" i="1"/>
  <c r="M2077" i="1"/>
  <c r="B2078" i="1"/>
  <c r="M2078" i="1"/>
  <c r="B738" i="1"/>
  <c r="B1185" i="1"/>
  <c r="M1185" i="1"/>
  <c r="B1186" i="1"/>
  <c r="M1186" i="1"/>
  <c r="B1187" i="1"/>
  <c r="B1188" i="1"/>
  <c r="B2427" i="1"/>
  <c r="M2427" i="1"/>
  <c r="B2085" i="1"/>
  <c r="M2085" i="1"/>
  <c r="B2086" i="1"/>
  <c r="M2086" i="1"/>
  <c r="B2087" i="1"/>
  <c r="M2087" i="1"/>
  <c r="M2088" i="1"/>
  <c r="M2089" i="1"/>
  <c r="M2091" i="1"/>
  <c r="M2092" i="1"/>
  <c r="M2094" i="1"/>
  <c r="M2095" i="1"/>
  <c r="M2096" i="1"/>
  <c r="B2097" i="1"/>
  <c r="M2097" i="1"/>
  <c r="B2098" i="1"/>
  <c r="B2099" i="1"/>
  <c r="B1234" i="1"/>
  <c r="M1234" i="1"/>
  <c r="B2101" i="1"/>
  <c r="M2101" i="1"/>
  <c r="B2102" i="1"/>
  <c r="M2102" i="1"/>
  <c r="B2103" i="1"/>
  <c r="M2103" i="1"/>
  <c r="M2104" i="1"/>
  <c r="B2105" i="1"/>
  <c r="M2105" i="1"/>
  <c r="B2106" i="1"/>
  <c r="B2107" i="1"/>
  <c r="B2108" i="1"/>
  <c r="M2108" i="1"/>
  <c r="B2109" i="1"/>
  <c r="B2110" i="1"/>
  <c r="M2110" i="1"/>
  <c r="B2111" i="1"/>
  <c r="M2111" i="1"/>
  <c r="B2112" i="1"/>
  <c r="B2113" i="1"/>
  <c r="M2113" i="1"/>
  <c r="B2114" i="1"/>
  <c r="M2114" i="1"/>
  <c r="B2115" i="1"/>
  <c r="B2116" i="1"/>
  <c r="M2116" i="1"/>
  <c r="B2117" i="1"/>
  <c r="M2117" i="1"/>
  <c r="B2118" i="1"/>
  <c r="M2118" i="1"/>
  <c r="B2119" i="1"/>
  <c r="M2119" i="1"/>
  <c r="B2120" i="1"/>
  <c r="M2120" i="1"/>
  <c r="B1235" i="1"/>
  <c r="B1236" i="1"/>
  <c r="M1236" i="1"/>
  <c r="B1237" i="1"/>
  <c r="B2124" i="1"/>
  <c r="M2124" i="1"/>
  <c r="B2125" i="1"/>
  <c r="B2126" i="1"/>
  <c r="M2126" i="1"/>
  <c r="B2127" i="1"/>
  <c r="B2128" i="1"/>
  <c r="M2128" i="1"/>
  <c r="B2129" i="1"/>
  <c r="M2129" i="1"/>
  <c r="B2130" i="1"/>
  <c r="M2130" i="1"/>
  <c r="B2131" i="1"/>
  <c r="B2132" i="1"/>
  <c r="M2132" i="1"/>
  <c r="B2133" i="1"/>
  <c r="M2133" i="1"/>
  <c r="B2134" i="1"/>
  <c r="B2135" i="1"/>
  <c r="M2135" i="1"/>
  <c r="B2136" i="1"/>
  <c r="M2136" i="1"/>
  <c r="B2137" i="1"/>
  <c r="M2137" i="1"/>
  <c r="B2138" i="1"/>
  <c r="M2138" i="1"/>
  <c r="B2139" i="1"/>
  <c r="M2139" i="1"/>
  <c r="B2140" i="1"/>
  <c r="M2140" i="1"/>
  <c r="B2141" i="1"/>
  <c r="M2141" i="1"/>
  <c r="B2142" i="1"/>
  <c r="M2142" i="1"/>
  <c r="B2143" i="1"/>
  <c r="M2143" i="1"/>
  <c r="B2144" i="1"/>
  <c r="M2144" i="1"/>
  <c r="B2145" i="1"/>
  <c r="M2145" i="1"/>
  <c r="B2146" i="1"/>
  <c r="M2146" i="1"/>
  <c r="B2147" i="1"/>
  <c r="M2147" i="1"/>
  <c r="B2148" i="1"/>
  <c r="M2148" i="1"/>
  <c r="B2149" i="1"/>
  <c r="B2150" i="1"/>
  <c r="B2151" i="1"/>
  <c r="B2152" i="1"/>
  <c r="M2152" i="1"/>
  <c r="B2153" i="1"/>
  <c r="M2153" i="1"/>
  <c r="B2154" i="1"/>
  <c r="M2154" i="1"/>
  <c r="B2155" i="1"/>
  <c r="M2155" i="1"/>
  <c r="B2156" i="1"/>
  <c r="M2156" i="1"/>
  <c r="B2157" i="1"/>
  <c r="M2157" i="1"/>
  <c r="B2158" i="1"/>
  <c r="M2158" i="1"/>
  <c r="B2159" i="1"/>
  <c r="M2159" i="1"/>
  <c r="B2160" i="1"/>
  <c r="M2160" i="1"/>
  <c r="B2161" i="1"/>
  <c r="B2162" i="1"/>
  <c r="M2162" i="1"/>
  <c r="B2163" i="1"/>
  <c r="M2163" i="1"/>
  <c r="B2164" i="1"/>
  <c r="M2164" i="1"/>
  <c r="B2165" i="1"/>
  <c r="M2165" i="1"/>
  <c r="B2166" i="1"/>
  <c r="B2167" i="1"/>
  <c r="M2167" i="1"/>
  <c r="B2168" i="1"/>
  <c r="B2169" i="1"/>
  <c r="M2169" i="1"/>
  <c r="B2170" i="1"/>
  <c r="M2170" i="1"/>
  <c r="B2171" i="1"/>
  <c r="M2171" i="1"/>
  <c r="B2172" i="1"/>
  <c r="M2172" i="1"/>
  <c r="B2173" i="1"/>
  <c r="B2174" i="1"/>
  <c r="M2174" i="1"/>
  <c r="B2175" i="1"/>
  <c r="B2176" i="1"/>
  <c r="B2177" i="1"/>
  <c r="B2178" i="1"/>
  <c r="M2178" i="1"/>
  <c r="B2179" i="1"/>
  <c r="B2180" i="1"/>
  <c r="B2181" i="1"/>
  <c r="M2181" i="1"/>
  <c r="B2182" i="1"/>
  <c r="B2183" i="1"/>
  <c r="B2184" i="1"/>
  <c r="B2185" i="1"/>
  <c r="M2185" i="1"/>
  <c r="B2186" i="1"/>
  <c r="B2187" i="1"/>
  <c r="B2188" i="1"/>
  <c r="M2188" i="1"/>
  <c r="B2189" i="1"/>
  <c r="B2190" i="1"/>
  <c r="M2190" i="1"/>
  <c r="B2191" i="1"/>
  <c r="M2191" i="1"/>
  <c r="B2192" i="1"/>
  <c r="B2193" i="1"/>
  <c r="B2194" i="1"/>
  <c r="B2195" i="1"/>
  <c r="M2195" i="1"/>
  <c r="B2196" i="1"/>
  <c r="M2196" i="1"/>
  <c r="B2197" i="1"/>
  <c r="B2198" i="1"/>
  <c r="M2198" i="1"/>
  <c r="B2199" i="1"/>
  <c r="B2200" i="1"/>
  <c r="M2200" i="1"/>
  <c r="B2201" i="1"/>
  <c r="B2202" i="1"/>
  <c r="M2202" i="1"/>
  <c r="B1238" i="1"/>
  <c r="B661" i="1"/>
  <c r="M661" i="1"/>
  <c r="B2205" i="1"/>
  <c r="M2205" i="1"/>
  <c r="B2206" i="1"/>
  <c r="B2207" i="1"/>
  <c r="M2207" i="1"/>
  <c r="B2208" i="1"/>
  <c r="B2209" i="1"/>
  <c r="B2210" i="1"/>
  <c r="B2211" i="1"/>
  <c r="B2212" i="1"/>
  <c r="M2212" i="1"/>
  <c r="B2213" i="1"/>
  <c r="B2214" i="1"/>
  <c r="M2214" i="1"/>
  <c r="B2215" i="1"/>
  <c r="M2215" i="1"/>
  <c r="B2216" i="1"/>
  <c r="M2216" i="1"/>
  <c r="M2217" i="1"/>
  <c r="M2218" i="1"/>
  <c r="M2219" i="1"/>
  <c r="B2220" i="1"/>
  <c r="M2220" i="1"/>
  <c r="B2221" i="1"/>
  <c r="M2221" i="1"/>
  <c r="B2222" i="1"/>
  <c r="M2222" i="1"/>
  <c r="B2223" i="1"/>
  <c r="B2224" i="1"/>
  <c r="B2225" i="1"/>
  <c r="B2226" i="1"/>
  <c r="B2227" i="1"/>
  <c r="B2228" i="1"/>
  <c r="M2228" i="1"/>
  <c r="B2229" i="1"/>
  <c r="B2230" i="1"/>
  <c r="B2231" i="1"/>
  <c r="M2231" i="1"/>
  <c r="B2232" i="1"/>
  <c r="M2232" i="1"/>
  <c r="B2233" i="1"/>
  <c r="M2233" i="1"/>
  <c r="B2234" i="1"/>
  <c r="B2235" i="1"/>
  <c r="B2236" i="1"/>
  <c r="M2236" i="1"/>
  <c r="B2237" i="1"/>
  <c r="M2237" i="1"/>
  <c r="B2238" i="1"/>
  <c r="M2238" i="1"/>
  <c r="B2239" i="1"/>
  <c r="M2239" i="1"/>
  <c r="B2240" i="1"/>
  <c r="M2240" i="1"/>
  <c r="B2241" i="1"/>
  <c r="M2241" i="1"/>
  <c r="B2242" i="1"/>
  <c r="M2242" i="1"/>
  <c r="B2243" i="1"/>
  <c r="M2243" i="1"/>
  <c r="B2244" i="1"/>
  <c r="B2245" i="1"/>
  <c r="M2245" i="1"/>
  <c r="B2246" i="1"/>
  <c r="B2247" i="1"/>
  <c r="B2248" i="1"/>
  <c r="M2248" i="1"/>
  <c r="B2249" i="1"/>
  <c r="M2249" i="1"/>
  <c r="B2250" i="1"/>
  <c r="M2250" i="1"/>
  <c r="B2251" i="1"/>
  <c r="B2252" i="1"/>
  <c r="B2253" i="1"/>
  <c r="B2254" i="1"/>
  <c r="M2254" i="1"/>
  <c r="B2255" i="1"/>
  <c r="M2255" i="1"/>
  <c r="B2256" i="1"/>
  <c r="B2257" i="1"/>
  <c r="M2257" i="1"/>
  <c r="B2258" i="1"/>
  <c r="B2259" i="1"/>
  <c r="M2259" i="1"/>
  <c r="B2260" i="1"/>
  <c r="B2261" i="1"/>
  <c r="M2261" i="1"/>
  <c r="B2262" i="1"/>
  <c r="M2262" i="1"/>
  <c r="B2263" i="1"/>
  <c r="M2263" i="1"/>
  <c r="B2264" i="1"/>
  <c r="B2265" i="1"/>
  <c r="B2266" i="1"/>
  <c r="M2266" i="1"/>
  <c r="B2267" i="1"/>
  <c r="M2267" i="1"/>
  <c r="B2268" i="1"/>
  <c r="B2269" i="1"/>
  <c r="B2270" i="1"/>
  <c r="M2270" i="1"/>
  <c r="B2271" i="1"/>
  <c r="M2271" i="1"/>
  <c r="B2272" i="1"/>
  <c r="M2272" i="1"/>
  <c r="B2273" i="1"/>
  <c r="M2273" i="1"/>
  <c r="B2274" i="1"/>
  <c r="M2274" i="1"/>
  <c r="B2275" i="1"/>
  <c r="B2276" i="1"/>
  <c r="M2276" i="1"/>
  <c r="B2277" i="1"/>
  <c r="M2277" i="1"/>
  <c r="B2278" i="1"/>
  <c r="B2279" i="1"/>
  <c r="M2279" i="1"/>
  <c r="B2280" i="1"/>
  <c r="M2280" i="1"/>
  <c r="B2281" i="1"/>
  <c r="M2281" i="1"/>
  <c r="B2282" i="1"/>
  <c r="M2282" i="1"/>
  <c r="B2283" i="1"/>
  <c r="M2283" i="1"/>
  <c r="B2284" i="1"/>
  <c r="M2284" i="1"/>
  <c r="B2285" i="1"/>
  <c r="M2285" i="1"/>
  <c r="B2286" i="1"/>
  <c r="M2286" i="1"/>
  <c r="B2287" i="1"/>
  <c r="M2287" i="1"/>
  <c r="B2288" i="1"/>
  <c r="M2288" i="1"/>
  <c r="B2289" i="1"/>
  <c r="M2289" i="1"/>
  <c r="B2290" i="1"/>
  <c r="B2291" i="1"/>
  <c r="B2292" i="1"/>
  <c r="M2292" i="1"/>
  <c r="B2293" i="1"/>
  <c r="B2294" i="1"/>
  <c r="M2294" i="1"/>
  <c r="B2295" i="1"/>
  <c r="M2295" i="1"/>
  <c r="B2296" i="1"/>
  <c r="M2296" i="1"/>
  <c r="B2297" i="1"/>
  <c r="M2297" i="1"/>
  <c r="B2298" i="1"/>
  <c r="B2299" i="1"/>
  <c r="B2300" i="1"/>
  <c r="M2300" i="1"/>
  <c r="B2301" i="1"/>
  <c r="B2302" i="1"/>
  <c r="M2302" i="1"/>
  <c r="B2303" i="1"/>
  <c r="B2304" i="1"/>
  <c r="B2305" i="1"/>
  <c r="M2305" i="1"/>
  <c r="B2306" i="1"/>
  <c r="B2307" i="1"/>
  <c r="B2308" i="1"/>
  <c r="B2309" i="1"/>
  <c r="B2310" i="1"/>
  <c r="M2310" i="1"/>
  <c r="B2311" i="1"/>
  <c r="M2311" i="1"/>
  <c r="B2312" i="1"/>
  <c r="M2312" i="1"/>
  <c r="B2313" i="1"/>
  <c r="B2314" i="1"/>
  <c r="B2315" i="1"/>
  <c r="B2316" i="1"/>
  <c r="B2317" i="1"/>
  <c r="M2317" i="1"/>
  <c r="B2318" i="1"/>
  <c r="M2318" i="1"/>
  <c r="B2319" i="1"/>
  <c r="M2319" i="1"/>
  <c r="B2320" i="1"/>
  <c r="M2320" i="1"/>
  <c r="B2321" i="1"/>
  <c r="M2321" i="1"/>
  <c r="B2322" i="1"/>
  <c r="M2323" i="1"/>
  <c r="M2324" i="1"/>
  <c r="M2325" i="1"/>
  <c r="M2328" i="1"/>
  <c r="B2329" i="1"/>
  <c r="M2329" i="1"/>
  <c r="B2330" i="1"/>
  <c r="M2330" i="1"/>
  <c r="B2331" i="1"/>
  <c r="M2331" i="1"/>
  <c r="B2332" i="1"/>
  <c r="M2332" i="1"/>
  <c r="B2333" i="1"/>
  <c r="M2333" i="1"/>
  <c r="B2334" i="1"/>
  <c r="M2334" i="1"/>
  <c r="B2335" i="1"/>
  <c r="B2336" i="1"/>
  <c r="B2337" i="1"/>
  <c r="B2338" i="1"/>
  <c r="B2339" i="1"/>
  <c r="M2339" i="1"/>
  <c r="B2340" i="1"/>
  <c r="M2340" i="1"/>
  <c r="B2341" i="1"/>
  <c r="M2341" i="1"/>
  <c r="B2342" i="1"/>
  <c r="B2343" i="1"/>
  <c r="B2344" i="1"/>
  <c r="B2345" i="1"/>
  <c r="B2346" i="1"/>
  <c r="M2346" i="1"/>
  <c r="B2347" i="1"/>
  <c r="B2348" i="1"/>
  <c r="M2348" i="1"/>
  <c r="B2349" i="1"/>
  <c r="M2349" i="1"/>
  <c r="B2350" i="1"/>
  <c r="M2350" i="1"/>
  <c r="B2351" i="1"/>
  <c r="M2351" i="1"/>
  <c r="B2352" i="1"/>
  <c r="B2353" i="1"/>
  <c r="B2354" i="1"/>
  <c r="B2355" i="1"/>
  <c r="M2355" i="1"/>
  <c r="B2356" i="1"/>
  <c r="M2356" i="1"/>
  <c r="B2357" i="1"/>
  <c r="M2357" i="1"/>
  <c r="B2358" i="1"/>
  <c r="B2359" i="1"/>
  <c r="B2360" i="1"/>
  <c r="M2360" i="1"/>
  <c r="B2361" i="1"/>
  <c r="M2361" i="1"/>
  <c r="B2362" i="1"/>
  <c r="M2363" i="1"/>
  <c r="M2364" i="1"/>
  <c r="B2365" i="1"/>
  <c r="M2365" i="1"/>
  <c r="B662" i="1"/>
  <c r="B663" i="1"/>
  <c r="M663" i="1"/>
  <c r="B664" i="1"/>
  <c r="M664" i="1"/>
  <c r="M2589" i="1"/>
  <c r="M2590" i="1"/>
  <c r="B2371" i="1"/>
  <c r="M2371" i="1"/>
  <c r="B2372" i="1"/>
  <c r="M2372" i="1"/>
  <c r="B2373" i="1"/>
  <c r="M2373" i="1"/>
  <c r="B2374" i="1"/>
  <c r="M2374" i="1"/>
  <c r="B2375" i="1"/>
  <c r="M2375" i="1"/>
  <c r="B2376" i="1"/>
  <c r="M2376" i="1"/>
  <c r="B2377" i="1"/>
  <c r="M2377" i="1"/>
  <c r="B2378" i="1"/>
  <c r="M2378" i="1"/>
  <c r="B2379" i="1"/>
  <c r="B2380" i="1"/>
  <c r="B2381" i="1"/>
  <c r="M2381" i="1"/>
  <c r="B2382" i="1"/>
  <c r="M2382" i="1"/>
  <c r="B2383" i="1"/>
  <c r="B2384" i="1"/>
  <c r="M2384" i="1"/>
  <c r="B2385" i="1"/>
  <c r="M2385" i="1"/>
  <c r="B2386" i="1"/>
  <c r="M2386" i="1"/>
  <c r="B2387" i="1"/>
  <c r="M2387" i="1"/>
  <c r="B2388" i="1"/>
  <c r="B2389" i="1"/>
  <c r="B2390" i="1"/>
  <c r="M2390" i="1"/>
  <c r="B2391" i="1"/>
  <c r="M2391" i="1"/>
  <c r="B2392" i="1"/>
  <c r="M2392" i="1"/>
  <c r="B2393" i="1"/>
  <c r="B2394" i="1"/>
  <c r="M2394" i="1"/>
  <c r="B2395" i="1"/>
  <c r="M2395" i="1"/>
  <c r="B2396" i="1"/>
  <c r="B2397" i="1"/>
  <c r="M2397" i="1"/>
  <c r="B2398" i="1"/>
  <c r="M2398" i="1"/>
  <c r="B2399" i="1"/>
  <c r="M2399" i="1"/>
  <c r="B2400" i="1"/>
  <c r="M2400" i="1"/>
  <c r="B2401" i="1"/>
  <c r="B2402" i="1"/>
  <c r="B2403" i="1"/>
  <c r="B2404" i="1"/>
  <c r="B2405" i="1"/>
  <c r="M2405" i="1"/>
  <c r="B2406" i="1"/>
  <c r="M2406" i="1"/>
  <c r="B2407" i="1"/>
  <c r="M2407" i="1"/>
  <c r="M2591" i="1"/>
  <c r="M2592" i="1"/>
  <c r="B472" i="1"/>
  <c r="M472" i="1"/>
  <c r="B2010" i="1"/>
  <c r="M2010" i="1"/>
  <c r="B2100" i="1"/>
  <c r="M2100" i="1"/>
  <c r="B473" i="1"/>
  <c r="M473" i="1"/>
  <c r="B1309" i="1"/>
  <c r="M1309" i="1"/>
  <c r="B2415" i="1"/>
  <c r="M2415" i="1"/>
  <c r="B2416" i="1"/>
  <c r="M2416" i="1"/>
  <c r="B2417" i="1"/>
  <c r="M2417" i="1"/>
  <c r="B2418" i="1"/>
  <c r="M2418" i="1"/>
  <c r="B2419" i="1"/>
  <c r="M2419" i="1"/>
  <c r="B2420" i="1"/>
  <c r="M2420" i="1"/>
  <c r="B2421" i="1"/>
  <c r="B2422" i="1"/>
  <c r="B2423" i="1"/>
  <c r="B2424" i="1"/>
  <c r="B2425" i="1"/>
  <c r="B2426" i="1"/>
  <c r="B1310" i="1"/>
  <c r="M1310" i="1"/>
  <c r="B2428" i="1"/>
  <c r="M2428" i="1"/>
  <c r="M2429" i="1"/>
  <c r="M2430" i="1"/>
  <c r="M2432" i="1"/>
  <c r="M2433" i="1"/>
  <c r="M2434" i="1"/>
  <c r="B2436" i="1"/>
  <c r="M2436" i="1"/>
  <c r="B2437" i="1"/>
  <c r="M2437" i="1"/>
  <c r="B2438" i="1"/>
  <c r="M2438" i="1"/>
  <c r="B1311" i="1"/>
  <c r="B2440" i="1"/>
  <c r="M2440" i="1"/>
  <c r="B2441" i="1"/>
  <c r="M2441" i="1"/>
  <c r="B2442" i="1"/>
  <c r="M2442" i="1"/>
  <c r="B2443" i="1"/>
  <c r="M2443" i="1"/>
  <c r="B2444" i="1"/>
  <c r="M2444" i="1"/>
  <c r="B2445" i="1"/>
  <c r="M2445" i="1"/>
  <c r="B2446" i="1"/>
  <c r="M2446" i="1"/>
  <c r="B2447" i="1"/>
  <c r="M2447" i="1"/>
  <c r="B2448" i="1"/>
  <c r="M2448" i="1"/>
  <c r="B2449" i="1"/>
  <c r="M2449" i="1"/>
  <c r="B2450" i="1"/>
  <c r="M2450" i="1"/>
  <c r="B2451" i="1"/>
  <c r="M2451" i="1"/>
  <c r="B2452" i="1"/>
  <c r="B2453" i="1"/>
  <c r="M2453" i="1"/>
  <c r="B2454" i="1"/>
  <c r="M2454" i="1"/>
  <c r="B2455" i="1"/>
  <c r="B2456" i="1"/>
  <c r="B2457" i="1"/>
  <c r="M2457" i="1"/>
  <c r="B2458" i="1"/>
  <c r="M2458" i="1"/>
  <c r="B2459" i="1"/>
  <c r="B2460" i="1"/>
  <c r="B2461" i="1"/>
  <c r="M2461" i="1"/>
  <c r="B2462" i="1"/>
  <c r="M2462" i="1"/>
  <c r="B2463" i="1"/>
  <c r="M2463" i="1"/>
  <c r="B2464" i="1"/>
  <c r="M2464" i="1"/>
  <c r="B2465" i="1"/>
  <c r="B2466" i="1"/>
  <c r="M2466" i="1"/>
  <c r="B2467" i="1"/>
  <c r="M2467" i="1"/>
  <c r="B2468" i="1"/>
  <c r="B2469" i="1"/>
  <c r="B2470" i="1"/>
  <c r="B1312" i="1"/>
  <c r="B1189" i="1"/>
  <c r="M1189" i="1"/>
  <c r="B1190" i="1"/>
  <c r="B1191" i="1"/>
  <c r="B1192" i="1"/>
  <c r="B1193" i="1"/>
  <c r="B2477" i="1"/>
  <c r="M2477" i="1"/>
  <c r="B2478" i="1"/>
  <c r="M2478" i="1"/>
  <c r="B2479" i="1"/>
  <c r="M2479" i="1"/>
  <c r="B2480" i="1"/>
  <c r="M2480" i="1"/>
  <c r="B2481" i="1"/>
  <c r="M2481" i="1"/>
  <c r="B2482" i="1"/>
  <c r="M2482" i="1"/>
  <c r="B2483" i="1"/>
  <c r="M2483" i="1"/>
  <c r="B2484" i="1"/>
  <c r="M2484" i="1"/>
  <c r="B2485" i="1"/>
  <c r="M2485" i="1"/>
  <c r="B2486" i="1"/>
  <c r="M2486" i="1"/>
  <c r="B2487" i="1"/>
  <c r="B2488" i="1"/>
  <c r="B1194" i="1"/>
  <c r="M1194" i="1"/>
  <c r="B1304" i="1"/>
  <c r="B1305" i="1"/>
  <c r="B1306" i="1"/>
  <c r="M2493" i="1"/>
  <c r="M2494" i="1"/>
  <c r="M2495" i="1"/>
  <c r="M2496" i="1"/>
  <c r="M2497" i="1"/>
  <c r="M2498" i="1"/>
  <c r="M2499" i="1"/>
  <c r="B2501" i="1"/>
  <c r="M2501" i="1"/>
  <c r="B2502" i="1"/>
  <c r="M2502" i="1"/>
  <c r="B2503" i="1"/>
  <c r="M2503" i="1"/>
  <c r="B2504" i="1"/>
  <c r="M2504" i="1"/>
  <c r="B2505" i="1"/>
  <c r="M2505" i="1"/>
  <c r="B2506" i="1"/>
  <c r="M2506" i="1"/>
  <c r="B2507" i="1"/>
  <c r="M2507" i="1"/>
  <c r="B2508" i="1"/>
  <c r="M2508" i="1"/>
  <c r="B2509" i="1"/>
  <c r="M2509" i="1"/>
  <c r="B2510" i="1"/>
  <c r="M2510" i="1"/>
  <c r="B2511" i="1"/>
  <c r="M2511" i="1"/>
  <c r="B2512" i="1"/>
  <c r="M2512" i="1"/>
  <c r="B2513" i="1"/>
  <c r="B2514" i="1"/>
  <c r="M2514" i="1"/>
  <c r="B2515" i="1"/>
  <c r="M2515" i="1"/>
  <c r="B2516" i="1"/>
  <c r="M2516" i="1"/>
  <c r="B2517" i="1"/>
  <c r="M2517" i="1"/>
  <c r="B2518" i="1"/>
  <c r="M2518" i="1"/>
  <c r="B2519" i="1"/>
  <c r="M2519" i="1"/>
  <c r="B2520" i="1"/>
  <c r="M2520" i="1"/>
  <c r="B2521" i="1"/>
  <c r="M2521" i="1"/>
  <c r="B2522" i="1"/>
  <c r="M2522" i="1"/>
  <c r="B2523" i="1"/>
  <c r="M2523" i="1"/>
  <c r="B2524" i="1"/>
  <c r="M2524" i="1"/>
  <c r="B2525" i="1"/>
  <c r="B2526" i="1"/>
  <c r="B2527" i="1"/>
  <c r="M2527" i="1"/>
  <c r="B2528" i="1"/>
  <c r="M2528" i="1"/>
  <c r="B2529" i="1"/>
  <c r="B1307" i="1"/>
  <c r="B1444" i="1"/>
  <c r="M1444" i="1"/>
  <c r="B1445" i="1"/>
  <c r="B1446" i="1"/>
  <c r="M1446" i="1"/>
  <c r="B2534" i="1"/>
  <c r="M2534" i="1"/>
  <c r="B2535" i="1"/>
  <c r="M2535" i="1"/>
  <c r="B2536" i="1"/>
  <c r="M2536" i="1"/>
  <c r="B2537" i="1"/>
  <c r="M2537" i="1"/>
  <c r="B2538" i="1"/>
  <c r="B2539" i="1"/>
  <c r="M2539" i="1"/>
  <c r="B2540" i="1"/>
  <c r="B2541" i="1"/>
  <c r="M2541" i="1"/>
  <c r="B126" i="1"/>
  <c r="M126" i="1"/>
  <c r="B127" i="1"/>
  <c r="M127" i="1"/>
  <c r="B2544" i="1"/>
  <c r="M2544" i="1"/>
  <c r="B2545" i="1"/>
  <c r="M2545" i="1"/>
  <c r="B2546" i="1"/>
  <c r="M2546" i="1"/>
  <c r="B2547" i="1"/>
  <c r="M2547" i="1"/>
  <c r="B2548" i="1"/>
  <c r="M2548" i="1"/>
  <c r="B2549" i="1"/>
  <c r="M2549" i="1"/>
  <c r="B2550" i="1"/>
  <c r="B2551" i="1"/>
  <c r="M2551" i="1"/>
  <c r="B2552" i="1"/>
  <c r="M2552" i="1"/>
  <c r="B2553" i="1"/>
  <c r="M2553" i="1"/>
  <c r="B2554" i="1"/>
  <c r="M2554" i="1"/>
  <c r="B2555" i="1"/>
  <c r="B2556" i="1"/>
  <c r="B2557" i="1"/>
  <c r="B2558" i="1"/>
  <c r="M2558" i="1"/>
  <c r="B2559" i="1"/>
  <c r="B2560" i="1"/>
  <c r="B2561" i="1"/>
  <c r="M2561" i="1"/>
  <c r="B2562" i="1"/>
  <c r="M2562" i="1"/>
  <c r="B2563" i="1"/>
  <c r="M2563" i="1"/>
  <c r="B2564" i="1"/>
  <c r="M2564" i="1"/>
  <c r="B2565" i="1"/>
  <c r="M2565" i="1"/>
  <c r="B2566" i="1"/>
  <c r="M2566" i="1"/>
  <c r="B2567" i="1"/>
  <c r="B2568" i="1"/>
  <c r="M2568" i="1"/>
  <c r="B2569" i="1"/>
  <c r="B2570" i="1"/>
  <c r="B2571" i="1"/>
  <c r="M2571" i="1"/>
  <c r="B2572" i="1"/>
  <c r="M2572" i="1"/>
  <c r="B2573" i="1"/>
  <c r="B2574" i="1"/>
  <c r="M2574" i="1"/>
  <c r="B2575" i="1"/>
  <c r="M2575" i="1"/>
  <c r="B2576" i="1"/>
  <c r="M2576" i="1"/>
  <c r="B2577" i="1"/>
  <c r="M2577" i="1"/>
  <c r="B2578" i="1"/>
  <c r="M2578" i="1"/>
  <c r="B2579" i="1"/>
  <c r="M2579" i="1"/>
  <c r="B2580" i="1"/>
  <c r="M2580" i="1"/>
  <c r="B2581" i="1"/>
  <c r="M2581" i="1"/>
  <c r="B2582" i="1"/>
  <c r="M2582" i="1"/>
  <c r="M2583" i="1"/>
  <c r="B2584" i="1"/>
  <c r="M2584" i="1"/>
  <c r="B2585" i="1"/>
  <c r="B2586" i="1"/>
  <c r="M2586" i="1"/>
  <c r="B128" i="1"/>
  <c r="M128" i="1"/>
  <c r="M1793" i="1"/>
  <c r="M1795" i="1"/>
  <c r="M1796" i="1"/>
  <c r="B959" i="1"/>
  <c r="M959" i="1"/>
  <c r="M2593" i="1"/>
  <c r="M2594" i="1"/>
  <c r="B960" i="1"/>
  <c r="M960" i="1"/>
  <c r="B2056" i="1"/>
  <c r="M2056" i="1"/>
  <c r="B2057" i="1"/>
  <c r="M2057" i="1"/>
  <c r="B2058" i="1"/>
  <c r="B2059" i="1"/>
  <c r="M2059" i="1"/>
  <c r="B441" i="1"/>
  <c r="M441" i="1"/>
  <c r="B442" i="1"/>
  <c r="B553" i="1"/>
  <c r="M553" i="1"/>
  <c r="M1646" i="1"/>
  <c r="B554" i="1"/>
  <c r="M554" i="1"/>
  <c r="M1895" i="1"/>
  <c r="M1896" i="1"/>
  <c r="M1898" i="1"/>
  <c r="B1041" i="1"/>
  <c r="M1041" i="1"/>
  <c r="B1042" i="1"/>
  <c r="B1043" i="1"/>
  <c r="B1044" i="1"/>
  <c r="B1045" i="1"/>
  <c r="B1447" i="1"/>
  <c r="M1447" i="1"/>
  <c r="B1448" i="1"/>
  <c r="B1449" i="1"/>
  <c r="M1449" i="1"/>
  <c r="B2619" i="1"/>
  <c r="M2619" i="1"/>
  <c r="B2620" i="1"/>
  <c r="M2620" i="1"/>
  <c r="B2621" i="1"/>
  <c r="M2621" i="1"/>
  <c r="B2622" i="1"/>
  <c r="M2622" i="1"/>
  <c r="B2623" i="1"/>
  <c r="M2623" i="1"/>
  <c r="B2624" i="1"/>
  <c r="B2625" i="1"/>
  <c r="B2626" i="1"/>
  <c r="M2626" i="1"/>
  <c r="B2627" i="1"/>
  <c r="M2627" i="1"/>
  <c r="B2628" i="1"/>
  <c r="M2628" i="1"/>
  <c r="B1450" i="1"/>
  <c r="B1451" i="1"/>
  <c r="M1451" i="1"/>
  <c r="M1568" i="1"/>
  <c r="B2632" i="1"/>
  <c r="M2632" i="1"/>
  <c r="B2633" i="1"/>
  <c r="M2633" i="1"/>
  <c r="B2634" i="1"/>
  <c r="M2635" i="1"/>
  <c r="M2637" i="1"/>
  <c r="M2642" i="1"/>
  <c r="M2643" i="1"/>
  <c r="M2644" i="1"/>
  <c r="M2649" i="1"/>
  <c r="M2653" i="1"/>
  <c r="M2654" i="1"/>
  <c r="M2655" i="1"/>
  <c r="M1888" i="1"/>
  <c r="B2587" i="1"/>
  <c r="M2587" i="1"/>
  <c r="B2588" i="1"/>
  <c r="M2588" i="1"/>
  <c r="B1424" i="1"/>
  <c r="M1424" i="1"/>
  <c r="B1425" i="1"/>
  <c r="M1425" i="1"/>
  <c r="B2661" i="1"/>
  <c r="M2661" i="1"/>
  <c r="B2662" i="1"/>
  <c r="M2662" i="1"/>
  <c r="B2663" i="1"/>
  <c r="M2663" i="1"/>
  <c r="B2664" i="1"/>
  <c r="B2665" i="1"/>
  <c r="M2665" i="1"/>
  <c r="B1426" i="1"/>
  <c r="M1426" i="1"/>
  <c r="B1427" i="1"/>
  <c r="B1428" i="1"/>
  <c r="B339" i="1"/>
  <c r="M339" i="1"/>
  <c r="B340" i="1"/>
  <c r="M340" i="1"/>
  <c r="B341" i="1"/>
  <c r="M341" i="1"/>
  <c r="B1460" i="1"/>
  <c r="M1460" i="1"/>
  <c r="B1461" i="1"/>
  <c r="B1462" i="1"/>
  <c r="M1462" i="1"/>
  <c r="B1463" i="1"/>
  <c r="B1464" i="1"/>
  <c r="B2656" i="1"/>
  <c r="M2656" i="1"/>
  <c r="B2657" i="1"/>
  <c r="B2658" i="1"/>
  <c r="M2658" i="1"/>
  <c r="B2680" i="1"/>
  <c r="M2680" i="1"/>
  <c r="B2681" i="1"/>
  <c r="M2681" i="1"/>
  <c r="B2682" i="1"/>
  <c r="M2682" i="1"/>
  <c r="B2683" i="1"/>
  <c r="M2683" i="1"/>
  <c r="B2684" i="1"/>
  <c r="M2684" i="1"/>
  <c r="B2685" i="1"/>
  <c r="M2685" i="1"/>
  <c r="B2686" i="1"/>
  <c r="M2686" i="1"/>
  <c r="B2687" i="1"/>
  <c r="M2687" i="1"/>
  <c r="B2688" i="1"/>
  <c r="M2688" i="1"/>
  <c r="B2689" i="1"/>
  <c r="M2690" i="1"/>
  <c r="M2692" i="1"/>
  <c r="M2696" i="1"/>
  <c r="B2697" i="1"/>
  <c r="M2697" i="1"/>
  <c r="B2698" i="1"/>
  <c r="M2698" i="1"/>
  <c r="B2699" i="1"/>
  <c r="M2699" i="1"/>
  <c r="B2700" i="1"/>
  <c r="M2700" i="1"/>
  <c r="M2701" i="1"/>
  <c r="M2702" i="1"/>
  <c r="M2703" i="1"/>
  <c r="B2704" i="1"/>
  <c r="M2704" i="1"/>
  <c r="B2705" i="1"/>
  <c r="M2705" i="1"/>
  <c r="M2706" i="1"/>
  <c r="M2709" i="1"/>
  <c r="M2712" i="1"/>
  <c r="B2659" i="1"/>
  <c r="B2714" i="1"/>
  <c r="M2714" i="1"/>
  <c r="B2715" i="1"/>
  <c r="M2715" i="1"/>
  <c r="B2716" i="1"/>
  <c r="B2717" i="1"/>
  <c r="M2717" i="1"/>
  <c r="B2718" i="1"/>
  <c r="B2719" i="1"/>
  <c r="M2719" i="1"/>
  <c r="B2720" i="1"/>
  <c r="B2721" i="1"/>
  <c r="B2722" i="1"/>
  <c r="M2722" i="1"/>
  <c r="B2723" i="1"/>
  <c r="B2724" i="1"/>
  <c r="B2725" i="1"/>
  <c r="M2725" i="1"/>
  <c r="B2726" i="1"/>
  <c r="M2726" i="1"/>
  <c r="B2727" i="1"/>
  <c r="M2727" i="1"/>
  <c r="B2728" i="1"/>
  <c r="B2729" i="1"/>
  <c r="M2729" i="1"/>
  <c r="B2730" i="1"/>
  <c r="M2730" i="1"/>
  <c r="B2731" i="1"/>
  <c r="M2731" i="1"/>
  <c r="B2732" i="1"/>
  <c r="B2733" i="1"/>
  <c r="B2734" i="1"/>
  <c r="B2735" i="1"/>
  <c r="B2736" i="1"/>
  <c r="M2736" i="1"/>
  <c r="B2737" i="1"/>
  <c r="M2737" i="1"/>
  <c r="B2738" i="1"/>
  <c r="B2739" i="1"/>
  <c r="B2740" i="1"/>
  <c r="B2741" i="1"/>
  <c r="M2741" i="1"/>
  <c r="B2742" i="1"/>
  <c r="M2742" i="1"/>
  <c r="B2743" i="1"/>
  <c r="M2743" i="1"/>
  <c r="B2744" i="1"/>
  <c r="M2744" i="1"/>
  <c r="B2745" i="1"/>
  <c r="M2745" i="1"/>
  <c r="B2746" i="1"/>
  <c r="M2746" i="1"/>
  <c r="B2747" i="1"/>
  <c r="B2748" i="1"/>
  <c r="M2748" i="1"/>
  <c r="B2749" i="1"/>
  <c r="M2749" i="1"/>
  <c r="B2750" i="1"/>
  <c r="M2750" i="1"/>
  <c r="B2751" i="1"/>
  <c r="M2751" i="1"/>
  <c r="B2752" i="1"/>
  <c r="M2752" i="1"/>
  <c r="B2753" i="1"/>
  <c r="M2753" i="1"/>
  <c r="B2754" i="1"/>
  <c r="M2754" i="1"/>
  <c r="B2755" i="1"/>
  <c r="M2755" i="1"/>
  <c r="B2756" i="1"/>
  <c r="M2756" i="1"/>
  <c r="B2757" i="1"/>
  <c r="M2757" i="1"/>
  <c r="B2758" i="1"/>
  <c r="M2758" i="1"/>
  <c r="B2759" i="1"/>
  <c r="M2759" i="1"/>
  <c r="B2760" i="1"/>
  <c r="M2760" i="1"/>
  <c r="B2761" i="1"/>
  <c r="M2761" i="1"/>
  <c r="B2762" i="1"/>
  <c r="M2762" i="1"/>
  <c r="B2763" i="1"/>
  <c r="M2763" i="1"/>
  <c r="B2764" i="1"/>
  <c r="M2764" i="1"/>
  <c r="B2765" i="1"/>
  <c r="B2766" i="1"/>
  <c r="B2767" i="1"/>
  <c r="M2767" i="1"/>
  <c r="M2768" i="1"/>
  <c r="M2771" i="1"/>
  <c r="M2775" i="1"/>
  <c r="M2776" i="1"/>
  <c r="M2778" i="1"/>
  <c r="M2779" i="1"/>
  <c r="M2784" i="1"/>
  <c r="M2785" i="1"/>
  <c r="M2787" i="1"/>
  <c r="M2788" i="1"/>
  <c r="M2790" i="1"/>
  <c r="B2791" i="1"/>
  <c r="M2791" i="1"/>
  <c r="B2792" i="1"/>
  <c r="B2793" i="1"/>
  <c r="B2794" i="1"/>
  <c r="M2794" i="1"/>
  <c r="B2795" i="1"/>
  <c r="B2796" i="1"/>
  <c r="M2796" i="1"/>
  <c r="B2797" i="1"/>
  <c r="M2797" i="1"/>
  <c r="B2798" i="1"/>
  <c r="M2798" i="1"/>
  <c r="M2799" i="1"/>
  <c r="M2800" i="1"/>
  <c r="M2801" i="1"/>
  <c r="M2802" i="1"/>
  <c r="M2803" i="1"/>
  <c r="M2804" i="1"/>
  <c r="B2660" i="1"/>
  <c r="M2660" i="1"/>
  <c r="M1639" i="1"/>
  <c r="M1640" i="1"/>
  <c r="M1641" i="1"/>
  <c r="M1642" i="1"/>
  <c r="B2812" i="1"/>
  <c r="M2812" i="1"/>
  <c r="B2813" i="1"/>
  <c r="M2813" i="1"/>
  <c r="B2814" i="1"/>
  <c r="M2814" i="1"/>
  <c r="B2815" i="1"/>
  <c r="M2815" i="1"/>
  <c r="B2816" i="1"/>
  <c r="M2816" i="1"/>
  <c r="B2817" i="1"/>
  <c r="M2817" i="1"/>
  <c r="B2818" i="1"/>
  <c r="M2818" i="1"/>
  <c r="B2819" i="1"/>
  <c r="M2819" i="1"/>
  <c r="B2820" i="1"/>
  <c r="B2821" i="1"/>
  <c r="B2822" i="1"/>
  <c r="M2822" i="1"/>
  <c r="B2823" i="1"/>
  <c r="M2823" i="1"/>
  <c r="B2824" i="1"/>
  <c r="M2824" i="1"/>
  <c r="B2825" i="1"/>
  <c r="B2826" i="1"/>
  <c r="M2826" i="1"/>
  <c r="B2827" i="1"/>
  <c r="B2828" i="1"/>
  <c r="B2829" i="1"/>
  <c r="M2829" i="1"/>
  <c r="B2830" i="1"/>
  <c r="M2830" i="1"/>
  <c r="B2831" i="1"/>
  <c r="M2831" i="1"/>
  <c r="B2832" i="1"/>
  <c r="B2833" i="1"/>
  <c r="B2834" i="1"/>
  <c r="B2835" i="1"/>
  <c r="B2836" i="1"/>
  <c r="M2836" i="1"/>
  <c r="B2837" i="1"/>
  <c r="B2838" i="1"/>
  <c r="B2839" i="1"/>
  <c r="B2840" i="1"/>
  <c r="B2841" i="1"/>
  <c r="M2841" i="1"/>
  <c r="B2842" i="1"/>
  <c r="M2842" i="1"/>
  <c r="B2843" i="1"/>
  <c r="M2843" i="1"/>
  <c r="B2844" i="1"/>
  <c r="B2845" i="1"/>
  <c r="M2845" i="1"/>
  <c r="B2846" i="1"/>
  <c r="M2846" i="1"/>
  <c r="B2847" i="1"/>
  <c r="C349" i="23"/>
  <c r="T349" i="23"/>
  <c r="S349" i="23"/>
  <c r="C348" i="23"/>
  <c r="T348" i="23"/>
  <c r="S348" i="23"/>
  <c r="N348" i="23"/>
  <c r="O348" i="23"/>
  <c r="T347" i="23"/>
  <c r="S347" i="23"/>
  <c r="N347" i="23"/>
  <c r="O347" i="23"/>
  <c r="T346" i="23"/>
  <c r="S346" i="23"/>
  <c r="N346" i="23"/>
  <c r="O346" i="23"/>
  <c r="N400" i="1"/>
  <c r="M432" i="12"/>
  <c r="M27" i="12"/>
  <c r="M203" i="12"/>
  <c r="M435" i="12"/>
  <c r="M108" i="12"/>
  <c r="M491" i="12"/>
  <c r="N3" i="1"/>
  <c r="N5" i="1"/>
  <c r="N8" i="1"/>
  <c r="N10" i="1"/>
  <c r="N11" i="1"/>
  <c r="N12" i="1"/>
  <c r="N13" i="1"/>
  <c r="N14" i="1"/>
  <c r="N15" i="1"/>
  <c r="N16" i="1"/>
  <c r="N17" i="1"/>
  <c r="N19" i="1"/>
  <c r="N20" i="1"/>
  <c r="N21" i="1"/>
  <c r="N22" i="1"/>
  <c r="N24" i="1"/>
  <c r="N26" i="1"/>
  <c r="N27" i="1"/>
  <c r="N30" i="1"/>
  <c r="N31" i="1"/>
  <c r="N32" i="1"/>
  <c r="N34" i="1"/>
  <c r="H1304" i="1"/>
  <c r="N35" i="1"/>
  <c r="N37" i="1"/>
  <c r="N38" i="1"/>
  <c r="N39" i="1"/>
  <c r="N40" i="1"/>
  <c r="N41" i="1"/>
  <c r="N42" i="1"/>
  <c r="N46" i="1"/>
  <c r="N47" i="1"/>
  <c r="N48" i="1"/>
  <c r="N52" i="1"/>
  <c r="N54" i="1"/>
  <c r="N56" i="1"/>
  <c r="N59" i="1"/>
  <c r="N61" i="1"/>
  <c r="N62" i="1"/>
  <c r="N64" i="1"/>
  <c r="N67" i="1"/>
  <c r="N68" i="1"/>
  <c r="N69" i="1"/>
  <c r="N74" i="1"/>
  <c r="N75" i="1"/>
  <c r="N76" i="1"/>
  <c r="N79" i="1"/>
  <c r="N80" i="1"/>
  <c r="N81" i="1"/>
  <c r="N82" i="1"/>
  <c r="N83" i="1"/>
  <c r="N84" i="1"/>
  <c r="N86" i="1"/>
  <c r="N89" i="1"/>
  <c r="N90" i="1"/>
  <c r="N92" i="1"/>
  <c r="N97" i="1"/>
  <c r="N98" i="1"/>
  <c r="N99" i="1"/>
  <c r="N100" i="1"/>
  <c r="N101" i="1"/>
  <c r="N102" i="1"/>
  <c r="N103" i="1"/>
  <c r="N104" i="1"/>
  <c r="N106" i="1"/>
  <c r="N107" i="1"/>
  <c r="N112" i="1"/>
  <c r="N115" i="1"/>
  <c r="N116" i="1"/>
  <c r="N117" i="1"/>
  <c r="N121" i="1"/>
  <c r="N124" i="1"/>
  <c r="N125" i="1"/>
  <c r="N126" i="1"/>
  <c r="N127" i="1"/>
  <c r="N128" i="1"/>
  <c r="N129" i="1"/>
  <c r="N130" i="1"/>
  <c r="N133" i="1"/>
  <c r="N134" i="1"/>
  <c r="N138" i="1"/>
  <c r="N142" i="1"/>
  <c r="N143" i="1"/>
  <c r="N147" i="1"/>
  <c r="N148" i="1"/>
  <c r="N150" i="1"/>
  <c r="N151" i="1"/>
  <c r="N154" i="1"/>
  <c r="N155" i="1"/>
  <c r="N157" i="1"/>
  <c r="N158" i="1"/>
  <c r="N159" i="1"/>
  <c r="N162" i="1"/>
  <c r="N163" i="1"/>
  <c r="N165" i="1"/>
  <c r="N166" i="1"/>
  <c r="N167" i="1"/>
  <c r="N168" i="1"/>
  <c r="N169" i="1"/>
  <c r="N170" i="1"/>
  <c r="N171" i="1"/>
  <c r="N172" i="1"/>
  <c r="N173" i="1"/>
  <c r="N175" i="1"/>
  <c r="N176" i="1"/>
  <c r="N177" i="1"/>
  <c r="N179" i="1"/>
  <c r="N181" i="1"/>
  <c r="N183" i="1"/>
  <c r="N184" i="1"/>
  <c r="N185" i="1"/>
  <c r="N189" i="1"/>
  <c r="N190" i="1"/>
  <c r="N193" i="1"/>
  <c r="N194" i="1"/>
  <c r="N195" i="1"/>
  <c r="N197" i="1"/>
  <c r="N199" i="1"/>
  <c r="N200" i="1"/>
  <c r="N201" i="1"/>
  <c r="N202" i="1"/>
  <c r="N209" i="1"/>
  <c r="N210" i="1"/>
  <c r="N211" i="1"/>
  <c r="N216" i="1"/>
  <c r="N220" i="1"/>
  <c r="N221" i="1"/>
  <c r="N222" i="1"/>
  <c r="N223" i="1"/>
  <c r="N227" i="1"/>
  <c r="N228" i="1"/>
  <c r="N229" i="1"/>
  <c r="N230" i="1"/>
  <c r="N232" i="1"/>
  <c r="N233" i="1"/>
  <c r="N236" i="1"/>
  <c r="N237" i="1"/>
  <c r="N240" i="1"/>
  <c r="N241" i="1"/>
  <c r="N242" i="1"/>
  <c r="N243" i="1"/>
  <c r="N244" i="1"/>
  <c r="N245" i="1"/>
  <c r="N247" i="1"/>
  <c r="N248" i="1"/>
  <c r="N249" i="1"/>
  <c r="N252" i="1"/>
  <c r="N253" i="1"/>
  <c r="N256" i="1"/>
  <c r="N257" i="1"/>
  <c r="N258" i="1"/>
  <c r="N260" i="1"/>
  <c r="N261" i="1"/>
  <c r="N262" i="1"/>
  <c r="N263" i="1"/>
  <c r="N264" i="1"/>
  <c r="N266" i="1"/>
  <c r="N269" i="1"/>
  <c r="N270" i="1"/>
  <c r="N274" i="1"/>
  <c r="N275" i="1"/>
  <c r="N277" i="1"/>
  <c r="N278" i="1"/>
  <c r="N279" i="1"/>
  <c r="N280" i="1"/>
  <c r="N281" i="1"/>
  <c r="N282" i="1"/>
  <c r="N283" i="1"/>
  <c r="N285" i="1"/>
  <c r="N286" i="1"/>
  <c r="N288" i="1"/>
  <c r="N292" i="1"/>
  <c r="N294" i="1"/>
  <c r="N295" i="1"/>
  <c r="N298" i="1"/>
  <c r="N302" i="1"/>
  <c r="N303" i="1"/>
  <c r="N304" i="1"/>
  <c r="N305" i="1"/>
  <c r="N307" i="1"/>
  <c r="N309" i="1"/>
  <c r="N310" i="1"/>
  <c r="N312" i="1"/>
  <c r="N314" i="1"/>
  <c r="N315" i="1"/>
  <c r="N316" i="1"/>
  <c r="N318" i="1"/>
  <c r="N319" i="1"/>
  <c r="N320" i="1"/>
  <c r="N321" i="1"/>
  <c r="N322" i="1"/>
  <c r="N323" i="1"/>
  <c r="N325" i="1"/>
  <c r="N327" i="1"/>
  <c r="N328" i="1"/>
  <c r="N330" i="1"/>
  <c r="N332" i="1"/>
  <c r="N336" i="1"/>
  <c r="N337" i="1"/>
  <c r="N338" i="1"/>
  <c r="N339" i="1"/>
  <c r="N340" i="1"/>
  <c r="N341" i="1"/>
  <c r="N342" i="1"/>
  <c r="N345" i="1"/>
  <c r="N346" i="1"/>
  <c r="N347" i="1"/>
  <c r="N351" i="1"/>
  <c r="N353" i="1"/>
  <c r="N354" i="1"/>
  <c r="N355" i="1"/>
  <c r="N356" i="1"/>
  <c r="N357" i="1"/>
  <c r="N358" i="1"/>
  <c r="N359" i="1"/>
  <c r="N361" i="1"/>
  <c r="N362" i="1"/>
  <c r="N364" i="1"/>
  <c r="N365" i="1"/>
  <c r="N366" i="1"/>
  <c r="N368" i="1"/>
  <c r="N369" i="1"/>
  <c r="N370" i="1"/>
  <c r="N372" i="1"/>
  <c r="N373" i="1"/>
  <c r="N375" i="1"/>
  <c r="N376" i="1"/>
  <c r="N377" i="1"/>
  <c r="N379" i="1"/>
  <c r="N380" i="1"/>
  <c r="N381" i="1"/>
  <c r="N382" i="1"/>
  <c r="N383" i="1"/>
  <c r="N384" i="1"/>
  <c r="N385" i="1"/>
  <c r="N386" i="1"/>
  <c r="N387" i="1"/>
  <c r="N389" i="1"/>
  <c r="N390" i="1"/>
  <c r="N391" i="1"/>
  <c r="N392" i="1"/>
  <c r="N393" i="1"/>
  <c r="N397" i="1"/>
  <c r="N401" i="1"/>
  <c r="N402" i="1"/>
  <c r="N403" i="1"/>
  <c r="N404" i="1"/>
  <c r="N405" i="1"/>
  <c r="N406" i="1"/>
  <c r="N407" i="1"/>
  <c r="N408" i="1"/>
  <c r="N410" i="1"/>
  <c r="N411" i="1"/>
  <c r="N415" i="1"/>
  <c r="N416" i="1"/>
  <c r="N419" i="1"/>
  <c r="N421" i="1"/>
  <c r="N422" i="1"/>
  <c r="N424" i="1"/>
  <c r="N427" i="1"/>
  <c r="N429" i="1"/>
  <c r="N430" i="1"/>
  <c r="N431" i="1"/>
  <c r="N433" i="1"/>
  <c r="N434" i="1"/>
  <c r="N435" i="1"/>
  <c r="N437" i="1"/>
  <c r="N438" i="1"/>
  <c r="N440" i="1"/>
  <c r="N441" i="1"/>
  <c r="N443" i="1"/>
  <c r="N444" i="1"/>
  <c r="N449" i="1"/>
  <c r="N450" i="1"/>
  <c r="N452" i="1"/>
  <c r="N453" i="1"/>
  <c r="N454" i="1"/>
  <c r="N455" i="1"/>
  <c r="N456" i="1"/>
  <c r="N457" i="1"/>
  <c r="N459" i="1"/>
  <c r="N460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7" i="1"/>
  <c r="N478" i="1"/>
  <c r="N479" i="1"/>
  <c r="N480" i="1"/>
  <c r="N483" i="1"/>
  <c r="N484" i="1"/>
  <c r="N485" i="1"/>
  <c r="N489" i="1"/>
  <c r="N490" i="1"/>
  <c r="N491" i="1"/>
  <c r="N492" i="1"/>
  <c r="N494" i="1"/>
  <c r="N495" i="1"/>
  <c r="N496" i="1"/>
  <c r="N497" i="1"/>
  <c r="N499" i="1"/>
  <c r="N500" i="1"/>
  <c r="N503" i="1"/>
  <c r="N504" i="1"/>
  <c r="N505" i="1"/>
  <c r="N506" i="1"/>
  <c r="N507" i="1"/>
  <c r="N508" i="1"/>
  <c r="N509" i="1"/>
  <c r="N511" i="1"/>
  <c r="N512" i="1"/>
  <c r="N513" i="1"/>
  <c r="N515" i="1"/>
  <c r="N516" i="1"/>
  <c r="N517" i="1"/>
  <c r="N518" i="1"/>
  <c r="N519" i="1"/>
  <c r="N520" i="1"/>
  <c r="N521" i="1"/>
  <c r="N524" i="1"/>
  <c r="N525" i="1"/>
  <c r="N526" i="1"/>
  <c r="N532" i="1"/>
  <c r="N533" i="1"/>
  <c r="N534" i="1"/>
  <c r="N535" i="1"/>
  <c r="N536" i="1"/>
  <c r="N537" i="1"/>
  <c r="N538" i="1"/>
  <c r="N540" i="1"/>
  <c r="N541" i="1"/>
  <c r="N542" i="1"/>
  <c r="N543" i="1"/>
  <c r="N545" i="1"/>
  <c r="N546" i="1"/>
  <c r="N547" i="1"/>
  <c r="N548" i="1"/>
  <c r="N549" i="1"/>
  <c r="N550" i="1"/>
  <c r="N552" i="1"/>
  <c r="N553" i="1"/>
  <c r="N554" i="1"/>
  <c r="N555" i="1"/>
  <c r="N557" i="1"/>
  <c r="N558" i="1"/>
  <c r="N559" i="1"/>
  <c r="N561" i="1"/>
  <c r="N563" i="1"/>
  <c r="N564" i="1"/>
  <c r="N565" i="1"/>
  <c r="N566" i="1"/>
  <c r="N569" i="1"/>
  <c r="N573" i="1"/>
  <c r="N576" i="1"/>
  <c r="N577" i="1"/>
  <c r="N580" i="1"/>
  <c r="N581" i="1"/>
  <c r="N585" i="1"/>
  <c r="N587" i="1"/>
  <c r="N588" i="1"/>
  <c r="N590" i="1"/>
  <c r="N591" i="1"/>
  <c r="N594" i="1"/>
  <c r="N595" i="1"/>
  <c r="N597" i="1"/>
  <c r="N598" i="1"/>
  <c r="N600" i="1"/>
  <c r="N604" i="1"/>
  <c r="N606" i="1"/>
  <c r="N607" i="1"/>
  <c r="N608" i="1"/>
  <c r="N609" i="1"/>
  <c r="N610" i="1"/>
  <c r="N612" i="1"/>
  <c r="N613" i="1"/>
  <c r="N614" i="1"/>
  <c r="N615" i="1"/>
  <c r="N616" i="1"/>
  <c r="N617" i="1"/>
  <c r="N618" i="1"/>
  <c r="N619" i="1"/>
  <c r="N620" i="1"/>
  <c r="N623" i="1"/>
  <c r="N624" i="1"/>
  <c r="N628" i="1"/>
  <c r="N633" i="1"/>
  <c r="N634" i="1"/>
  <c r="N635" i="1"/>
  <c r="N636" i="1"/>
  <c r="N638" i="1"/>
  <c r="N642" i="1"/>
  <c r="N643" i="1"/>
  <c r="N645" i="1"/>
  <c r="N647" i="1"/>
  <c r="N648" i="1"/>
  <c r="N649" i="1"/>
  <c r="N650" i="1"/>
  <c r="N656" i="1"/>
  <c r="N657" i="1"/>
  <c r="N658" i="1"/>
  <c r="N659" i="1"/>
  <c r="N660" i="1"/>
  <c r="N661" i="1"/>
  <c r="N663" i="1"/>
  <c r="N664" i="1"/>
  <c r="N665" i="1"/>
  <c r="N666" i="1"/>
  <c r="N668" i="1"/>
  <c r="N669" i="1"/>
  <c r="N671" i="1"/>
  <c r="N672" i="1"/>
  <c r="N674" i="1"/>
  <c r="N676" i="1"/>
  <c r="N677" i="1"/>
  <c r="N678" i="1"/>
  <c r="N682" i="1"/>
  <c r="N684" i="1"/>
  <c r="N685" i="1"/>
  <c r="N687" i="1"/>
  <c r="N688" i="1"/>
  <c r="N690" i="1"/>
  <c r="N693" i="1"/>
  <c r="N696" i="1"/>
  <c r="N700" i="1"/>
  <c r="N701" i="1"/>
  <c r="N704" i="1"/>
  <c r="N706" i="1"/>
  <c r="N707" i="1"/>
  <c r="N708" i="1"/>
  <c r="N710" i="1"/>
  <c r="N711" i="1"/>
  <c r="N712" i="1"/>
  <c r="N713" i="1"/>
  <c r="N714" i="1"/>
  <c r="N715" i="1"/>
  <c r="N721" i="1"/>
  <c r="N723" i="1"/>
  <c r="N724" i="1"/>
  <c r="N725" i="1"/>
  <c r="N727" i="1"/>
  <c r="N730" i="1"/>
  <c r="N731" i="1"/>
  <c r="N736" i="1"/>
  <c r="N737" i="1"/>
  <c r="N739" i="1"/>
  <c r="N740" i="1"/>
  <c r="N741" i="1"/>
  <c r="N744" i="1"/>
  <c r="N745" i="1"/>
  <c r="N748" i="1"/>
  <c r="N749" i="1"/>
  <c r="N750" i="1"/>
  <c r="N752" i="1"/>
  <c r="N754" i="1"/>
  <c r="N756" i="1"/>
  <c r="N757" i="1"/>
  <c r="N759" i="1"/>
  <c r="N760" i="1"/>
  <c r="N761" i="1"/>
  <c r="N762" i="1"/>
  <c r="N763" i="1"/>
  <c r="N764" i="1"/>
  <c r="N766" i="1"/>
  <c r="N768" i="1"/>
  <c r="N770" i="1"/>
  <c r="N772" i="1"/>
  <c r="N773" i="1"/>
  <c r="N775" i="1"/>
  <c r="N776" i="1"/>
  <c r="N777" i="1"/>
  <c r="N779" i="1"/>
  <c r="N783" i="1"/>
  <c r="N784" i="1"/>
  <c r="N785" i="1"/>
  <c r="N786" i="1"/>
  <c r="N787" i="1"/>
  <c r="N788" i="1"/>
  <c r="N789" i="1"/>
  <c r="N791" i="1"/>
  <c r="N792" i="1"/>
  <c r="N793" i="1"/>
  <c r="N795" i="1"/>
  <c r="N796" i="1"/>
  <c r="N800" i="1"/>
  <c r="N801" i="1"/>
  <c r="N802" i="1"/>
  <c r="N805" i="1"/>
  <c r="N806" i="1"/>
  <c r="N807" i="1"/>
  <c r="N811" i="1"/>
  <c r="N812" i="1"/>
  <c r="N813" i="1"/>
  <c r="N815" i="1"/>
  <c r="N816" i="1"/>
  <c r="N818" i="1"/>
  <c r="N819" i="1"/>
  <c r="N820" i="1"/>
  <c r="N822" i="1"/>
  <c r="N823" i="1"/>
  <c r="N824" i="1"/>
  <c r="N831" i="1"/>
  <c r="N832" i="1"/>
  <c r="N835" i="1"/>
  <c r="N836" i="1"/>
  <c r="N837" i="1"/>
  <c r="N838" i="1"/>
  <c r="N840" i="1"/>
  <c r="N841" i="1"/>
  <c r="N844" i="1"/>
  <c r="N845" i="1"/>
  <c r="N846" i="1"/>
  <c r="N849" i="1"/>
  <c r="N851" i="1"/>
  <c r="N852" i="1"/>
  <c r="N853" i="1"/>
  <c r="N858" i="1"/>
  <c r="N862" i="1"/>
  <c r="N863" i="1"/>
  <c r="N867" i="1"/>
  <c r="N868" i="1"/>
  <c r="N869" i="1"/>
  <c r="N874" i="1"/>
  <c r="N875" i="1"/>
  <c r="N879" i="1"/>
  <c r="N880" i="1"/>
  <c r="N881" i="1"/>
  <c r="N884" i="1"/>
  <c r="N887" i="1"/>
  <c r="N889" i="1"/>
  <c r="N890" i="1"/>
  <c r="N891" i="1"/>
  <c r="N896" i="1"/>
  <c r="N898" i="1"/>
  <c r="N900" i="1"/>
  <c r="N901" i="1"/>
  <c r="N902" i="1"/>
  <c r="N903" i="1"/>
  <c r="N904" i="1"/>
  <c r="N905" i="1"/>
  <c r="N907" i="1"/>
  <c r="N911" i="1"/>
  <c r="N912" i="1"/>
  <c r="N913" i="1"/>
  <c r="N917" i="1"/>
  <c r="N919" i="1"/>
  <c r="N920" i="1"/>
  <c r="N922" i="1"/>
  <c r="N923" i="1"/>
  <c r="N925" i="1"/>
  <c r="N926" i="1"/>
  <c r="N928" i="1"/>
  <c r="N929" i="1"/>
  <c r="N930" i="1"/>
  <c r="N931" i="1"/>
  <c r="N932" i="1"/>
  <c r="N934" i="1"/>
  <c r="N935" i="1"/>
  <c r="N937" i="1"/>
  <c r="N938" i="1"/>
  <c r="N939" i="1"/>
  <c r="N940" i="1"/>
  <c r="N942" i="1"/>
  <c r="N943" i="1"/>
  <c r="N944" i="1"/>
  <c r="N949" i="1"/>
  <c r="N950" i="1"/>
  <c r="N953" i="1"/>
  <c r="N955" i="1"/>
  <c r="N959" i="1"/>
  <c r="N960" i="1"/>
  <c r="N961" i="1"/>
  <c r="N962" i="1"/>
  <c r="N965" i="1"/>
  <c r="N966" i="1"/>
  <c r="N969" i="1"/>
  <c r="N970" i="1"/>
  <c r="N971" i="1"/>
  <c r="N973" i="1"/>
  <c r="N974" i="1"/>
  <c r="N977" i="1"/>
  <c r="N979" i="1"/>
  <c r="N980" i="1"/>
  <c r="N982" i="1"/>
  <c r="N983" i="1"/>
  <c r="N984" i="1"/>
  <c r="N986" i="1"/>
  <c r="N987" i="1"/>
  <c r="N989" i="1"/>
  <c r="N990" i="1"/>
  <c r="N991" i="1"/>
  <c r="N993" i="1"/>
  <c r="N994" i="1"/>
  <c r="N995" i="1"/>
  <c r="N997" i="1"/>
  <c r="N998" i="1"/>
  <c r="N999" i="1"/>
  <c r="N1000" i="1"/>
  <c r="N1001" i="1"/>
  <c r="N1004" i="1"/>
  <c r="N1007" i="1"/>
  <c r="N1010" i="1"/>
  <c r="N1011" i="1"/>
  <c r="N1012" i="1"/>
  <c r="N1013" i="1"/>
  <c r="N1014" i="1"/>
  <c r="N1015" i="1"/>
  <c r="N1016" i="1"/>
  <c r="N1020" i="1"/>
  <c r="N1025" i="1"/>
  <c r="N1026" i="1"/>
  <c r="N1028" i="1"/>
  <c r="N1029" i="1"/>
  <c r="N1033" i="1"/>
  <c r="N1034" i="1"/>
  <c r="N1035" i="1"/>
  <c r="N1036" i="1"/>
  <c r="N1037" i="1"/>
  <c r="N1038" i="1"/>
  <c r="N1040" i="1"/>
  <c r="N1041" i="1"/>
  <c r="N1046" i="1"/>
  <c r="N1047" i="1"/>
  <c r="N1051" i="1"/>
  <c r="N1056" i="1"/>
  <c r="N1060" i="1"/>
  <c r="N1061" i="1"/>
  <c r="N1062" i="1"/>
  <c r="N1063" i="1"/>
  <c r="N1066" i="1"/>
  <c r="N1071" i="1"/>
  <c r="N1072" i="1"/>
  <c r="N1077" i="1"/>
  <c r="N1080" i="1"/>
  <c r="N1081" i="1"/>
  <c r="N1082" i="1"/>
  <c r="N1085" i="1"/>
  <c r="N1086" i="1"/>
  <c r="N1087" i="1"/>
  <c r="N1089" i="1"/>
  <c r="N1090" i="1"/>
  <c r="N1091" i="1"/>
  <c r="N1093" i="1"/>
  <c r="N1094" i="1"/>
  <c r="N1096" i="1"/>
  <c r="N1097" i="1"/>
  <c r="N1098" i="1"/>
  <c r="N1101" i="1"/>
  <c r="N1102" i="1"/>
  <c r="N1103" i="1"/>
  <c r="N1105" i="1"/>
  <c r="N1106" i="1"/>
  <c r="N1108" i="1"/>
  <c r="N1109" i="1"/>
  <c r="N1110" i="1"/>
  <c r="N1111" i="1"/>
  <c r="N1113" i="1"/>
  <c r="N1115" i="1"/>
  <c r="N1116" i="1"/>
  <c r="N1118" i="1"/>
  <c r="N1119" i="1"/>
  <c r="N1120" i="1"/>
  <c r="N1123" i="1"/>
  <c r="N1124" i="1"/>
  <c r="N1125" i="1"/>
  <c r="N1127" i="1"/>
  <c r="N1130" i="1"/>
  <c r="N1131" i="1"/>
  <c r="N1135" i="1"/>
  <c r="N1136" i="1"/>
  <c r="N1137" i="1"/>
  <c r="N1138" i="1"/>
  <c r="N1141" i="1"/>
  <c r="N1142" i="1"/>
  <c r="N1143" i="1"/>
  <c r="N1144" i="1"/>
  <c r="N1145" i="1"/>
  <c r="N1150" i="1"/>
  <c r="N1151" i="1"/>
  <c r="N1152" i="1"/>
  <c r="N1153" i="1"/>
  <c r="N1154" i="1"/>
  <c r="N1155" i="1"/>
  <c r="N1156" i="1"/>
  <c r="N1157" i="1"/>
  <c r="N1159" i="1"/>
  <c r="N1160" i="1"/>
  <c r="N1161" i="1"/>
  <c r="N1163" i="1"/>
  <c r="N1164" i="1"/>
  <c r="N1167" i="1"/>
  <c r="N1168" i="1"/>
  <c r="N1169" i="1"/>
  <c r="N1173" i="1"/>
  <c r="N1174" i="1"/>
  <c r="N1178" i="1"/>
  <c r="N1179" i="1"/>
  <c r="N1180" i="1"/>
  <c r="N1181" i="1"/>
  <c r="N1184" i="1"/>
  <c r="N1185" i="1"/>
  <c r="N1186" i="1"/>
  <c r="N1189" i="1"/>
  <c r="N1194" i="1"/>
  <c r="N1195" i="1"/>
  <c r="N1196" i="1"/>
  <c r="N1197" i="1"/>
  <c r="N1198" i="1"/>
  <c r="N1199" i="1"/>
  <c r="N1200" i="1"/>
  <c r="N1201" i="1"/>
  <c r="N1202" i="1"/>
  <c r="N1204" i="1"/>
  <c r="N1207" i="1"/>
  <c r="N1210" i="1"/>
  <c r="N1212" i="1"/>
  <c r="N1217" i="1"/>
  <c r="N1218" i="1"/>
  <c r="N1219" i="1"/>
  <c r="N1223" i="1"/>
  <c r="N1224" i="1"/>
  <c r="N1225" i="1"/>
  <c r="N1226" i="1"/>
  <c r="N1228" i="1"/>
  <c r="N1233" i="1"/>
  <c r="N1234" i="1"/>
  <c r="N1236" i="1"/>
  <c r="N1239" i="1"/>
  <c r="N1241" i="1"/>
  <c r="N1242" i="1"/>
  <c r="N1246" i="1"/>
  <c r="N1247" i="1"/>
  <c r="N1248" i="1"/>
  <c r="N1249" i="1"/>
  <c r="N1250" i="1"/>
  <c r="N1251" i="1"/>
  <c r="N1254" i="1"/>
  <c r="N1257" i="1"/>
  <c r="N1258" i="1"/>
  <c r="N1261" i="1"/>
  <c r="N1263" i="1"/>
  <c r="N1264" i="1"/>
  <c r="N1265" i="1"/>
  <c r="N1266" i="1"/>
  <c r="N1267" i="1"/>
  <c r="N1271" i="1"/>
  <c r="N1273" i="1"/>
  <c r="N1274" i="1"/>
  <c r="N1276" i="1"/>
  <c r="N1277" i="1"/>
  <c r="N1280" i="1"/>
  <c r="N1281" i="1"/>
  <c r="N1282" i="1"/>
  <c r="N1287" i="1"/>
  <c r="N1288" i="1"/>
  <c r="N1289" i="1"/>
  <c r="N1293" i="1"/>
  <c r="N1295" i="1"/>
  <c r="N1296" i="1"/>
  <c r="N1298" i="1"/>
  <c r="N1300" i="1"/>
  <c r="N1302" i="1"/>
  <c r="N1303" i="1"/>
  <c r="N1304" i="1"/>
  <c r="N1308" i="1"/>
  <c r="N1309" i="1"/>
  <c r="N1310" i="1"/>
  <c r="N1313" i="1"/>
  <c r="N1314" i="1"/>
  <c r="N1319" i="1"/>
  <c r="N1320" i="1"/>
  <c r="N1325" i="1"/>
  <c r="N1327" i="1"/>
  <c r="N1328" i="1"/>
  <c r="N1329" i="1"/>
  <c r="N1333" i="1"/>
  <c r="N1334" i="1"/>
  <c r="N1335" i="1"/>
  <c r="N1336" i="1"/>
  <c r="N1337" i="1"/>
  <c r="N1338" i="1"/>
  <c r="N1339" i="1"/>
  <c r="N1344" i="1"/>
  <c r="N1346" i="1"/>
  <c r="N1347" i="1"/>
  <c r="N1348" i="1"/>
  <c r="N1349" i="1"/>
  <c r="N1350" i="1"/>
  <c r="N1351" i="1"/>
  <c r="N1352" i="1"/>
  <c r="N1354" i="1"/>
  <c r="N1356" i="1"/>
  <c r="N1358" i="1"/>
  <c r="N1359" i="1"/>
  <c r="N1360" i="1"/>
  <c r="N1367" i="1"/>
  <c r="N1368" i="1"/>
  <c r="N1369" i="1"/>
  <c r="N1370" i="1"/>
  <c r="N1371" i="1"/>
  <c r="N1374" i="1"/>
  <c r="N1376" i="1"/>
  <c r="N1379" i="1"/>
  <c r="N1381" i="1"/>
  <c r="N1382" i="1"/>
  <c r="N1387" i="1"/>
  <c r="N1388" i="1"/>
  <c r="N1389" i="1"/>
  <c r="N1391" i="1"/>
  <c r="N1396" i="1"/>
  <c r="N1398" i="1"/>
  <c r="N1400" i="1"/>
  <c r="N1401" i="1"/>
  <c r="N1402" i="1"/>
  <c r="N1403" i="1"/>
  <c r="N1409" i="1"/>
  <c r="N1410" i="1"/>
  <c r="N1411" i="1"/>
  <c r="N1412" i="1"/>
  <c r="N1415" i="1"/>
  <c r="N1417" i="1"/>
  <c r="N1420" i="1"/>
  <c r="N1421" i="1"/>
  <c r="N1424" i="1"/>
  <c r="N1425" i="1"/>
  <c r="N1426" i="1"/>
  <c r="N1429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6" i="1"/>
  <c r="N1447" i="1"/>
  <c r="N1449" i="1"/>
  <c r="N1451" i="1"/>
  <c r="N1452" i="1"/>
  <c r="N1455" i="1"/>
  <c r="N1459" i="1"/>
  <c r="N1460" i="1"/>
  <c r="N1462" i="1"/>
  <c r="N1465" i="1"/>
  <c r="N1467" i="1"/>
  <c r="N1468" i="1"/>
  <c r="N1472" i="1"/>
  <c r="N1473" i="1"/>
  <c r="N1478" i="1"/>
  <c r="N1479" i="1"/>
  <c r="N1481" i="1"/>
  <c r="N1482" i="1"/>
  <c r="N1484" i="1"/>
  <c r="N1485" i="1"/>
  <c r="N1486" i="1"/>
  <c r="N1489" i="1"/>
  <c r="N1490" i="1"/>
  <c r="N1493" i="1"/>
  <c r="N1494" i="1"/>
  <c r="N1496" i="1"/>
  <c r="N1499" i="1"/>
  <c r="N1501" i="1"/>
  <c r="N1502" i="1"/>
  <c r="N1503" i="1"/>
  <c r="N1510" i="1"/>
  <c r="N1516" i="1"/>
  <c r="N1521" i="1"/>
  <c r="N1522" i="1"/>
  <c r="N1523" i="1"/>
  <c r="N1524" i="1"/>
  <c r="N1525" i="1"/>
  <c r="N1526" i="1"/>
  <c r="N1527" i="1"/>
  <c r="N1532" i="1"/>
  <c r="N1534" i="1"/>
  <c r="N1535" i="1"/>
  <c r="N1536" i="1"/>
  <c r="N1538" i="1"/>
  <c r="N1539" i="1"/>
  <c r="N1540" i="1"/>
  <c r="N1543" i="1"/>
  <c r="N1548" i="1"/>
  <c r="N1550" i="1"/>
  <c r="N1551" i="1"/>
  <c r="N1556" i="1"/>
  <c r="N1558" i="1"/>
  <c r="N1559" i="1"/>
  <c r="N1560" i="1"/>
  <c r="N1561" i="1"/>
  <c r="N1563" i="1"/>
  <c r="N1565" i="1"/>
  <c r="N1566" i="1"/>
  <c r="N1567" i="1"/>
  <c r="N1568" i="1"/>
  <c r="N1569" i="1"/>
  <c r="N1571" i="1"/>
  <c r="N1576" i="1"/>
  <c r="N1577" i="1"/>
  <c r="N1581" i="1"/>
  <c r="N1582" i="1"/>
  <c r="N1583" i="1"/>
  <c r="N1584" i="1"/>
  <c r="N1585" i="1"/>
  <c r="N1586" i="1"/>
  <c r="N1588" i="1"/>
  <c r="N1589" i="1"/>
  <c r="N1590" i="1"/>
  <c r="N1591" i="1"/>
  <c r="N1593" i="1"/>
  <c r="N1595" i="1"/>
  <c r="N1596" i="1"/>
  <c r="N1597" i="1"/>
  <c r="N1598" i="1"/>
  <c r="N1599" i="1"/>
  <c r="N1601" i="1"/>
  <c r="N1603" i="1"/>
  <c r="N1605" i="1"/>
  <c r="N1607" i="1"/>
  <c r="N1608" i="1"/>
  <c r="N1609" i="1"/>
  <c r="N1613" i="1"/>
  <c r="N1614" i="1"/>
  <c r="N1616" i="1"/>
  <c r="N1617" i="1"/>
  <c r="N1619" i="1"/>
  <c r="N1624" i="1"/>
  <c r="N1625" i="1"/>
  <c r="N1626" i="1"/>
  <c r="N1631" i="1"/>
  <c r="N1636" i="1"/>
  <c r="N1637" i="1"/>
  <c r="N1638" i="1"/>
  <c r="N1639" i="1"/>
  <c r="N1640" i="1"/>
  <c r="N1641" i="1"/>
  <c r="N1642" i="1"/>
  <c r="N1645" i="1"/>
  <c r="N1646" i="1"/>
  <c r="N1648" i="1"/>
  <c r="N1650" i="1"/>
  <c r="N1651" i="1"/>
  <c r="N1653" i="1"/>
  <c r="N1654" i="1"/>
  <c r="N1655" i="1"/>
  <c r="N1657" i="1"/>
  <c r="N1658" i="1"/>
  <c r="N1659" i="1"/>
  <c r="N1661" i="1"/>
  <c r="N1662" i="1"/>
  <c r="N1663" i="1"/>
  <c r="N1664" i="1"/>
  <c r="N1665" i="1"/>
  <c r="N1666" i="1"/>
  <c r="N1669" i="1"/>
  <c r="N1671" i="1"/>
  <c r="N1673" i="1"/>
  <c r="N1675" i="1"/>
  <c r="N1676" i="1"/>
  <c r="N1677" i="1"/>
  <c r="N1678" i="1"/>
  <c r="N1679" i="1"/>
  <c r="N1684" i="1"/>
  <c r="N1685" i="1"/>
  <c r="N1686" i="1"/>
  <c r="N1689" i="1"/>
  <c r="N1690" i="1"/>
  <c r="N1691" i="1"/>
  <c r="N1695" i="1"/>
  <c r="N1696" i="1"/>
  <c r="N1698" i="1"/>
  <c r="N1699" i="1"/>
  <c r="N1701" i="1"/>
  <c r="N1703" i="1"/>
  <c r="N1704" i="1"/>
  <c r="N1705" i="1"/>
  <c r="N1709" i="1"/>
  <c r="N1710" i="1"/>
  <c r="N1711" i="1"/>
  <c r="N1712" i="1"/>
  <c r="N1715" i="1"/>
  <c r="N1716" i="1"/>
  <c r="N1717" i="1"/>
  <c r="N1718" i="1"/>
  <c r="N1719" i="1"/>
  <c r="N1722" i="1"/>
  <c r="N1725" i="1"/>
  <c r="N1727" i="1"/>
  <c r="N1729" i="1"/>
  <c r="N1732" i="1"/>
  <c r="N1733" i="1"/>
  <c r="N1735" i="1"/>
  <c r="N1736" i="1"/>
  <c r="N1737" i="1"/>
  <c r="N1738" i="1"/>
  <c r="N1741" i="1"/>
  <c r="N1742" i="1"/>
  <c r="N1747" i="1"/>
  <c r="N1748" i="1"/>
  <c r="N1749" i="1"/>
  <c r="N1750" i="1"/>
  <c r="N1751" i="1"/>
  <c r="N1752" i="1"/>
  <c r="N1753" i="1"/>
  <c r="N1754" i="1"/>
  <c r="N1755" i="1"/>
  <c r="N1757" i="1"/>
  <c r="N1759" i="1"/>
  <c r="N1760" i="1"/>
  <c r="N1762" i="1"/>
  <c r="N1764" i="1"/>
  <c r="N1766" i="1"/>
  <c r="N1767" i="1"/>
  <c r="N1769" i="1"/>
  <c r="N1770" i="1"/>
  <c r="N1771" i="1"/>
  <c r="N1772" i="1"/>
  <c r="N1774" i="1"/>
  <c r="N1775" i="1"/>
  <c r="N1776" i="1"/>
  <c r="N1779" i="1"/>
  <c r="N1784" i="1"/>
  <c r="N1785" i="1"/>
  <c r="N1786" i="1"/>
  <c r="N1787" i="1"/>
  <c r="N1788" i="1"/>
  <c r="N1789" i="1"/>
  <c r="N1790" i="1"/>
  <c r="N1791" i="1"/>
  <c r="N1792" i="1"/>
  <c r="N1793" i="1"/>
  <c r="N1795" i="1"/>
  <c r="N1796" i="1"/>
  <c r="N1797" i="1"/>
  <c r="N1798" i="1"/>
  <c r="N1799" i="1"/>
  <c r="N1801" i="1"/>
  <c r="N1802" i="1"/>
  <c r="N1803" i="1"/>
  <c r="N1804" i="1"/>
  <c r="N1805" i="1"/>
  <c r="N1806" i="1"/>
  <c r="N1807" i="1"/>
  <c r="N1811" i="1"/>
  <c r="N1812" i="1"/>
  <c r="N1813" i="1"/>
  <c r="N1815" i="1"/>
  <c r="N1819" i="1"/>
  <c r="N1821" i="1"/>
  <c r="N1822" i="1"/>
  <c r="N1826" i="1"/>
  <c r="N1828" i="1"/>
  <c r="N1832" i="1"/>
  <c r="N1833" i="1"/>
  <c r="N1834" i="1"/>
  <c r="N1836" i="1"/>
  <c r="N1840" i="1"/>
  <c r="N1841" i="1"/>
  <c r="N1844" i="1"/>
  <c r="N1846" i="1"/>
  <c r="N1847" i="1"/>
  <c r="N1848" i="1"/>
  <c r="N1849" i="1"/>
  <c r="N1855" i="1"/>
  <c r="N1857" i="1"/>
  <c r="N1858" i="1"/>
  <c r="N1859" i="1"/>
  <c r="N1861" i="1"/>
  <c r="N1862" i="1"/>
  <c r="N1863" i="1"/>
  <c r="N1864" i="1"/>
  <c r="N1866" i="1"/>
  <c r="N1868" i="1"/>
  <c r="N1871" i="1"/>
  <c r="N1873" i="1"/>
  <c r="N1876" i="1"/>
  <c r="N1877" i="1"/>
  <c r="N1878" i="1"/>
  <c r="N1880" i="1"/>
  <c r="N1881" i="1"/>
  <c r="N1882" i="1"/>
  <c r="N1883" i="1"/>
  <c r="N1884" i="1"/>
  <c r="N1887" i="1"/>
  <c r="N1888" i="1"/>
  <c r="N1889" i="1"/>
  <c r="N1890" i="1"/>
  <c r="N1891" i="1"/>
  <c r="N1892" i="1"/>
  <c r="N1893" i="1"/>
  <c r="N1894" i="1"/>
  <c r="N1895" i="1"/>
  <c r="N1896" i="1"/>
  <c r="N1898" i="1"/>
  <c r="N1899" i="1"/>
  <c r="N1901" i="1"/>
  <c r="N1902" i="1"/>
  <c r="N1903" i="1"/>
  <c r="N1908" i="1"/>
  <c r="N1910" i="1"/>
  <c r="N1911" i="1"/>
  <c r="N1913" i="1"/>
  <c r="N1914" i="1"/>
  <c r="N1915" i="1"/>
  <c r="N1916" i="1"/>
  <c r="N1917" i="1"/>
  <c r="N1919" i="1"/>
  <c r="N1920" i="1"/>
  <c r="N1921" i="1"/>
  <c r="N1925" i="1"/>
  <c r="N1926" i="1"/>
  <c r="N1927" i="1"/>
  <c r="N1929" i="1"/>
  <c r="N1932" i="1"/>
  <c r="N1935" i="1"/>
  <c r="N1938" i="1"/>
  <c r="N1939" i="1"/>
  <c r="N1940" i="1"/>
  <c r="N1941" i="1"/>
  <c r="N1942" i="1"/>
  <c r="N1944" i="1"/>
  <c r="N1946" i="1"/>
  <c r="N1947" i="1"/>
  <c r="N1948" i="1"/>
  <c r="N1953" i="1"/>
  <c r="N1954" i="1"/>
  <c r="N1955" i="1"/>
  <c r="N1956" i="1"/>
  <c r="N1958" i="1"/>
  <c r="N1960" i="1"/>
  <c r="N1963" i="1"/>
  <c r="N1965" i="1"/>
  <c r="N1966" i="1"/>
  <c r="N1967" i="1"/>
  <c r="N1970" i="1"/>
  <c r="N1971" i="1"/>
  <c r="N1972" i="1"/>
  <c r="N1973" i="1"/>
  <c r="N1975" i="1"/>
  <c r="N1976" i="1"/>
  <c r="N1980" i="1"/>
  <c r="N1981" i="1"/>
  <c r="N1982" i="1"/>
  <c r="N1983" i="1"/>
  <c r="N1986" i="1"/>
  <c r="N1987" i="1"/>
  <c r="N1989" i="1"/>
  <c r="N1994" i="1"/>
  <c r="N1995" i="1"/>
  <c r="N1997" i="1"/>
  <c r="N1998" i="1"/>
  <c r="N2000" i="1"/>
  <c r="N2001" i="1"/>
  <c r="N2002" i="1"/>
  <c r="N2003" i="1"/>
  <c r="N2004" i="1"/>
  <c r="N2009" i="1"/>
  <c r="N2010" i="1"/>
  <c r="N2011" i="1"/>
  <c r="N2012" i="1"/>
  <c r="N2013" i="1"/>
  <c r="N2014" i="1"/>
  <c r="N2015" i="1"/>
  <c r="N2016" i="1"/>
  <c r="N2017" i="1"/>
  <c r="N2019" i="1"/>
  <c r="N2020" i="1"/>
  <c r="N2021" i="1"/>
  <c r="N2025" i="1"/>
  <c r="N2026" i="1"/>
  <c r="N2027" i="1"/>
  <c r="N2030" i="1"/>
  <c r="N2032" i="1"/>
  <c r="N2033" i="1"/>
  <c r="N2034" i="1"/>
  <c r="N2036" i="1"/>
  <c r="N2037" i="1"/>
  <c r="N2038" i="1"/>
  <c r="N2039" i="1"/>
  <c r="N2040" i="1"/>
  <c r="N2042" i="1"/>
  <c r="N2043" i="1"/>
  <c r="N2044" i="1"/>
  <c r="N2045" i="1"/>
  <c r="N2046" i="1"/>
  <c r="N2047" i="1"/>
  <c r="N2049" i="1"/>
  <c r="N2050" i="1"/>
  <c r="N2051" i="1"/>
  <c r="N2052" i="1"/>
  <c r="N2053" i="1"/>
  <c r="N2056" i="1"/>
  <c r="N2057" i="1"/>
  <c r="N2059" i="1"/>
  <c r="N2060" i="1"/>
  <c r="N2061" i="1"/>
  <c r="N2066" i="1"/>
  <c r="N2067" i="1"/>
  <c r="N2068" i="1"/>
  <c r="N2069" i="1"/>
  <c r="N2070" i="1"/>
  <c r="N2073" i="1"/>
  <c r="N2074" i="1"/>
  <c r="N2075" i="1"/>
  <c r="N2076" i="1"/>
  <c r="N2077" i="1"/>
  <c r="N2078" i="1"/>
  <c r="N2079" i="1"/>
  <c r="N2081" i="1"/>
  <c r="N2082" i="1"/>
  <c r="N2083" i="1"/>
  <c r="N2085" i="1"/>
  <c r="N2086" i="1"/>
  <c r="N2087" i="1"/>
  <c r="N2088" i="1"/>
  <c r="N2089" i="1"/>
  <c r="N2091" i="1"/>
  <c r="N2092" i="1"/>
  <c r="N2094" i="1"/>
  <c r="N2095" i="1"/>
  <c r="N2096" i="1"/>
  <c r="N2097" i="1"/>
  <c r="N2098" i="1"/>
  <c r="N2100" i="1"/>
  <c r="N2101" i="1"/>
  <c r="N2102" i="1"/>
  <c r="N2103" i="1"/>
  <c r="N2104" i="1"/>
  <c r="N2105" i="1"/>
  <c r="N2108" i="1"/>
  <c r="N2110" i="1"/>
  <c r="N2111" i="1"/>
  <c r="N2113" i="1"/>
  <c r="N2114" i="1"/>
  <c r="N2116" i="1"/>
  <c r="N2117" i="1"/>
  <c r="N2118" i="1"/>
  <c r="N2119" i="1"/>
  <c r="N2120" i="1"/>
  <c r="N2121" i="1"/>
  <c r="N2122" i="1"/>
  <c r="N2123" i="1"/>
  <c r="N2124" i="1"/>
  <c r="N2126" i="1"/>
  <c r="N2128" i="1"/>
  <c r="N2129" i="1"/>
  <c r="N2130" i="1"/>
  <c r="N2132" i="1"/>
  <c r="N2133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52" i="1"/>
  <c r="N2153" i="1"/>
  <c r="N2154" i="1"/>
  <c r="N2155" i="1"/>
  <c r="N2156" i="1"/>
  <c r="N2157" i="1"/>
  <c r="N2158" i="1"/>
  <c r="N2159" i="1"/>
  <c r="N2160" i="1"/>
  <c r="N2162" i="1"/>
  <c r="N2163" i="1"/>
  <c r="N2164" i="1"/>
  <c r="N2165" i="1"/>
  <c r="N2167" i="1"/>
  <c r="N2169" i="1"/>
  <c r="N2170" i="1"/>
  <c r="N2171" i="1"/>
  <c r="N2172" i="1"/>
  <c r="N2174" i="1"/>
  <c r="N2178" i="1"/>
  <c r="N2181" i="1"/>
  <c r="N2185" i="1"/>
  <c r="N2188" i="1"/>
  <c r="N2190" i="1"/>
  <c r="N2191" i="1"/>
  <c r="N2195" i="1"/>
  <c r="N2196" i="1"/>
  <c r="N2198" i="1"/>
  <c r="N2200" i="1"/>
  <c r="N2202" i="1"/>
  <c r="N2203" i="1"/>
  <c r="N2204" i="1"/>
  <c r="N2205" i="1"/>
  <c r="N2207" i="1"/>
  <c r="N2212" i="1"/>
  <c r="N2214" i="1"/>
  <c r="N2215" i="1"/>
  <c r="N2216" i="1"/>
  <c r="N2217" i="1"/>
  <c r="N2218" i="1"/>
  <c r="N2219" i="1"/>
  <c r="N2220" i="1"/>
  <c r="N2221" i="1"/>
  <c r="N2222" i="1"/>
  <c r="N2228" i="1"/>
  <c r="N2231" i="1"/>
  <c r="N2232" i="1"/>
  <c r="N2233" i="1"/>
  <c r="N2236" i="1"/>
  <c r="N2237" i="1"/>
  <c r="N2238" i="1"/>
  <c r="N2239" i="1"/>
  <c r="N2240" i="1"/>
  <c r="N2241" i="1"/>
  <c r="N2242" i="1"/>
  <c r="N2243" i="1"/>
  <c r="N2245" i="1"/>
  <c r="N2248" i="1"/>
  <c r="N2249" i="1"/>
  <c r="N2250" i="1"/>
  <c r="N2254" i="1"/>
  <c r="N2255" i="1"/>
  <c r="N2257" i="1"/>
  <c r="N2259" i="1"/>
  <c r="N2261" i="1"/>
  <c r="N2262" i="1"/>
  <c r="N2263" i="1"/>
  <c r="N2266" i="1"/>
  <c r="N2267" i="1"/>
  <c r="N2270" i="1"/>
  <c r="N2271" i="1"/>
  <c r="N2272" i="1"/>
  <c r="N2273" i="1"/>
  <c r="N2274" i="1"/>
  <c r="N2276" i="1"/>
  <c r="N2277" i="1"/>
  <c r="N2279" i="1"/>
  <c r="N2280" i="1"/>
  <c r="N2281" i="1"/>
  <c r="N2282" i="1"/>
  <c r="N2283" i="1"/>
  <c r="N2284" i="1"/>
  <c r="N2285" i="1"/>
  <c r="N2286" i="1"/>
  <c r="N2287" i="1"/>
  <c r="N2288" i="1"/>
  <c r="N2289" i="1"/>
  <c r="N2292" i="1"/>
  <c r="N2294" i="1"/>
  <c r="N2295" i="1"/>
  <c r="N2296" i="1"/>
  <c r="N2297" i="1"/>
  <c r="N2300" i="1"/>
  <c r="N2302" i="1"/>
  <c r="N2303" i="1"/>
  <c r="N2305" i="1"/>
  <c r="N2310" i="1"/>
  <c r="N2311" i="1"/>
  <c r="N2312" i="1"/>
  <c r="N2317" i="1"/>
  <c r="N2318" i="1"/>
  <c r="N2319" i="1"/>
  <c r="N2320" i="1"/>
  <c r="N2321" i="1"/>
  <c r="N2323" i="1"/>
  <c r="N2324" i="1"/>
  <c r="N2325" i="1"/>
  <c r="N2328" i="1"/>
  <c r="N2329" i="1"/>
  <c r="N2330" i="1"/>
  <c r="N2331" i="1"/>
  <c r="N2332" i="1"/>
  <c r="N2333" i="1"/>
  <c r="N2334" i="1"/>
  <c r="N2339" i="1"/>
  <c r="N2340" i="1"/>
  <c r="N2341" i="1"/>
  <c r="N2346" i="1"/>
  <c r="N2348" i="1"/>
  <c r="N2349" i="1"/>
  <c r="N2350" i="1"/>
  <c r="N2351" i="1"/>
  <c r="N2355" i="1"/>
  <c r="N2356" i="1"/>
  <c r="N2357" i="1"/>
  <c r="N2360" i="1"/>
  <c r="N2361" i="1"/>
  <c r="N2363" i="1"/>
  <c r="N2364" i="1"/>
  <c r="N2365" i="1"/>
  <c r="N2366" i="1"/>
  <c r="N2367" i="1"/>
  <c r="N2368" i="1"/>
  <c r="N2371" i="1"/>
  <c r="N2372" i="1"/>
  <c r="N2373" i="1"/>
  <c r="N2374" i="1"/>
  <c r="N2375" i="1"/>
  <c r="N2376" i="1"/>
  <c r="N2377" i="1"/>
  <c r="N2378" i="1"/>
  <c r="N2381" i="1"/>
  <c r="N2382" i="1"/>
  <c r="N2384" i="1"/>
  <c r="N2385" i="1"/>
  <c r="N2386" i="1"/>
  <c r="N2387" i="1"/>
  <c r="N2390" i="1"/>
  <c r="N2391" i="1"/>
  <c r="N2392" i="1"/>
  <c r="N2394" i="1"/>
  <c r="N2395" i="1"/>
  <c r="N2397" i="1"/>
  <c r="N2398" i="1"/>
  <c r="N2399" i="1"/>
  <c r="N2400" i="1"/>
  <c r="N2405" i="1"/>
  <c r="N2406" i="1"/>
  <c r="N2407" i="1"/>
  <c r="N2408" i="1"/>
  <c r="N2411" i="1"/>
  <c r="N2412" i="1"/>
  <c r="N2413" i="1"/>
  <c r="N2414" i="1"/>
  <c r="N2415" i="1"/>
  <c r="N2416" i="1"/>
  <c r="N2417" i="1"/>
  <c r="N2418" i="1"/>
  <c r="N2419" i="1"/>
  <c r="N2420" i="1"/>
  <c r="N2427" i="1"/>
  <c r="N2428" i="1"/>
  <c r="N2429" i="1"/>
  <c r="N2430" i="1"/>
  <c r="N2432" i="1"/>
  <c r="N2433" i="1"/>
  <c r="N2434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3" i="1"/>
  <c r="N2454" i="1"/>
  <c r="N2457" i="1"/>
  <c r="N2458" i="1"/>
  <c r="N2459" i="1"/>
  <c r="N2461" i="1"/>
  <c r="N2462" i="1"/>
  <c r="N2463" i="1"/>
  <c r="N2464" i="1"/>
  <c r="N2466" i="1"/>
  <c r="N2467" i="1"/>
  <c r="N2471" i="1"/>
  <c r="N2472" i="1"/>
  <c r="N2475" i="1"/>
  <c r="N2477" i="1"/>
  <c r="N2478" i="1"/>
  <c r="N2479" i="1"/>
  <c r="N2480" i="1"/>
  <c r="N2481" i="1"/>
  <c r="N2482" i="1"/>
  <c r="N2483" i="1"/>
  <c r="N2484" i="1"/>
  <c r="N2485" i="1"/>
  <c r="N2486" i="1"/>
  <c r="N2489" i="1"/>
  <c r="N2490" i="1"/>
  <c r="N2493" i="1"/>
  <c r="N2494" i="1"/>
  <c r="N2495" i="1"/>
  <c r="N2496" i="1"/>
  <c r="N2497" i="1"/>
  <c r="N2498" i="1"/>
  <c r="N2499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4" i="1"/>
  <c r="N2515" i="1"/>
  <c r="N2516" i="1"/>
  <c r="N2517" i="1"/>
  <c r="N2518" i="1"/>
  <c r="N2519" i="1"/>
  <c r="N2520" i="1"/>
  <c r="N2521" i="1"/>
  <c r="N2522" i="1"/>
  <c r="N2523" i="1"/>
  <c r="N2524" i="1"/>
  <c r="N2527" i="1"/>
  <c r="N2528" i="1"/>
  <c r="N2530" i="1"/>
  <c r="N2532" i="1"/>
  <c r="N2533" i="1"/>
  <c r="N2534" i="1"/>
  <c r="N2535" i="1"/>
  <c r="N2536" i="1"/>
  <c r="N2537" i="1"/>
  <c r="N2539" i="1"/>
  <c r="N2541" i="1"/>
  <c r="N2542" i="1"/>
  <c r="N2543" i="1"/>
  <c r="N2544" i="1"/>
  <c r="N2545" i="1"/>
  <c r="N2546" i="1"/>
  <c r="N2547" i="1"/>
  <c r="N2548" i="1"/>
  <c r="N2549" i="1"/>
  <c r="N2551" i="1"/>
  <c r="N2552" i="1"/>
  <c r="N2553" i="1"/>
  <c r="N2554" i="1"/>
  <c r="N2558" i="1"/>
  <c r="N2561" i="1"/>
  <c r="N2562" i="1"/>
  <c r="N2563" i="1"/>
  <c r="N2564" i="1"/>
  <c r="N2565" i="1"/>
  <c r="N2566" i="1"/>
  <c r="N2568" i="1"/>
  <c r="N2571" i="1"/>
  <c r="N2572" i="1"/>
  <c r="N2574" i="1"/>
  <c r="N2575" i="1"/>
  <c r="N2576" i="1"/>
  <c r="N2577" i="1"/>
  <c r="N2578" i="1"/>
  <c r="N2579" i="1"/>
  <c r="N2580" i="1"/>
  <c r="N2581" i="1"/>
  <c r="N2582" i="1"/>
  <c r="N2583" i="1"/>
  <c r="N2584" i="1"/>
  <c r="N2586" i="1"/>
  <c r="N2587" i="1"/>
  <c r="N2588" i="1"/>
  <c r="N2589" i="1"/>
  <c r="N2590" i="1"/>
  <c r="N2591" i="1"/>
  <c r="N2592" i="1"/>
  <c r="N2593" i="1"/>
  <c r="N2594" i="1"/>
  <c r="N2596" i="1"/>
  <c r="N2601" i="1"/>
  <c r="N2605" i="1"/>
  <c r="N2606" i="1"/>
  <c r="N2607" i="1"/>
  <c r="N2610" i="1"/>
  <c r="N2616" i="1"/>
  <c r="N2618" i="1"/>
  <c r="N2619" i="1"/>
  <c r="N2620" i="1"/>
  <c r="N2621" i="1"/>
  <c r="N2622" i="1"/>
  <c r="N2623" i="1"/>
  <c r="N2626" i="1"/>
  <c r="N2627" i="1"/>
  <c r="N2628" i="1"/>
  <c r="N2629" i="1"/>
  <c r="N2630" i="1"/>
  <c r="N2631" i="1"/>
  <c r="N2632" i="1"/>
  <c r="N2633" i="1"/>
  <c r="N2635" i="1"/>
  <c r="N2637" i="1"/>
  <c r="N2642" i="1"/>
  <c r="N2643" i="1"/>
  <c r="N2644" i="1"/>
  <c r="N2649" i="1"/>
  <c r="N2653" i="1"/>
  <c r="N2654" i="1"/>
  <c r="N2655" i="1"/>
  <c r="N2656" i="1"/>
  <c r="N2658" i="1"/>
  <c r="N2660" i="1"/>
  <c r="N2661" i="1"/>
  <c r="N2662" i="1"/>
  <c r="N2663" i="1"/>
  <c r="N2665" i="1"/>
  <c r="N2666" i="1"/>
  <c r="N2667" i="1"/>
  <c r="N2668" i="1"/>
  <c r="N2669" i="1"/>
  <c r="N2671" i="1"/>
  <c r="N2672" i="1"/>
  <c r="N2675" i="1"/>
  <c r="N2677" i="1"/>
  <c r="N2679" i="1"/>
  <c r="N2680" i="1"/>
  <c r="N2681" i="1"/>
  <c r="N2682" i="1"/>
  <c r="N2683" i="1"/>
  <c r="N2684" i="1"/>
  <c r="N2685" i="1"/>
  <c r="N2686" i="1"/>
  <c r="N2687" i="1"/>
  <c r="N2688" i="1"/>
  <c r="N2690" i="1"/>
  <c r="N2692" i="1"/>
  <c r="N2696" i="1"/>
  <c r="N2697" i="1"/>
  <c r="N2698" i="1"/>
  <c r="N2699" i="1"/>
  <c r="N2700" i="1"/>
  <c r="N2701" i="1"/>
  <c r="N2702" i="1"/>
  <c r="N2703" i="1"/>
  <c r="N2704" i="1"/>
  <c r="N2705" i="1"/>
  <c r="N2706" i="1"/>
  <c r="N2709" i="1"/>
  <c r="N2712" i="1"/>
  <c r="N2713" i="1"/>
  <c r="N2714" i="1"/>
  <c r="N2715" i="1"/>
  <c r="N2717" i="1"/>
  <c r="N2719" i="1"/>
  <c r="N2722" i="1"/>
  <c r="N2725" i="1"/>
  <c r="N2726" i="1"/>
  <c r="N2727" i="1"/>
  <c r="N2729" i="1"/>
  <c r="N2730" i="1"/>
  <c r="N2731" i="1"/>
  <c r="N2736" i="1"/>
  <c r="N2737" i="1"/>
  <c r="N2738" i="1"/>
  <c r="N2741" i="1"/>
  <c r="N2742" i="1"/>
  <c r="N2743" i="1"/>
  <c r="N2744" i="1"/>
  <c r="N2745" i="1"/>
  <c r="N2746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7" i="1"/>
  <c r="N2768" i="1"/>
  <c r="N2771" i="1"/>
  <c r="N2775" i="1"/>
  <c r="N2776" i="1"/>
  <c r="N2778" i="1"/>
  <c r="N2779" i="1"/>
  <c r="N2784" i="1"/>
  <c r="N2785" i="1"/>
  <c r="N2787" i="1"/>
  <c r="N2788" i="1"/>
  <c r="N2790" i="1"/>
  <c r="N2791" i="1"/>
  <c r="N2794" i="1"/>
  <c r="N2796" i="1"/>
  <c r="N2797" i="1"/>
  <c r="N2798" i="1"/>
  <c r="N2799" i="1"/>
  <c r="N2800" i="1"/>
  <c r="N2801" i="1"/>
  <c r="N2802" i="1"/>
  <c r="N2803" i="1"/>
  <c r="N2804" i="1"/>
  <c r="N2805" i="1"/>
  <c r="N2808" i="1"/>
  <c r="N2809" i="1"/>
  <c r="N2812" i="1"/>
  <c r="N2813" i="1"/>
  <c r="N2814" i="1"/>
  <c r="N2815" i="1"/>
  <c r="N2816" i="1"/>
  <c r="N2817" i="1"/>
  <c r="N2818" i="1"/>
  <c r="N2819" i="1"/>
  <c r="N2822" i="1"/>
  <c r="N2823" i="1"/>
  <c r="N2824" i="1"/>
  <c r="N2826" i="1"/>
  <c r="N2829" i="1"/>
  <c r="N2830" i="1"/>
  <c r="N2831" i="1"/>
  <c r="N2836" i="1"/>
  <c r="N2841" i="1"/>
  <c r="N2842" i="1"/>
  <c r="N2843" i="1"/>
  <c r="N2845" i="1"/>
  <c r="N2846" i="1"/>
  <c r="N2" i="1"/>
  <c r="M339" i="12"/>
  <c r="M417" i="12"/>
  <c r="M335" i="12"/>
  <c r="L105" i="12"/>
  <c r="M105" i="12"/>
  <c r="M299" i="12"/>
  <c r="M464" i="12"/>
  <c r="L345" i="12"/>
  <c r="M345" i="12"/>
  <c r="M149" i="12"/>
  <c r="M384" i="12"/>
  <c r="M245" i="12"/>
  <c r="M171" i="12"/>
  <c r="M476" i="12"/>
  <c r="M255" i="12"/>
  <c r="M201" i="12"/>
  <c r="M207" i="12"/>
  <c r="L318" i="12"/>
  <c r="M318" i="12"/>
  <c r="M29" i="12"/>
  <c r="M49" i="12"/>
  <c r="M490" i="12"/>
  <c r="M311" i="12"/>
  <c r="M441" i="12"/>
  <c r="M301" i="12"/>
  <c r="M465" i="12"/>
  <c r="M388" i="12"/>
  <c r="M181" i="12"/>
  <c r="M83" i="12"/>
  <c r="M191" i="12"/>
  <c r="M119" i="12"/>
  <c r="M408" i="12"/>
  <c r="M409" i="12"/>
  <c r="M281" i="12"/>
  <c r="M284" i="12"/>
  <c r="M241" i="12"/>
  <c r="M482" i="12"/>
  <c r="M292" i="12"/>
  <c r="M67" i="12"/>
  <c r="M348" i="12"/>
  <c r="M396" i="12"/>
  <c r="M148" i="12"/>
  <c r="M406" i="12"/>
  <c r="L264" i="12"/>
  <c r="M264" i="12"/>
  <c r="M344" i="12"/>
  <c r="M385" i="12"/>
  <c r="M186" i="12"/>
  <c r="M449" i="12"/>
  <c r="M371" i="12"/>
  <c r="M307" i="12"/>
  <c r="M194" i="12"/>
  <c r="M28" i="12"/>
  <c r="M74" i="12"/>
  <c r="M404" i="12"/>
  <c r="M407" i="12"/>
  <c r="M229" i="12"/>
  <c r="L317" i="12"/>
  <c r="M317" i="12"/>
  <c r="M217" i="12"/>
  <c r="M112" i="12"/>
  <c r="M323" i="12"/>
  <c r="M206" i="12"/>
  <c r="M53" i="12"/>
  <c r="M166" i="12"/>
  <c r="M271" i="12"/>
  <c r="M415" i="12"/>
  <c r="M423" i="12"/>
  <c r="L278" i="12"/>
  <c r="M278" i="12"/>
  <c r="M444" i="12"/>
  <c r="M80" i="12"/>
  <c r="M222" i="12"/>
  <c r="M258" i="12"/>
  <c r="M483" i="12"/>
  <c r="M66" i="12"/>
  <c r="M259" i="12"/>
  <c r="M257" i="12"/>
  <c r="M109" i="12"/>
  <c r="M522" i="12"/>
  <c r="M97" i="12"/>
  <c r="M451" i="12"/>
  <c r="M173" i="12"/>
  <c r="M298" i="12"/>
  <c r="M251" i="12"/>
  <c r="M287" i="12"/>
  <c r="M283" i="12"/>
  <c r="M457" i="12"/>
  <c r="M159" i="12"/>
  <c r="M114" i="12"/>
  <c r="M47" i="12"/>
  <c r="M268" i="12"/>
  <c r="M8" i="12"/>
  <c r="M459" i="12"/>
  <c r="M15" i="12"/>
  <c r="M380" i="12"/>
  <c r="M32" i="12"/>
  <c r="M328" i="12"/>
  <c r="M2" i="12"/>
  <c r="M184" i="12"/>
  <c r="M39" i="12"/>
  <c r="M13" i="12"/>
  <c r="M401" i="12"/>
  <c r="M87" i="12"/>
  <c r="M525" i="12"/>
  <c r="M399" i="12"/>
  <c r="L50" i="12"/>
  <c r="M50" i="12"/>
  <c r="M48" i="12"/>
  <c r="M319" i="12"/>
  <c r="M160" i="12"/>
  <c r="M518" i="12"/>
  <c r="L446" i="12"/>
  <c r="M446" i="12"/>
  <c r="M136" i="12"/>
  <c r="M142" i="12"/>
  <c r="M128" i="12"/>
  <c r="M199" i="12"/>
  <c r="M331" i="12"/>
  <c r="M98" i="12"/>
  <c r="M484" i="12"/>
  <c r="M372" i="12"/>
  <c r="M88" i="12"/>
  <c r="M350" i="12"/>
  <c r="M215" i="12"/>
  <c r="M304" i="12"/>
  <c r="M178" i="12"/>
  <c r="M24" i="12"/>
  <c r="L180" i="12"/>
  <c r="M180" i="12"/>
  <c r="M334" i="12"/>
  <c r="M77" i="12"/>
  <c r="M100" i="12"/>
  <c r="M233" i="12"/>
  <c r="M193" i="12"/>
  <c r="M125" i="12"/>
  <c r="M462" i="12"/>
  <c r="M198" i="12"/>
  <c r="L342" i="12"/>
  <c r="M342" i="12"/>
  <c r="M359" i="12"/>
  <c r="M225" i="12"/>
  <c r="M110" i="12"/>
  <c r="M403" i="12"/>
  <c r="M205" i="12"/>
  <c r="M106" i="12"/>
  <c r="M351" i="12"/>
  <c r="M381" i="12"/>
  <c r="M249" i="12"/>
  <c r="M19" i="12"/>
  <c r="M458" i="12"/>
  <c r="M132" i="12"/>
  <c r="M10" i="12"/>
  <c r="M36" i="12"/>
  <c r="M470" i="12"/>
  <c r="M92" i="12"/>
  <c r="M309" i="12"/>
  <c r="M127" i="12"/>
  <c r="M337" i="12"/>
  <c r="M375" i="12"/>
  <c r="M529" i="12"/>
  <c r="M519" i="12"/>
  <c r="M226" i="12"/>
  <c r="L448" i="12"/>
  <c r="M448" i="12"/>
  <c r="M130" i="12"/>
  <c r="M43" i="12"/>
  <c r="M213" i="12"/>
  <c r="M161" i="12"/>
  <c r="M34" i="12"/>
  <c r="M162" i="12"/>
  <c r="M503" i="12"/>
  <c r="M442" i="12"/>
  <c r="M471" i="12"/>
  <c r="M493" i="12"/>
  <c r="M134" i="12"/>
  <c r="L478" i="12"/>
  <c r="M478" i="12"/>
  <c r="M314" i="12"/>
  <c r="M75" i="12"/>
  <c r="M332" i="12"/>
  <c r="M93" i="12"/>
  <c r="M514" i="12"/>
  <c r="M84" i="12"/>
  <c r="M346" i="12"/>
  <c r="M31" i="12"/>
  <c r="M246" i="12"/>
  <c r="M272" i="12"/>
  <c r="M336" i="12"/>
  <c r="M9" i="12"/>
  <c r="M363" i="12"/>
  <c r="M242" i="12"/>
  <c r="M447" i="12"/>
  <c r="M507" i="12"/>
  <c r="M143" i="12"/>
  <c r="M402" i="12"/>
  <c r="M144" i="12"/>
  <c r="M145" i="12"/>
  <c r="M107" i="12"/>
  <c r="M227" i="12"/>
  <c r="M239" i="12"/>
  <c r="M499" i="12"/>
  <c r="M324" i="12"/>
  <c r="M378" i="12"/>
  <c r="L497" i="12"/>
  <c r="M497" i="12"/>
  <c r="M37" i="12"/>
  <c r="M188" i="12"/>
  <c r="M405" i="12"/>
  <c r="M253" i="12"/>
  <c r="M179" i="12"/>
  <c r="M340" i="12"/>
  <c r="M466" i="12"/>
  <c r="L40" i="12"/>
  <c r="M40" i="12"/>
  <c r="L139" i="12"/>
  <c r="M139" i="12"/>
  <c r="M494" i="12"/>
  <c r="M95" i="12"/>
  <c r="M57" i="12"/>
  <c r="M327" i="12"/>
  <c r="L288" i="12"/>
  <c r="M288" i="12"/>
  <c r="M360" i="12"/>
  <c r="M413" i="12"/>
  <c r="M38" i="12"/>
  <c r="M508" i="12"/>
  <c r="M260" i="12"/>
  <c r="M266" i="12"/>
  <c r="M440" i="12"/>
  <c r="M41" i="12"/>
  <c r="M120" i="12"/>
  <c r="M64" i="12"/>
  <c r="M364" i="12"/>
  <c r="M200" i="12"/>
  <c r="M113" i="12"/>
  <c r="M45" i="12"/>
  <c r="M289" i="12"/>
  <c r="M392" i="12"/>
  <c r="M177" i="12"/>
  <c r="M220" i="12"/>
  <c r="M118" i="12"/>
  <c r="M124" i="12"/>
  <c r="M46" i="12"/>
  <c r="M270" i="12"/>
  <c r="M414" i="12"/>
  <c r="M21" i="12"/>
  <c r="M472" i="12"/>
  <c r="M280" i="12"/>
  <c r="M333" i="12"/>
  <c r="M182" i="12"/>
  <c r="M96" i="12"/>
  <c r="M302" i="12"/>
  <c r="M208" i="12"/>
  <c r="M254" i="12"/>
  <c r="M456" i="12"/>
  <c r="M308" i="12"/>
  <c r="M368" i="12"/>
  <c r="M420" i="12"/>
  <c r="M123" i="12"/>
  <c r="M26" i="12"/>
  <c r="M293" i="12"/>
  <c r="M400" i="12"/>
  <c r="M131" i="12"/>
  <c r="L473" i="12"/>
  <c r="M473" i="12"/>
  <c r="M30" i="12"/>
  <c r="L267" i="12"/>
  <c r="M267" i="12"/>
  <c r="M434" i="12"/>
  <c r="L238" i="12"/>
  <c r="M238" i="12"/>
  <c r="M101" i="12"/>
  <c r="M469" i="12"/>
  <c r="M189" i="12"/>
  <c r="M520" i="12"/>
  <c r="M454" i="12"/>
  <c r="M151" i="12"/>
  <c r="M192" i="12"/>
  <c r="M296" i="12"/>
  <c r="L422" i="12"/>
  <c r="M422" i="12"/>
  <c r="M515" i="12"/>
  <c r="M121" i="12"/>
  <c r="M72" i="12"/>
  <c r="M86" i="12"/>
  <c r="M126" i="12"/>
  <c r="M329" i="12"/>
  <c r="L460" i="12"/>
  <c r="M460" i="12"/>
  <c r="M321" i="12"/>
  <c r="M481" i="12"/>
  <c r="M534" i="12"/>
  <c r="M14" i="12"/>
  <c r="L157" i="12"/>
  <c r="M157" i="12"/>
  <c r="M70" i="12"/>
  <c r="L416" i="12"/>
  <c r="M416" i="12"/>
  <c r="M477" i="12"/>
  <c r="M4" i="12"/>
  <c r="M155" i="12"/>
  <c r="M68" i="12"/>
  <c r="M338" i="12"/>
  <c r="M218" i="12"/>
  <c r="M33" i="12"/>
  <c r="M376" i="12"/>
  <c r="M467" i="12"/>
  <c r="M501" i="12"/>
  <c r="M154" i="12"/>
  <c r="M54" i="12"/>
  <c r="M461" i="12"/>
  <c r="L164" i="12"/>
  <c r="M164" i="12"/>
  <c r="M313" i="12"/>
  <c r="M244" i="12"/>
  <c r="M55" i="12"/>
  <c r="M369" i="12"/>
  <c r="M256" i="12"/>
  <c r="M262" i="12"/>
  <c r="L35" i="12"/>
  <c r="M35" i="12"/>
  <c r="M73" i="12"/>
  <c r="M99" i="12"/>
  <c r="M25" i="12"/>
  <c r="M140" i="12"/>
  <c r="M115" i="12"/>
  <c r="M185" i="12"/>
  <c r="M379" i="12"/>
  <c r="M424" i="12"/>
  <c r="M11" i="12"/>
  <c r="M306" i="12"/>
  <c r="L211" i="12"/>
  <c r="M211" i="12"/>
  <c r="M495" i="12"/>
  <c r="M135" i="12"/>
  <c r="M427" i="12"/>
  <c r="M286" i="12"/>
  <c r="L325" i="12"/>
  <c r="M325" i="12"/>
  <c r="M383" i="12"/>
  <c r="M428" i="12"/>
  <c r="M279" i="12"/>
  <c r="M214" i="12"/>
  <c r="M170" i="12"/>
  <c r="M212" i="12"/>
  <c r="M16" i="12"/>
  <c r="M394" i="12"/>
  <c r="M452" i="12"/>
  <c r="M273" i="12"/>
  <c r="M389" i="12"/>
  <c r="L79" i="12"/>
  <c r="M79" i="12"/>
  <c r="M489" i="12"/>
  <c r="M294" i="12"/>
  <c r="M76" i="12"/>
  <c r="L450" i="12"/>
  <c r="M450" i="12"/>
  <c r="M183" i="12"/>
  <c r="M355" i="12"/>
  <c r="M237" i="12"/>
  <c r="M152" i="12"/>
  <c r="M82" i="12"/>
  <c r="M234" i="12"/>
  <c r="M320" i="12"/>
  <c r="M116" i="12"/>
  <c r="L265" i="12"/>
  <c r="M265" i="12"/>
  <c r="M167" i="12"/>
  <c r="M475" i="12"/>
  <c r="M261" i="12"/>
  <c r="M52" i="12"/>
  <c r="M103" i="12"/>
  <c r="M502" i="12"/>
  <c r="M71" i="12"/>
  <c r="M141" i="12"/>
  <c r="M252" i="12"/>
  <c r="M62" i="12"/>
  <c r="L60" i="12"/>
  <c r="M60" i="12"/>
  <c r="M223" i="12"/>
  <c r="M204" i="12"/>
  <c r="M393" i="12"/>
  <c r="M17" i="12"/>
  <c r="M219" i="12"/>
  <c r="M395" i="12"/>
  <c r="M150" i="12"/>
  <c r="M468" i="12"/>
  <c r="M528" i="12"/>
  <c r="M425" i="12"/>
  <c r="M300" i="12"/>
  <c r="M202" i="12"/>
  <c r="M356" i="12"/>
  <c r="M486" i="12"/>
  <c r="M230" i="12"/>
  <c r="M235" i="12"/>
  <c r="M312" i="12"/>
  <c r="M197" i="12"/>
  <c r="M373" i="12"/>
  <c r="M430" i="12"/>
  <c r="M129" i="12"/>
  <c r="L61" i="12"/>
  <c r="M61" i="12"/>
  <c r="L506" i="12"/>
  <c r="M506" i="12"/>
  <c r="M231" i="12"/>
  <c r="M89" i="12"/>
  <c r="M250" i="12"/>
  <c r="M94" i="12"/>
  <c r="M291" i="12"/>
  <c r="M232" i="12"/>
  <c r="M349" i="12"/>
  <c r="M390" i="12"/>
  <c r="M172" i="12"/>
  <c r="M510" i="12"/>
  <c r="L69" i="12"/>
  <c r="M69" i="12"/>
  <c r="M365" i="12"/>
  <c r="M65" i="12"/>
  <c r="M137" i="12"/>
  <c r="M210" i="12"/>
  <c r="L419" i="12"/>
  <c r="M419" i="12"/>
  <c r="M146" i="12"/>
  <c r="M247" i="12"/>
  <c r="M370" i="12"/>
  <c r="M527" i="12"/>
  <c r="M316" i="12"/>
  <c r="M421" i="12"/>
  <c r="M275" i="12"/>
  <c r="M305" i="12"/>
  <c r="M290" i="12"/>
  <c r="M216" i="12"/>
  <c r="M23" i="12"/>
  <c r="M158" i="12"/>
  <c r="M138" i="12"/>
  <c r="M341" i="12"/>
  <c r="M122" i="12"/>
  <c r="L56" i="12"/>
  <c r="M56" i="12"/>
  <c r="M236" i="12"/>
  <c r="M195" i="12"/>
  <c r="M12" i="12"/>
  <c r="M7" i="12"/>
  <c r="M174" i="12"/>
  <c r="M228" i="12"/>
  <c r="M18" i="12"/>
  <c r="M488" i="12"/>
  <c r="M474" i="12"/>
  <c r="M455" i="12"/>
  <c r="M326" i="12"/>
  <c r="M492" i="12"/>
  <c r="M169" i="12"/>
  <c r="M397" i="12"/>
  <c r="M387" i="12"/>
  <c r="M3" i="12"/>
  <c r="M263" i="12"/>
  <c r="M343" i="12"/>
  <c r="M362" i="12"/>
  <c r="M81" i="12"/>
  <c r="M175" i="12"/>
  <c r="M44" i="12"/>
  <c r="M102" i="12"/>
  <c r="M209" i="12"/>
  <c r="M163" i="12"/>
  <c r="M190" i="12"/>
  <c r="M59" i="12"/>
  <c r="M78" i="12"/>
  <c r="M104" i="12"/>
  <c r="M361" i="12"/>
  <c r="M354" i="12"/>
  <c r="M274" i="12"/>
  <c r="M531" i="12"/>
  <c r="M377" i="12"/>
  <c r="M111" i="12"/>
  <c r="M42" i="12"/>
  <c r="M366" i="12"/>
  <c r="M513" i="12"/>
  <c r="M165" i="12"/>
  <c r="M410" i="12"/>
  <c r="M5" i="12"/>
  <c r="M438" i="12"/>
  <c r="M187" i="12"/>
  <c r="M386" i="12"/>
  <c r="M153" i="12"/>
  <c r="M282" i="12"/>
  <c r="M240" i="12"/>
  <c r="M276" i="12"/>
  <c r="M51" i="12"/>
  <c r="M243" i="12"/>
  <c r="M277" i="12"/>
  <c r="M303" i="12"/>
  <c r="M22" i="12"/>
  <c r="M6" i="12"/>
  <c r="M382" i="12"/>
  <c r="M117" i="12"/>
  <c r="M297" i="12"/>
  <c r="M358" i="12"/>
  <c r="M357" i="12"/>
  <c r="M90" i="12"/>
  <c r="M224" i="12"/>
  <c r="M20" i="12"/>
  <c r="M505" i="12"/>
  <c r="M269" i="12"/>
  <c r="M443" i="12"/>
  <c r="M322" i="12"/>
  <c r="M156" i="12"/>
  <c r="M429" i="12"/>
  <c r="M58" i="12"/>
  <c r="M285" i="12"/>
  <c r="M63" i="12"/>
  <c r="M133" i="12"/>
  <c r="M248" i="12"/>
  <c r="M295" i="12"/>
  <c r="M374" i="12"/>
  <c r="M445" i="12"/>
  <c r="M411" i="12"/>
  <c r="M176" i="12"/>
  <c r="M91" i="12"/>
  <c r="M168" i="12"/>
  <c r="M412" i="12"/>
  <c r="M221" i="12"/>
  <c r="M147" i="12"/>
  <c r="M196" i="12"/>
  <c r="M330" i="12"/>
  <c r="M353" i="12"/>
  <c r="M85" i="12"/>
  <c r="M511" i="12"/>
  <c r="M310" i="12"/>
  <c r="M347" i="12"/>
  <c r="M453" i="12"/>
  <c r="M315" i="12"/>
  <c r="N495" i="12"/>
  <c r="S345" i="23"/>
  <c r="N345" i="23"/>
  <c r="C345" i="23"/>
  <c r="O345" i="23"/>
  <c r="S344" i="23"/>
  <c r="N344" i="23"/>
  <c r="C344" i="23"/>
  <c r="O344" i="23"/>
  <c r="S343" i="23"/>
  <c r="N343" i="23"/>
  <c r="C343" i="23"/>
  <c r="O343" i="23"/>
  <c r="S342" i="23"/>
  <c r="R342" i="23"/>
  <c r="N342" i="23"/>
  <c r="N299" i="12"/>
  <c r="N291" i="12"/>
  <c r="N295" i="12"/>
  <c r="N298" i="12"/>
  <c r="N300" i="12"/>
  <c r="N301" i="12"/>
  <c r="N302" i="12"/>
  <c r="N304" i="12"/>
  <c r="N308" i="12"/>
  <c r="N310" i="12"/>
  <c r="N316" i="12"/>
  <c r="N320" i="12"/>
  <c r="N321" i="12"/>
  <c r="N322" i="12"/>
  <c r="N307" i="12"/>
  <c r="N326" i="12"/>
  <c r="N329" i="12"/>
  <c r="N333" i="12"/>
  <c r="N335" i="12"/>
  <c r="N346" i="12"/>
  <c r="N347" i="12"/>
  <c r="N350" i="12"/>
  <c r="N358" i="12"/>
  <c r="N361" i="12"/>
  <c r="N364" i="12"/>
  <c r="N370" i="12"/>
  <c r="N377" i="12"/>
  <c r="N380" i="12"/>
  <c r="N383" i="12"/>
  <c r="N384" i="12"/>
  <c r="N392" i="12"/>
  <c r="N397" i="12"/>
  <c r="N403" i="12"/>
  <c r="N406" i="12"/>
  <c r="N414" i="12"/>
  <c r="N408" i="12"/>
  <c r="N409" i="12"/>
  <c r="N413" i="12"/>
  <c r="N421" i="12"/>
  <c r="N423" i="12"/>
  <c r="N427" i="12"/>
  <c r="N428" i="12"/>
  <c r="N429" i="12"/>
  <c r="N402" i="12"/>
  <c r="N440" i="12"/>
  <c r="N442" i="12"/>
  <c r="N444" i="12"/>
  <c r="N447" i="12"/>
  <c r="N393" i="12"/>
  <c r="N457" i="12"/>
  <c r="N455" i="12"/>
  <c r="N459" i="12"/>
  <c r="N458" i="12"/>
  <c r="N465" i="12"/>
  <c r="N466" i="12"/>
  <c r="N468" i="12"/>
  <c r="N470" i="12"/>
  <c r="N472" i="12"/>
  <c r="N474" i="12"/>
  <c r="N475" i="12"/>
  <c r="N492" i="12"/>
  <c r="N501" i="12"/>
  <c r="I585" i="12"/>
  <c r="Q585" i="12"/>
  <c r="R585" i="12"/>
  <c r="A585" i="12"/>
  <c r="D2" i="25"/>
  <c r="R2842" i="1"/>
  <c r="R2843" i="1"/>
  <c r="R2844" i="1"/>
  <c r="R2845" i="1"/>
  <c r="R2846" i="1"/>
  <c r="R2847" i="1"/>
  <c r="I588" i="12"/>
  <c r="S341" i="23"/>
  <c r="N341" i="23"/>
  <c r="C341" i="23"/>
  <c r="O341" i="23"/>
  <c r="K340" i="23"/>
  <c r="O340" i="23"/>
  <c r="P340" i="23"/>
  <c r="S339" i="23"/>
  <c r="C339" i="23"/>
  <c r="O339" i="23"/>
  <c r="S338" i="23"/>
  <c r="C338" i="23"/>
  <c r="O338" i="23"/>
  <c r="S337" i="23"/>
  <c r="C337" i="23"/>
  <c r="O337" i="23"/>
  <c r="S336" i="23"/>
  <c r="C336" i="23"/>
  <c r="O336" i="23"/>
  <c r="H2740" i="1"/>
  <c r="H2739" i="1"/>
  <c r="H2738" i="1"/>
  <c r="S335" i="23"/>
  <c r="C335" i="23"/>
  <c r="O335" i="23"/>
  <c r="S334" i="23"/>
  <c r="C334" i="23"/>
  <c r="O334" i="23"/>
  <c r="S333" i="23"/>
  <c r="C333" i="23"/>
  <c r="O333" i="23"/>
  <c r="S332" i="23"/>
  <c r="C332" i="23"/>
  <c r="O332" i="23"/>
  <c r="S331" i="23"/>
  <c r="C331" i="23"/>
  <c r="O331" i="23"/>
  <c r="S330" i="23"/>
  <c r="C330" i="23"/>
  <c r="O330" i="23"/>
  <c r="S329" i="23"/>
  <c r="C329" i="23"/>
  <c r="O329" i="23"/>
  <c r="R2622" i="1"/>
  <c r="R2623" i="1"/>
  <c r="R2624" i="1"/>
  <c r="R2625" i="1"/>
  <c r="R2626" i="1"/>
  <c r="R2627" i="1"/>
  <c r="R2632" i="1"/>
  <c r="R2633" i="1"/>
  <c r="R2634" i="1"/>
  <c r="R2628" i="1"/>
  <c r="R2629" i="1"/>
  <c r="R2630" i="1"/>
  <c r="R2631" i="1"/>
  <c r="R2661" i="1"/>
  <c r="R2662" i="1"/>
  <c r="R2663" i="1"/>
  <c r="R2664" i="1"/>
  <c r="R2666" i="1"/>
  <c r="R2667" i="1"/>
  <c r="R2668" i="1"/>
  <c r="R2669" i="1"/>
  <c r="R2670" i="1"/>
  <c r="R2665" i="1"/>
  <c r="R2680" i="1"/>
  <c r="R2681" i="1"/>
  <c r="R2682" i="1"/>
  <c r="R2683" i="1"/>
  <c r="R2684" i="1"/>
  <c r="R2685" i="1"/>
  <c r="R2697" i="1"/>
  <c r="R2698" i="1"/>
  <c r="R2699" i="1"/>
  <c r="R2701" i="1"/>
  <c r="R2702" i="1"/>
  <c r="R2703" i="1"/>
  <c r="R2714" i="1"/>
  <c r="R2713" i="1"/>
  <c r="R2738" i="1"/>
  <c r="R2739" i="1"/>
  <c r="R2740" i="1"/>
  <c r="R2741" i="1"/>
  <c r="R2742" i="1"/>
  <c r="R2743" i="1"/>
  <c r="R2744" i="1"/>
  <c r="R2745" i="1"/>
  <c r="R2746" i="1"/>
  <c r="R2747" i="1"/>
  <c r="R2715" i="1"/>
  <c r="R2716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17" i="1"/>
  <c r="R2718" i="1"/>
  <c r="R2719" i="1"/>
  <c r="R2720" i="1"/>
  <c r="R2721" i="1"/>
  <c r="R2722" i="1"/>
  <c r="R2723" i="1"/>
  <c r="R2724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7" i="1"/>
  <c r="R2762" i="1"/>
  <c r="R2763" i="1"/>
  <c r="R2764" i="1"/>
  <c r="R2765" i="1"/>
  <c r="R2766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9" i="1"/>
  <c r="R2800" i="1"/>
  <c r="R2801" i="1"/>
  <c r="R2802" i="1"/>
  <c r="R2803" i="1"/>
  <c r="R2804" i="1"/>
  <c r="R2796" i="1"/>
  <c r="R2797" i="1"/>
  <c r="R2798" i="1"/>
  <c r="R2805" i="1"/>
  <c r="R2806" i="1"/>
  <c r="R2807" i="1"/>
  <c r="R2808" i="1"/>
  <c r="R2809" i="1"/>
  <c r="R2810" i="1"/>
  <c r="R2811" i="1"/>
  <c r="R2812" i="1"/>
  <c r="R2813" i="1"/>
  <c r="R2814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19" i="1"/>
  <c r="R2820" i="1"/>
  <c r="R2821" i="1"/>
  <c r="R2822" i="1"/>
  <c r="R2823" i="1"/>
  <c r="R2824" i="1"/>
  <c r="R2825" i="1"/>
  <c r="R2826" i="1"/>
  <c r="R2827" i="1"/>
  <c r="R2828" i="1"/>
  <c r="R2815" i="1"/>
  <c r="R2816" i="1"/>
  <c r="R2817" i="1"/>
  <c r="R2818" i="1"/>
  <c r="C328" i="23"/>
  <c r="A583" i="12"/>
  <c r="A571" i="12"/>
  <c r="A580" i="12"/>
  <c r="A573" i="12"/>
  <c r="A574" i="12"/>
  <c r="A575" i="12"/>
  <c r="A584" i="12"/>
  <c r="A577" i="12"/>
  <c r="A578" i="12"/>
  <c r="A579" i="12"/>
  <c r="A570" i="12"/>
  <c r="A582" i="12"/>
  <c r="A559" i="12"/>
  <c r="A581" i="12"/>
  <c r="A555" i="12"/>
  <c r="A587" i="12"/>
  <c r="A586" i="12"/>
  <c r="A588" i="12"/>
  <c r="A590" i="12"/>
  <c r="A589" i="12"/>
  <c r="Q454" i="12"/>
  <c r="R454" i="12"/>
  <c r="Q562" i="12"/>
  <c r="R562" i="12"/>
  <c r="Q574" i="12"/>
  <c r="R574" i="12"/>
  <c r="Q581" i="12"/>
  <c r="R581" i="12"/>
  <c r="Q563" i="12"/>
  <c r="R563" i="12"/>
  <c r="Q579" i="12"/>
  <c r="R579" i="12"/>
  <c r="Q557" i="12"/>
  <c r="R557" i="12"/>
  <c r="Q564" i="12"/>
  <c r="R564" i="12"/>
  <c r="Q582" i="12"/>
  <c r="R582" i="12"/>
  <c r="Q573" i="12"/>
  <c r="R573" i="12"/>
  <c r="Q565" i="12"/>
  <c r="R565" i="12"/>
  <c r="Q558" i="12"/>
  <c r="R558" i="12"/>
  <c r="Q584" i="12"/>
  <c r="R584" i="12"/>
  <c r="Q576" i="12"/>
  <c r="R576" i="12"/>
  <c r="Q556" i="12"/>
  <c r="R556" i="12"/>
  <c r="Q559" i="12"/>
  <c r="R559" i="12"/>
  <c r="Q583" i="12"/>
  <c r="R583" i="12"/>
  <c r="Q570" i="12"/>
  <c r="R570" i="12"/>
  <c r="Q580" i="12"/>
  <c r="R580" i="12"/>
  <c r="Q571" i="12"/>
  <c r="R571" i="12"/>
  <c r="Q572" i="12"/>
  <c r="R572" i="12"/>
  <c r="Q555" i="12"/>
  <c r="R555" i="12"/>
  <c r="Q589" i="12"/>
  <c r="R589" i="12"/>
  <c r="Q575" i="12"/>
  <c r="R575" i="12"/>
  <c r="Q560" i="12"/>
  <c r="R560" i="12"/>
  <c r="Q566" i="12"/>
  <c r="R566" i="12"/>
  <c r="Q569" i="12"/>
  <c r="R569" i="12"/>
  <c r="Q567" i="12"/>
  <c r="R567" i="12"/>
  <c r="Q561" i="12"/>
  <c r="R561" i="12"/>
  <c r="Q586" i="12"/>
  <c r="R586" i="12"/>
  <c r="Q587" i="12"/>
  <c r="R587" i="12"/>
  <c r="Q578" i="12"/>
  <c r="R578" i="12"/>
  <c r="Q568" i="12"/>
  <c r="R568" i="12"/>
  <c r="Q577" i="12"/>
  <c r="R577" i="12"/>
  <c r="Q588" i="12"/>
  <c r="R588" i="12"/>
  <c r="Q590" i="12"/>
  <c r="R590" i="12"/>
  <c r="Q554" i="12"/>
  <c r="R554" i="12"/>
  <c r="Q552" i="12"/>
  <c r="I4" i="12"/>
  <c r="I562" i="12"/>
  <c r="I574" i="12"/>
  <c r="I581" i="12"/>
  <c r="I563" i="12"/>
  <c r="I579" i="12"/>
  <c r="I557" i="12"/>
  <c r="I564" i="12"/>
  <c r="I582" i="12"/>
  <c r="I573" i="12"/>
  <c r="I565" i="12"/>
  <c r="I558" i="12"/>
  <c r="I584" i="12"/>
  <c r="I576" i="12"/>
  <c r="I556" i="12"/>
  <c r="I559" i="12"/>
  <c r="I583" i="12"/>
  <c r="I580" i="12"/>
  <c r="I571" i="12"/>
  <c r="I572" i="12"/>
  <c r="I555" i="12"/>
  <c r="I575" i="12"/>
  <c r="I560" i="12"/>
  <c r="I566" i="12"/>
  <c r="I569" i="12"/>
  <c r="I567" i="12"/>
  <c r="I561" i="12"/>
  <c r="I586" i="12"/>
  <c r="I587" i="12"/>
  <c r="I578" i="12"/>
  <c r="I568" i="12"/>
  <c r="I577" i="12"/>
  <c r="N327" i="23"/>
  <c r="O327" i="23"/>
  <c r="R2705" i="1"/>
  <c r="R2704" i="1"/>
  <c r="O326" i="23"/>
  <c r="N326" i="23"/>
  <c r="O325" i="23"/>
  <c r="N325" i="23"/>
  <c r="R2712" i="1"/>
  <c r="R2711" i="1"/>
  <c r="L324" i="23"/>
  <c r="M324" i="23"/>
  <c r="J324" i="23"/>
  <c r="L323" i="23"/>
  <c r="M323" i="23"/>
  <c r="J323" i="23"/>
  <c r="R2688" i="1"/>
  <c r="R2689" i="1"/>
  <c r="R2700" i="1"/>
  <c r="R2671" i="1"/>
  <c r="R2672" i="1"/>
  <c r="R2673" i="1"/>
  <c r="R2674" i="1"/>
  <c r="R2675" i="1"/>
  <c r="R2676" i="1"/>
  <c r="R2677" i="1"/>
  <c r="R2678" i="1"/>
  <c r="R2679" i="1"/>
  <c r="R2619" i="1"/>
  <c r="R2620" i="1"/>
  <c r="R2621" i="1"/>
  <c r="R1308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90" i="1"/>
  <c r="R2691" i="1"/>
  <c r="R2692" i="1"/>
  <c r="R2693" i="1"/>
  <c r="R2694" i="1"/>
  <c r="R2695" i="1"/>
  <c r="R2696" i="1"/>
  <c r="R2656" i="1"/>
  <c r="R2657" i="1"/>
  <c r="R2658" i="1"/>
  <c r="R2659" i="1"/>
  <c r="R2660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706" i="1"/>
  <c r="R2707" i="1"/>
  <c r="R2708" i="1"/>
  <c r="R2709" i="1"/>
  <c r="R2710" i="1"/>
  <c r="N411" i="12"/>
  <c r="O322" i="23"/>
  <c r="N322" i="23"/>
  <c r="J322" i="23"/>
  <c r="S321" i="23"/>
  <c r="N321" i="23"/>
  <c r="C321" i="23"/>
  <c r="O321" i="23"/>
  <c r="S320" i="23"/>
  <c r="N320" i="23"/>
  <c r="C320" i="23"/>
  <c r="O320" i="23"/>
  <c r="O319" i="23"/>
  <c r="N319" i="23"/>
  <c r="L319" i="23"/>
  <c r="M319" i="23"/>
  <c r="J319" i="23"/>
  <c r="O318" i="23"/>
  <c r="N318" i="23"/>
  <c r="L318" i="23"/>
  <c r="M318" i="23"/>
  <c r="J318" i="23"/>
  <c r="J317" i="23"/>
  <c r="S316" i="23"/>
  <c r="N316" i="23"/>
  <c r="N315" i="23"/>
  <c r="O315" i="23"/>
  <c r="J314" i="23"/>
  <c r="R2687" i="1"/>
  <c r="R2686" i="1"/>
  <c r="J312" i="23"/>
  <c r="N312" i="23"/>
  <c r="O312" i="23"/>
  <c r="J311" i="23"/>
  <c r="N311" i="23"/>
  <c r="O311" i="23"/>
  <c r="J310" i="23"/>
  <c r="L310" i="23"/>
  <c r="M310" i="23"/>
  <c r="N310" i="23"/>
  <c r="O310" i="23"/>
  <c r="J309" i="23"/>
  <c r="N309" i="23"/>
  <c r="O309" i="23"/>
  <c r="C305" i="23"/>
  <c r="N305" i="23"/>
  <c r="O305" i="23"/>
  <c r="S305" i="23"/>
  <c r="C306" i="23"/>
  <c r="N306" i="23"/>
  <c r="O306" i="23"/>
  <c r="S306" i="23"/>
  <c r="C307" i="23"/>
  <c r="N307" i="23"/>
  <c r="O307" i="23"/>
  <c r="S307" i="23"/>
  <c r="C308" i="23"/>
  <c r="S308" i="23"/>
  <c r="O304" i="23"/>
  <c r="N304" i="23"/>
  <c r="J304" i="23"/>
  <c r="N303" i="23"/>
  <c r="O303" i="23"/>
  <c r="S302" i="23"/>
  <c r="N302" i="23"/>
  <c r="C302" i="23"/>
  <c r="S301" i="23"/>
  <c r="N301" i="23"/>
  <c r="C301" i="23"/>
  <c r="S300" i="23"/>
  <c r="N300" i="23"/>
  <c r="C300" i="23"/>
  <c r="S299" i="23"/>
  <c r="N299" i="23"/>
  <c r="C299" i="23"/>
  <c r="O299" i="23"/>
  <c r="S298" i="23"/>
  <c r="N298" i="23"/>
  <c r="C298" i="23"/>
  <c r="O298" i="23"/>
  <c r="S297" i="23"/>
  <c r="N297" i="23"/>
  <c r="C297" i="23"/>
  <c r="O297" i="23"/>
  <c r="O296" i="23"/>
  <c r="N296" i="23"/>
  <c r="O295" i="23"/>
  <c r="N295" i="23"/>
  <c r="O294" i="23"/>
  <c r="N294" i="23"/>
  <c r="O293" i="23"/>
  <c r="N293" i="23"/>
  <c r="O292" i="23"/>
  <c r="N292" i="23"/>
  <c r="O291" i="23"/>
  <c r="N291" i="23"/>
  <c r="O290" i="23"/>
  <c r="N290" i="23"/>
  <c r="O289" i="23"/>
  <c r="N289" i="23"/>
  <c r="O288" i="23"/>
  <c r="N288" i="23"/>
  <c r="O287" i="23"/>
  <c r="N287" i="23"/>
  <c r="O286" i="23"/>
  <c r="N286" i="23"/>
  <c r="O285" i="23"/>
  <c r="N285" i="23"/>
  <c r="O284" i="23"/>
  <c r="N284" i="23"/>
  <c r="O283" i="23"/>
  <c r="N283" i="23"/>
  <c r="J283" i="23"/>
  <c r="O282" i="23"/>
  <c r="N282" i="23"/>
  <c r="O281" i="23"/>
  <c r="N281" i="23"/>
  <c r="O280" i="23"/>
  <c r="N280" i="23"/>
  <c r="O279" i="23"/>
  <c r="N279" i="23"/>
  <c r="O278" i="23"/>
  <c r="N278" i="23"/>
  <c r="O277" i="23"/>
  <c r="N277" i="23"/>
  <c r="O276" i="23"/>
  <c r="N276" i="23"/>
  <c r="O275" i="23"/>
  <c r="N275" i="23"/>
  <c r="O274" i="23"/>
  <c r="N274" i="23"/>
  <c r="O273" i="23"/>
  <c r="N273" i="23"/>
  <c r="O272" i="23"/>
  <c r="N272" i="23"/>
  <c r="O271" i="23"/>
  <c r="N271" i="23"/>
  <c r="O270" i="23"/>
  <c r="N270" i="23"/>
  <c r="O269" i="23"/>
  <c r="N269" i="23"/>
  <c r="O268" i="23"/>
  <c r="N268" i="23"/>
  <c r="J268" i="23"/>
  <c r="O267" i="23"/>
  <c r="N267" i="23"/>
  <c r="O266" i="23"/>
  <c r="N266" i="23"/>
  <c r="N265" i="23"/>
  <c r="O265" i="23"/>
  <c r="N264" i="23"/>
  <c r="O264" i="23"/>
  <c r="N263" i="23"/>
  <c r="O263" i="23"/>
  <c r="N262" i="23"/>
  <c r="O262" i="23"/>
  <c r="N261" i="23"/>
  <c r="O261" i="23"/>
  <c r="J260" i="23"/>
  <c r="N260" i="23"/>
  <c r="O260" i="23"/>
  <c r="N259" i="23"/>
  <c r="O259" i="23"/>
  <c r="N258" i="23"/>
  <c r="O258" i="23"/>
  <c r="N257" i="23"/>
  <c r="O257" i="23"/>
  <c r="N256" i="23"/>
  <c r="O256" i="23"/>
  <c r="N255" i="23"/>
  <c r="O255" i="23"/>
  <c r="N254" i="23"/>
  <c r="O254" i="23"/>
  <c r="N253" i="23"/>
  <c r="O253" i="23"/>
  <c r="N252" i="23"/>
  <c r="O252" i="23"/>
  <c r="N251" i="23"/>
  <c r="O251" i="23"/>
  <c r="N250" i="23"/>
  <c r="O250" i="23"/>
  <c r="N249" i="23"/>
  <c r="O249" i="23"/>
  <c r="N248" i="23"/>
  <c r="O248" i="23"/>
  <c r="J247" i="23"/>
  <c r="N247" i="23"/>
  <c r="O247" i="23"/>
  <c r="N246" i="23"/>
  <c r="O246" i="23"/>
  <c r="N245" i="23"/>
  <c r="O245" i="23"/>
  <c r="J244" i="23"/>
  <c r="N244" i="23"/>
  <c r="O244" i="23"/>
  <c r="N243" i="23"/>
  <c r="O243" i="23"/>
  <c r="T347" i="12"/>
  <c r="T310" i="12"/>
  <c r="T196" i="12"/>
  <c r="T353" i="12"/>
  <c r="T330" i="12"/>
  <c r="T147" i="12"/>
  <c r="T412" i="12"/>
  <c r="T221" i="12"/>
  <c r="T411" i="12"/>
  <c r="T168" i="12"/>
  <c r="T431" i="12"/>
  <c r="T285" i="12"/>
  <c r="T63" i="12"/>
  <c r="T322" i="12"/>
  <c r="T133" i="12"/>
  <c r="T269" i="12"/>
  <c r="T443" i="12"/>
  <c r="T505" i="12"/>
  <c r="T358" i="12"/>
  <c r="T90" i="12"/>
  <c r="T357" i="12"/>
  <c r="T224" i="12"/>
  <c r="T297" i="12"/>
  <c r="T243" i="12"/>
  <c r="T532" i="12"/>
  <c r="T491" i="12"/>
  <c r="T203" i="12"/>
  <c r="T303" i="12"/>
  <c r="T295" i="12"/>
  <c r="T108" i="12"/>
  <c r="T240" i="12"/>
  <c r="T435" i="12"/>
  <c r="T277" i="12"/>
  <c r="T276" i="12"/>
  <c r="T165" i="12"/>
  <c r="T153" i="12"/>
  <c r="T453" i="12"/>
  <c r="T377" i="12"/>
  <c r="T531" i="12"/>
  <c r="T387" i="12"/>
  <c r="T549" i="12"/>
  <c r="T190" i="12"/>
  <c r="T111" i="12"/>
  <c r="T343" i="12"/>
  <c r="T42" i="12"/>
  <c r="T354" i="12"/>
  <c r="T386" i="12"/>
  <c r="T361" i="12"/>
  <c r="T44" i="12"/>
  <c r="T282" i="12"/>
  <c r="T248" i="12"/>
  <c r="T263" i="12"/>
  <c r="T216" i="12"/>
  <c r="T139" i="12"/>
  <c r="T144" i="12"/>
  <c r="T181" i="12"/>
  <c r="T335" i="12"/>
  <c r="T187" i="12"/>
  <c r="T81" i="12"/>
  <c r="T163" i="12"/>
  <c r="T274" i="12"/>
  <c r="T458" i="12"/>
  <c r="T59" i="12"/>
  <c r="T336" i="12"/>
  <c r="T362" i="12"/>
  <c r="T169" i="12"/>
  <c r="T102" i="12"/>
  <c r="T104" i="12"/>
  <c r="T492" i="12"/>
  <c r="T78" i="12"/>
  <c r="T326" i="12"/>
  <c r="T331" i="12"/>
  <c r="T419" i="12"/>
  <c r="T290" i="12"/>
  <c r="T455" i="12"/>
  <c r="T474" i="12"/>
  <c r="T488" i="12"/>
  <c r="T174" i="12"/>
  <c r="T421" i="12"/>
  <c r="T138" i="12"/>
  <c r="T195" i="12"/>
  <c r="T548" i="12"/>
  <c r="T122" i="12"/>
  <c r="T236" i="12"/>
  <c r="T228" i="12"/>
  <c r="T158" i="12"/>
  <c r="T137" i="12"/>
  <c r="T305" i="12"/>
  <c r="T316" i="12"/>
  <c r="T51" i="12"/>
  <c r="T247" i="12"/>
  <c r="T510" i="12"/>
  <c r="T146" i="12"/>
  <c r="T498" i="12"/>
  <c r="T447" i="12"/>
  <c r="T157" i="12"/>
  <c r="T341" i="12"/>
  <c r="T56" i="12"/>
  <c r="T210" i="12"/>
  <c r="T365" i="12"/>
  <c r="T69" i="12"/>
  <c r="T172" i="12"/>
  <c r="T185" i="12"/>
  <c r="T89" i="12"/>
  <c r="T312" i="12"/>
  <c r="T231" i="12"/>
  <c r="T129" i="12"/>
  <c r="T430" i="12"/>
  <c r="T235" i="12"/>
  <c r="T232" i="12"/>
  <c r="T486" i="12"/>
  <c r="T494" i="12"/>
  <c r="T250" i="12"/>
  <c r="T202" i="12"/>
  <c r="T230" i="12"/>
  <c r="T479" i="12"/>
  <c r="T349" i="12"/>
  <c r="T300" i="12"/>
  <c r="T528" i="12"/>
  <c r="T150" i="12"/>
  <c r="T468" i="12"/>
  <c r="T395" i="12"/>
  <c r="T425" i="12"/>
  <c r="T60" i="12"/>
  <c r="T62" i="12"/>
  <c r="T234" i="12"/>
  <c r="T178" i="12"/>
  <c r="T52" i="12"/>
  <c r="T76" i="12"/>
  <c r="T475" i="12"/>
  <c r="T141" i="12"/>
  <c r="T152" i="12"/>
  <c r="T261" i="12"/>
  <c r="T79" i="12"/>
  <c r="T82" i="12"/>
  <c r="T223" i="12"/>
  <c r="T320" i="12"/>
  <c r="T516" i="12"/>
  <c r="T167" i="12"/>
  <c r="T489" i="12"/>
  <c r="T355" i="12"/>
  <c r="T103" i="12"/>
  <c r="T71" i="12"/>
  <c r="T252" i="12"/>
  <c r="T294" i="12"/>
  <c r="T450" i="12"/>
  <c r="T183" i="12"/>
  <c r="T265" i="12"/>
  <c r="T394" i="12"/>
  <c r="T487" i="12"/>
  <c r="T170" i="12"/>
  <c r="T533" i="12"/>
  <c r="T212" i="12"/>
  <c r="T214" i="12"/>
  <c r="T279" i="12"/>
  <c r="T383" i="12"/>
  <c r="T428" i="12"/>
  <c r="T286" i="12"/>
  <c r="T325" i="12"/>
  <c r="T427" i="12"/>
  <c r="T424" i="12"/>
  <c r="T211" i="12"/>
  <c r="T379" i="12"/>
  <c r="T140" i="12"/>
  <c r="T244" i="12"/>
  <c r="T38" i="12"/>
  <c r="T509" i="12"/>
  <c r="T99" i="12"/>
  <c r="T495" i="12"/>
  <c r="T198" i="12"/>
  <c r="T517" i="12"/>
  <c r="T306" i="12"/>
  <c r="T256" i="12"/>
  <c r="T229" i="12"/>
  <c r="T35" i="12"/>
  <c r="T73" i="12"/>
  <c r="T262" i="12"/>
  <c r="T461" i="12"/>
  <c r="T164" i="12"/>
  <c r="T467" i="12"/>
  <c r="T154" i="12"/>
  <c r="T433" i="12"/>
  <c r="T68" i="12"/>
  <c r="T534" i="12"/>
  <c r="T477" i="12"/>
  <c r="T416" i="12"/>
  <c r="T382" i="12"/>
  <c r="T501" i="12"/>
  <c r="T70" i="12"/>
  <c r="T500" i="12"/>
  <c r="T553" i="12"/>
  <c r="T313" i="12"/>
  <c r="T338" i="12"/>
  <c r="T321" i="12"/>
  <c r="T54" i="12"/>
  <c r="T218" i="12"/>
  <c r="T66" i="12"/>
  <c r="T463" i="12"/>
  <c r="T72" i="12"/>
  <c r="T454" i="12"/>
  <c r="T515" i="12"/>
  <c r="T296" i="12"/>
  <c r="T460" i="12"/>
  <c r="T121" i="12"/>
  <c r="T280" i="12"/>
  <c r="T192" i="12"/>
  <c r="T151" i="12"/>
  <c r="T397" i="12"/>
  <c r="T329" i="12"/>
  <c r="T86" i="12"/>
  <c r="T473" i="12"/>
  <c r="T434" i="12"/>
  <c r="T400" i="12"/>
  <c r="T30" i="12"/>
  <c r="T238" i="12"/>
  <c r="T131" i="12"/>
  <c r="T293" i="12"/>
  <c r="T391" i="12"/>
  <c r="T267" i="12"/>
  <c r="T126" i="12"/>
  <c r="T123" i="12"/>
  <c r="T420" i="12"/>
  <c r="T552" i="12"/>
  <c r="T368" i="12"/>
  <c r="T254" i="12"/>
  <c r="T275" i="12"/>
  <c r="T91" i="12"/>
  <c r="T302" i="12"/>
  <c r="T364" i="12"/>
  <c r="T333" i="12"/>
  <c r="T124" i="12"/>
  <c r="T118" i="12"/>
  <c r="T208" i="12"/>
  <c r="T220" i="12"/>
  <c r="T472" i="12"/>
  <c r="T177" i="12"/>
  <c r="T392" i="12"/>
  <c r="T45" i="12"/>
  <c r="T523" i="12"/>
  <c r="T182" i="12"/>
  <c r="T113" i="12"/>
  <c r="T289" i="12"/>
  <c r="T200" i="12"/>
  <c r="T545" i="12"/>
  <c r="T57" i="12"/>
  <c r="T85" i="12"/>
  <c r="T64" i="12"/>
  <c r="T298" i="12"/>
  <c r="T260" i="12"/>
  <c r="T440" i="12"/>
  <c r="T41" i="12"/>
  <c r="T360" i="12"/>
  <c r="T327" i="12"/>
  <c r="T95" i="12"/>
  <c r="T539" i="12"/>
  <c r="T40" i="12"/>
  <c r="T466" i="12"/>
  <c r="T253" i="12"/>
  <c r="T145" i="12"/>
  <c r="T340" i="12"/>
  <c r="T249" i="12"/>
  <c r="T143" i="12"/>
  <c r="T499" i="12"/>
  <c r="T227" i="12"/>
  <c r="T107" i="12"/>
  <c r="T378" i="12"/>
  <c r="T324" i="12"/>
  <c r="T206" i="12"/>
  <c r="T507" i="12"/>
  <c r="T115" i="12"/>
  <c r="T242" i="12"/>
  <c r="T58" i="12"/>
  <c r="T239" i="12"/>
  <c r="T246" i="12"/>
  <c r="T272" i="12"/>
  <c r="T363" i="12"/>
  <c r="T84" i="12"/>
  <c r="T43" i="12"/>
  <c r="T332" i="12"/>
  <c r="T346" i="12"/>
  <c r="T375" i="12"/>
  <c r="T442" i="12"/>
  <c r="T75" i="12"/>
  <c r="T478" i="12"/>
  <c r="T134" i="12"/>
  <c r="T493" i="12"/>
  <c r="T471" i="12"/>
  <c r="T314" i="12"/>
  <c r="T93" i="12"/>
  <c r="T31" i="12"/>
  <c r="T130" i="12"/>
  <c r="T161" i="12"/>
  <c r="T213" i="12"/>
  <c r="T519" i="12"/>
  <c r="T514" i="12"/>
  <c r="T529" i="12"/>
  <c r="T176" i="12"/>
  <c r="T92" i="12"/>
  <c r="T359" i="12"/>
  <c r="T337" i="12"/>
  <c r="T205" i="12"/>
  <c r="T125" i="12"/>
  <c r="T132" i="12"/>
  <c r="T342" i="12"/>
  <c r="T403" i="12"/>
  <c r="T225" i="12"/>
  <c r="T462" i="12"/>
  <c r="T309" i="12"/>
  <c r="T127" i="12"/>
  <c r="T110" i="12"/>
  <c r="T193" i="12"/>
  <c r="T551" i="12"/>
  <c r="T77" i="12"/>
  <c r="T334" i="12"/>
  <c r="T356" i="12"/>
  <c r="T215" i="12"/>
  <c r="T180" i="12"/>
  <c r="T304" i="12"/>
  <c r="T372" i="12"/>
  <c r="T100" i="12"/>
  <c r="T266" i="12"/>
  <c r="T350" i="12"/>
  <c r="T233" i="12"/>
  <c r="T199" i="12"/>
  <c r="T88" i="12"/>
  <c r="T128" i="12"/>
  <c r="T518" i="12"/>
  <c r="T48" i="12"/>
  <c r="T525" i="12"/>
  <c r="T87" i="12"/>
  <c r="T399" i="12"/>
  <c r="T116" i="12"/>
  <c r="T142" i="12"/>
  <c r="T136" i="12"/>
  <c r="T65" i="12"/>
  <c r="T459" i="12"/>
  <c r="T160" i="12"/>
  <c r="T97" i="12"/>
  <c r="T535" i="12"/>
  <c r="T39" i="12"/>
  <c r="T268" i="12"/>
  <c r="T287" i="12"/>
  <c r="T47" i="12"/>
  <c r="T483" i="12"/>
  <c r="T257" i="12"/>
  <c r="T114" i="12"/>
  <c r="T159" i="12"/>
  <c r="T537" i="12"/>
  <c r="T380" i="12"/>
  <c r="T184" i="12"/>
  <c r="T251" i="12"/>
  <c r="T173" i="12"/>
  <c r="T446" i="12"/>
  <c r="T451" i="12"/>
  <c r="T283" i="12"/>
  <c r="T522" i="12"/>
  <c r="T109" i="12"/>
  <c r="T259" i="12"/>
  <c r="T288" i="12"/>
  <c r="T50" i="12"/>
  <c r="T401" i="12"/>
  <c r="T457" i="12"/>
  <c r="T550" i="12"/>
  <c r="T538" i="12"/>
  <c r="T222" i="12"/>
  <c r="T80" i="12"/>
  <c r="T423" i="12"/>
  <c r="T444" i="12"/>
  <c r="T317" i="12"/>
  <c r="T278" i="12"/>
  <c r="T348" i="12"/>
  <c r="T166" i="12"/>
  <c r="T271" i="12"/>
  <c r="T53" i="12"/>
  <c r="T418" i="12"/>
  <c r="T299" i="12"/>
  <c r="T437" i="12"/>
  <c r="T554" i="12"/>
  <c r="T112" i="12"/>
  <c r="T217" i="12"/>
  <c r="T415" i="12"/>
  <c r="T258" i="12"/>
  <c r="T323" i="12"/>
  <c r="T407" i="12"/>
  <c r="T318" i="12"/>
  <c r="T307" i="12"/>
  <c r="T194" i="12"/>
  <c r="T436" i="12"/>
  <c r="T311" i="12"/>
  <c r="T186" i="12"/>
  <c r="T385" i="12"/>
  <c r="T264" i="12"/>
  <c r="T344" i="12"/>
  <c r="T237" i="12"/>
  <c r="T406" i="12"/>
  <c r="T396" i="12"/>
  <c r="T67" i="12"/>
  <c r="T241" i="12"/>
  <c r="T371" i="12"/>
  <c r="T292" i="12"/>
  <c r="T284" i="12"/>
  <c r="T255" i="12"/>
  <c r="T521" i="12"/>
  <c r="T148" i="12"/>
  <c r="T408" i="12"/>
  <c r="T119" i="12"/>
  <c r="T74" i="12"/>
  <c r="T547" i="12"/>
  <c r="T536" i="12"/>
  <c r="T281" i="12"/>
  <c r="T201" i="12"/>
  <c r="T465" i="12"/>
  <c r="T388" i="12"/>
  <c r="T191" i="12"/>
  <c r="T83" i="12"/>
  <c r="T245" i="12"/>
  <c r="T441" i="12"/>
  <c r="T490" i="12"/>
  <c r="T301" i="12"/>
  <c r="T29" i="12"/>
  <c r="T179" i="12"/>
  <c r="T207" i="12"/>
  <c r="T49" i="12"/>
  <c r="T413" i="12"/>
  <c r="T482" i="12"/>
  <c r="T149" i="12"/>
  <c r="T409" i="12"/>
  <c r="T417" i="12"/>
  <c r="T476" i="12"/>
  <c r="T542" i="12"/>
  <c r="T171" i="12"/>
  <c r="T404" i="12"/>
  <c r="T384" i="12"/>
  <c r="T464" i="12"/>
  <c r="T345" i="12"/>
  <c r="T105" i="12"/>
  <c r="T315" i="12"/>
  <c r="T449" i="12"/>
  <c r="S449" i="12"/>
  <c r="S347" i="12"/>
  <c r="S310" i="12"/>
  <c r="S196" i="12"/>
  <c r="S353" i="12"/>
  <c r="S330" i="12"/>
  <c r="S147" i="12"/>
  <c r="S412" i="12"/>
  <c r="S221" i="12"/>
  <c r="S411" i="12"/>
  <c r="S168" i="12"/>
  <c r="S431" i="12"/>
  <c r="S285" i="12"/>
  <c r="S63" i="12"/>
  <c r="S322" i="12"/>
  <c r="S133" i="12"/>
  <c r="S269" i="12"/>
  <c r="S443" i="12"/>
  <c r="S505" i="12"/>
  <c r="S358" i="12"/>
  <c r="S90" i="12"/>
  <c r="S357" i="12"/>
  <c r="S224" i="12"/>
  <c r="S297" i="12"/>
  <c r="S243" i="12"/>
  <c r="S532" i="12"/>
  <c r="S491" i="12"/>
  <c r="S203" i="12"/>
  <c r="S303" i="12"/>
  <c r="S295" i="12"/>
  <c r="S108" i="12"/>
  <c r="S240" i="12"/>
  <c r="S435" i="12"/>
  <c r="S277" i="12"/>
  <c r="S276" i="12"/>
  <c r="S165" i="12"/>
  <c r="S153" i="12"/>
  <c r="S453" i="12"/>
  <c r="S377" i="12"/>
  <c r="S531" i="12"/>
  <c r="S387" i="12"/>
  <c r="S549" i="12"/>
  <c r="S190" i="12"/>
  <c r="S111" i="12"/>
  <c r="S343" i="12"/>
  <c r="S42" i="12"/>
  <c r="S354" i="12"/>
  <c r="S386" i="12"/>
  <c r="S361" i="12"/>
  <c r="S44" i="12"/>
  <c r="S282" i="12"/>
  <c r="S248" i="12"/>
  <c r="S263" i="12"/>
  <c r="S216" i="12"/>
  <c r="S139" i="12"/>
  <c r="S144" i="12"/>
  <c r="S181" i="12"/>
  <c r="S335" i="12"/>
  <c r="S187" i="12"/>
  <c r="S81" i="12"/>
  <c r="S163" i="12"/>
  <c r="S274" i="12"/>
  <c r="S458" i="12"/>
  <c r="S59" i="12"/>
  <c r="S336" i="12"/>
  <c r="S362" i="12"/>
  <c r="S169" i="12"/>
  <c r="S102" i="12"/>
  <c r="S104" i="12"/>
  <c r="S492" i="12"/>
  <c r="S78" i="12"/>
  <c r="S326" i="12"/>
  <c r="S331" i="12"/>
  <c r="S419" i="12"/>
  <c r="S290" i="12"/>
  <c r="S455" i="12"/>
  <c r="S474" i="12"/>
  <c r="S488" i="12"/>
  <c r="S174" i="12"/>
  <c r="S421" i="12"/>
  <c r="S138" i="12"/>
  <c r="S195" i="12"/>
  <c r="S548" i="12"/>
  <c r="S122" i="12"/>
  <c r="S236" i="12"/>
  <c r="S228" i="12"/>
  <c r="S158" i="12"/>
  <c r="S137" i="12"/>
  <c r="S305" i="12"/>
  <c r="S316" i="12"/>
  <c r="S51" i="12"/>
  <c r="S247" i="12"/>
  <c r="S510" i="12"/>
  <c r="S146" i="12"/>
  <c r="S498" i="12"/>
  <c r="S447" i="12"/>
  <c r="S157" i="12"/>
  <c r="S341" i="12"/>
  <c r="S56" i="12"/>
  <c r="S210" i="12"/>
  <c r="S365" i="12"/>
  <c r="S69" i="12"/>
  <c r="S172" i="12"/>
  <c r="S185" i="12"/>
  <c r="S89" i="12"/>
  <c r="S312" i="12"/>
  <c r="S231" i="12"/>
  <c r="S129" i="12"/>
  <c r="S430" i="12"/>
  <c r="S235" i="12"/>
  <c r="S232" i="12"/>
  <c r="S486" i="12"/>
  <c r="S494" i="12"/>
  <c r="S250" i="12"/>
  <c r="S202" i="12"/>
  <c r="S230" i="12"/>
  <c r="S479" i="12"/>
  <c r="S349" i="12"/>
  <c r="S300" i="12"/>
  <c r="S528" i="12"/>
  <c r="S150" i="12"/>
  <c r="S468" i="12"/>
  <c r="S395" i="12"/>
  <c r="S425" i="12"/>
  <c r="S60" i="12"/>
  <c r="S62" i="12"/>
  <c r="S234" i="12"/>
  <c r="S178" i="12"/>
  <c r="S52" i="12"/>
  <c r="S76" i="12"/>
  <c r="S475" i="12"/>
  <c r="S141" i="12"/>
  <c r="S152" i="12"/>
  <c r="S261" i="12"/>
  <c r="S79" i="12"/>
  <c r="S82" i="12"/>
  <c r="S223" i="12"/>
  <c r="S320" i="12"/>
  <c r="S516" i="12"/>
  <c r="S167" i="12"/>
  <c r="S489" i="12"/>
  <c r="S355" i="12"/>
  <c r="S103" i="12"/>
  <c r="S71" i="12"/>
  <c r="S252" i="12"/>
  <c r="S294" i="12"/>
  <c r="S450" i="12"/>
  <c r="S183" i="12"/>
  <c r="S265" i="12"/>
  <c r="S394" i="12"/>
  <c r="S487" i="12"/>
  <c r="S170" i="12"/>
  <c r="S533" i="12"/>
  <c r="S212" i="12"/>
  <c r="S214" i="12"/>
  <c r="S279" i="12"/>
  <c r="S383" i="12"/>
  <c r="S428" i="12"/>
  <c r="S286" i="12"/>
  <c r="S325" i="12"/>
  <c r="S427" i="12"/>
  <c r="S424" i="12"/>
  <c r="S211" i="12"/>
  <c r="S379" i="12"/>
  <c r="S140" i="12"/>
  <c r="S244" i="12"/>
  <c r="S38" i="12"/>
  <c r="S509" i="12"/>
  <c r="S99" i="12"/>
  <c r="S495" i="12"/>
  <c r="S198" i="12"/>
  <c r="S517" i="12"/>
  <c r="S306" i="12"/>
  <c r="S256" i="12"/>
  <c r="S229" i="12"/>
  <c r="S35" i="12"/>
  <c r="S73" i="12"/>
  <c r="S262" i="12"/>
  <c r="S461" i="12"/>
  <c r="S164" i="12"/>
  <c r="S467" i="12"/>
  <c r="S154" i="12"/>
  <c r="S433" i="12"/>
  <c r="S68" i="12"/>
  <c r="S534" i="12"/>
  <c r="S477" i="12"/>
  <c r="S416" i="12"/>
  <c r="S382" i="12"/>
  <c r="S501" i="12"/>
  <c r="S70" i="12"/>
  <c r="S500" i="12"/>
  <c r="S553" i="12"/>
  <c r="S313" i="12"/>
  <c r="S338" i="12"/>
  <c r="S321" i="12"/>
  <c r="S54" i="12"/>
  <c r="S218" i="12"/>
  <c r="S66" i="12"/>
  <c r="S463" i="12"/>
  <c r="S72" i="12"/>
  <c r="S515" i="12"/>
  <c r="S296" i="12"/>
  <c r="S460" i="12"/>
  <c r="S121" i="12"/>
  <c r="S280" i="12"/>
  <c r="S192" i="12"/>
  <c r="S151" i="12"/>
  <c r="S397" i="12"/>
  <c r="S329" i="12"/>
  <c r="S86" i="12"/>
  <c r="S473" i="12"/>
  <c r="S434" i="12"/>
  <c r="S400" i="12"/>
  <c r="S30" i="12"/>
  <c r="S238" i="12"/>
  <c r="S131" i="12"/>
  <c r="S293" i="12"/>
  <c r="S391" i="12"/>
  <c r="S267" i="12"/>
  <c r="S126" i="12"/>
  <c r="S123" i="12"/>
  <c r="S420" i="12"/>
  <c r="S552" i="12"/>
  <c r="S368" i="12"/>
  <c r="S254" i="12"/>
  <c r="S275" i="12"/>
  <c r="S91" i="12"/>
  <c r="S302" i="12"/>
  <c r="S364" i="12"/>
  <c r="S333" i="12"/>
  <c r="S124" i="12"/>
  <c r="S118" i="12"/>
  <c r="S208" i="12"/>
  <c r="S220" i="12"/>
  <c r="S472" i="12"/>
  <c r="S177" i="12"/>
  <c r="S392" i="12"/>
  <c r="S45" i="12"/>
  <c r="S523" i="12"/>
  <c r="S182" i="12"/>
  <c r="S113" i="12"/>
  <c r="S289" i="12"/>
  <c r="S200" i="12"/>
  <c r="S545" i="12"/>
  <c r="S57" i="12"/>
  <c r="S85" i="12"/>
  <c r="S64" i="12"/>
  <c r="S298" i="12"/>
  <c r="S260" i="12"/>
  <c r="S440" i="12"/>
  <c r="S41" i="12"/>
  <c r="S360" i="12"/>
  <c r="S327" i="12"/>
  <c r="S95" i="12"/>
  <c r="S539" i="12"/>
  <c r="S40" i="12"/>
  <c r="S466" i="12"/>
  <c r="S253" i="12"/>
  <c r="S145" i="12"/>
  <c r="S340" i="12"/>
  <c r="S249" i="12"/>
  <c r="S143" i="12"/>
  <c r="S499" i="12"/>
  <c r="S227" i="12"/>
  <c r="S107" i="12"/>
  <c r="S378" i="12"/>
  <c r="S324" i="12"/>
  <c r="S507" i="12"/>
  <c r="S115" i="12"/>
  <c r="S242" i="12"/>
  <c r="S58" i="12"/>
  <c r="S239" i="12"/>
  <c r="S246" i="12"/>
  <c r="S272" i="12"/>
  <c r="S363" i="12"/>
  <c r="S84" i="12"/>
  <c r="S43" i="12"/>
  <c r="S332" i="12"/>
  <c r="S346" i="12"/>
  <c r="S375" i="12"/>
  <c r="S442" i="12"/>
  <c r="S75" i="12"/>
  <c r="S478" i="12"/>
  <c r="S134" i="12"/>
  <c r="S493" i="12"/>
  <c r="S471" i="12"/>
  <c r="S314" i="12"/>
  <c r="S93" i="12"/>
  <c r="S31" i="12"/>
  <c r="S130" i="12"/>
  <c r="S161" i="12"/>
  <c r="S213" i="12"/>
  <c r="S519" i="12"/>
  <c r="S514" i="12"/>
  <c r="S529" i="12"/>
  <c r="S176" i="12"/>
  <c r="S92" i="12"/>
  <c r="S359" i="12"/>
  <c r="S337" i="12"/>
  <c r="S205" i="12"/>
  <c r="S125" i="12"/>
  <c r="S132" i="12"/>
  <c r="S342" i="12"/>
  <c r="S403" i="12"/>
  <c r="S225" i="12"/>
  <c r="S462" i="12"/>
  <c r="S309" i="12"/>
  <c r="S127" i="12"/>
  <c r="S110" i="12"/>
  <c r="S193" i="12"/>
  <c r="S551" i="12"/>
  <c r="S77" i="12"/>
  <c r="S334" i="12"/>
  <c r="S356" i="12"/>
  <c r="S215" i="12"/>
  <c r="S180" i="12"/>
  <c r="S304" i="12"/>
  <c r="S372" i="12"/>
  <c r="S100" i="12"/>
  <c r="S266" i="12"/>
  <c r="S233" i="12"/>
  <c r="S199" i="12"/>
  <c r="S88" i="12"/>
  <c r="S128" i="12"/>
  <c r="S518" i="12"/>
  <c r="S48" i="12"/>
  <c r="S525" i="12"/>
  <c r="S87" i="12"/>
  <c r="S399" i="12"/>
  <c r="S116" i="12"/>
  <c r="S142" i="12"/>
  <c r="S136" i="12"/>
  <c r="S65" i="12"/>
  <c r="S459" i="12"/>
  <c r="S160" i="12"/>
  <c r="S97" i="12"/>
  <c r="S535" i="12"/>
  <c r="S39" i="12"/>
  <c r="S268" i="12"/>
  <c r="S287" i="12"/>
  <c r="S47" i="12"/>
  <c r="S483" i="12"/>
  <c r="S257" i="12"/>
  <c r="S114" i="12"/>
  <c r="S159" i="12"/>
  <c r="S537" i="12"/>
  <c r="S380" i="12"/>
  <c r="S184" i="12"/>
  <c r="S251" i="12"/>
  <c r="S173" i="12"/>
  <c r="S446" i="12"/>
  <c r="S451" i="12"/>
  <c r="S283" i="12"/>
  <c r="S522" i="12"/>
  <c r="S109" i="12"/>
  <c r="S259" i="12"/>
  <c r="S288" i="12"/>
  <c r="S50" i="12"/>
  <c r="S401" i="12"/>
  <c r="S457" i="12"/>
  <c r="S550" i="12"/>
  <c r="S538" i="12"/>
  <c r="S222" i="12"/>
  <c r="S80" i="12"/>
  <c r="S423" i="12"/>
  <c r="S444" i="12"/>
  <c r="S317" i="12"/>
  <c r="S278" i="12"/>
  <c r="S348" i="12"/>
  <c r="S166" i="12"/>
  <c r="S271" i="12"/>
  <c r="S53" i="12"/>
  <c r="S418" i="12"/>
  <c r="S299" i="12"/>
  <c r="S437" i="12"/>
  <c r="S554" i="12"/>
  <c r="S112" i="12"/>
  <c r="S217" i="12"/>
  <c r="S415" i="12"/>
  <c r="S258" i="12"/>
  <c r="S323" i="12"/>
  <c r="S407" i="12"/>
  <c r="S318" i="12"/>
  <c r="S307" i="12"/>
  <c r="S194" i="12"/>
  <c r="S436" i="12"/>
  <c r="S311" i="12"/>
  <c r="S186" i="12"/>
  <c r="S385" i="12"/>
  <c r="S264" i="12"/>
  <c r="S344" i="12"/>
  <c r="S237" i="12"/>
  <c r="S406" i="12"/>
  <c r="S396" i="12"/>
  <c r="S67" i="12"/>
  <c r="S241" i="12"/>
  <c r="S371" i="12"/>
  <c r="S292" i="12"/>
  <c r="S284" i="12"/>
  <c r="S255" i="12"/>
  <c r="S521" i="12"/>
  <c r="S148" i="12"/>
  <c r="S408" i="12"/>
  <c r="S119" i="12"/>
  <c r="S74" i="12"/>
  <c r="S547" i="12"/>
  <c r="S536" i="12"/>
  <c r="S281" i="12"/>
  <c r="S201" i="12"/>
  <c r="S465" i="12"/>
  <c r="S388" i="12"/>
  <c r="S191" i="12"/>
  <c r="S83" i="12"/>
  <c r="S245" i="12"/>
  <c r="S441" i="12"/>
  <c r="S490" i="12"/>
  <c r="S301" i="12"/>
  <c r="S29" i="12"/>
  <c r="S179" i="12"/>
  <c r="S207" i="12"/>
  <c r="S49" i="12"/>
  <c r="S413" i="12"/>
  <c r="S482" i="12"/>
  <c r="S149" i="12"/>
  <c r="S409" i="12"/>
  <c r="S417" i="12"/>
  <c r="S476" i="12"/>
  <c r="S542" i="12"/>
  <c r="S171" i="12"/>
  <c r="S404" i="12"/>
  <c r="S384" i="12"/>
  <c r="S464" i="12"/>
  <c r="S345" i="12"/>
  <c r="S105" i="12"/>
  <c r="S315" i="12"/>
  <c r="A449" i="12"/>
  <c r="A30" i="12"/>
  <c r="A31" i="12"/>
  <c r="A33" i="12"/>
  <c r="A32" i="12"/>
  <c r="A34" i="12"/>
  <c r="A35" i="12"/>
  <c r="A36" i="12"/>
  <c r="A37" i="12"/>
  <c r="A38" i="12"/>
  <c r="A39" i="12"/>
  <c r="A40" i="12"/>
  <c r="A42" i="12"/>
  <c r="A41" i="12"/>
  <c r="A43" i="12"/>
  <c r="A5" i="12"/>
  <c r="A44" i="12"/>
  <c r="A46" i="12"/>
  <c r="A45" i="12"/>
  <c r="A47" i="12"/>
  <c r="A48" i="12"/>
  <c r="A49" i="12"/>
  <c r="A50" i="12"/>
  <c r="A51" i="12"/>
  <c r="A52" i="12"/>
  <c r="A96" i="12"/>
  <c r="A53" i="12"/>
  <c r="A55" i="12"/>
  <c r="A54" i="12"/>
  <c r="A57" i="12"/>
  <c r="A56" i="12"/>
  <c r="A58" i="12"/>
  <c r="A59" i="12"/>
  <c r="A60" i="12"/>
  <c r="A61" i="12"/>
  <c r="A62" i="12"/>
  <c r="A63" i="12"/>
  <c r="A64" i="12"/>
  <c r="A65" i="12"/>
  <c r="A66" i="12"/>
  <c r="A67" i="12"/>
  <c r="A68" i="12"/>
  <c r="A71" i="12"/>
  <c r="A70" i="12"/>
  <c r="A69" i="12"/>
  <c r="A73" i="12"/>
  <c r="A72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8" i="12"/>
  <c r="A89" i="12"/>
  <c r="A87" i="12"/>
  <c r="A91" i="12"/>
  <c r="A90" i="12"/>
  <c r="A92" i="12"/>
  <c r="A93" i="12"/>
  <c r="A94" i="12"/>
  <c r="A95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512" i="12"/>
  <c r="A111" i="12"/>
  <c r="A112" i="12"/>
  <c r="A113" i="12"/>
  <c r="A114" i="12"/>
  <c r="A115" i="12"/>
  <c r="A116" i="12"/>
  <c r="A118" i="12"/>
  <c r="A119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7" i="12"/>
  <c r="A136" i="12"/>
  <c r="A138" i="12"/>
  <c r="A139" i="12"/>
  <c r="A140" i="12"/>
  <c r="A141" i="12"/>
  <c r="A142" i="12"/>
  <c r="A143" i="12"/>
  <c r="A145" i="12"/>
  <c r="A144" i="12"/>
  <c r="A146" i="12"/>
  <c r="A147" i="12"/>
  <c r="A148" i="12"/>
  <c r="A149" i="12"/>
  <c r="A150" i="12"/>
  <c r="A151" i="12"/>
  <c r="A153" i="12"/>
  <c r="A152" i="12"/>
  <c r="A154" i="12"/>
  <c r="A155" i="12"/>
  <c r="A156" i="12"/>
  <c r="A157" i="12"/>
  <c r="A158" i="12"/>
  <c r="A159" i="12"/>
  <c r="A160" i="12"/>
  <c r="A162" i="12"/>
  <c r="A161" i="12"/>
  <c r="A163" i="12"/>
  <c r="A164" i="12"/>
  <c r="A165" i="12"/>
  <c r="A167" i="12"/>
  <c r="A166" i="12"/>
  <c r="A168" i="12"/>
  <c r="A169" i="12"/>
  <c r="A170" i="12"/>
  <c r="A171" i="12"/>
  <c r="A172" i="12"/>
  <c r="A174" i="12"/>
  <c r="A173" i="12"/>
  <c r="A175" i="12"/>
  <c r="A176" i="12"/>
  <c r="A177" i="12"/>
  <c r="A179" i="12"/>
  <c r="A178" i="12"/>
  <c r="A181" i="12"/>
  <c r="A180" i="12"/>
  <c r="A182" i="12"/>
  <c r="A183" i="12"/>
  <c r="A184" i="12"/>
  <c r="A185" i="12"/>
  <c r="A186" i="12"/>
  <c r="A187" i="12"/>
  <c r="A190" i="12"/>
  <c r="A189" i="12"/>
  <c r="A192" i="12"/>
  <c r="A191" i="12"/>
  <c r="A193" i="12"/>
  <c r="A194" i="12"/>
  <c r="A195" i="12"/>
  <c r="A196" i="12"/>
  <c r="A197" i="12"/>
  <c r="A198" i="12"/>
  <c r="A200" i="12"/>
  <c r="A199" i="12"/>
  <c r="A201" i="12"/>
  <c r="A203" i="12"/>
  <c r="A202" i="12"/>
  <c r="A204" i="12"/>
  <c r="A205" i="12"/>
  <c r="A206" i="12"/>
  <c r="A208" i="12"/>
  <c r="A207" i="12"/>
  <c r="A209" i="12"/>
  <c r="A210" i="12"/>
  <c r="A211" i="12"/>
  <c r="A212" i="12"/>
  <c r="A213" i="12"/>
  <c r="A214" i="12"/>
  <c r="A215" i="12"/>
  <c r="A216" i="12"/>
  <c r="A217" i="12"/>
  <c r="A17" i="12"/>
  <c r="A218" i="12"/>
  <c r="A221" i="12"/>
  <c r="A220" i="12"/>
  <c r="A223" i="12"/>
  <c r="A222" i="12"/>
  <c r="A224" i="12"/>
  <c r="A226" i="12"/>
  <c r="A227" i="12"/>
  <c r="A228" i="12"/>
  <c r="A225" i="12"/>
  <c r="A229" i="12"/>
  <c r="A230" i="12"/>
  <c r="A232" i="12"/>
  <c r="A231" i="12"/>
  <c r="A233" i="12"/>
  <c r="A235" i="12"/>
  <c r="A234" i="12"/>
  <c r="A236" i="12"/>
  <c r="A237" i="12"/>
  <c r="A239" i="12"/>
  <c r="A238" i="12"/>
  <c r="A240" i="12"/>
  <c r="A241" i="12"/>
  <c r="A242" i="12"/>
  <c r="A243" i="12"/>
  <c r="A244" i="12"/>
  <c r="A246" i="12"/>
  <c r="A247" i="12"/>
  <c r="A245" i="12"/>
  <c r="A248" i="12"/>
  <c r="A249" i="12"/>
  <c r="A250" i="12"/>
  <c r="A251" i="12"/>
  <c r="A252" i="12"/>
  <c r="A254" i="12"/>
  <c r="A253" i="12"/>
  <c r="A256" i="12"/>
  <c r="A255" i="12"/>
  <c r="A257" i="12"/>
  <c r="A259" i="12"/>
  <c r="A261" i="12"/>
  <c r="A258" i="12"/>
  <c r="A260" i="12"/>
  <c r="A262" i="12"/>
  <c r="A263" i="12"/>
  <c r="A266" i="12"/>
  <c r="A265" i="12"/>
  <c r="A264" i="12"/>
  <c r="A267" i="12"/>
  <c r="A269" i="12"/>
  <c r="A268" i="12"/>
  <c r="A271" i="12"/>
  <c r="A272" i="12"/>
  <c r="A308" i="12"/>
  <c r="A273" i="12"/>
  <c r="A274" i="12"/>
  <c r="A275" i="12"/>
  <c r="A276" i="12"/>
  <c r="A277" i="12"/>
  <c r="A278" i="12"/>
  <c r="A279" i="12"/>
  <c r="A280" i="12"/>
  <c r="A282" i="12"/>
  <c r="A281" i="12"/>
  <c r="A283" i="12"/>
  <c r="A285" i="12"/>
  <c r="A284" i="12"/>
  <c r="A286" i="12"/>
  <c r="A287" i="12"/>
  <c r="A288" i="12"/>
  <c r="A289" i="12"/>
  <c r="A290" i="12"/>
  <c r="A294" i="12"/>
  <c r="A293" i="12"/>
  <c r="A292" i="12"/>
  <c r="A295" i="12"/>
  <c r="A296" i="12"/>
  <c r="A297" i="12"/>
  <c r="A298" i="12"/>
  <c r="A300" i="12"/>
  <c r="A299" i="12"/>
  <c r="A302" i="12"/>
  <c r="A301" i="12"/>
  <c r="A303" i="12"/>
  <c r="A305" i="12"/>
  <c r="A304" i="12"/>
  <c r="A306" i="12"/>
  <c r="A307" i="12"/>
  <c r="A309" i="12"/>
  <c r="A310" i="12"/>
  <c r="A311" i="12"/>
  <c r="A312" i="12"/>
  <c r="A313" i="12"/>
  <c r="A314" i="12"/>
  <c r="A315" i="12"/>
  <c r="A316" i="12"/>
  <c r="A317" i="12"/>
  <c r="A319" i="12"/>
  <c r="A318" i="12"/>
  <c r="A320" i="12"/>
  <c r="A321" i="12"/>
  <c r="A322" i="12"/>
  <c r="A323" i="12"/>
  <c r="A324" i="12"/>
  <c r="A325" i="12"/>
  <c r="A326" i="12"/>
  <c r="A327" i="12"/>
  <c r="A329" i="12"/>
  <c r="A330" i="12"/>
  <c r="A332" i="12"/>
  <c r="A333" i="12"/>
  <c r="A331" i="12"/>
  <c r="A334" i="12"/>
  <c r="A335" i="12"/>
  <c r="A336" i="12"/>
  <c r="A337" i="12"/>
  <c r="A338" i="12"/>
  <c r="A339" i="12"/>
  <c r="A341" i="12"/>
  <c r="A340" i="12"/>
  <c r="A342" i="12"/>
  <c r="A343" i="12"/>
  <c r="A344" i="12"/>
  <c r="A345" i="12"/>
  <c r="A347" i="12"/>
  <c r="A346" i="12"/>
  <c r="A349" i="12"/>
  <c r="A348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8" i="12"/>
  <c r="A370" i="12"/>
  <c r="A371" i="12"/>
  <c r="A372" i="12"/>
  <c r="A375" i="12"/>
  <c r="A377" i="12"/>
  <c r="A378" i="12"/>
  <c r="A379" i="12"/>
  <c r="A380" i="12"/>
  <c r="A382" i="12"/>
  <c r="A383" i="12"/>
  <c r="A384" i="12"/>
  <c r="A385" i="12"/>
  <c r="A386" i="12"/>
  <c r="A387" i="12"/>
  <c r="A388" i="12"/>
  <c r="A391" i="12"/>
  <c r="A392" i="12"/>
  <c r="A394" i="12"/>
  <c r="A395" i="12"/>
  <c r="A396" i="12"/>
  <c r="A397" i="12"/>
  <c r="A398" i="12"/>
  <c r="A399" i="12"/>
  <c r="A400" i="12"/>
  <c r="A401" i="12"/>
  <c r="A402" i="12"/>
  <c r="A403" i="12"/>
  <c r="A404" i="12"/>
  <c r="A406" i="12"/>
  <c r="A407" i="12"/>
  <c r="A408" i="12"/>
  <c r="A409" i="12"/>
  <c r="A412" i="12"/>
  <c r="A411" i="12"/>
  <c r="A413" i="12"/>
  <c r="A415" i="12"/>
  <c r="A416" i="12"/>
  <c r="A417" i="12"/>
  <c r="A418" i="12"/>
  <c r="A421" i="12"/>
  <c r="A420" i="12"/>
  <c r="A419" i="12"/>
  <c r="A423" i="12"/>
  <c r="A424" i="12"/>
  <c r="A425" i="12"/>
  <c r="A427" i="12"/>
  <c r="A428" i="12"/>
  <c r="A430" i="12"/>
  <c r="A431" i="12"/>
  <c r="A433" i="12"/>
  <c r="A434" i="12"/>
  <c r="A435" i="12"/>
  <c r="A436" i="12"/>
  <c r="A437" i="12"/>
  <c r="A440" i="12"/>
  <c r="A439" i="12"/>
  <c r="A441" i="12"/>
  <c r="A443" i="12"/>
  <c r="A442" i="12"/>
  <c r="A444" i="12"/>
  <c r="A446" i="12"/>
  <c r="A447" i="12"/>
  <c r="A450" i="12"/>
  <c r="A451" i="12"/>
  <c r="A453" i="12"/>
  <c r="A480" i="12"/>
  <c r="A455" i="12"/>
  <c r="A457" i="12"/>
  <c r="A458" i="12"/>
  <c r="A459" i="12"/>
  <c r="A460" i="12"/>
  <c r="A461" i="12"/>
  <c r="A462" i="12"/>
  <c r="A463" i="12"/>
  <c r="A465" i="12"/>
  <c r="A464" i="12"/>
  <c r="A466" i="12"/>
  <c r="A467" i="12"/>
  <c r="A468" i="12"/>
  <c r="A471" i="12"/>
  <c r="A472" i="12"/>
  <c r="A473" i="12"/>
  <c r="A474" i="12"/>
  <c r="A475" i="12"/>
  <c r="A476" i="12"/>
  <c r="A477" i="12"/>
  <c r="A478" i="12"/>
  <c r="A479" i="12"/>
  <c r="A483" i="12"/>
  <c r="A482" i="12"/>
  <c r="A486" i="12"/>
  <c r="A488" i="12"/>
  <c r="A487" i="12"/>
  <c r="A489" i="12"/>
  <c r="A490" i="12"/>
  <c r="A491" i="12"/>
  <c r="A492" i="12"/>
  <c r="A493" i="12"/>
  <c r="A494" i="12"/>
  <c r="A495" i="12"/>
  <c r="A498" i="12"/>
  <c r="A499" i="12"/>
  <c r="A500" i="12"/>
  <c r="A501" i="12"/>
  <c r="A505" i="12"/>
  <c r="A546" i="12"/>
  <c r="A507" i="12"/>
  <c r="A509" i="12"/>
  <c r="A510" i="12"/>
  <c r="A514" i="12"/>
  <c r="A515" i="12"/>
  <c r="A516" i="12"/>
  <c r="A517" i="12"/>
  <c r="A519" i="12"/>
  <c r="A518" i="12"/>
  <c r="A521" i="12"/>
  <c r="A522" i="12"/>
  <c r="A523" i="12"/>
  <c r="A525" i="12"/>
  <c r="A528" i="12"/>
  <c r="A529" i="12"/>
  <c r="A531" i="12"/>
  <c r="A532" i="12"/>
  <c r="A533" i="12"/>
  <c r="A534" i="12"/>
  <c r="A535" i="12"/>
  <c r="A536" i="12"/>
  <c r="A537" i="12"/>
  <c r="A538" i="12"/>
  <c r="A539" i="12"/>
  <c r="A542" i="12"/>
  <c r="A545" i="12"/>
  <c r="A548" i="12"/>
  <c r="A547" i="12"/>
  <c r="A549" i="12"/>
  <c r="A550" i="12"/>
  <c r="A553" i="12"/>
  <c r="A551" i="12"/>
  <c r="A552" i="12"/>
  <c r="A554" i="12"/>
  <c r="A454" i="12"/>
  <c r="A29" i="12"/>
  <c r="B444" i="24"/>
  <c r="B428" i="24"/>
  <c r="B18" i="24"/>
  <c r="I4" i="24"/>
  <c r="H2460" i="1"/>
  <c r="H2459" i="1"/>
  <c r="H2304" i="1"/>
  <c r="H2303" i="1"/>
  <c r="H2099" i="1"/>
  <c r="H2098" i="1"/>
  <c r="H1728" i="1"/>
  <c r="H1727" i="1"/>
  <c r="H1307" i="1"/>
  <c r="H1306" i="1"/>
  <c r="H1305" i="1"/>
  <c r="H330" i="1"/>
  <c r="A188" i="12"/>
  <c r="A219" i="12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13" i="1"/>
  <c r="R1114" i="1"/>
  <c r="R1115" i="1"/>
  <c r="R1109" i="1"/>
  <c r="R1110" i="1"/>
  <c r="R1111" i="1"/>
  <c r="R1112" i="1"/>
  <c r="R1116" i="1"/>
  <c r="R1117" i="1"/>
  <c r="R1118" i="1"/>
  <c r="R1119" i="1"/>
  <c r="R1120" i="1"/>
  <c r="R1121" i="1"/>
  <c r="R1122" i="1"/>
  <c r="R1123" i="1"/>
  <c r="R1124" i="1"/>
  <c r="R1125" i="1"/>
  <c r="R1126" i="1"/>
  <c r="R1152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27" i="1"/>
  <c r="R1128" i="1"/>
  <c r="R1129" i="1"/>
  <c r="R1130" i="1"/>
  <c r="R1153" i="1"/>
  <c r="R1154" i="1"/>
  <c r="R1155" i="1"/>
  <c r="R1156" i="1"/>
  <c r="R1168" i="1"/>
  <c r="R1157" i="1"/>
  <c r="R1158" i="1"/>
  <c r="R1159" i="1"/>
  <c r="R1160" i="1"/>
  <c r="R1161" i="1"/>
  <c r="R1162" i="1"/>
  <c r="R1163" i="1"/>
  <c r="R1164" i="1"/>
  <c r="R1165" i="1"/>
  <c r="R1166" i="1"/>
  <c r="R1167" i="1"/>
  <c r="R1178" i="1"/>
  <c r="R1179" i="1"/>
  <c r="R1180" i="1"/>
  <c r="R1181" i="1"/>
  <c r="R1182" i="1"/>
  <c r="R1183" i="1"/>
  <c r="R1184" i="1"/>
  <c r="R1174" i="1"/>
  <c r="R1175" i="1"/>
  <c r="R1176" i="1"/>
  <c r="R1177" i="1"/>
  <c r="R1202" i="1"/>
  <c r="R1203" i="1"/>
  <c r="R1169" i="1"/>
  <c r="R1170" i="1"/>
  <c r="R1171" i="1"/>
  <c r="R1172" i="1"/>
  <c r="R1173" i="1"/>
  <c r="R1185" i="1"/>
  <c r="R1186" i="1"/>
  <c r="R1187" i="1"/>
  <c r="R1188" i="1"/>
  <c r="R1195" i="1"/>
  <c r="R1196" i="1"/>
  <c r="R1197" i="1"/>
  <c r="R1198" i="1"/>
  <c r="R1199" i="1"/>
  <c r="R1200" i="1"/>
  <c r="R1201" i="1"/>
  <c r="R1189" i="1"/>
  <c r="R1190" i="1"/>
  <c r="R1191" i="1"/>
  <c r="R1192" i="1"/>
  <c r="R1193" i="1"/>
  <c r="R1194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34" i="1"/>
  <c r="R1235" i="1"/>
  <c r="R1236" i="1"/>
  <c r="R1237" i="1"/>
  <c r="R1238" i="1"/>
  <c r="R1247" i="1"/>
  <c r="R1248" i="1"/>
  <c r="R1249" i="1"/>
  <c r="R1250" i="1"/>
  <c r="R1226" i="1"/>
  <c r="R1227" i="1"/>
  <c r="R1228" i="1"/>
  <c r="R1229" i="1"/>
  <c r="R1230" i="1"/>
  <c r="R1231" i="1"/>
  <c r="R1232" i="1"/>
  <c r="R1233" i="1"/>
  <c r="R1239" i="1"/>
  <c r="R1240" i="1"/>
  <c r="R1241" i="1"/>
  <c r="R1242" i="1"/>
  <c r="R1243" i="1"/>
  <c r="R1244" i="1"/>
  <c r="R1245" i="1"/>
  <c r="R1246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58" i="1"/>
  <c r="R1359" i="1"/>
  <c r="R1349" i="1"/>
  <c r="R1350" i="1"/>
  <c r="R1351" i="1"/>
  <c r="R1352" i="1"/>
  <c r="R1353" i="1"/>
  <c r="R1354" i="1"/>
  <c r="R1355" i="1"/>
  <c r="R1356" i="1"/>
  <c r="R1357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400" i="1"/>
  <c r="R1401" i="1"/>
  <c r="R1415" i="1"/>
  <c r="R1416" i="1"/>
  <c r="R1417" i="1"/>
  <c r="R1418" i="1"/>
  <c r="R1419" i="1"/>
  <c r="R1420" i="1"/>
  <c r="R1421" i="1"/>
  <c r="R1422" i="1"/>
  <c r="R1423" i="1"/>
  <c r="R1398" i="1"/>
  <c r="R1399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9" i="1"/>
  <c r="R1452" i="1"/>
  <c r="R1453" i="1"/>
  <c r="R1454" i="1"/>
  <c r="R1455" i="1"/>
  <c r="R1456" i="1"/>
  <c r="R1457" i="1"/>
  <c r="R1458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86" i="1"/>
  <c r="R1487" i="1"/>
  <c r="R1488" i="1"/>
  <c r="R1489" i="1"/>
  <c r="R1490" i="1"/>
  <c r="R1491" i="1"/>
  <c r="R1492" i="1"/>
  <c r="R1481" i="1"/>
  <c r="R1482" i="1"/>
  <c r="R1483" i="1"/>
  <c r="R1484" i="1"/>
  <c r="R1485" i="1"/>
  <c r="R1478" i="1"/>
  <c r="R1479" i="1"/>
  <c r="R1480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7" i="1"/>
  <c r="R1524" i="1"/>
  <c r="R1525" i="1"/>
  <c r="R1526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3" i="1"/>
  <c r="R1564" i="1"/>
  <c r="R1565" i="1"/>
  <c r="R1566" i="1"/>
  <c r="R1567" i="1"/>
  <c r="R1561" i="1"/>
  <c r="R1562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5" i="1"/>
  <c r="R1606" i="1"/>
  <c r="R1607" i="1"/>
  <c r="R1608" i="1"/>
  <c r="R1609" i="1"/>
  <c r="R1610" i="1"/>
  <c r="R1611" i="1"/>
  <c r="R1612" i="1"/>
  <c r="R1613" i="1"/>
  <c r="R1601" i="1"/>
  <c r="R1602" i="1"/>
  <c r="R1603" i="1"/>
  <c r="R1604" i="1"/>
  <c r="R1617" i="1"/>
  <c r="R1618" i="1"/>
  <c r="R1619" i="1"/>
  <c r="R1620" i="1"/>
  <c r="R1621" i="1"/>
  <c r="R1622" i="1"/>
  <c r="R1623" i="1"/>
  <c r="R1614" i="1"/>
  <c r="R1615" i="1"/>
  <c r="R1616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9" i="1"/>
  <c r="R1640" i="1"/>
  <c r="R1641" i="1"/>
  <c r="R1642" i="1"/>
  <c r="R1643" i="1"/>
  <c r="R1644" i="1"/>
  <c r="R1638" i="1"/>
  <c r="R1646" i="1"/>
  <c r="R1647" i="1"/>
  <c r="R1645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9" i="1"/>
  <c r="R1690" i="1"/>
  <c r="R1691" i="1"/>
  <c r="R1692" i="1"/>
  <c r="R1693" i="1"/>
  <c r="R1694" i="1"/>
  <c r="R1695" i="1"/>
  <c r="R1696" i="1"/>
  <c r="R1697" i="1"/>
  <c r="R1686" i="1"/>
  <c r="R1687" i="1"/>
  <c r="R1688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91" i="1"/>
  <c r="R1792" i="1"/>
  <c r="R1793" i="1"/>
  <c r="R1794" i="1"/>
  <c r="R1795" i="1"/>
  <c r="R1796" i="1"/>
  <c r="R1789" i="1"/>
  <c r="R1790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21" i="1"/>
  <c r="R1822" i="1"/>
  <c r="R1823" i="1"/>
  <c r="R1824" i="1"/>
  <c r="R1825" i="1"/>
  <c r="R1826" i="1"/>
  <c r="R1827" i="1"/>
  <c r="R1812" i="1"/>
  <c r="R1813" i="1"/>
  <c r="R1814" i="1"/>
  <c r="R1815" i="1"/>
  <c r="R1816" i="1"/>
  <c r="R1817" i="1"/>
  <c r="R1818" i="1"/>
  <c r="R1819" i="1"/>
  <c r="R1820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73" i="1"/>
  <c r="R1874" i="1"/>
  <c r="R1875" i="1"/>
  <c r="R1862" i="1"/>
  <c r="R1863" i="1"/>
  <c r="R1864" i="1"/>
  <c r="R1865" i="1"/>
  <c r="R1866" i="1"/>
  <c r="R1867" i="1"/>
  <c r="R1868" i="1"/>
  <c r="R1869" i="1"/>
  <c r="R1870" i="1"/>
  <c r="R1871" i="1"/>
  <c r="R1872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67" i="1"/>
  <c r="R1968" i="1"/>
  <c r="R1969" i="1"/>
  <c r="R1970" i="1"/>
  <c r="R1971" i="1"/>
  <c r="R1972" i="1"/>
  <c r="R1973" i="1"/>
  <c r="R1974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2010" i="1"/>
  <c r="R1998" i="1"/>
  <c r="R1999" i="1"/>
  <c r="R2000" i="1"/>
  <c r="R2011" i="1"/>
  <c r="R2001" i="1"/>
  <c r="R2002" i="1"/>
  <c r="R2003" i="1"/>
  <c r="R2004" i="1"/>
  <c r="R2005" i="1"/>
  <c r="R2006" i="1"/>
  <c r="R2007" i="1"/>
  <c r="R2008" i="1"/>
  <c r="R2009" i="1"/>
  <c r="R2012" i="1"/>
  <c r="R2013" i="1"/>
  <c r="R2016" i="1"/>
  <c r="R2017" i="1"/>
  <c r="R2018" i="1"/>
  <c r="R2014" i="1"/>
  <c r="R2015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6" i="1"/>
  <c r="R2067" i="1"/>
  <c r="R2068" i="1"/>
  <c r="R2060" i="1"/>
  <c r="R2061" i="1"/>
  <c r="R2062" i="1"/>
  <c r="R2063" i="1"/>
  <c r="R2064" i="1"/>
  <c r="R2065" i="1"/>
  <c r="R2074" i="1"/>
  <c r="R2069" i="1"/>
  <c r="R2070" i="1"/>
  <c r="R2071" i="1"/>
  <c r="R2072" i="1"/>
  <c r="R2073" i="1"/>
  <c r="R2079" i="1"/>
  <c r="R2080" i="1"/>
  <c r="R2081" i="1"/>
  <c r="R2075" i="1"/>
  <c r="R2076" i="1"/>
  <c r="R2077" i="1"/>
  <c r="R2078" i="1"/>
  <c r="R2088" i="1"/>
  <c r="R2089" i="1"/>
  <c r="R2090" i="1"/>
  <c r="R2091" i="1"/>
  <c r="R2092" i="1"/>
  <c r="R2093" i="1"/>
  <c r="R2094" i="1"/>
  <c r="R2095" i="1"/>
  <c r="R2096" i="1"/>
  <c r="R2082" i="1"/>
  <c r="R2083" i="1"/>
  <c r="R2084" i="1"/>
  <c r="R2085" i="1"/>
  <c r="R2086" i="1"/>
  <c r="R2087" i="1"/>
  <c r="R2097" i="1"/>
  <c r="R2098" i="1"/>
  <c r="R2099" i="1"/>
  <c r="R2100" i="1"/>
  <c r="R2101" i="1"/>
  <c r="R2102" i="1"/>
  <c r="R2103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4" i="1"/>
  <c r="R2125" i="1"/>
  <c r="R2126" i="1"/>
  <c r="R2127" i="1"/>
  <c r="R2128" i="1"/>
  <c r="R2121" i="1"/>
  <c r="R2122" i="1"/>
  <c r="R2123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60" i="1"/>
  <c r="R2161" i="1"/>
  <c r="R2162" i="1"/>
  <c r="R2163" i="1"/>
  <c r="R2164" i="1"/>
  <c r="R2165" i="1"/>
  <c r="R2166" i="1"/>
  <c r="R2167" i="1"/>
  <c r="R2168" i="1"/>
  <c r="R2198" i="1"/>
  <c r="R2199" i="1"/>
  <c r="R2200" i="1"/>
  <c r="R2201" i="1"/>
  <c r="R2202" i="1"/>
  <c r="R2214" i="1"/>
  <c r="R2215" i="1"/>
  <c r="R2216" i="1"/>
  <c r="R2203" i="1"/>
  <c r="R2204" i="1"/>
  <c r="R2205" i="1"/>
  <c r="R2206" i="1"/>
  <c r="R2207" i="1"/>
  <c r="R2208" i="1"/>
  <c r="R2209" i="1"/>
  <c r="R2210" i="1"/>
  <c r="R2211" i="1"/>
  <c r="R2212" i="1"/>
  <c r="R2213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7" i="1"/>
  <c r="R2238" i="1"/>
  <c r="R2236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61" i="1"/>
  <c r="R2262" i="1"/>
  <c r="R2263" i="1"/>
  <c r="R2264" i="1"/>
  <c r="R2265" i="1"/>
  <c r="R2266" i="1"/>
  <c r="R2267" i="1"/>
  <c r="R2268" i="1"/>
  <c r="R2269" i="1"/>
  <c r="R2259" i="1"/>
  <c r="R2260" i="1"/>
  <c r="R2270" i="1"/>
  <c r="R2271" i="1"/>
  <c r="R2272" i="1"/>
  <c r="R2277" i="1"/>
  <c r="R2278" i="1"/>
  <c r="R2279" i="1"/>
  <c r="R2273" i="1"/>
  <c r="R2274" i="1"/>
  <c r="R2275" i="1"/>
  <c r="R2276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9" i="1"/>
  <c r="R2330" i="1"/>
  <c r="R2323" i="1"/>
  <c r="R2324" i="1"/>
  <c r="R2325" i="1"/>
  <c r="R2326" i="1"/>
  <c r="R2327" i="1"/>
  <c r="R2328" i="1"/>
  <c r="R2357" i="1"/>
  <c r="R2358" i="1"/>
  <c r="R2359" i="1"/>
  <c r="R2360" i="1"/>
  <c r="R2361" i="1"/>
  <c r="R2362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63" i="1"/>
  <c r="R2364" i="1"/>
  <c r="R2365" i="1"/>
  <c r="R2371" i="1"/>
  <c r="R2372" i="1"/>
  <c r="R2373" i="1"/>
  <c r="R2374" i="1"/>
  <c r="R2368" i="1"/>
  <c r="R2369" i="1"/>
  <c r="R2370" i="1"/>
  <c r="R2375" i="1"/>
  <c r="R2376" i="1"/>
  <c r="R2366" i="1"/>
  <c r="R2367" i="1"/>
  <c r="R2385" i="1"/>
  <c r="R2386" i="1"/>
  <c r="R2377" i="1"/>
  <c r="R2378" i="1"/>
  <c r="R2379" i="1"/>
  <c r="R2380" i="1"/>
  <c r="R2381" i="1"/>
  <c r="R2382" i="1"/>
  <c r="R2383" i="1"/>
  <c r="R2384" i="1"/>
  <c r="R2387" i="1"/>
  <c r="R2388" i="1"/>
  <c r="R2389" i="1"/>
  <c r="R2390" i="1"/>
  <c r="R2391" i="1"/>
  <c r="R2392" i="1"/>
  <c r="R2393" i="1"/>
  <c r="R2394" i="1"/>
  <c r="R2395" i="1"/>
  <c r="R2396" i="1"/>
  <c r="R2397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9" i="1"/>
  <c r="R2520" i="1"/>
  <c r="R2521" i="1"/>
  <c r="R2522" i="1"/>
  <c r="R2523" i="1"/>
  <c r="R2524" i="1"/>
  <c r="R2525" i="1"/>
  <c r="R2526" i="1"/>
  <c r="R2514" i="1"/>
  <c r="R2515" i="1"/>
  <c r="R2516" i="1"/>
  <c r="R2517" i="1"/>
  <c r="R2518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6" i="1"/>
  <c r="R2547" i="1"/>
  <c r="R2544" i="1"/>
  <c r="R2545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71" i="1"/>
  <c r="R2572" i="1"/>
  <c r="R2573" i="1"/>
  <c r="R2574" i="1"/>
  <c r="R2564" i="1"/>
  <c r="R2565" i="1"/>
  <c r="R2566" i="1"/>
  <c r="R2567" i="1"/>
  <c r="R2568" i="1"/>
  <c r="R2569" i="1"/>
  <c r="R2570" i="1"/>
  <c r="R2584" i="1"/>
  <c r="R2585" i="1"/>
  <c r="R2583" i="1"/>
  <c r="R2575" i="1"/>
  <c r="R2576" i="1"/>
  <c r="R2577" i="1"/>
  <c r="R2578" i="1"/>
  <c r="R2579" i="1"/>
  <c r="R2580" i="1"/>
  <c r="R2581" i="1"/>
  <c r="R2582" i="1"/>
  <c r="R2587" i="1"/>
  <c r="R2588" i="1"/>
  <c r="R2586" i="1"/>
  <c r="R2589" i="1"/>
  <c r="R2590" i="1"/>
  <c r="R2591" i="1"/>
  <c r="R2592" i="1"/>
  <c r="R2593" i="1"/>
  <c r="R2594" i="1"/>
  <c r="R2595" i="1"/>
  <c r="R2104" i="1"/>
  <c r="R1083" i="1"/>
  <c r="R1082" i="1"/>
  <c r="R1081" i="1"/>
  <c r="R28" i="1"/>
  <c r="R29" i="1"/>
  <c r="R30" i="1"/>
  <c r="R14" i="1"/>
  <c r="R15" i="1"/>
  <c r="R16" i="1"/>
  <c r="R17" i="1"/>
  <c r="R18" i="1"/>
  <c r="R19" i="1"/>
  <c r="R20" i="1"/>
  <c r="R21" i="1"/>
  <c r="R22" i="1"/>
  <c r="R23" i="1"/>
  <c r="R24" i="1"/>
  <c r="R25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67" i="1"/>
  <c r="R68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9" i="1"/>
  <c r="R70" i="1"/>
  <c r="R71" i="1"/>
  <c r="R72" i="1"/>
  <c r="R73" i="1"/>
  <c r="R74" i="1"/>
  <c r="R75" i="1"/>
  <c r="R76" i="1"/>
  <c r="R77" i="1"/>
  <c r="R78" i="1"/>
  <c r="R79" i="1"/>
  <c r="R80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81" i="1"/>
  <c r="R82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26" i="1"/>
  <c r="R127" i="1"/>
  <c r="R128" i="1"/>
  <c r="R117" i="1"/>
  <c r="R118" i="1"/>
  <c r="R119" i="1"/>
  <c r="R120" i="1"/>
  <c r="R121" i="1"/>
  <c r="R122" i="1"/>
  <c r="R123" i="1"/>
  <c r="R124" i="1"/>
  <c r="R125" i="1"/>
  <c r="R129" i="1"/>
  <c r="R130" i="1"/>
  <c r="R131" i="1"/>
  <c r="R132" i="1"/>
  <c r="R133" i="1"/>
  <c r="R148" i="1"/>
  <c r="R149" i="1"/>
  <c r="R150" i="1"/>
  <c r="R151" i="1"/>
  <c r="R152" i="1"/>
  <c r="R153" i="1"/>
  <c r="R154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72" i="1"/>
  <c r="R173" i="1"/>
  <c r="R174" i="1"/>
  <c r="R175" i="1"/>
  <c r="R169" i="1"/>
  <c r="R170" i="1"/>
  <c r="R171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22" i="1"/>
  <c r="R223" i="1"/>
  <c r="R224" i="1"/>
  <c r="R225" i="1"/>
  <c r="R226" i="1"/>
  <c r="R227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8" i="1"/>
  <c r="R229" i="1"/>
  <c r="R243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7" i="1"/>
  <c r="R278" i="1"/>
  <c r="R279" i="1"/>
  <c r="R280" i="1"/>
  <c r="R281" i="1"/>
  <c r="R274" i="1"/>
  <c r="R275" i="1"/>
  <c r="R276" i="1"/>
  <c r="R282" i="1"/>
  <c r="R295" i="1"/>
  <c r="R296" i="1"/>
  <c r="R297" i="1"/>
  <c r="R298" i="1"/>
  <c r="R299" i="1"/>
  <c r="R300" i="1"/>
  <c r="R301" i="1"/>
  <c r="R302" i="1"/>
  <c r="R303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310" i="1"/>
  <c r="R311" i="1"/>
  <c r="R304" i="1"/>
  <c r="R305" i="1"/>
  <c r="R306" i="1"/>
  <c r="R307" i="1"/>
  <c r="R308" i="1"/>
  <c r="R309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55" i="1"/>
  <c r="R356" i="1"/>
  <c r="R357" i="1"/>
  <c r="R358" i="1"/>
  <c r="R359" i="1"/>
  <c r="R360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90" i="1"/>
  <c r="R384" i="1"/>
  <c r="R385" i="1"/>
  <c r="R386" i="1"/>
  <c r="R387" i="1"/>
  <c r="R388" i="1"/>
  <c r="R389" i="1"/>
  <c r="R391" i="1"/>
  <c r="R400" i="1"/>
  <c r="R392" i="1"/>
  <c r="R393" i="1"/>
  <c r="R394" i="1"/>
  <c r="R395" i="1"/>
  <c r="R396" i="1"/>
  <c r="R397" i="1"/>
  <c r="R398" i="1"/>
  <c r="R399" i="1"/>
  <c r="R401" i="1"/>
  <c r="R402" i="1"/>
  <c r="R405" i="1"/>
  <c r="R406" i="1"/>
  <c r="R403" i="1"/>
  <c r="R404" i="1"/>
  <c r="R407" i="1"/>
  <c r="R408" i="1"/>
  <c r="R409" i="1"/>
  <c r="R415" i="1"/>
  <c r="R416" i="1"/>
  <c r="R417" i="1"/>
  <c r="R418" i="1"/>
  <c r="R410" i="1"/>
  <c r="R411" i="1"/>
  <c r="R412" i="1"/>
  <c r="R413" i="1"/>
  <c r="R414" i="1"/>
  <c r="R419" i="1"/>
  <c r="R420" i="1"/>
  <c r="R421" i="1"/>
  <c r="R427" i="1"/>
  <c r="R428" i="1"/>
  <c r="R429" i="1"/>
  <c r="R430" i="1"/>
  <c r="R431" i="1"/>
  <c r="R432" i="1"/>
  <c r="R435" i="1"/>
  <c r="R436" i="1"/>
  <c r="R437" i="1"/>
  <c r="R438" i="1"/>
  <c r="R439" i="1"/>
  <c r="R440" i="1"/>
  <c r="R433" i="1"/>
  <c r="R434" i="1"/>
  <c r="R422" i="1"/>
  <c r="R423" i="1"/>
  <c r="R424" i="1"/>
  <c r="R425" i="1"/>
  <c r="R426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89" i="1"/>
  <c r="R490" i="1"/>
  <c r="R491" i="1"/>
  <c r="R492" i="1"/>
  <c r="R49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94" i="1"/>
  <c r="R507" i="1"/>
  <c r="R508" i="1"/>
  <c r="R509" i="1"/>
  <c r="R510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35" i="1"/>
  <c r="R526" i="1"/>
  <c r="R527" i="1"/>
  <c r="R528" i="1"/>
  <c r="R529" i="1"/>
  <c r="R530" i="1"/>
  <c r="R531" i="1"/>
  <c r="R532" i="1"/>
  <c r="R533" i="1"/>
  <c r="R534" i="1"/>
  <c r="R553" i="1"/>
  <c r="R554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7" i="1"/>
  <c r="R598" i="1"/>
  <c r="R599" i="1"/>
  <c r="R591" i="1"/>
  <c r="R592" i="1"/>
  <c r="R593" i="1"/>
  <c r="R594" i="1"/>
  <c r="R595" i="1"/>
  <c r="R596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35" i="1"/>
  <c r="R636" i="1"/>
  <c r="R637" i="1"/>
  <c r="R628" i="1"/>
  <c r="R629" i="1"/>
  <c r="R630" i="1"/>
  <c r="R631" i="1"/>
  <c r="R632" i="1"/>
  <c r="R633" i="1"/>
  <c r="R634" i="1"/>
  <c r="R638" i="1"/>
  <c r="R639" i="1"/>
  <c r="R640" i="1"/>
  <c r="R641" i="1"/>
  <c r="R642" i="1"/>
  <c r="R643" i="1"/>
  <c r="R644" i="1"/>
  <c r="R645" i="1"/>
  <c r="R646" i="1"/>
  <c r="R647" i="1"/>
  <c r="R657" i="1"/>
  <c r="R658" i="1"/>
  <c r="R659" i="1"/>
  <c r="R660" i="1"/>
  <c r="R648" i="1"/>
  <c r="R649" i="1"/>
  <c r="R650" i="1"/>
  <c r="R651" i="1"/>
  <c r="R652" i="1"/>
  <c r="R653" i="1"/>
  <c r="R654" i="1"/>
  <c r="R655" i="1"/>
  <c r="R656" i="1"/>
  <c r="R661" i="1"/>
  <c r="R662" i="1"/>
  <c r="R663" i="1"/>
  <c r="R664" i="1"/>
  <c r="R665" i="1"/>
  <c r="R666" i="1"/>
  <c r="R667" i="1"/>
  <c r="R668" i="1"/>
  <c r="R671" i="1"/>
  <c r="R672" i="1"/>
  <c r="R673" i="1"/>
  <c r="R669" i="1"/>
  <c r="R670" i="1"/>
  <c r="R674" i="1"/>
  <c r="R675" i="1"/>
  <c r="R676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677" i="1"/>
  <c r="R678" i="1"/>
  <c r="R679" i="1"/>
  <c r="R680" i="1"/>
  <c r="R681" i="1"/>
  <c r="R682" i="1"/>
  <c r="R683" i="1"/>
  <c r="R684" i="1"/>
  <c r="R685" i="1"/>
  <c r="R686" i="1"/>
  <c r="R687" i="1"/>
  <c r="R700" i="1"/>
  <c r="R701" i="1"/>
  <c r="R702" i="1"/>
  <c r="R703" i="1"/>
  <c r="R704" i="1"/>
  <c r="R705" i="1"/>
  <c r="R706" i="1"/>
  <c r="R707" i="1"/>
  <c r="R708" i="1"/>
  <c r="R709" i="1"/>
  <c r="R710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92" i="1"/>
  <c r="R788" i="1"/>
  <c r="R789" i="1"/>
  <c r="R790" i="1"/>
  <c r="R791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9" i="1"/>
  <c r="R820" i="1"/>
  <c r="R821" i="1"/>
  <c r="R815" i="1"/>
  <c r="R816" i="1"/>
  <c r="R817" i="1"/>
  <c r="R818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25" i="1"/>
  <c r="R926" i="1"/>
  <c r="R927" i="1"/>
  <c r="R928" i="1"/>
  <c r="R917" i="1"/>
  <c r="R918" i="1"/>
  <c r="R919" i="1"/>
  <c r="R920" i="1"/>
  <c r="R921" i="1"/>
  <c r="R922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23" i="1"/>
  <c r="R924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61" i="1"/>
  <c r="R962" i="1"/>
  <c r="R963" i="1"/>
  <c r="R964" i="1"/>
  <c r="R965" i="1"/>
  <c r="R966" i="1"/>
  <c r="R967" i="1"/>
  <c r="R968" i="1"/>
  <c r="R969" i="1"/>
  <c r="R970" i="1"/>
  <c r="R982" i="1"/>
  <c r="R983" i="1"/>
  <c r="R974" i="1"/>
  <c r="R975" i="1"/>
  <c r="R976" i="1"/>
  <c r="R980" i="1"/>
  <c r="R981" i="1"/>
  <c r="R971" i="1"/>
  <c r="R972" i="1"/>
  <c r="R973" i="1"/>
  <c r="R977" i="1"/>
  <c r="R978" i="1"/>
  <c r="R979" i="1"/>
  <c r="R984" i="1"/>
  <c r="R985" i="1"/>
  <c r="R986" i="1"/>
  <c r="R987" i="1"/>
  <c r="R988" i="1"/>
  <c r="R989" i="1"/>
  <c r="R990" i="1"/>
  <c r="R991" i="1"/>
  <c r="R992" i="1"/>
  <c r="R993" i="1"/>
  <c r="R994" i="1"/>
  <c r="R999" i="1"/>
  <c r="R1000" i="1"/>
  <c r="R1001" i="1"/>
  <c r="R1002" i="1"/>
  <c r="R1003" i="1"/>
  <c r="R1004" i="1"/>
  <c r="R1005" i="1"/>
  <c r="R1006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6" i="1"/>
  <c r="R1037" i="1"/>
  <c r="R1038" i="1"/>
  <c r="R1039" i="1"/>
  <c r="R1040" i="1"/>
  <c r="R1041" i="1"/>
  <c r="R1042" i="1"/>
  <c r="R1043" i="1"/>
  <c r="R1044" i="1"/>
  <c r="R1045" i="1"/>
  <c r="R1035" i="1"/>
  <c r="R1007" i="1"/>
  <c r="R1008" i="1"/>
  <c r="R1009" i="1"/>
  <c r="R1010" i="1"/>
  <c r="R1011" i="1"/>
  <c r="R995" i="1"/>
  <c r="R996" i="1"/>
  <c r="R997" i="1"/>
  <c r="R998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3" i="1"/>
  <c r="R4" i="1"/>
  <c r="R5" i="1"/>
  <c r="R6" i="1"/>
  <c r="R7" i="1"/>
  <c r="R8" i="1"/>
  <c r="R9" i="1"/>
  <c r="R10" i="1"/>
  <c r="R11" i="1"/>
  <c r="R12" i="1"/>
  <c r="R13" i="1"/>
  <c r="R26" i="1"/>
  <c r="R27" i="1"/>
  <c r="R2" i="1"/>
  <c r="A470" i="12"/>
  <c r="H910" i="1"/>
  <c r="H909" i="1"/>
  <c r="H908" i="1"/>
  <c r="H907" i="1"/>
  <c r="H694" i="1"/>
  <c r="H693" i="1"/>
  <c r="H689" i="1"/>
  <c r="H688" i="1"/>
  <c r="H331" i="1"/>
  <c r="Q219" i="12"/>
  <c r="R219" i="12"/>
  <c r="I219" i="12"/>
  <c r="J242" i="23"/>
  <c r="Q188" i="12"/>
  <c r="R188" i="12"/>
  <c r="I188" i="12"/>
  <c r="N241" i="23"/>
  <c r="O241" i="23"/>
  <c r="N240" i="23"/>
  <c r="O240" i="23"/>
  <c r="N239" i="23"/>
  <c r="O239" i="23"/>
  <c r="N238" i="23"/>
  <c r="O238" i="23"/>
  <c r="N237" i="23"/>
  <c r="O237" i="23"/>
  <c r="N236" i="23"/>
  <c r="O236" i="23"/>
  <c r="I320" i="12"/>
  <c r="O233" i="23"/>
  <c r="C232" i="23"/>
  <c r="N231" i="23"/>
  <c r="C231" i="23"/>
  <c r="C230" i="23"/>
  <c r="C229" i="23"/>
  <c r="C228" i="23"/>
  <c r="N227" i="23"/>
  <c r="C227" i="23"/>
  <c r="O227" i="23"/>
  <c r="C226" i="23"/>
  <c r="N225" i="23"/>
  <c r="C225" i="23"/>
  <c r="O225" i="23"/>
  <c r="I248" i="12"/>
  <c r="C224" i="23"/>
  <c r="O224" i="23"/>
  <c r="C223" i="23"/>
  <c r="O223" i="23"/>
  <c r="N222" i="23"/>
  <c r="C222" i="23"/>
  <c r="O222" i="23"/>
  <c r="I216" i="12"/>
  <c r="C221" i="23"/>
  <c r="O221" i="23"/>
  <c r="N220" i="23"/>
  <c r="C220" i="23"/>
  <c r="O220" i="23"/>
  <c r="N219" i="23"/>
  <c r="C219" i="23"/>
  <c r="O219" i="23"/>
  <c r="I181" i="12"/>
  <c r="N218" i="23"/>
  <c r="C218" i="23"/>
  <c r="O218" i="23"/>
  <c r="N217" i="23"/>
  <c r="C217" i="23"/>
  <c r="O217" i="23"/>
  <c r="N216" i="23"/>
  <c r="C216" i="23"/>
  <c r="O216" i="23"/>
  <c r="N215" i="23"/>
  <c r="C215" i="23"/>
  <c r="O215" i="23"/>
  <c r="N214" i="23"/>
  <c r="C214" i="23"/>
  <c r="O214" i="23"/>
  <c r="N213" i="23"/>
  <c r="C213" i="23"/>
  <c r="O213" i="23"/>
  <c r="N212" i="23"/>
  <c r="C212" i="23"/>
  <c r="O212" i="23"/>
  <c r="C211" i="23"/>
  <c r="O211" i="23"/>
  <c r="N210" i="23"/>
  <c r="C210" i="23"/>
  <c r="O210" i="23"/>
  <c r="C209" i="23"/>
  <c r="N208" i="23"/>
  <c r="C208" i="23"/>
  <c r="I76" i="12"/>
  <c r="O208" i="23"/>
  <c r="N207" i="23"/>
  <c r="C207" i="23"/>
  <c r="O207" i="23"/>
  <c r="N206" i="23"/>
  <c r="C206" i="23"/>
  <c r="O206" i="23"/>
  <c r="N205" i="23"/>
  <c r="C205" i="23"/>
  <c r="O205" i="23"/>
  <c r="I144" i="12"/>
  <c r="I139" i="12"/>
  <c r="C204" i="23"/>
  <c r="C203" i="23"/>
  <c r="C202" i="23"/>
  <c r="C201" i="23"/>
  <c r="N200" i="23"/>
  <c r="C200" i="23"/>
  <c r="O200" i="23"/>
  <c r="N199" i="23"/>
  <c r="C199" i="23"/>
  <c r="O199" i="23"/>
  <c r="C198" i="23"/>
  <c r="N197" i="23"/>
  <c r="C197" i="23"/>
  <c r="O197" i="23"/>
  <c r="N196" i="23"/>
  <c r="C196" i="23"/>
  <c r="O196" i="23"/>
  <c r="N195" i="23"/>
  <c r="C195" i="23"/>
  <c r="O195" i="23"/>
  <c r="C194" i="23"/>
  <c r="N193" i="23"/>
  <c r="C193" i="23"/>
  <c r="O193" i="23"/>
  <c r="N192" i="23"/>
  <c r="C192" i="23"/>
  <c r="O192" i="23"/>
  <c r="N191" i="23"/>
  <c r="C191" i="23"/>
  <c r="O191" i="23"/>
  <c r="N190" i="23"/>
  <c r="C190" i="23"/>
  <c r="O190" i="23"/>
  <c r="M190" i="23"/>
  <c r="C189" i="23"/>
  <c r="N188" i="23"/>
  <c r="C188" i="23"/>
  <c r="O188" i="23"/>
  <c r="N187" i="23"/>
  <c r="C187" i="23"/>
  <c r="O187" i="23"/>
  <c r="C186" i="23"/>
  <c r="N185" i="23"/>
  <c r="C185" i="23"/>
  <c r="O185" i="23"/>
  <c r="N184" i="23"/>
  <c r="C184" i="23"/>
  <c r="O184" i="23"/>
  <c r="N183" i="23"/>
  <c r="C183" i="23"/>
  <c r="O183" i="23"/>
  <c r="N182" i="23"/>
  <c r="C182" i="23"/>
  <c r="O182" i="23"/>
  <c r="N181" i="23"/>
  <c r="C181" i="23"/>
  <c r="O181" i="23"/>
  <c r="C180" i="23"/>
  <c r="N180" i="23"/>
  <c r="O180" i="23"/>
  <c r="C177" i="23"/>
  <c r="N177" i="23"/>
  <c r="O177" i="23"/>
  <c r="C178" i="23"/>
  <c r="C179" i="23"/>
  <c r="C176" i="23"/>
  <c r="N176" i="23"/>
  <c r="O176" i="23"/>
  <c r="I273" i="12"/>
  <c r="C175" i="23"/>
  <c r="O175" i="23"/>
  <c r="C174" i="23"/>
  <c r="O174" i="23"/>
  <c r="C173" i="23"/>
  <c r="O173" i="23"/>
  <c r="C172" i="23"/>
  <c r="O172" i="23"/>
  <c r="C171" i="23"/>
  <c r="O171" i="23"/>
  <c r="C170" i="23"/>
  <c r="O170" i="23"/>
  <c r="C169" i="23"/>
  <c r="O169" i="23"/>
  <c r="C168" i="23"/>
  <c r="O168" i="23"/>
  <c r="C167" i="23"/>
  <c r="O167" i="23"/>
  <c r="C166" i="23"/>
  <c r="O166" i="23"/>
  <c r="C165" i="23"/>
  <c r="O165" i="23"/>
  <c r="C164" i="23"/>
  <c r="O164" i="23"/>
  <c r="C163" i="23"/>
  <c r="O163" i="23"/>
  <c r="C162" i="23"/>
  <c r="I437" i="12"/>
  <c r="O162" i="23"/>
  <c r="I402" i="12"/>
  <c r="C161" i="23"/>
  <c r="O161" i="23"/>
  <c r="C160" i="23"/>
  <c r="O160" i="23"/>
  <c r="C159" i="23"/>
  <c r="O159" i="23"/>
  <c r="L157" i="23"/>
  <c r="M157" i="23"/>
  <c r="N158" i="23"/>
  <c r="C158" i="23"/>
  <c r="C156" i="23"/>
  <c r="O156" i="23"/>
  <c r="N155" i="23"/>
  <c r="C155" i="23"/>
  <c r="C154" i="23"/>
  <c r="O154" i="23"/>
  <c r="C153" i="23"/>
  <c r="O153" i="23"/>
  <c r="C152" i="23"/>
  <c r="O152" i="23"/>
  <c r="N151" i="23"/>
  <c r="C151" i="23"/>
  <c r="N150" i="23"/>
  <c r="C150" i="23"/>
  <c r="C149" i="23"/>
  <c r="C148" i="23"/>
  <c r="C147" i="23"/>
  <c r="O147" i="23"/>
  <c r="C146" i="23"/>
  <c r="O146" i="23"/>
  <c r="C145" i="23"/>
  <c r="O145" i="23"/>
  <c r="C144" i="23"/>
  <c r="O144" i="23"/>
  <c r="N143" i="23"/>
  <c r="C143" i="23"/>
  <c r="N142" i="23"/>
  <c r="C142" i="23"/>
  <c r="C141" i="23"/>
  <c r="O141" i="23"/>
  <c r="C140" i="23"/>
  <c r="O140" i="23"/>
  <c r="C139" i="23"/>
  <c r="O139" i="23"/>
  <c r="C138" i="23"/>
  <c r="O138" i="23"/>
  <c r="C137" i="23"/>
  <c r="O137" i="23"/>
  <c r="C136" i="23"/>
  <c r="O136" i="23"/>
  <c r="N135" i="23"/>
  <c r="C135" i="23"/>
  <c r="N134" i="23"/>
  <c r="C134" i="23"/>
  <c r="C133" i="23"/>
  <c r="C132" i="23"/>
  <c r="N131" i="23"/>
  <c r="C131" i="23"/>
  <c r="N130" i="23"/>
  <c r="C130" i="23"/>
  <c r="C129" i="23"/>
  <c r="O129" i="23"/>
  <c r="C128" i="23"/>
  <c r="O128" i="23"/>
  <c r="O151" i="23"/>
  <c r="O155" i="23"/>
  <c r="O150" i="23"/>
  <c r="O142" i="23"/>
  <c r="O143" i="23"/>
  <c r="O134" i="23"/>
  <c r="O135" i="23"/>
  <c r="I92" i="12"/>
  <c r="O130" i="23"/>
  <c r="O131" i="23"/>
  <c r="L127" i="23"/>
  <c r="M127" i="23"/>
  <c r="J127" i="23"/>
  <c r="H127" i="23"/>
  <c r="L126" i="23"/>
  <c r="M126" i="23"/>
  <c r="J126" i="23"/>
  <c r="H126" i="23"/>
  <c r="L125" i="23"/>
  <c r="M125" i="23"/>
  <c r="J125" i="23"/>
  <c r="H125" i="23"/>
  <c r="L124" i="23"/>
  <c r="M124" i="23"/>
  <c r="J124" i="23"/>
  <c r="H124" i="23"/>
  <c r="L123" i="23"/>
  <c r="M123" i="23"/>
  <c r="J123" i="23"/>
  <c r="H123" i="23"/>
  <c r="L122" i="23"/>
  <c r="M122" i="23"/>
  <c r="J122" i="23"/>
  <c r="H122" i="23"/>
  <c r="L121" i="23"/>
  <c r="M121" i="23"/>
  <c r="J121" i="23"/>
  <c r="L120" i="23"/>
  <c r="M120" i="23"/>
  <c r="J120" i="23"/>
  <c r="L119" i="23"/>
  <c r="M119" i="23"/>
  <c r="J119" i="23"/>
  <c r="L118" i="23"/>
  <c r="M118" i="23"/>
  <c r="J118" i="23"/>
  <c r="L117" i="23"/>
  <c r="M117" i="23"/>
  <c r="J117" i="23"/>
  <c r="L116" i="23"/>
  <c r="M116" i="23"/>
  <c r="J116" i="23"/>
  <c r="L115" i="23"/>
  <c r="M115" i="23"/>
  <c r="J115" i="23"/>
  <c r="L114" i="23"/>
  <c r="M114" i="23"/>
  <c r="J114" i="23"/>
  <c r="L113" i="23"/>
  <c r="M113" i="23"/>
  <c r="J113" i="23"/>
  <c r="L112" i="23"/>
  <c r="M112" i="23"/>
  <c r="J112" i="23"/>
  <c r="L111" i="23"/>
  <c r="M111" i="23"/>
  <c r="J111" i="23"/>
  <c r="L110" i="23"/>
  <c r="M110" i="23"/>
  <c r="J110" i="23"/>
  <c r="L109" i="23"/>
  <c r="M109" i="23"/>
  <c r="J109" i="23"/>
  <c r="L108" i="23"/>
  <c r="M108" i="23"/>
  <c r="J108" i="23"/>
  <c r="L107" i="23"/>
  <c r="M107" i="23"/>
  <c r="J107" i="23"/>
  <c r="L106" i="23"/>
  <c r="M106" i="23"/>
  <c r="J106" i="23"/>
  <c r="L105" i="23"/>
  <c r="M105" i="23"/>
  <c r="J105" i="23"/>
  <c r="L104" i="23"/>
  <c r="M104" i="23"/>
  <c r="J104" i="23"/>
  <c r="L103" i="23"/>
  <c r="M103" i="23"/>
  <c r="J103" i="23"/>
  <c r="L102" i="23"/>
  <c r="M102" i="23"/>
  <c r="J102" i="23"/>
  <c r="L101" i="23"/>
  <c r="M101" i="23"/>
  <c r="J101" i="23"/>
  <c r="L100" i="23"/>
  <c r="M100" i="23"/>
  <c r="J100" i="23"/>
  <c r="L99" i="23"/>
  <c r="M99" i="23"/>
  <c r="J99" i="23"/>
  <c r="L98" i="23"/>
  <c r="M98" i="23"/>
  <c r="J98" i="23"/>
  <c r="L97" i="23"/>
  <c r="M97" i="23"/>
  <c r="J97" i="23"/>
  <c r="L96" i="23"/>
  <c r="M96" i="23"/>
  <c r="J96" i="23"/>
  <c r="L95" i="23"/>
  <c r="M95" i="23"/>
  <c r="J95" i="23"/>
  <c r="L94" i="23"/>
  <c r="M94" i="23"/>
  <c r="J94" i="23"/>
  <c r="L93" i="23"/>
  <c r="M93" i="23"/>
  <c r="J93" i="23"/>
  <c r="L92" i="23"/>
  <c r="M92" i="23"/>
  <c r="J92" i="23"/>
  <c r="L91" i="23"/>
  <c r="M91" i="23"/>
  <c r="J91" i="23"/>
  <c r="L90" i="23"/>
  <c r="M90" i="23"/>
  <c r="J90" i="23"/>
  <c r="L89" i="23"/>
  <c r="M89" i="23"/>
  <c r="J89" i="23"/>
  <c r="L88" i="23"/>
  <c r="M88" i="23"/>
  <c r="J88" i="23"/>
  <c r="L87" i="23"/>
  <c r="M87" i="23"/>
  <c r="J87" i="23"/>
  <c r="L86" i="23"/>
  <c r="M86" i="23"/>
  <c r="J86" i="23"/>
  <c r="L85" i="23"/>
  <c r="M85" i="23"/>
  <c r="J85" i="23"/>
  <c r="L84" i="23"/>
  <c r="M84" i="23"/>
  <c r="J84" i="23"/>
  <c r="L83" i="23"/>
  <c r="M83" i="23"/>
  <c r="J83" i="23"/>
  <c r="J82" i="23"/>
  <c r="L82" i="23"/>
  <c r="M82" i="23"/>
  <c r="L81" i="23"/>
  <c r="M81" i="23"/>
  <c r="J81" i="23"/>
  <c r="L80" i="23"/>
  <c r="M80" i="23"/>
  <c r="J80" i="23"/>
  <c r="L79" i="23"/>
  <c r="M79" i="23"/>
  <c r="J79" i="23"/>
  <c r="L78" i="23"/>
  <c r="M78" i="23"/>
  <c r="J78" i="23"/>
  <c r="L77" i="23"/>
  <c r="M77" i="23"/>
  <c r="J77" i="23"/>
  <c r="L76" i="23"/>
  <c r="M76" i="23"/>
  <c r="J76" i="23"/>
  <c r="L74" i="23"/>
  <c r="M74" i="23"/>
  <c r="J74" i="23"/>
  <c r="L75" i="23"/>
  <c r="M75" i="23"/>
  <c r="J75" i="23"/>
  <c r="L73" i="23"/>
  <c r="M73" i="23"/>
  <c r="J73" i="23"/>
  <c r="L72" i="23"/>
  <c r="M72" i="23"/>
  <c r="J72" i="23"/>
  <c r="L71" i="23"/>
  <c r="M71" i="23"/>
  <c r="J71" i="23"/>
  <c r="L70" i="23"/>
  <c r="M70" i="23"/>
  <c r="J70" i="23"/>
  <c r="L69" i="23"/>
  <c r="M69" i="23"/>
  <c r="J69" i="23"/>
  <c r="L68" i="23"/>
  <c r="M68" i="23"/>
  <c r="J68" i="23"/>
  <c r="L67" i="23"/>
  <c r="M67" i="23"/>
  <c r="J67" i="23"/>
  <c r="L66" i="23"/>
  <c r="M66" i="23"/>
  <c r="J66" i="23"/>
  <c r="Q449" i="12"/>
  <c r="R449" i="12"/>
  <c r="Q546" i="12"/>
  <c r="R546" i="12"/>
  <c r="Q439" i="12"/>
  <c r="R439" i="12"/>
  <c r="Q504" i="12"/>
  <c r="R504" i="12"/>
  <c r="Q464" i="12"/>
  <c r="R464" i="12"/>
  <c r="Q384" i="12"/>
  <c r="R384" i="12"/>
  <c r="Q404" i="12"/>
  <c r="R404" i="12"/>
  <c r="Q542" i="12"/>
  <c r="R542" i="12"/>
  <c r="Q476" i="12"/>
  <c r="R476" i="12"/>
  <c r="Q417" i="12"/>
  <c r="R417" i="12"/>
  <c r="Q409" i="12"/>
  <c r="R409" i="12"/>
  <c r="Q482" i="12"/>
  <c r="R482" i="12"/>
  <c r="Q413" i="12"/>
  <c r="R413" i="12"/>
  <c r="Q490" i="12"/>
  <c r="R490" i="12"/>
  <c r="Q441" i="12"/>
  <c r="R441" i="12"/>
  <c r="Q388" i="12"/>
  <c r="R388" i="12"/>
  <c r="Q465" i="12"/>
  <c r="R465" i="12"/>
  <c r="Q536" i="12"/>
  <c r="R536" i="12"/>
  <c r="Q547" i="12"/>
  <c r="R547" i="12"/>
  <c r="Q408" i="12"/>
  <c r="R408" i="12"/>
  <c r="Q521" i="12"/>
  <c r="R521" i="12"/>
  <c r="Q541" i="12"/>
  <c r="R541" i="12"/>
  <c r="Q396" i="12"/>
  <c r="R396" i="12"/>
  <c r="Q406" i="12"/>
  <c r="R406" i="12"/>
  <c r="Q385" i="12"/>
  <c r="R385" i="12"/>
  <c r="Q436" i="12"/>
  <c r="R436" i="12"/>
  <c r="Q407" i="12"/>
  <c r="R407" i="12"/>
  <c r="Q415" i="12"/>
  <c r="R415" i="12"/>
  <c r="Q437" i="12"/>
  <c r="R437" i="12"/>
  <c r="Q418" i="12"/>
  <c r="R418" i="12"/>
  <c r="Q444" i="12"/>
  <c r="R444" i="12"/>
  <c r="Q423" i="12"/>
  <c r="R423" i="12"/>
  <c r="Q538" i="12"/>
  <c r="R538" i="12"/>
  <c r="Q550" i="12"/>
  <c r="R550" i="12"/>
  <c r="Q457" i="12"/>
  <c r="R457" i="12"/>
  <c r="Q401" i="12"/>
  <c r="R401" i="12"/>
  <c r="Q522" i="12"/>
  <c r="R522" i="12"/>
  <c r="Q451" i="12"/>
  <c r="R451" i="12"/>
  <c r="Q446" i="12"/>
  <c r="R446" i="12"/>
  <c r="Q380" i="12"/>
  <c r="R380" i="12"/>
  <c r="Q537" i="12"/>
  <c r="R537" i="12"/>
  <c r="Q483" i="12"/>
  <c r="R483" i="12"/>
  <c r="Q535" i="12"/>
  <c r="R535" i="12"/>
  <c r="Q459" i="12"/>
  <c r="R459" i="12"/>
  <c r="Q445" i="12"/>
  <c r="R445" i="12"/>
  <c r="Q399" i="12"/>
  <c r="R399" i="12"/>
  <c r="Q525" i="12"/>
  <c r="R525" i="12"/>
  <c r="Q518" i="12"/>
  <c r="R518" i="12"/>
  <c r="Q484" i="12"/>
  <c r="R484" i="12"/>
  <c r="Q551" i="12"/>
  <c r="R551" i="12"/>
  <c r="Q462" i="12"/>
  <c r="R462" i="12"/>
  <c r="Q403" i="12"/>
  <c r="R403" i="12"/>
  <c r="Q381" i="12"/>
  <c r="R381" i="12"/>
  <c r="Q470" i="12"/>
  <c r="R470" i="12"/>
  <c r="Q448" i="12"/>
  <c r="R448" i="12"/>
  <c r="Q529" i="12"/>
  <c r="R529" i="12"/>
  <c r="Q514" i="12"/>
  <c r="R514" i="12"/>
  <c r="Q519" i="12"/>
  <c r="R519" i="12"/>
  <c r="Q471" i="12"/>
  <c r="R471" i="12"/>
  <c r="Q493" i="12"/>
  <c r="R493" i="12"/>
  <c r="Q478" i="12"/>
  <c r="R478" i="12"/>
  <c r="Q442" i="12"/>
  <c r="R442" i="12"/>
  <c r="Q480" i="12"/>
  <c r="R480" i="12"/>
  <c r="Q507" i="12"/>
  <c r="R507" i="12"/>
  <c r="Q402" i="12"/>
  <c r="R402" i="12"/>
  <c r="Q378" i="12"/>
  <c r="R378" i="12"/>
  <c r="Q499" i="12"/>
  <c r="R499" i="12"/>
  <c r="Q497" i="12"/>
  <c r="R497" i="12"/>
  <c r="Q405" i="12"/>
  <c r="R405" i="12"/>
  <c r="Q466" i="12"/>
  <c r="R466" i="12"/>
  <c r="Q438" i="12"/>
  <c r="R438" i="12"/>
  <c r="Q539" i="12"/>
  <c r="R539" i="12"/>
  <c r="Q508" i="12"/>
  <c r="R508" i="12"/>
  <c r="Q440" i="12"/>
  <c r="R440" i="12"/>
  <c r="Q545" i="12"/>
  <c r="R545" i="12"/>
  <c r="Q523" i="12"/>
  <c r="R523" i="12"/>
  <c r="Q472" i="12"/>
  <c r="R472" i="12"/>
  <c r="Q414" i="12"/>
  <c r="R414" i="12"/>
  <c r="Q456" i="12"/>
  <c r="R456" i="12"/>
  <c r="R552" i="12"/>
  <c r="Q420" i="12"/>
  <c r="R420" i="12"/>
  <c r="Q391" i="12"/>
  <c r="R391" i="12"/>
  <c r="Q400" i="12"/>
  <c r="R400" i="12"/>
  <c r="Q434" i="12"/>
  <c r="R434" i="12"/>
  <c r="Q473" i="12"/>
  <c r="R473" i="12"/>
  <c r="Q520" i="12"/>
  <c r="R520" i="12"/>
  <c r="Q469" i="12"/>
  <c r="R469" i="12"/>
  <c r="Q397" i="12"/>
  <c r="R397" i="12"/>
  <c r="Q460" i="12"/>
  <c r="R460" i="12"/>
  <c r="Q422" i="12"/>
  <c r="R422" i="12"/>
  <c r="Q515" i="12"/>
  <c r="R515" i="12"/>
  <c r="Q481" i="12"/>
  <c r="R481" i="12"/>
  <c r="Q463" i="12"/>
  <c r="R463" i="12"/>
  <c r="Q553" i="12"/>
  <c r="R553" i="12"/>
  <c r="Q500" i="12"/>
  <c r="R500" i="12"/>
  <c r="Q501" i="12"/>
  <c r="R501" i="12"/>
  <c r="Q382" i="12"/>
  <c r="R382" i="12"/>
  <c r="Q416" i="12"/>
  <c r="R416" i="12"/>
  <c r="Q540" i="12"/>
  <c r="R540" i="12"/>
  <c r="Q477" i="12"/>
  <c r="R477" i="12"/>
  <c r="Q534" i="12"/>
  <c r="R534" i="12"/>
  <c r="Q433" i="12"/>
  <c r="R433" i="12"/>
  <c r="Q467" i="12"/>
  <c r="R467" i="12"/>
  <c r="Q513" i="12"/>
  <c r="R513" i="12"/>
  <c r="Q461" i="12"/>
  <c r="R461" i="12"/>
  <c r="Q544" i="12"/>
  <c r="R544" i="12"/>
  <c r="Q503" i="12"/>
  <c r="R503" i="12"/>
  <c r="Q517" i="12"/>
  <c r="R517" i="12"/>
  <c r="Q495" i="12"/>
  <c r="R495" i="12"/>
  <c r="Q509" i="12"/>
  <c r="R509" i="12"/>
  <c r="Q379" i="12"/>
  <c r="R379" i="12"/>
  <c r="Q424" i="12"/>
  <c r="R424" i="12"/>
  <c r="Q427" i="12"/>
  <c r="R427" i="12"/>
  <c r="Q428" i="12"/>
  <c r="R428" i="12"/>
  <c r="Q383" i="12"/>
  <c r="R383" i="12"/>
  <c r="Q533" i="12"/>
  <c r="R533" i="12"/>
  <c r="Q512" i="12"/>
  <c r="R512" i="12"/>
  <c r="Q487" i="12"/>
  <c r="R487" i="12"/>
  <c r="Q394" i="12"/>
  <c r="R394" i="12"/>
  <c r="Q452" i="12"/>
  <c r="R452" i="12"/>
  <c r="Q524" i="12"/>
  <c r="R524" i="12"/>
  <c r="Q450" i="12"/>
  <c r="R450" i="12"/>
  <c r="Q393" i="12"/>
  <c r="R393" i="12"/>
  <c r="Q489" i="12"/>
  <c r="R489" i="12"/>
  <c r="Q526" i="12"/>
  <c r="R526" i="12"/>
  <c r="Q398" i="12"/>
  <c r="R398" i="12"/>
  <c r="Q516" i="12"/>
  <c r="R516" i="12"/>
  <c r="Q496" i="12"/>
  <c r="R496" i="12"/>
  <c r="Q475" i="12"/>
  <c r="R475" i="12"/>
  <c r="Q530" i="12"/>
  <c r="R530" i="12"/>
  <c r="Q502" i="12"/>
  <c r="R502" i="12"/>
  <c r="Q485" i="12"/>
  <c r="R485" i="12"/>
  <c r="Q425" i="12"/>
  <c r="R425" i="12"/>
  <c r="Q395" i="12"/>
  <c r="R395" i="12"/>
  <c r="Q468" i="12"/>
  <c r="R468" i="12"/>
  <c r="Q528" i="12"/>
  <c r="R528" i="12"/>
  <c r="Q479" i="12"/>
  <c r="R479" i="12"/>
  <c r="Q494" i="12"/>
  <c r="R494" i="12"/>
  <c r="Q486" i="12"/>
  <c r="R486" i="12"/>
  <c r="Q430" i="12"/>
  <c r="R430" i="12"/>
  <c r="Q506" i="12"/>
  <c r="R506" i="12"/>
  <c r="Q390" i="12"/>
  <c r="R390" i="12"/>
  <c r="Q447" i="12"/>
  <c r="R447" i="12"/>
  <c r="Q498" i="12"/>
  <c r="R498" i="12"/>
  <c r="Q510" i="12"/>
  <c r="R510" i="12"/>
  <c r="Q527" i="12"/>
  <c r="R527" i="12"/>
  <c r="Q548" i="12"/>
  <c r="R548" i="12"/>
  <c r="Q421" i="12"/>
  <c r="R421" i="12"/>
  <c r="Q488" i="12"/>
  <c r="R488" i="12"/>
  <c r="Q474" i="12"/>
  <c r="R474" i="12"/>
  <c r="Q455" i="12"/>
  <c r="R455" i="12"/>
  <c r="Q419" i="12"/>
  <c r="R419" i="12"/>
  <c r="Q492" i="12"/>
  <c r="R492" i="12"/>
  <c r="Q458" i="12"/>
  <c r="R458" i="12"/>
  <c r="Q410" i="12"/>
  <c r="R410" i="12"/>
  <c r="Q426" i="12"/>
  <c r="R426" i="12"/>
  <c r="Q543" i="12"/>
  <c r="R543" i="12"/>
  <c r="Q386" i="12"/>
  <c r="R386" i="12"/>
  <c r="Q549" i="12"/>
  <c r="R549" i="12"/>
  <c r="Q387" i="12"/>
  <c r="R387" i="12"/>
  <c r="Q531" i="12"/>
  <c r="R531" i="12"/>
  <c r="Q453" i="12"/>
  <c r="R453" i="12"/>
  <c r="Q432" i="12"/>
  <c r="R432" i="12"/>
  <c r="Q435" i="12"/>
  <c r="R435" i="12"/>
  <c r="Q491" i="12"/>
  <c r="R491" i="12"/>
  <c r="Q532" i="12"/>
  <c r="R532" i="12"/>
  <c r="Q505" i="12"/>
  <c r="R505" i="12"/>
  <c r="Q443" i="12"/>
  <c r="R443" i="12"/>
  <c r="Q429" i="12"/>
  <c r="R429" i="12"/>
  <c r="Q431" i="12"/>
  <c r="R431" i="12"/>
  <c r="Q411" i="12"/>
  <c r="R411" i="12"/>
  <c r="Q412" i="12"/>
  <c r="R412" i="12"/>
  <c r="Q511" i="12"/>
  <c r="R511" i="12"/>
  <c r="I449" i="12"/>
  <c r="I546" i="12"/>
  <c r="I439" i="12"/>
  <c r="I504" i="12"/>
  <c r="I464" i="12"/>
  <c r="I384" i="12"/>
  <c r="I404" i="12"/>
  <c r="I542" i="12"/>
  <c r="I476" i="12"/>
  <c r="I417" i="12"/>
  <c r="I409" i="12"/>
  <c r="I413" i="12"/>
  <c r="I441" i="12"/>
  <c r="I388" i="12"/>
  <c r="I465" i="12"/>
  <c r="I536" i="12"/>
  <c r="I547" i="12"/>
  <c r="I408" i="12"/>
  <c r="I521" i="12"/>
  <c r="I541" i="12"/>
  <c r="I396" i="12"/>
  <c r="I406" i="12"/>
  <c r="I385" i="12"/>
  <c r="I436" i="12"/>
  <c r="I407" i="12"/>
  <c r="I554" i="12"/>
  <c r="I418" i="12"/>
  <c r="I444" i="12"/>
  <c r="I423" i="12"/>
  <c r="I538" i="12"/>
  <c r="I550" i="12"/>
  <c r="I457" i="12"/>
  <c r="I401" i="12"/>
  <c r="I522" i="12"/>
  <c r="I451" i="12"/>
  <c r="I446" i="12"/>
  <c r="I537" i="12"/>
  <c r="I483" i="12"/>
  <c r="I535" i="12"/>
  <c r="I459" i="12"/>
  <c r="I445" i="12"/>
  <c r="I399" i="12"/>
  <c r="I525" i="12"/>
  <c r="I518" i="12"/>
  <c r="I484" i="12"/>
  <c r="I551" i="12"/>
  <c r="I462" i="12"/>
  <c r="I403" i="12"/>
  <c r="I381" i="12"/>
  <c r="I470" i="12"/>
  <c r="I448" i="12"/>
  <c r="I529" i="12"/>
  <c r="I514" i="12"/>
  <c r="I519" i="12"/>
  <c r="I471" i="12"/>
  <c r="I493" i="12"/>
  <c r="I478" i="12"/>
  <c r="I442" i="12"/>
  <c r="I480" i="12"/>
  <c r="I507" i="12"/>
  <c r="I378" i="12"/>
  <c r="I499" i="12"/>
  <c r="I497" i="12"/>
  <c r="I405" i="12"/>
  <c r="I466" i="12"/>
  <c r="I438" i="12"/>
  <c r="I539" i="12"/>
  <c r="I508" i="12"/>
  <c r="I440" i="12"/>
  <c r="I545" i="12"/>
  <c r="I523" i="12"/>
  <c r="I472" i="12"/>
  <c r="I414" i="12"/>
  <c r="I456" i="12"/>
  <c r="I552" i="12"/>
  <c r="I420" i="12"/>
  <c r="I391" i="12"/>
  <c r="I434" i="12"/>
  <c r="I473" i="12"/>
  <c r="I520" i="12"/>
  <c r="I469" i="12"/>
  <c r="I397" i="12"/>
  <c r="I460" i="12"/>
  <c r="I422" i="12"/>
  <c r="I515" i="12"/>
  <c r="I454" i="12"/>
  <c r="I481" i="12"/>
  <c r="I463" i="12"/>
  <c r="I553" i="12"/>
  <c r="I500" i="12"/>
  <c r="I501" i="12"/>
  <c r="I382" i="12"/>
  <c r="I416" i="12"/>
  <c r="I540" i="12"/>
  <c r="I477" i="12"/>
  <c r="I534" i="12"/>
  <c r="I433" i="12"/>
  <c r="I467" i="12"/>
  <c r="I513" i="12"/>
  <c r="I461" i="12"/>
  <c r="I544" i="12"/>
  <c r="I503" i="12"/>
  <c r="I517" i="12"/>
  <c r="I495" i="12"/>
  <c r="I509" i="12"/>
  <c r="I379" i="12"/>
  <c r="I424" i="12"/>
  <c r="I427" i="12"/>
  <c r="I428" i="12"/>
  <c r="I383" i="12"/>
  <c r="I533" i="12"/>
  <c r="I512" i="12"/>
  <c r="I487" i="12"/>
  <c r="I394" i="12"/>
  <c r="I452" i="12"/>
  <c r="I524" i="12"/>
  <c r="I450" i="12"/>
  <c r="I393" i="12"/>
  <c r="I489" i="12"/>
  <c r="I526" i="12"/>
  <c r="I398" i="12"/>
  <c r="I516" i="12"/>
  <c r="I496" i="12"/>
  <c r="I475" i="12"/>
  <c r="I530" i="12"/>
  <c r="I502" i="12"/>
  <c r="I485" i="12"/>
  <c r="I425" i="12"/>
  <c r="I395" i="12"/>
  <c r="I468" i="12"/>
  <c r="I528" i="12"/>
  <c r="I479" i="12"/>
  <c r="I494" i="12"/>
  <c r="I486" i="12"/>
  <c r="I430" i="12"/>
  <c r="I506" i="12"/>
  <c r="I390" i="12"/>
  <c r="I447" i="12"/>
  <c r="I498" i="12"/>
  <c r="I510" i="12"/>
  <c r="I527" i="12"/>
  <c r="I548" i="12"/>
  <c r="I421" i="12"/>
  <c r="I488" i="12"/>
  <c r="I474" i="12"/>
  <c r="I455" i="12"/>
  <c r="I419" i="12"/>
  <c r="I492" i="12"/>
  <c r="I458" i="12"/>
  <c r="I410" i="12"/>
  <c r="I426" i="12"/>
  <c r="I543" i="12"/>
  <c r="I386" i="12"/>
  <c r="I549" i="12"/>
  <c r="I387" i="12"/>
  <c r="I531" i="12"/>
  <c r="I453" i="12"/>
  <c r="I432" i="12"/>
  <c r="I435" i="12"/>
  <c r="I491" i="12"/>
  <c r="I532" i="12"/>
  <c r="I505" i="12"/>
  <c r="I443" i="12"/>
  <c r="I429" i="12"/>
  <c r="I431" i="12"/>
  <c r="I411" i="12"/>
  <c r="I412" i="12"/>
  <c r="I511" i="12"/>
  <c r="A3" i="12"/>
  <c r="A4" i="12"/>
  <c r="A374" i="12"/>
  <c r="A24" i="12"/>
  <c r="A18" i="12"/>
  <c r="A15" i="12"/>
  <c r="A20" i="12"/>
  <c r="A9" i="12"/>
  <c r="A16" i="12"/>
  <c r="A27" i="12"/>
  <c r="A21" i="12"/>
  <c r="A25" i="12"/>
  <c r="A26" i="12"/>
  <c r="A8" i="12"/>
  <c r="A12" i="12"/>
  <c r="A6" i="12"/>
  <c r="A7" i="12"/>
  <c r="A13" i="12"/>
  <c r="A11" i="12"/>
  <c r="A10" i="12"/>
  <c r="A22" i="12"/>
  <c r="A23" i="12"/>
  <c r="A28" i="12"/>
  <c r="A19" i="12"/>
  <c r="A14" i="12"/>
  <c r="A135" i="12"/>
  <c r="A117" i="12"/>
  <c r="A120" i="12"/>
  <c r="A328" i="12"/>
  <c r="A270" i="12"/>
  <c r="A367" i="12"/>
  <c r="A291" i="12"/>
  <c r="A351" i="12"/>
  <c r="A350" i="12"/>
  <c r="A381" i="12"/>
  <c r="A393" i="12"/>
  <c r="A376" i="12"/>
  <c r="A373" i="12"/>
  <c r="A369" i="12"/>
  <c r="A390" i="12"/>
  <c r="A389" i="12"/>
  <c r="A405" i="12"/>
  <c r="A452" i="12"/>
  <c r="A496" i="12"/>
  <c r="A352" i="12"/>
  <c r="A422" i="12"/>
  <c r="A485" i="12"/>
  <c r="A414" i="12"/>
  <c r="A432" i="12"/>
  <c r="A504" i="12"/>
  <c r="A448" i="12"/>
  <c r="A438" i="12"/>
  <c r="A511" i="12"/>
  <c r="A445" i="12"/>
  <c r="A469" i="12"/>
  <c r="A456" i="12"/>
  <c r="A502" i="12"/>
  <c r="A541" i="12"/>
  <c r="A520" i="12"/>
  <c r="A429" i="12"/>
  <c r="A506" i="12"/>
  <c r="A497" i="12"/>
  <c r="A513" i="12"/>
  <c r="A484" i="12"/>
  <c r="A426" i="12"/>
  <c r="A508" i="12"/>
  <c r="A524" i="12"/>
  <c r="A527" i="12"/>
  <c r="A526" i="12"/>
  <c r="A530" i="12"/>
  <c r="A544" i="12"/>
  <c r="A543" i="12"/>
  <c r="A410" i="12"/>
  <c r="A481" i="12"/>
  <c r="A540" i="12"/>
  <c r="A503" i="12"/>
  <c r="A2" i="12"/>
  <c r="L65" i="23"/>
  <c r="M65" i="23"/>
  <c r="J65" i="23"/>
  <c r="L64" i="23"/>
  <c r="M64" i="23"/>
  <c r="J64" i="23"/>
  <c r="L63" i="23"/>
  <c r="M63" i="23"/>
  <c r="J63" i="23"/>
  <c r="L62" i="23"/>
  <c r="M62" i="23"/>
  <c r="J62" i="23"/>
  <c r="L61" i="23"/>
  <c r="M61" i="23"/>
  <c r="J61" i="23"/>
  <c r="L60" i="23"/>
  <c r="M60" i="23"/>
  <c r="J60" i="23"/>
  <c r="L59" i="23"/>
  <c r="M59" i="23"/>
  <c r="J59" i="23"/>
  <c r="L58" i="23"/>
  <c r="M58" i="23"/>
  <c r="J58" i="23"/>
  <c r="L57" i="23"/>
  <c r="M57" i="23"/>
  <c r="J57" i="23"/>
  <c r="L56" i="23"/>
  <c r="M56" i="23"/>
  <c r="J56" i="23"/>
  <c r="L55" i="23"/>
  <c r="M55" i="23"/>
  <c r="J55" i="23"/>
  <c r="L54" i="23"/>
  <c r="M54" i="23"/>
  <c r="J54" i="23"/>
  <c r="L53" i="23"/>
  <c r="M53" i="23"/>
  <c r="J53" i="23"/>
  <c r="L52" i="23"/>
  <c r="M52" i="23"/>
  <c r="J52" i="23"/>
  <c r="L51" i="23"/>
  <c r="M51" i="23"/>
  <c r="J51" i="23"/>
  <c r="L50" i="23"/>
  <c r="M50" i="23"/>
  <c r="J50" i="23"/>
  <c r="L49" i="23"/>
  <c r="M49" i="23"/>
  <c r="J49" i="23"/>
  <c r="L48" i="23"/>
  <c r="M48" i="23"/>
  <c r="J48" i="23"/>
  <c r="L47" i="23"/>
  <c r="M47" i="23"/>
  <c r="J47" i="23"/>
  <c r="L46" i="23"/>
  <c r="M46" i="23"/>
  <c r="J46" i="23"/>
  <c r="L45" i="23"/>
  <c r="M45" i="23"/>
  <c r="J45" i="23"/>
  <c r="L44" i="23"/>
  <c r="M44" i="23"/>
  <c r="J44" i="23"/>
  <c r="L43" i="23"/>
  <c r="M43" i="23"/>
  <c r="J43" i="23"/>
  <c r="L42" i="23"/>
  <c r="M42" i="23"/>
  <c r="J42" i="23"/>
  <c r="L40" i="23"/>
  <c r="M40" i="23"/>
  <c r="J40" i="23"/>
  <c r="L39" i="23"/>
  <c r="M39" i="23"/>
  <c r="J39" i="23"/>
  <c r="L38" i="23"/>
  <c r="M38" i="23"/>
  <c r="J38" i="23"/>
  <c r="L37" i="23"/>
  <c r="M37" i="23"/>
  <c r="J37" i="23"/>
  <c r="L36" i="23"/>
  <c r="M36" i="23"/>
  <c r="J36" i="23"/>
  <c r="L35" i="23"/>
  <c r="M35" i="23"/>
  <c r="J35" i="23"/>
  <c r="L34" i="23"/>
  <c r="M34" i="23"/>
  <c r="J34" i="23"/>
  <c r="L33" i="23"/>
  <c r="M33" i="23"/>
  <c r="J33" i="23"/>
  <c r="L32" i="23"/>
  <c r="M32" i="23"/>
  <c r="J32" i="23"/>
  <c r="L31" i="23"/>
  <c r="M31" i="23"/>
  <c r="J31" i="23"/>
  <c r="L30" i="23"/>
  <c r="M30" i="23"/>
  <c r="J30" i="23"/>
  <c r="L29" i="23"/>
  <c r="M29" i="23"/>
  <c r="J29" i="23"/>
  <c r="L28" i="23"/>
  <c r="M28" i="23"/>
  <c r="J28" i="23"/>
  <c r="L27" i="23"/>
  <c r="M27" i="23"/>
  <c r="J27" i="23"/>
  <c r="L26" i="23"/>
  <c r="M26" i="23"/>
  <c r="J26" i="23"/>
  <c r="L25" i="23"/>
  <c r="M25" i="23"/>
  <c r="J25" i="23"/>
  <c r="Q315" i="12"/>
  <c r="Q345" i="12"/>
  <c r="Q301" i="12"/>
  <c r="Q292" i="12"/>
  <c r="Q371" i="12"/>
  <c r="Q339" i="12"/>
  <c r="Q344" i="12"/>
  <c r="Q311" i="12"/>
  <c r="Q307" i="12"/>
  <c r="Q318" i="12"/>
  <c r="Q323" i="12"/>
  <c r="Q299" i="12"/>
  <c r="Q348" i="12"/>
  <c r="Q317" i="12"/>
  <c r="Q319" i="12"/>
  <c r="Q328" i="12"/>
  <c r="Q350" i="12"/>
  <c r="Q372" i="12"/>
  <c r="Q304" i="12"/>
  <c r="Q356" i="12"/>
  <c r="Q334" i="12"/>
  <c r="Q309" i="12"/>
  <c r="Q342" i="12"/>
  <c r="Q351" i="12"/>
  <c r="Q337" i="12"/>
  <c r="Q359" i="12"/>
  <c r="Q314" i="12"/>
  <c r="Q375" i="12"/>
  <c r="Q346" i="12"/>
  <c r="Q332" i="12"/>
  <c r="Q363" i="12"/>
  <c r="Q324" i="12"/>
  <c r="Q340" i="12"/>
  <c r="Q327" i="12"/>
  <c r="Q360" i="12"/>
  <c r="Q298" i="12"/>
  <c r="Q392" i="12"/>
  <c r="Q333" i="12"/>
  <c r="Q364" i="12"/>
  <c r="Q302" i="12"/>
  <c r="Q368" i="12"/>
  <c r="Q308" i="12"/>
  <c r="Q267" i="12"/>
  <c r="Q293" i="12"/>
  <c r="Q329" i="12"/>
  <c r="Q296" i="12"/>
  <c r="Q376" i="12"/>
  <c r="Q321" i="12"/>
  <c r="Q338" i="12"/>
  <c r="Q313" i="12"/>
  <c r="Q369" i="12"/>
  <c r="Q306" i="12"/>
  <c r="Q325" i="12"/>
  <c r="Q389" i="12"/>
  <c r="Q294" i="12"/>
  <c r="Q355" i="12"/>
  <c r="Q320" i="12"/>
  <c r="Q300" i="12"/>
  <c r="Q349" i="12"/>
  <c r="Q373" i="12"/>
  <c r="Q312" i="12"/>
  <c r="Q367" i="12"/>
  <c r="Q365" i="12"/>
  <c r="Q341" i="12"/>
  <c r="Q370" i="12"/>
  <c r="Q316" i="12"/>
  <c r="Q305" i="12"/>
  <c r="Q291" i="12"/>
  <c r="Q331" i="12"/>
  <c r="Q326" i="12"/>
  <c r="Q362" i="12"/>
  <c r="Q336" i="12"/>
  <c r="Q366" i="12"/>
  <c r="Q352" i="12"/>
  <c r="Q335" i="12"/>
  <c r="Q361" i="12"/>
  <c r="Q354" i="12"/>
  <c r="Q343" i="12"/>
  <c r="Q295" i="12"/>
  <c r="Q303" i="12"/>
  <c r="Q297" i="12"/>
  <c r="Q357" i="12"/>
  <c r="Q358" i="12"/>
  <c r="Q322" i="12"/>
  <c r="Q330" i="12"/>
  <c r="Q353" i="12"/>
  <c r="Q310" i="12"/>
  <c r="Q347" i="12"/>
  <c r="Q377" i="12"/>
  <c r="M24" i="23"/>
  <c r="J24" i="23"/>
  <c r="M23" i="23"/>
  <c r="J23" i="23"/>
  <c r="M22" i="23"/>
  <c r="J22" i="23"/>
  <c r="I377" i="12"/>
  <c r="M21" i="23"/>
  <c r="J21" i="23"/>
  <c r="M20" i="23"/>
  <c r="J20" i="23"/>
  <c r="M19" i="23"/>
  <c r="J19" i="23"/>
  <c r="M18" i="23"/>
  <c r="J18" i="23"/>
  <c r="M17" i="23"/>
  <c r="M16" i="23"/>
  <c r="J16" i="23"/>
  <c r="M15" i="23"/>
  <c r="M14" i="23"/>
  <c r="M13" i="23"/>
  <c r="J13" i="23"/>
  <c r="M12" i="23"/>
  <c r="J12" i="23"/>
  <c r="M11" i="23"/>
  <c r="J11" i="23"/>
  <c r="M10" i="23"/>
  <c r="J10" i="23"/>
  <c r="M9" i="23"/>
  <c r="J9" i="23"/>
  <c r="M8" i="23"/>
  <c r="J8" i="23"/>
  <c r="M7" i="23"/>
  <c r="J7" i="23"/>
  <c r="M6" i="23"/>
  <c r="J6" i="23"/>
  <c r="M5" i="23"/>
  <c r="J5" i="23"/>
  <c r="M4" i="23"/>
  <c r="J4" i="23"/>
  <c r="M3" i="23"/>
  <c r="J3" i="23"/>
  <c r="M2" i="23"/>
  <c r="J2" i="23"/>
  <c r="I315" i="12"/>
  <c r="I345" i="12"/>
  <c r="I301" i="12"/>
  <c r="I292" i="12"/>
  <c r="I371" i="12"/>
  <c r="I339" i="12"/>
  <c r="I344" i="12"/>
  <c r="I311" i="12"/>
  <c r="I318" i="12"/>
  <c r="I323" i="12"/>
  <c r="I299" i="12"/>
  <c r="I348" i="12"/>
  <c r="I317" i="12"/>
  <c r="I319" i="12"/>
  <c r="I328" i="12"/>
  <c r="I350" i="12"/>
  <c r="I304" i="12"/>
  <c r="I356" i="12"/>
  <c r="I309" i="12"/>
  <c r="I342" i="12"/>
  <c r="I351" i="12"/>
  <c r="I337" i="12"/>
  <c r="I359" i="12"/>
  <c r="I375" i="12"/>
  <c r="I346" i="12"/>
  <c r="I332" i="12"/>
  <c r="I363" i="12"/>
  <c r="I324" i="12"/>
  <c r="I340" i="12"/>
  <c r="I327" i="12"/>
  <c r="I360" i="12"/>
  <c r="I392" i="12"/>
  <c r="I333" i="12"/>
  <c r="I364" i="12"/>
  <c r="I302" i="12"/>
  <c r="I368" i="12"/>
  <c r="I308" i="12"/>
  <c r="I267" i="12"/>
  <c r="I293" i="12"/>
  <c r="I329" i="12"/>
  <c r="I296" i="12"/>
  <c r="I376" i="12"/>
  <c r="I338" i="12"/>
  <c r="I313" i="12"/>
  <c r="I369" i="12"/>
  <c r="I306" i="12"/>
  <c r="I325" i="12"/>
  <c r="I389" i="12"/>
  <c r="I294" i="12"/>
  <c r="I355" i="12"/>
  <c r="I300" i="12"/>
  <c r="I349" i="12"/>
  <c r="I373" i="12"/>
  <c r="I312" i="12"/>
  <c r="I365" i="12"/>
  <c r="I341" i="12"/>
  <c r="I370" i="12"/>
  <c r="I316" i="12"/>
  <c r="I305" i="12"/>
  <c r="I291" i="12"/>
  <c r="I331" i="12"/>
  <c r="I326" i="12"/>
  <c r="I366" i="12"/>
  <c r="I352" i="12"/>
  <c r="I335" i="12"/>
  <c r="I361" i="12"/>
  <c r="I343" i="12"/>
  <c r="I295" i="12"/>
  <c r="I303" i="12"/>
  <c r="I297" i="12"/>
  <c r="I357" i="12"/>
  <c r="I358" i="12"/>
  <c r="I322" i="12"/>
  <c r="I330" i="12"/>
  <c r="I353" i="12"/>
  <c r="I310" i="12"/>
  <c r="I347" i="12"/>
  <c r="R345" i="12"/>
  <c r="R315" i="12"/>
  <c r="R301" i="12"/>
  <c r="R292" i="12"/>
  <c r="R371" i="12"/>
  <c r="R339" i="12"/>
  <c r="R344" i="12"/>
  <c r="R311" i="12"/>
  <c r="R307" i="12"/>
  <c r="R318" i="12"/>
  <c r="R323" i="12"/>
  <c r="R299" i="12"/>
  <c r="R348" i="12"/>
  <c r="R317" i="12"/>
  <c r="R319" i="12"/>
  <c r="R328" i="12"/>
  <c r="R350" i="12"/>
  <c r="R372" i="12"/>
  <c r="R304" i="12"/>
  <c r="R356" i="12"/>
  <c r="R334" i="12"/>
  <c r="R309" i="12"/>
  <c r="R342" i="12"/>
  <c r="R351" i="12"/>
  <c r="R337" i="12"/>
  <c r="R359" i="12"/>
  <c r="R314" i="12"/>
  <c r="R375" i="12"/>
  <c r="R346" i="12"/>
  <c r="R332" i="12"/>
  <c r="R363" i="12"/>
  <c r="R324" i="12"/>
  <c r="R340" i="12"/>
  <c r="R327" i="12"/>
  <c r="R360" i="12"/>
  <c r="R298" i="12"/>
  <c r="R392" i="12"/>
  <c r="R333" i="12"/>
  <c r="R364" i="12"/>
  <c r="R302" i="12"/>
  <c r="R368" i="12"/>
  <c r="R308" i="12"/>
  <c r="R267" i="12"/>
  <c r="R293" i="12"/>
  <c r="R329" i="12"/>
  <c r="R296" i="12"/>
  <c r="R376" i="12"/>
  <c r="R321" i="12"/>
  <c r="R338" i="12"/>
  <c r="R313" i="12"/>
  <c r="R369" i="12"/>
  <c r="R306" i="12"/>
  <c r="R325" i="12"/>
  <c r="R389" i="12"/>
  <c r="R294" i="12"/>
  <c r="R355" i="12"/>
  <c r="R320" i="12"/>
  <c r="R300" i="12"/>
  <c r="R349" i="12"/>
  <c r="R373" i="12"/>
  <c r="R312" i="12"/>
  <c r="R367" i="12"/>
  <c r="R365" i="12"/>
  <c r="R341" i="12"/>
  <c r="R370" i="12"/>
  <c r="R316" i="12"/>
  <c r="R305" i="12"/>
  <c r="R291" i="12"/>
  <c r="R331" i="12"/>
  <c r="R326" i="12"/>
  <c r="R362" i="12"/>
  <c r="R336" i="12"/>
  <c r="R366" i="12"/>
  <c r="R352" i="12"/>
  <c r="R335" i="12"/>
  <c r="R361" i="12"/>
  <c r="R354" i="12"/>
  <c r="R343" i="12"/>
  <c r="R377" i="12"/>
  <c r="R295" i="12"/>
  <c r="R303" i="12"/>
  <c r="R297" i="12"/>
  <c r="R357" i="12"/>
  <c r="R358" i="12"/>
  <c r="R322" i="12"/>
  <c r="R330" i="12"/>
  <c r="R353" i="12"/>
  <c r="R310" i="12"/>
  <c r="R347" i="12"/>
  <c r="J2" i="17"/>
  <c r="J26" i="17"/>
  <c r="J27" i="17"/>
  <c r="J17" i="17"/>
  <c r="J45" i="17"/>
  <c r="J46" i="17"/>
  <c r="J56" i="17"/>
  <c r="J54" i="17"/>
  <c r="J9" i="17"/>
  <c r="J64" i="17"/>
  <c r="J63" i="17"/>
  <c r="J33" i="17"/>
  <c r="J51" i="17"/>
  <c r="J8" i="17"/>
  <c r="J44" i="17"/>
  <c r="J14" i="17"/>
  <c r="J34" i="17"/>
  <c r="J42" i="17"/>
  <c r="J3" i="17"/>
  <c r="J66" i="17"/>
  <c r="J28" i="17"/>
  <c r="J48" i="17"/>
  <c r="J53" i="17"/>
  <c r="J57" i="17"/>
  <c r="J61" i="17"/>
  <c r="J29" i="17"/>
  <c r="J67" i="17"/>
  <c r="J35" i="17"/>
  <c r="J25" i="17"/>
  <c r="J4" i="17"/>
  <c r="J5" i="17"/>
  <c r="J60" i="17"/>
  <c r="J18" i="17"/>
  <c r="J30" i="17"/>
  <c r="J23" i="17"/>
  <c r="J37" i="17"/>
  <c r="J55" i="17"/>
  <c r="J19" i="17"/>
  <c r="J20" i="17"/>
  <c r="J16" i="17"/>
  <c r="J49" i="17"/>
  <c r="J11" i="17"/>
  <c r="J12" i="17"/>
  <c r="J21" i="17"/>
  <c r="J32" i="17"/>
  <c r="J6" i="17"/>
  <c r="J50" i="17"/>
  <c r="J52" i="17"/>
  <c r="J13" i="17"/>
  <c r="J59" i="17"/>
  <c r="J65" i="17"/>
  <c r="J38" i="17"/>
  <c r="J10" i="17"/>
  <c r="J40" i="17"/>
  <c r="J43" i="17"/>
  <c r="J58" i="17"/>
  <c r="J39" i="17"/>
  <c r="J7" i="17"/>
  <c r="J47" i="17"/>
  <c r="J24" i="17"/>
  <c r="J41" i="17"/>
  <c r="J15" i="17"/>
  <c r="J22" i="17"/>
  <c r="J62" i="17"/>
  <c r="J31" i="17"/>
  <c r="J36" i="17"/>
  <c r="I13" i="12"/>
  <c r="I171" i="12"/>
  <c r="I149" i="12"/>
  <c r="I49" i="12"/>
  <c r="I207" i="12"/>
  <c r="I179" i="12"/>
  <c r="I29" i="12"/>
  <c r="I245" i="12"/>
  <c r="I83" i="12"/>
  <c r="I191" i="12"/>
  <c r="I201" i="12"/>
  <c r="I281" i="12"/>
  <c r="I74" i="12"/>
  <c r="I119" i="12"/>
  <c r="I148" i="12"/>
  <c r="I255" i="12"/>
  <c r="I284" i="12"/>
  <c r="I28" i="12"/>
  <c r="I241" i="12"/>
  <c r="I67" i="12"/>
  <c r="I237" i="12"/>
  <c r="I264" i="12"/>
  <c r="I186" i="12"/>
  <c r="I194" i="12"/>
  <c r="I258" i="12"/>
  <c r="I217" i="12"/>
  <c r="I112" i="12"/>
  <c r="I53" i="12"/>
  <c r="I271" i="12"/>
  <c r="I166" i="12"/>
  <c r="I278" i="12"/>
  <c r="I80" i="12"/>
  <c r="I222" i="12"/>
  <c r="I50" i="12"/>
  <c r="I288" i="12"/>
  <c r="I259" i="12"/>
  <c r="I109" i="12"/>
  <c r="I283" i="12"/>
  <c r="I173" i="12"/>
  <c r="I251" i="12"/>
  <c r="I184" i="12"/>
  <c r="I8" i="12"/>
  <c r="I159" i="12"/>
  <c r="I114" i="12"/>
  <c r="I257" i="12"/>
  <c r="I2" i="12"/>
  <c r="I32" i="12"/>
  <c r="I47" i="12"/>
  <c r="I287" i="12"/>
  <c r="I268" i="12"/>
  <c r="I15" i="12"/>
  <c r="I39" i="12"/>
  <c r="I97" i="12"/>
  <c r="I160" i="12"/>
  <c r="I65" i="12"/>
  <c r="I136" i="12"/>
  <c r="I142" i="12"/>
  <c r="I116" i="12"/>
  <c r="I87" i="12"/>
  <c r="I48" i="12"/>
  <c r="I128" i="12"/>
  <c r="I88" i="12"/>
  <c r="I199" i="12"/>
  <c r="I266" i="12"/>
  <c r="I98" i="12"/>
  <c r="I100" i="12"/>
  <c r="I180" i="12"/>
  <c r="I24" i="12"/>
  <c r="I215" i="12"/>
  <c r="I77" i="12"/>
  <c r="I193" i="12"/>
  <c r="I110" i="12"/>
  <c r="I127" i="12"/>
  <c r="I225" i="12"/>
  <c r="I132" i="12"/>
  <c r="I125" i="12"/>
  <c r="I106" i="12"/>
  <c r="I205" i="12"/>
  <c r="I19" i="12"/>
  <c r="I10" i="12"/>
  <c r="I36" i="12"/>
  <c r="I176" i="12"/>
  <c r="I226" i="12"/>
  <c r="I213" i="12"/>
  <c r="I161" i="12"/>
  <c r="I130" i="12"/>
  <c r="I31" i="12"/>
  <c r="I93" i="12"/>
  <c r="I34" i="12"/>
  <c r="I9" i="12"/>
  <c r="I134" i="12"/>
  <c r="I75" i="12"/>
  <c r="I43" i="12"/>
  <c r="I84" i="12"/>
  <c r="I272" i="12"/>
  <c r="I246" i="12"/>
  <c r="I239" i="12"/>
  <c r="I58" i="12"/>
  <c r="I242" i="12"/>
  <c r="I206" i="12"/>
  <c r="I107" i="12"/>
  <c r="I227" i="12"/>
  <c r="I143" i="12"/>
  <c r="I249" i="12"/>
  <c r="I145" i="12"/>
  <c r="I37" i="12"/>
  <c r="I253" i="12"/>
  <c r="I40" i="12"/>
  <c r="I120" i="12"/>
  <c r="I95" i="12"/>
  <c r="I41" i="12"/>
  <c r="I260" i="12"/>
  <c r="I64" i="12"/>
  <c r="I85" i="12"/>
  <c r="I57" i="12"/>
  <c r="I21" i="12"/>
  <c r="I200" i="12"/>
  <c r="I289" i="12"/>
  <c r="I113" i="12"/>
  <c r="I182" i="12"/>
  <c r="I45" i="12"/>
  <c r="I177" i="12"/>
  <c r="I208" i="12"/>
  <c r="I124" i="12"/>
  <c r="I46" i="12"/>
  <c r="I270" i="12"/>
  <c r="I91" i="12"/>
  <c r="I275" i="12"/>
  <c r="I254" i="12"/>
  <c r="I96" i="12"/>
  <c r="I123" i="12"/>
  <c r="I126" i="12"/>
  <c r="I26" i="12"/>
  <c r="I131" i="12"/>
  <c r="I238" i="12"/>
  <c r="I30" i="12"/>
  <c r="I86" i="12"/>
  <c r="I189" i="12"/>
  <c r="I101" i="12"/>
  <c r="I151" i="12"/>
  <c r="I192" i="12"/>
  <c r="I280" i="12"/>
  <c r="I121" i="12"/>
  <c r="I72" i="12"/>
  <c r="I66" i="12"/>
  <c r="I218" i="12"/>
  <c r="I33" i="12"/>
  <c r="I14" i="12"/>
  <c r="I54" i="12"/>
  <c r="I70" i="12"/>
  <c r="I155" i="12"/>
  <c r="I68" i="12"/>
  <c r="I154" i="12"/>
  <c r="I164" i="12"/>
  <c r="I262" i="12"/>
  <c r="I73" i="12"/>
  <c r="I162" i="12"/>
  <c r="I35" i="12"/>
  <c r="I229" i="12"/>
  <c r="I55" i="12"/>
  <c r="I256" i="12"/>
  <c r="I198" i="12"/>
  <c r="I11" i="12"/>
  <c r="I99" i="12"/>
  <c r="I25" i="12"/>
  <c r="I38" i="12"/>
  <c r="I244" i="12"/>
  <c r="I140" i="12"/>
  <c r="I211" i="12"/>
  <c r="I286" i="12"/>
  <c r="I279" i="12"/>
  <c r="I214" i="12"/>
  <c r="I212" i="12"/>
  <c r="I170" i="12"/>
  <c r="I135" i="12"/>
  <c r="I16" i="12"/>
  <c r="I265" i="12"/>
  <c r="I183" i="12"/>
  <c r="I204" i="12"/>
  <c r="I252" i="12"/>
  <c r="I71" i="12"/>
  <c r="I103" i="12"/>
  <c r="I167" i="12"/>
  <c r="I223" i="12"/>
  <c r="I82" i="12"/>
  <c r="I79" i="12"/>
  <c r="I152" i="12"/>
  <c r="I141" i="12"/>
  <c r="I52" i="12"/>
  <c r="I178" i="12"/>
  <c r="I234" i="12"/>
  <c r="I62" i="12"/>
  <c r="I60" i="12"/>
  <c r="I17" i="12"/>
  <c r="I150" i="12"/>
  <c r="I230" i="12"/>
  <c r="I202" i="12"/>
  <c r="I250" i="12"/>
  <c r="I232" i="12"/>
  <c r="I235" i="12"/>
  <c r="I197" i="12"/>
  <c r="I129" i="12"/>
  <c r="I231" i="12"/>
  <c r="I61" i="12"/>
  <c r="I89" i="12"/>
  <c r="I185" i="12"/>
  <c r="I172" i="12"/>
  <c r="I69" i="12"/>
  <c r="I210" i="12"/>
  <c r="I56" i="12"/>
  <c r="I157" i="12"/>
  <c r="I146" i="12"/>
  <c r="I247" i="12"/>
  <c r="I51" i="12"/>
  <c r="I137" i="12"/>
  <c r="I158" i="12"/>
  <c r="I7" i="12"/>
  <c r="I228" i="12"/>
  <c r="I236" i="12"/>
  <c r="I122" i="12"/>
  <c r="I195" i="12"/>
  <c r="I12" i="12"/>
  <c r="I18" i="12"/>
  <c r="I138" i="12"/>
  <c r="I94" i="12"/>
  <c r="I23" i="12"/>
  <c r="I174" i="12"/>
  <c r="I290" i="12"/>
  <c r="I78" i="12"/>
  <c r="I104" i="12"/>
  <c r="I102" i="12"/>
  <c r="I169" i="12"/>
  <c r="I3" i="12"/>
  <c r="I59" i="12"/>
  <c r="I274" i="12"/>
  <c r="I163" i="12"/>
  <c r="I81" i="12"/>
  <c r="I187" i="12"/>
  <c r="I5" i="12"/>
  <c r="I175" i="12"/>
  <c r="I209" i="12"/>
  <c r="I263" i="12"/>
  <c r="I282" i="12"/>
  <c r="I44" i="12"/>
  <c r="I42" i="12"/>
  <c r="I111" i="12"/>
  <c r="I190" i="12"/>
  <c r="I153" i="12"/>
  <c r="I165" i="12"/>
  <c r="I276" i="12"/>
  <c r="I277" i="12"/>
  <c r="I240" i="12"/>
  <c r="I108" i="12"/>
  <c r="I27" i="12"/>
  <c r="I203" i="12"/>
  <c r="I243" i="12"/>
  <c r="I22" i="12"/>
  <c r="I6" i="12"/>
  <c r="I224" i="12"/>
  <c r="I20" i="12"/>
  <c r="I90" i="12"/>
  <c r="I117" i="12"/>
  <c r="I269" i="12"/>
  <c r="I133" i="12"/>
  <c r="I156" i="12"/>
  <c r="I63" i="12"/>
  <c r="I285" i="12"/>
  <c r="I374" i="12"/>
  <c r="I168" i="12"/>
  <c r="I221" i="12"/>
  <c r="I147" i="12"/>
  <c r="I196" i="12"/>
  <c r="I105" i="12"/>
  <c r="L1276" i="1"/>
  <c r="L874" i="1"/>
  <c r="L389" i="1"/>
  <c r="L932" i="1"/>
  <c r="L943" i="1"/>
  <c r="L939" i="1"/>
  <c r="L938" i="1"/>
  <c r="L937" i="1"/>
  <c r="R281" i="12"/>
  <c r="R284" i="12"/>
  <c r="R264" i="12"/>
  <c r="R271" i="12"/>
  <c r="R278" i="12"/>
  <c r="R288" i="12"/>
  <c r="R283" i="12"/>
  <c r="R287" i="12"/>
  <c r="R268" i="12"/>
  <c r="R266" i="12"/>
  <c r="R272" i="12"/>
  <c r="R289" i="12"/>
  <c r="R270" i="12"/>
  <c r="R275" i="12"/>
  <c r="R280" i="12"/>
  <c r="R286" i="12"/>
  <c r="R273" i="12"/>
  <c r="R265" i="12"/>
  <c r="R290" i="12"/>
  <c r="R274" i="12"/>
  <c r="R263" i="12"/>
  <c r="R282" i="12"/>
  <c r="R276" i="12"/>
  <c r="R277" i="12"/>
  <c r="R269" i="12"/>
  <c r="R285" i="12"/>
  <c r="H69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Jesse Claflin</author>
  </authors>
  <commentList>
    <comment ref="H330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331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688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689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693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694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695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777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Movants in related action with overlapping but different class period</t>
        </r>
      </text>
    </comment>
    <comment ref="H778" authorId="0" shapeId="0" xr:uid="{00000000-0006-0000-0100-000009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Movants in related action with overlapping but different class period</t>
        </r>
      </text>
    </comment>
    <comment ref="H907" authorId="0" shapeId="0" xr:uid="{00000000-0006-0000-0100-00000A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908" authorId="0" shapeId="0" xr:uid="{00000000-0006-0000-0100-00000B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909" authorId="0" shapeId="0" xr:uid="{00000000-0006-0000-0100-00000C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910" authorId="0" shapeId="0" xr:uid="{00000000-0006-0000-0100-00000D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1304" authorId="0" shapeId="0" xr:uid="{00000000-0006-0000-0100-00000E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1305" authorId="0" shapeId="0" xr:uid="{00000000-0006-0000-0100-00000F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1306" authorId="0" shapeId="0" xr:uid="{00000000-0006-0000-0100-000010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1307" authorId="0" shapeId="0" xr:uid="{00000000-0006-0000-0100-000011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1727" authorId="0" shapeId="0" xr:uid="{00000000-0006-0000-0100-000012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1728" authorId="0" shapeId="0" xr:uid="{00000000-0006-0000-0100-000013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2098" authorId="0" shapeId="0" xr:uid="{00000000-0006-0000-0100-000014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2099" authorId="0" shapeId="0" xr:uid="{00000000-0006-0000-0100-000015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2303" authorId="0" shapeId="0" xr:uid="{00000000-0006-0000-0100-000016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2304" authorId="0" shapeId="0" xr:uid="{00000000-0006-0000-0100-000017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2459" authorId="0" shapeId="0" xr:uid="{00000000-0006-0000-0100-000018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2460" authorId="0" shapeId="0" xr:uid="{00000000-0006-0000-0100-000019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2738" authorId="0" shapeId="0" xr:uid="{00000000-0006-0000-0100-00001A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2739" authorId="0" shapeId="0" xr:uid="{00000000-0006-0000-0100-00001B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2740" authorId="0" shapeId="0" xr:uid="{00000000-0006-0000-0100-00001C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Jesse Claflin</author>
  </authors>
  <commentList>
    <comment ref="H589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Check Ira's list again, too early at the moment</t>
        </r>
      </text>
    </comment>
    <comment ref="H590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Check Ira's list again, too early at the moment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Jesse Claflin</author>
    <author>S Lynch</author>
  </authors>
  <commentList>
    <comment ref="B2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case consolidated with the one above</t>
        </r>
      </text>
    </comment>
    <comment ref="B3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Consolidated with case above</t>
        </r>
      </text>
    </comment>
    <comment ref="I184" authorId="1" shapeId="0" xr:uid="{00000000-0006-0000-0700-000003000000}">
      <text>
        <r>
          <rPr>
            <b/>
            <sz val="9"/>
            <color indexed="81"/>
            <rFont val="Tahoma"/>
            <family val="2"/>
          </rPr>
          <t>S Lynch:</t>
        </r>
        <r>
          <rPr>
            <sz val="9"/>
            <color indexed="81"/>
            <rFont val="Tahoma"/>
            <family val="2"/>
          </rPr>
          <t xml:space="preserve">
Pete Manger not listed on the docket</t>
        </r>
      </text>
    </comment>
    <comment ref="I227" authorId="1" shapeId="0" xr:uid="{00000000-0006-0000-0700-000004000000}">
      <text>
        <r>
          <rPr>
            <b/>
            <sz val="9"/>
            <color indexed="81"/>
            <rFont val="Tahoma"/>
            <family val="2"/>
          </rPr>
          <t>S Lynch:</t>
        </r>
        <r>
          <rPr>
            <sz val="9"/>
            <color indexed="81"/>
            <rFont val="Tahoma"/>
            <family val="2"/>
          </rPr>
          <t xml:space="preserve">
Not sure where this number came from, either; may be a total loss number for those below</t>
        </r>
      </text>
    </comment>
    <comment ref="I231" authorId="1" shapeId="0" xr:uid="{00000000-0006-0000-0700-000005000000}">
      <text>
        <r>
          <rPr>
            <b/>
            <sz val="9"/>
            <color indexed="81"/>
            <rFont val="Tahoma"/>
            <family val="2"/>
          </rPr>
          <t>S Lynch:</t>
        </r>
        <r>
          <rPr>
            <sz val="9"/>
            <color indexed="81"/>
            <rFont val="Tahoma"/>
            <family val="2"/>
          </rPr>
          <t xml:space="preserve">
Don't know where this number came from
</t>
        </r>
      </text>
    </comment>
  </commentList>
</comments>
</file>

<file path=xl/sharedStrings.xml><?xml version="1.0" encoding="utf-8"?>
<sst xmlns="http://schemas.openxmlformats.org/spreadsheetml/2006/main" count="56095" uniqueCount="12006">
  <si>
    <t>Alameda County Employees Retirement Association</t>
  </si>
  <si>
    <t>Bernstein Litowitz Berger &amp; Grossmann LLP</t>
  </si>
  <si>
    <t>Adeptus Health, Inc.</t>
  </si>
  <si>
    <t>2,479,669.93</t>
  </si>
  <si>
    <t>Vale S.A.</t>
  </si>
  <si>
    <t>13,032,285.99</t>
  </si>
  <si>
    <t>Alaska Electrical Pension Fund</t>
  </si>
  <si>
    <t>Robbins, Geller, Rudman &amp; Dowd, LLP</t>
  </si>
  <si>
    <t>Flotek Industries Inc.</t>
  </si>
  <si>
    <t>226,809.08</t>
  </si>
  <si>
    <t>Freshpet, Inc.</t>
  </si>
  <si>
    <t>555,860.24</t>
  </si>
  <si>
    <t>Amalgamated Bank, as Trustee for the LongView Collective Investment Fund</t>
  </si>
  <si>
    <t>Navient Corporation</t>
  </si>
  <si>
    <t>739,889.89</t>
  </si>
  <si>
    <t>Bernstein Litowitz Berger &amp; Grossmann LLP; Motley Rice LLC</t>
  </si>
  <si>
    <t>Cognizant Technology Solutions Corporation</t>
  </si>
  <si>
    <t>628,011.80</t>
  </si>
  <si>
    <t>Bleichmar Fonti &amp; Auld LLP</t>
  </si>
  <si>
    <t>Mallinckrodt PLC</t>
  </si>
  <si>
    <t>1,793,450.84</t>
  </si>
  <si>
    <t>Lowey, Dannenberg, Cohen &amp; Hart, P.C.</t>
  </si>
  <si>
    <t>Allergan, PLC</t>
  </si>
  <si>
    <t>5,970,378.16</t>
  </si>
  <si>
    <t>Corrections Corporation of America</t>
  </si>
  <si>
    <t>1,218,651.21</t>
  </si>
  <si>
    <t>AMF Pensionsforsakring AB</t>
  </si>
  <si>
    <t>Kessler Topaz  Meltzer &amp; Check, LLP</t>
  </si>
  <si>
    <t>Dollar General Corporation</t>
  </si>
  <si>
    <t>6,899,642.01</t>
  </si>
  <si>
    <t>Precision Castparts Corporation</t>
  </si>
  <si>
    <t>2,629,594.62</t>
  </si>
  <si>
    <t>Arkansas Public Employees Retirement System</t>
  </si>
  <si>
    <t>1,075,535.63</t>
  </si>
  <si>
    <t>Cohen Milstein Sellers &amp; Toll PLLC</t>
  </si>
  <si>
    <t>Opus Bank</t>
  </si>
  <si>
    <t>702,842.81</t>
  </si>
  <si>
    <t>Xerox Corporation</t>
  </si>
  <si>
    <t>1,612,283.42</t>
  </si>
  <si>
    <t>Arkansas Teacher Retirement System</t>
  </si>
  <si>
    <t>Chipotle Mexican Grill, Inc.</t>
  </si>
  <si>
    <t>908,180.74</t>
  </si>
  <si>
    <t>RH, Inc.</t>
  </si>
  <si>
    <t>1,706,737.70</t>
  </si>
  <si>
    <t>Stericycle, Inc.</t>
  </si>
  <si>
    <t>1,468,932.56</t>
  </si>
  <si>
    <t>Bernstein Litowitz Berger &amp; Grossmann LLP; Kessler Topaz  Meltzer &amp; Check, LLP</t>
  </si>
  <si>
    <t>1,874,878.85</t>
  </si>
  <si>
    <t>Kaplan Fox &amp; Kilsheimer LLP</t>
  </si>
  <si>
    <t>Babcock &amp; Wilcox Enterprises, Inc.</t>
  </si>
  <si>
    <t>5,470,011.87</t>
  </si>
  <si>
    <t>Endo International plc</t>
  </si>
  <si>
    <t>1,646,120.68</t>
  </si>
  <si>
    <t>Kessler Topaz  Meltzer &amp; Check, LLP; Labaton Sucharow LLP</t>
  </si>
  <si>
    <t>Orbital ATK, Inc.</t>
  </si>
  <si>
    <t>396,501.10</t>
  </si>
  <si>
    <t>Labaton Sucharow LLP</t>
  </si>
  <si>
    <t>Nimble Storage, Inc.</t>
  </si>
  <si>
    <t>1,177,771.58</t>
  </si>
  <si>
    <t>Bending Spoons ApS</t>
  </si>
  <si>
    <t>Gainey McKenna &amp; Egleston</t>
  </si>
  <si>
    <t>GoPro, Inc.</t>
  </si>
  <si>
    <t>336,128.00</t>
  </si>
  <si>
    <t>Levi &amp; Korsinsky, LLP</t>
  </si>
  <si>
    <t>335,125.94</t>
  </si>
  <si>
    <t>Boilermaker-Blacksmith National Pension Fund</t>
  </si>
  <si>
    <t>AmTrust Financial Services, Inc.</t>
  </si>
  <si>
    <t>1,315,107.51</t>
  </si>
  <si>
    <t>1,499,854.51</t>
  </si>
  <si>
    <t>Boston Retirement System</t>
  </si>
  <si>
    <t>Bernstein Litowitz Berger &amp; Grossmann LLP; Saxena White P.A.</t>
  </si>
  <si>
    <t>Novo Nordisk A/S</t>
  </si>
  <si>
    <t>523,217.92</t>
  </si>
  <si>
    <t>Chimicles &amp; Tikellis LLP</t>
  </si>
  <si>
    <t>LendingClub Corporation</t>
  </si>
  <si>
    <t>1,499,584.95</t>
  </si>
  <si>
    <t>245,208.13</t>
  </si>
  <si>
    <t>PTC Therapeutics, Inc.</t>
  </si>
  <si>
    <t>1,355,286.87</t>
  </si>
  <si>
    <t>Pomerantz LLP</t>
  </si>
  <si>
    <t>111,523.00</t>
  </si>
  <si>
    <t>Bucks County Employees Retirement Fund</t>
  </si>
  <si>
    <t>763,963.33</t>
  </si>
  <si>
    <t>Insmed Incorporated</t>
  </si>
  <si>
    <t>56,804.12</t>
  </si>
  <si>
    <t>Camia Investment LLC</t>
  </si>
  <si>
    <t>CTI BioPharma Corp.</t>
  </si>
  <si>
    <t>952,101.00</t>
  </si>
  <si>
    <t>904,799.71</t>
  </si>
  <si>
    <t>Carpenters Pension Trust Fund for Northern California</t>
  </si>
  <si>
    <t>Horizon Pharma PLC</t>
  </si>
  <si>
    <t>292,591.68</t>
  </si>
  <si>
    <t>The Allstate Corporation</t>
  </si>
  <si>
    <t>521,472.69</t>
  </si>
  <si>
    <t>Chester County Employees Retirement Fund</t>
  </si>
  <si>
    <t>Bernstein Litowitz Berger &amp; Grossmann LLP; Labaton Sucharow LLP</t>
  </si>
  <si>
    <t>Brixmor Property Group, Inc.</t>
  </si>
  <si>
    <t>69,855.85</t>
  </si>
  <si>
    <t>Deutsche Bank AG</t>
  </si>
  <si>
    <t>47,097.94</t>
  </si>
  <si>
    <t>Scott &amp; Scott,  LLP; Kessler Topaz  Meltzer &amp; Check, LLP (local/liaison)</t>
  </si>
  <si>
    <t>Fitbit, Inc.</t>
  </si>
  <si>
    <t>252,957.67</t>
  </si>
  <si>
    <t>City of Atlanta Firefighters  Pension Fund</t>
  </si>
  <si>
    <t>Bernstein Liebhard LLP</t>
  </si>
  <si>
    <t>Taro Pharmaceutical Industries, Ltd.</t>
  </si>
  <si>
    <t>166,256.29</t>
  </si>
  <si>
    <t>Chicago Bridge &amp; Iron Company N.V.</t>
  </si>
  <si>
    <t>501,193.45</t>
  </si>
  <si>
    <t>Saxena White P.A.</t>
  </si>
  <si>
    <t>164,423.00</t>
  </si>
  <si>
    <t>City of Atlanta Police Officers Pension Fund</t>
  </si>
  <si>
    <t>1,670,036.32</t>
  </si>
  <si>
    <t>Polaris Industries, Inc.</t>
  </si>
  <si>
    <t>780,479.54</t>
  </si>
  <si>
    <t>City of Birmingham Firemens and Policemens Supplemental Pension System</t>
  </si>
  <si>
    <t>BHP Billiton Limited / BHP Billiton Plc</t>
  </si>
  <si>
    <t>24,956.68</t>
  </si>
  <si>
    <t>City of Birmingham Retirement and Relief System</t>
  </si>
  <si>
    <t>Motley Rice LLC; Robbins, Geller, Rudman &amp; Dowd, LLP</t>
  </si>
  <si>
    <t>HCP, Inc.</t>
  </si>
  <si>
    <t>315,168.53</t>
  </si>
  <si>
    <t>468,903.39</t>
  </si>
  <si>
    <t>448,092.95</t>
  </si>
  <si>
    <t>51,761.00</t>
  </si>
  <si>
    <t>Scott &amp; Scott,  LLP</t>
  </si>
  <si>
    <t>Freeport-McMoran Incorporated</t>
  </si>
  <si>
    <t>302,572.96</t>
  </si>
  <si>
    <t>City of Bristol Pension Fund</t>
  </si>
  <si>
    <t>Goldcorp, Inc.</t>
  </si>
  <si>
    <t>280,729.78</t>
  </si>
  <si>
    <t>City of Lakeland Employees Pension Plan</t>
  </si>
  <si>
    <t>Express Scripts Holding Company</t>
  </si>
  <si>
    <t>835,557.29</t>
  </si>
  <si>
    <t>78,112.19</t>
  </si>
  <si>
    <t>City of Miami Fire Fighters and Police Officers Retirement Trust</t>
  </si>
  <si>
    <t>Cardiovascular Systems, Inc.</t>
  </si>
  <si>
    <t>268,918.76</t>
  </si>
  <si>
    <t>Biogen, Inc.</t>
  </si>
  <si>
    <t>1,388,498.72</t>
  </si>
  <si>
    <t>1,177,476.51</t>
  </si>
  <si>
    <t>City of Omaha Police and Fire Retirement System</t>
  </si>
  <si>
    <t>Cempra, Inc.</t>
  </si>
  <si>
    <t>200,282.76</t>
  </si>
  <si>
    <t>867,154.76</t>
  </si>
  <si>
    <t>Construction Laborers Pension Trust of Greater St. Louis</t>
  </si>
  <si>
    <t>439,206.99</t>
  </si>
  <si>
    <t>116,762.10</t>
  </si>
  <si>
    <t>DAFNA LifeScience Select, LP</t>
  </si>
  <si>
    <t>560,622.33</t>
  </si>
  <si>
    <t>DAFNA LifeScience, LP</t>
  </si>
  <si>
    <t>830,737.37</t>
  </si>
  <si>
    <t>Employees Pension Plan of the City of Clearwater</t>
  </si>
  <si>
    <t>1,138,553.33</t>
  </si>
  <si>
    <t>CBL &amp; Associates Properties, Inc.</t>
  </si>
  <si>
    <t>778,734.32</t>
  </si>
  <si>
    <t>Employees Retirement System of the City of Providence</t>
  </si>
  <si>
    <t>Block &amp; Leviton LLP</t>
  </si>
  <si>
    <t>(blank)</t>
  </si>
  <si>
    <t>Universal Health Services Inc.</t>
  </si>
  <si>
    <t>23,544.29</t>
  </si>
  <si>
    <t>Motley Rice LLC</t>
  </si>
  <si>
    <t>Dole Food Company, Inc.</t>
  </si>
  <si>
    <t>Embraer S.A.</t>
  </si>
  <si>
    <t>159,348.00</t>
  </si>
  <si>
    <t>Employees Retirement System of the Puerto Rico Electric Power Authority</t>
  </si>
  <si>
    <t>Abraham, Fruchter &amp; Twersky, LLP</t>
  </si>
  <si>
    <t>General Cable Corporation</t>
  </si>
  <si>
    <t>Wolf Popper LLP</t>
  </si>
  <si>
    <t>312,009.00</t>
  </si>
  <si>
    <t>Tailored Brands, Inc.</t>
  </si>
  <si>
    <t>486,994.00</t>
  </si>
  <si>
    <t>Employees Retirement System of the State of Hawaii</t>
  </si>
  <si>
    <t>7,766,749.84</t>
  </si>
  <si>
    <t>1,284,592.46</t>
  </si>
  <si>
    <t>Erste-Sparinvest Kapitalanlagegesellschaft m.b.H.</t>
  </si>
  <si>
    <t>Alexion Pharmaceuticals, Inc.</t>
  </si>
  <si>
    <t>2,122,805.22</t>
  </si>
  <si>
    <t>2,832,503.04</t>
  </si>
  <si>
    <t>382,312.00</t>
  </si>
  <si>
    <t>Seres Therapeutics, Inc.</t>
  </si>
  <si>
    <t>371,038.50</t>
  </si>
  <si>
    <t>SunEdison Inc.</t>
  </si>
  <si>
    <t>2,266,558.56</t>
  </si>
  <si>
    <t>Fresno County Employees Retirement Association</t>
  </si>
  <si>
    <t>Berman DeValerio</t>
  </si>
  <si>
    <t>2,521,284.00</t>
  </si>
  <si>
    <t>comScore, Inc.</t>
  </si>
  <si>
    <t>471,529.17</t>
  </si>
  <si>
    <t>Hotel Trades Council and Hotel Association of New York City, Inc. Pension Fund</t>
  </si>
  <si>
    <t>Impax Laboratories, Inc.</t>
  </si>
  <si>
    <t>162,625.68</t>
  </si>
  <si>
    <t>Wolf Haldenstein Adler Freeman &amp; Herz LLP</t>
  </si>
  <si>
    <t>Vista Outdoor Inc.</t>
  </si>
  <si>
    <t>339,133.77</t>
  </si>
  <si>
    <t>International Union of Operating Engineers Pension Fund of Eastern Pennsylvania and Delaware</t>
  </si>
  <si>
    <t>Grant &amp; Eisenhofer, P.A.</t>
  </si>
  <si>
    <t>Eaton Corporation PLC</t>
  </si>
  <si>
    <t>141,641.00</t>
  </si>
  <si>
    <t>Shepherd, Finkelman, Miller &amp; Shah, LLP</t>
  </si>
  <si>
    <t>199,927.17</t>
  </si>
  <si>
    <t>Iron Workers District Council (Philadelphia and Vicinity) Retirement and Pension Plan</t>
  </si>
  <si>
    <t>Apollo Education Group Incorporated</t>
  </si>
  <si>
    <t>335,053.02</t>
  </si>
  <si>
    <t>Lannett Company, Inc.</t>
  </si>
  <si>
    <t>123,862.00</t>
  </si>
  <si>
    <t>Iron Workers Local 40 361 &amp; 417 Union Security Funds</t>
  </si>
  <si>
    <t>Labaton Sucharow LLP; Pomerantz LLP</t>
  </si>
  <si>
    <t>601,702.18</t>
  </si>
  <si>
    <t>1,684,612.00</t>
  </si>
  <si>
    <t>Iron Workers Local No. 25 Pension Fund</t>
  </si>
  <si>
    <t>Banc of California, Inc.</t>
  </si>
  <si>
    <t>97,003.14</t>
  </si>
  <si>
    <t>72,196.53</t>
  </si>
  <si>
    <t>Jacksonville Police &amp; Fire Pension Fund</t>
  </si>
  <si>
    <t>1,943,593.45</t>
  </si>
  <si>
    <t>DaVita Inc.</t>
  </si>
  <si>
    <t>290,856.00</t>
  </si>
  <si>
    <t>KBC Asset Management NV</t>
  </si>
  <si>
    <t>1,248,176.04</t>
  </si>
  <si>
    <t>242,278.66</t>
  </si>
  <si>
    <t>Twitter, Inc.</t>
  </si>
  <si>
    <t>9,799,353.55</t>
  </si>
  <si>
    <t>Labourers Pension Fund of Central and Eastern Canada</t>
  </si>
  <si>
    <t>Labaton Sucharow LLP; Spector Roseman Kodroff &amp; Willis, P.C.</t>
  </si>
  <si>
    <t>365,183.24</t>
  </si>
  <si>
    <t>85,520.33</t>
  </si>
  <si>
    <t>Locals 302 and 612 of the International Union of Operating Engineers-Employers Construction Industry Retirement Trust</t>
  </si>
  <si>
    <t>231,937.55</t>
  </si>
  <si>
    <t>367,454.57</t>
  </si>
  <si>
    <t>Longview Firemens Relief &amp; Retirement Fund</t>
  </si>
  <si>
    <t>50,020.00</t>
  </si>
  <si>
    <t>52,823.00</t>
  </si>
  <si>
    <t>Louisiana Sheriffs Pension and Relief Fund</t>
  </si>
  <si>
    <t>Centene Corporation</t>
  </si>
  <si>
    <t>198,570.14</t>
  </si>
  <si>
    <t>283,462.50</t>
  </si>
  <si>
    <t>Meitav DS Provident Funds and Pension Ltd.</t>
  </si>
  <si>
    <t>Bernstein Litowitz Berger &amp; Grossmann LLP; Pomerantz LLP; Lowenstein Sandler, LLP (local/liaison)</t>
  </si>
  <si>
    <t>Perrigo Company plc</t>
  </si>
  <si>
    <t>9,913,168.00</t>
  </si>
  <si>
    <t>Mylan, N.V.</t>
  </si>
  <si>
    <t>12,855,132.00</t>
  </si>
  <si>
    <t>Metzler Investment GmbH</t>
  </si>
  <si>
    <t>2,037,041.09</t>
  </si>
  <si>
    <t>1,633,650.84</t>
  </si>
  <si>
    <t>Qualcomm Incorporated</t>
  </si>
  <si>
    <t>1,105,481.89</t>
  </si>
  <si>
    <t>2,719,251.99</t>
  </si>
  <si>
    <t>Mississippi Public Employees Retirement System</t>
  </si>
  <si>
    <t>Barrack  Rodos &amp; Bacine</t>
  </si>
  <si>
    <t>1,963,181.72</t>
  </si>
  <si>
    <t>Roadrunner Transportation Systems, Inc.</t>
  </si>
  <si>
    <t>796,029.00</t>
  </si>
  <si>
    <t>11,603,934.53</t>
  </si>
  <si>
    <t>10,697,807.74</t>
  </si>
  <si>
    <t>Kessler Topaz  Meltzer &amp; Check, LLP; Labaton Sucharow LLP (local/liaison)</t>
  </si>
  <si>
    <t>Banco Bradesco S.A.</t>
  </si>
  <si>
    <t>6,441,574.38</t>
  </si>
  <si>
    <t>TreeHouse Foods, Inc.</t>
  </si>
  <si>
    <t>5,439,420.00</t>
  </si>
  <si>
    <t>NECA-IBEW Pension Trust Fund</t>
  </si>
  <si>
    <t>Alere Inc.</t>
  </si>
  <si>
    <t>171,061.20</t>
  </si>
  <si>
    <t>Northern Ireland Local Governmental Officers Superannuation Committee</t>
  </si>
  <si>
    <t>Spector Roseman Kodroff &amp; Willis, P.C.</t>
  </si>
  <si>
    <t>1,532,303.25</t>
  </si>
  <si>
    <t>8,328,633.21</t>
  </si>
  <si>
    <t>Oakland County Employees Retirement System and Voluntary Employees Benefit Association</t>
  </si>
  <si>
    <t>Barrack  Rodos &amp; Bacine; Labaton Sucharow LLP</t>
  </si>
  <si>
    <t>First NBC Bank Holding Company</t>
  </si>
  <si>
    <t>431,373.00</t>
  </si>
  <si>
    <t>The Miller Law Firm, P.C.; Wolf Haldenstein Adler Freeman &amp; Herz LLP</t>
  </si>
  <si>
    <t>106,091.32</t>
  </si>
  <si>
    <t>Oklahoma Firefighters Pension and Retirement System</t>
  </si>
  <si>
    <t>972,889.98</t>
  </si>
  <si>
    <t>128,952.00</t>
  </si>
  <si>
    <t>479,279.77</t>
  </si>
  <si>
    <t>Rent-A-Center, Inc.</t>
  </si>
  <si>
    <t>431,940.90</t>
  </si>
  <si>
    <t>Oklahoma Police Pension and Retirement System</t>
  </si>
  <si>
    <t>Bernstein Liebhard LLP; The Bilek Law Firm LLP (local/liaison)</t>
  </si>
  <si>
    <t>1,166,502.24</t>
  </si>
  <si>
    <t>Grant &amp; Eisenhofer, P.A.; Harry P. Susman, Esq. (local/liaison)</t>
  </si>
  <si>
    <t>71,061.00</t>
  </si>
  <si>
    <t>Oregon Public Employee Retirement Fund</t>
  </si>
  <si>
    <t>Cohen Milstein Sellers &amp; Toll PLLC; Pomerantz LLP</t>
  </si>
  <si>
    <t>Teva Pharmaceutical Industries Limited</t>
  </si>
  <si>
    <t>9,888,467.09</t>
  </si>
  <si>
    <t>Wells Fargo &amp; Company</t>
  </si>
  <si>
    <t>5,642,096.62</t>
  </si>
  <si>
    <t>Plumbers &amp; Pipefitters National Pension Fund</t>
  </si>
  <si>
    <t>Performance Sports Group Ltd.</t>
  </si>
  <si>
    <t>928,077.31</t>
  </si>
  <si>
    <t>2,953,426.02</t>
  </si>
  <si>
    <t>Plymouth County Retirement System</t>
  </si>
  <si>
    <t>Tetraphase Pharmaceuticals Inc.</t>
  </si>
  <si>
    <t>502,683.95</t>
  </si>
  <si>
    <t>Policemens Annuity and Benefit Fund of the City of Chicago</t>
  </si>
  <si>
    <t>577,268.01</t>
  </si>
  <si>
    <t>Gerdau S.A.</t>
  </si>
  <si>
    <t>1,407,110.19</t>
  </si>
  <si>
    <t>1,223,044.21</t>
  </si>
  <si>
    <t>Public School Teachers Pension &amp; Retirement Fund of Chicago</t>
  </si>
  <si>
    <t>1,888,671.67</t>
  </si>
  <si>
    <t>7,553,220.96</t>
  </si>
  <si>
    <t>2,472,959.11</t>
  </si>
  <si>
    <t>1,271,104.72</t>
  </si>
  <si>
    <t>Retail Wholesale &amp; Department Store Union Local 338 Pension Fund</t>
  </si>
  <si>
    <t>Kirby McInerney LLP</t>
  </si>
  <si>
    <t>931,119.00</t>
  </si>
  <si>
    <t>SolarCity Corporation</t>
  </si>
  <si>
    <t>539,153.05</t>
  </si>
  <si>
    <t>Roofers Local No. 149 Pension Fund</t>
  </si>
  <si>
    <t>Inovalon Holdings, Inc.</t>
  </si>
  <si>
    <t>114,762.22</t>
  </si>
  <si>
    <t>The Southern Company</t>
  </si>
  <si>
    <t>60,445.59</t>
  </si>
  <si>
    <t>Saratoga Advantage Trust James Alpha Multistrategy Alternative Income Portfolio</t>
  </si>
  <si>
    <t>Finkelstein &amp; Krinsk LLP</t>
  </si>
  <si>
    <t>33,350.33</t>
  </si>
  <si>
    <t>Tangoe, Inc.</t>
  </si>
  <si>
    <t>16,160.11</t>
  </si>
  <si>
    <t>Sjunde AP-Fonden</t>
  </si>
  <si>
    <t>20,847,078.41</t>
  </si>
  <si>
    <t>3,027,824.65</t>
  </si>
  <si>
    <t>7,026,313.53</t>
  </si>
  <si>
    <t>Societe Generale Securities Services GmbH</t>
  </si>
  <si>
    <t>Caterpillar, Inc.</t>
  </si>
  <si>
    <t>990,918.58</t>
  </si>
  <si>
    <t>4,124,236.12</t>
  </si>
  <si>
    <t>1,605,496.09</t>
  </si>
  <si>
    <t>Southeastern Pennsylvania Transportation Authority Consolidated Pension Plan</t>
  </si>
  <si>
    <t>Barrack  Rodos &amp; Bacine; Kessler Topaz  Meltzer &amp; Check, LLP; Labaton Sucharow LLP</t>
  </si>
  <si>
    <t>899,452.65</t>
  </si>
  <si>
    <t>Bernstein Litowitz Berger &amp; Grossmann LLP; Kessler Topaz  Meltzer &amp; Check, LLP; Chestnut &amp; Cambronne (local/liaison)</t>
  </si>
  <si>
    <t>266,740.66</t>
  </si>
  <si>
    <t>44,430.15</t>
  </si>
  <si>
    <t>Gibbs Law Group LLP; The Kehoe Law Firm</t>
  </si>
  <si>
    <t>NantHealth, Inc.</t>
  </si>
  <si>
    <t>124,992.74</t>
  </si>
  <si>
    <t>St. Paul Teachers Retirement Fund Association</t>
  </si>
  <si>
    <t>205,357.00</t>
  </si>
  <si>
    <t>63,636.12</t>
  </si>
  <si>
    <t>HeartWare International, Inc.</t>
  </si>
  <si>
    <t>895,774.83</t>
  </si>
  <si>
    <t>Steamfitters Industry Pension Fund</t>
  </si>
  <si>
    <t>1,650,545.70</t>
  </si>
  <si>
    <t>Steamfitters Industry Security Benefit Fund</t>
  </si>
  <si>
    <t>1,589,377.91</t>
  </si>
  <si>
    <t>Steamfitters Local 449 Pension &amp; Retirement Security Funds</t>
  </si>
  <si>
    <t>76,042.19</t>
  </si>
  <si>
    <t>Steamfitters Local 449 Pension Fund</t>
  </si>
  <si>
    <t>KLX, Inc.</t>
  </si>
  <si>
    <t>125,114.42</t>
  </si>
  <si>
    <t>Strathclyde Pension Fund</t>
  </si>
  <si>
    <t>1,095,791.00</t>
  </si>
  <si>
    <t>11,815,139.14</t>
  </si>
  <si>
    <t>2,096,045.22</t>
  </si>
  <si>
    <t>Teamsters Local 456 Annuity Fund</t>
  </si>
  <si>
    <t>33,927.00</t>
  </si>
  <si>
    <t>32,481.00</t>
  </si>
  <si>
    <t>TIAA-CREF</t>
  </si>
  <si>
    <t>50,123,636.98</t>
  </si>
  <si>
    <t>42,525,806.72</t>
  </si>
  <si>
    <t>Town of Davie Police Pension Plan</t>
  </si>
  <si>
    <t>Eros International PLC</t>
  </si>
  <si>
    <t>165,837.11</t>
  </si>
  <si>
    <t>111,790.66</t>
  </si>
  <si>
    <t>UA Local 13 Pension Fund</t>
  </si>
  <si>
    <t>45,468.86</t>
  </si>
  <si>
    <t>The Western Union Company</t>
  </si>
  <si>
    <t>175,974.71</t>
  </si>
  <si>
    <t>Union Asset Management Holding AG</t>
  </si>
  <si>
    <t>34,226,005.31</t>
  </si>
  <si>
    <t>27,047,956.37</t>
  </si>
  <si>
    <t>11,041,699.35</t>
  </si>
  <si>
    <t>University of Puerto Rico Retirement System</t>
  </si>
  <si>
    <t>Utah Retirement Systems</t>
  </si>
  <si>
    <t>8,866,687.00</t>
  </si>
  <si>
    <t>Chesapeake Energy Corporation</t>
  </si>
  <si>
    <t>11,577,603.26</t>
  </si>
  <si>
    <t>DeVry Education Group, Inc.</t>
  </si>
  <si>
    <t>7,206,832.95</t>
  </si>
  <si>
    <t>Wayne County Employees Retirement System</t>
  </si>
  <si>
    <t>252,517.86</t>
  </si>
  <si>
    <t>The Miller Law Firm, P.C.</t>
  </si>
  <si>
    <t>202,798.45</t>
  </si>
  <si>
    <t>575,670.89</t>
  </si>
  <si>
    <t>Company Name</t>
  </si>
  <si>
    <t>Court</t>
  </si>
  <si>
    <t>Date Filed</t>
  </si>
  <si>
    <t>Lead Plaintiff Deadline</t>
  </si>
  <si>
    <t>Investor Name(s)</t>
  </si>
  <si>
    <t>Individual/Institution</t>
  </si>
  <si>
    <t>Frequent Flyer</t>
  </si>
  <si>
    <t>Reported Loss</t>
  </si>
  <si>
    <t>Reported Type</t>
  </si>
  <si>
    <t>Firm Names - Movant</t>
  </si>
  <si>
    <t>Arizona District Court</t>
  </si>
  <si>
    <t>01/26/2016</t>
  </si>
  <si>
    <t>03/28/2016</t>
  </si>
  <si>
    <t>Abraham Kiswani</t>
  </si>
  <si>
    <t>Individual</t>
  </si>
  <si>
    <t>FF</t>
  </si>
  <si>
    <t>149,542.55</t>
  </si>
  <si>
    <t>LIFO</t>
  </si>
  <si>
    <t>Faruqi &amp; Faruqi, LLP</t>
  </si>
  <si>
    <t>Keryx Biopharmaceuticals, Inc.</t>
  </si>
  <si>
    <t>Massachusetts District Court</t>
  </si>
  <si>
    <t>08/02/2016</t>
  </si>
  <si>
    <t>10/03/2016</t>
  </si>
  <si>
    <t>1,272,099.01</t>
  </si>
  <si>
    <t>FIFO</t>
  </si>
  <si>
    <t>Texas Eastern District Court</t>
  </si>
  <si>
    <t>10/27/2016</t>
  </si>
  <si>
    <t>12/27/2016</t>
  </si>
  <si>
    <t>Institution</t>
  </si>
  <si>
    <t>New York Southern District Court</t>
  </si>
  <si>
    <t>12/07/2015</t>
  </si>
  <si>
    <t>02/05/2016</t>
  </si>
  <si>
    <t>Texas Southern District Court</t>
  </si>
  <si>
    <t>11/12/2015</t>
  </si>
  <si>
    <t>01/11/2016</t>
  </si>
  <si>
    <t>New Jersey District Court</t>
  </si>
  <si>
    <t>04/21/2016</t>
  </si>
  <si>
    <t>06/20/2016</t>
  </si>
  <si>
    <t>12/22/2016</t>
  </si>
  <si>
    <t>01/03/2017</t>
  </si>
  <si>
    <t>10/05/2016</t>
  </si>
  <si>
    <t>12/05/2016</t>
  </si>
  <si>
    <t>Tennessee Middle District Court</t>
  </si>
  <si>
    <t>08/23/2016</t>
  </si>
  <si>
    <t>10/24/2016</t>
  </si>
  <si>
    <t>DC District Court</t>
  </si>
  <si>
    <t>01/23/2017</t>
  </si>
  <si>
    <t>03/27/2017</t>
  </si>
  <si>
    <t>Delaware District Court</t>
  </si>
  <si>
    <t>02/11/2016</t>
  </si>
  <si>
    <t>04/11/2016</t>
  </si>
  <si>
    <t>01/18/2017</t>
  </si>
  <si>
    <t>03/20/2017</t>
  </si>
  <si>
    <t>FIFO/LIFO</t>
  </si>
  <si>
    <t>Oregon District Court</t>
  </si>
  <si>
    <t>03/25/2016</t>
  </si>
  <si>
    <t>05/27/2016</t>
  </si>
  <si>
    <t>California Central District Court</t>
  </si>
  <si>
    <t>10/26/2016</t>
  </si>
  <si>
    <t>10/21/2016</t>
  </si>
  <si>
    <t>12/23/2016</t>
  </si>
  <si>
    <t>North Carolina Western District Court</t>
  </si>
  <si>
    <t>03/03/2017</t>
  </si>
  <si>
    <t>05/02/2017</t>
  </si>
  <si>
    <t>01/08/2016</t>
  </si>
  <si>
    <t>03/08/2016</t>
  </si>
  <si>
    <t>05/25/2016</t>
  </si>
  <si>
    <t>07/25/2016</t>
  </si>
  <si>
    <t>California Northern District Court</t>
  </si>
  <si>
    <t>12/17/2015</t>
  </si>
  <si>
    <t>02/16/2016</t>
  </si>
  <si>
    <t>Virginia Eastern District Court</t>
  </si>
  <si>
    <t>08/12/2016</t>
  </si>
  <si>
    <t>10/11/2016</t>
  </si>
  <si>
    <t>02/02/2017</t>
  </si>
  <si>
    <t>04/03/2017</t>
  </si>
  <si>
    <t>Illinois Northern District Court</t>
  </si>
  <si>
    <t>07/11/2016</t>
  </si>
  <si>
    <t>09/12/2016</t>
  </si>
  <si>
    <t>01/13/2016</t>
  </si>
  <si>
    <t>03/14/2016</t>
  </si>
  <si>
    <t>02/28/2017</t>
  </si>
  <si>
    <t>05/01/2017</t>
  </si>
  <si>
    <t>05/16/2016</t>
  </si>
  <si>
    <t>07/15/2016</t>
  </si>
  <si>
    <t>01/11/2017</t>
  </si>
  <si>
    <t>03/13/2017</t>
  </si>
  <si>
    <t>LIFO/FIFO</t>
  </si>
  <si>
    <t>03/03/2016</t>
  </si>
  <si>
    <t>05/02/2016</t>
  </si>
  <si>
    <t>09/13/2016</t>
  </si>
  <si>
    <t>Washington Western District Court</t>
  </si>
  <si>
    <t>02/12/2016</t>
  </si>
  <si>
    <t>05/09/2016</t>
  </si>
  <si>
    <t>11/10/2016</t>
  </si>
  <si>
    <t>01/09/2017</t>
  </si>
  <si>
    <t>03/31/2016</t>
  </si>
  <si>
    <t>05/31/2016</t>
  </si>
  <si>
    <t>05/10/2016</t>
  </si>
  <si>
    <t>03/11/2016</t>
  </si>
  <si>
    <t>03/02/2017</t>
  </si>
  <si>
    <t>10/25/2016</t>
  </si>
  <si>
    <t>Minnesota District Court</t>
  </si>
  <si>
    <t>09/16/2016</t>
  </si>
  <si>
    <t>11/15/2016</t>
  </si>
  <si>
    <t>02/24/2016</t>
  </si>
  <si>
    <t>04/25/2016</t>
  </si>
  <si>
    <t>Ohio Northern District Court</t>
  </si>
  <si>
    <t>08/25/2016</t>
  </si>
  <si>
    <t>05/04/2016</t>
  </si>
  <si>
    <t>07/05/2016</t>
  </si>
  <si>
    <t>10/20/2016</t>
  </si>
  <si>
    <t>03/04/2016</t>
  </si>
  <si>
    <t>04/12/2016</t>
  </si>
  <si>
    <t>North Carolina Middle District Court</t>
  </si>
  <si>
    <t>11/04/2016</t>
  </si>
  <si>
    <t>12/12/2016</t>
  </si>
  <si>
    <t>Dan Kleinerman</t>
  </si>
  <si>
    <t>21,392,815.18</t>
  </si>
  <si>
    <t>05/18/2016</t>
  </si>
  <si>
    <t>07/18/2016</t>
  </si>
  <si>
    <t>28,630,628.02</t>
  </si>
  <si>
    <t>Connecticut District Court</t>
  </si>
  <si>
    <t>11/06/2016</t>
  </si>
  <si>
    <t>01/05/2017</t>
  </si>
  <si>
    <t>30,401,950.19</t>
  </si>
  <si>
    <t>Tennessee Eastern District Court</t>
  </si>
  <si>
    <t>07/26/2016</t>
  </si>
  <si>
    <t>12/10/2015</t>
  </si>
  <si>
    <t>02/08/2016</t>
  </si>
  <si>
    <t>08/08/2016</t>
  </si>
  <si>
    <t>10/07/2016</t>
  </si>
  <si>
    <t>02/21/2017</t>
  </si>
  <si>
    <t>Kentucky Eastern District Court</t>
  </si>
  <si>
    <t>03/06/2017</t>
  </si>
  <si>
    <t>03/29/2016</t>
  </si>
  <si>
    <t>Dura LIFO</t>
  </si>
  <si>
    <t>12/29/2016</t>
  </si>
  <si>
    <t>01/17/2017</t>
  </si>
  <si>
    <t>Group / FIFO</t>
  </si>
  <si>
    <t>09/28/2016</t>
  </si>
  <si>
    <t>11/28/2016</t>
  </si>
  <si>
    <t>Missouri Eastern District Court</t>
  </si>
  <si>
    <t>11/30/2015</t>
  </si>
  <si>
    <t>02/01/2016</t>
  </si>
  <si>
    <t>03/10/2016</t>
  </si>
  <si>
    <t>11/11/2016</t>
  </si>
  <si>
    <t>Utah District Court</t>
  </si>
  <si>
    <t>01/25/2017</t>
  </si>
  <si>
    <t>-</t>
  </si>
  <si>
    <t>07/22/2016</t>
  </si>
  <si>
    <t>09/23/2016</t>
  </si>
  <si>
    <t>05/13/2016</t>
  </si>
  <si>
    <t>Pennsylvania Eastern District Court</t>
  </si>
  <si>
    <t>11/16/2016</t>
  </si>
  <si>
    <t>03/24/2017</t>
  </si>
  <si>
    <t>Colorado District Court</t>
  </si>
  <si>
    <t>02/01/2017</t>
  </si>
  <si>
    <t>Aratana Therapeutics, Inc.</t>
  </si>
  <si>
    <t>02/06/2017</t>
  </si>
  <si>
    <t>04/07/2017</t>
  </si>
  <si>
    <t>John Corbitt</t>
  </si>
  <si>
    <t>48,974.58</t>
  </si>
  <si>
    <t>CytRx Corporation</t>
  </si>
  <si>
    <t>158,793.00</t>
  </si>
  <si>
    <t>Pomerantz LLP; The Rosen Law Firm, P.A.</t>
  </si>
  <si>
    <t>11/14/2016</t>
  </si>
  <si>
    <t>01/13/2017</t>
  </si>
  <si>
    <t>California Southern District Court</t>
  </si>
  <si>
    <t>01/29/2016</t>
  </si>
  <si>
    <t>Energy Transfer Partners, L.P.</t>
  </si>
  <si>
    <t>Michael Gregory</t>
  </si>
  <si>
    <t>Bronstein, Gewirtz &amp; Grossman, LLC</t>
  </si>
  <si>
    <t>ProNAi Therapeutics Inc.</t>
  </si>
  <si>
    <t>11/09/2016</t>
  </si>
  <si>
    <t>9,996.56</t>
  </si>
  <si>
    <t>Michael Wilson</t>
  </si>
  <si>
    <t>6,006.17</t>
  </si>
  <si>
    <t>Safirstein Metcalf LLP</t>
  </si>
  <si>
    <t>15,009.09</t>
  </si>
  <si>
    <t>06/03/2016</t>
  </si>
  <si>
    <t>Wisconsin Eastern District Court</t>
  </si>
  <si>
    <t>01/31/2017</t>
  </si>
  <si>
    <t>09/02/2016</t>
  </si>
  <si>
    <t>11/01/2016</t>
  </si>
  <si>
    <t>Louisiana Eastern District Court</t>
  </si>
  <si>
    <t>05/05/2016</t>
  </si>
  <si>
    <t>FIFO LIFO</t>
  </si>
  <si>
    <t>09/26/2016</t>
  </si>
  <si>
    <t>11/25/2016</t>
  </si>
  <si>
    <t>SunPower Corporation</t>
  </si>
  <si>
    <t>08/16/2016</t>
  </si>
  <si>
    <t>10/17/2016</t>
  </si>
  <si>
    <t>Peter Makhlouf</t>
  </si>
  <si>
    <t>97,245.00</t>
  </si>
  <si>
    <t>Goldberg Law PC; Pomerantz LLP</t>
  </si>
  <si>
    <t>86,900.00</t>
  </si>
  <si>
    <t>05/17/2016</t>
  </si>
  <si>
    <t>01/28/2016</t>
  </si>
  <si>
    <t>05/26/2016</t>
  </si>
  <si>
    <t>08/15/2016</t>
  </si>
  <si>
    <t>10/14/2016</t>
  </si>
  <si>
    <t>06/24/2016</t>
  </si>
  <si>
    <t>Georgia Northern District Court</t>
  </si>
  <si>
    <t>01/20/2017</t>
  </si>
  <si>
    <t>05/24/2016</t>
  </si>
  <si>
    <t>Sharon Jamie</t>
  </si>
  <si>
    <t>456,460.27</t>
  </si>
  <si>
    <t>Glancy Prongay &amp; Murray, LLP</t>
  </si>
  <si>
    <t>247,136.76</t>
  </si>
  <si>
    <t>03/07/2017</t>
  </si>
  <si>
    <t>05/08/2017</t>
  </si>
  <si>
    <t>01/22/2016</t>
  </si>
  <si>
    <t>03/22/2016</t>
  </si>
  <si>
    <t>Florida Southern District Court</t>
  </si>
  <si>
    <t>01/06/2016</t>
  </si>
  <si>
    <t>03/07/2016</t>
  </si>
  <si>
    <t>11/13/2015</t>
  </si>
  <si>
    <t>01/12/2016</t>
  </si>
  <si>
    <t>01/26/2017</t>
  </si>
  <si>
    <t>Oklahoma Western District Court</t>
  </si>
  <si>
    <t>10/04/2016</t>
  </si>
  <si>
    <t>07/12/2016</t>
  </si>
  <si>
    <t>Chiasma, Inc.</t>
  </si>
  <si>
    <t>06/10/2016</t>
  </si>
  <si>
    <t>Zeke Ingram</t>
  </si>
  <si>
    <t>45,110.00</t>
  </si>
  <si>
    <t>KaloBios Pharmaceuticals, Inc.</t>
  </si>
  <si>
    <t>12/18/2015</t>
  </si>
  <si>
    <t>176,325.00</t>
  </si>
  <si>
    <t>Ticker</t>
  </si>
  <si>
    <t>Movant ID</t>
  </si>
  <si>
    <t># of Movant Groups</t>
  </si>
  <si>
    <t># of Movants in Group</t>
  </si>
  <si>
    <t>Total Damages in Group</t>
  </si>
  <si>
    <t>% of Total Group Damages (in bps)</t>
  </si>
  <si>
    <t>Contested/
Uncontested</t>
  </si>
  <si>
    <t>Investor Frequent Flyer</t>
  </si>
  <si>
    <t>Ability, Inc.</t>
  </si>
  <si>
    <t>ABIL</t>
  </si>
  <si>
    <t>Ametren L.P.</t>
  </si>
  <si>
    <t>ABIL.1</t>
  </si>
  <si>
    <t>Cohen Milstein Sellers &amp; Toll PLLC; The Law Office of Jacob Sabo (local/liaison)</t>
  </si>
  <si>
    <t>Contested</t>
  </si>
  <si>
    <t>Ins</t>
  </si>
  <si>
    <t/>
  </si>
  <si>
    <t>Theodore Zwicker</t>
  </si>
  <si>
    <t>ABIL.2</t>
  </si>
  <si>
    <t>Ind</t>
  </si>
  <si>
    <t>ADPT.1.a</t>
  </si>
  <si>
    <t>Bernstein Litowitz Berger &amp; Grossmann LLP; Kessler Topaz  Meltzer &amp; Check, LLP; Keil &amp; Goodson P.A. (local/liaison)Law Offices of George L. McWilliams, P.C. (local/liaison)</t>
  </si>
  <si>
    <t>G-Ins</t>
  </si>
  <si>
    <t>ADPT.1.b</t>
  </si>
  <si>
    <t>Joel Magazine</t>
  </si>
  <si>
    <t>Group Total</t>
  </si>
  <si>
    <t>ADPT.2.a</t>
  </si>
  <si>
    <t>Glancy Prongay &amp; Murray, LLP; The Rosen Law Firm, P.A.; Kendall Law Group, LLP (local/liaison)</t>
  </si>
  <si>
    <t>G-Ind</t>
  </si>
  <si>
    <t>Kui Liu</t>
  </si>
  <si>
    <t>ADPT.2.b</t>
  </si>
  <si>
    <t>Robert Gibbons</t>
  </si>
  <si>
    <t>ADPT.2.c</t>
  </si>
  <si>
    <t>Sohail Sattar</t>
  </si>
  <si>
    <t>ADPT.2.d</t>
  </si>
  <si>
    <t>Jason Rutherford</t>
  </si>
  <si>
    <t>ADPT.3</t>
  </si>
  <si>
    <t>Kahn Swick &amp; Foti, LLC; Potter Minton (local/liaison)</t>
  </si>
  <si>
    <t>Michigan Laborers Pension Fund</t>
  </si>
  <si>
    <t>ADPT.4</t>
  </si>
  <si>
    <t>Robbins, Geller, Rudman &amp; Dowd, LLP; Ward, Smith &amp; Hill, PLLC (local/liaison)</t>
  </si>
  <si>
    <t>Laborers Local 235 Benefit Funds</t>
  </si>
  <si>
    <t>ADPT.5.a</t>
  </si>
  <si>
    <t>Saxena White P.A.; Barrett &amp; Tyler, LLP (local/liaison)</t>
  </si>
  <si>
    <t>G-Mix</t>
  </si>
  <si>
    <t>Stefanie L. Seese</t>
  </si>
  <si>
    <t>ADPT.5.b</t>
  </si>
  <si>
    <t>Manchang Tian</t>
  </si>
  <si>
    <t>Family Total/FIFO/LIFO</t>
  </si>
  <si>
    <t>ADPT.5.c</t>
  </si>
  <si>
    <t>Ning Tian</t>
  </si>
  <si>
    <t>ADPT.5.d</t>
  </si>
  <si>
    <t>AECOM</t>
  </si>
  <si>
    <t>09/01/2016</t>
  </si>
  <si>
    <t>10/31/2016</t>
  </si>
  <si>
    <t>William Graves</t>
  </si>
  <si>
    <t>ACM.1.a</t>
  </si>
  <si>
    <t>Pomerantz LLP; Goldberg Law PC (local/liaison)</t>
  </si>
  <si>
    <t>Uncontested</t>
  </si>
  <si>
    <t>Brooke Krysiak</t>
  </si>
  <si>
    <t>ACM.1.b</t>
  </si>
  <si>
    <t>Aerojet Rocketdyne Holdings, Inc.</t>
  </si>
  <si>
    <t>Juliann Travis</t>
  </si>
  <si>
    <t>AJRD.1</t>
  </si>
  <si>
    <t>The Rosen Law Firm, P.A.</t>
  </si>
  <si>
    <t>Agile Therapeutics Inc.</t>
  </si>
  <si>
    <t>01/06/2017</t>
  </si>
  <si>
    <t>Bixing Peng</t>
  </si>
  <si>
    <t>AGRX.1.a</t>
  </si>
  <si>
    <t>Glancy Prongay &amp; Murray, LLP; Carella, Byrne, Cecchi, Olstein, Brody &amp; Agnello P.C. (local/liaison)</t>
  </si>
  <si>
    <t>Vincent Tylutki</t>
  </si>
  <si>
    <t>AGRX.1.b</t>
  </si>
  <si>
    <t>Hoyt W. Clark</t>
  </si>
  <si>
    <t>AGRX.2</t>
  </si>
  <si>
    <t>William Wynn</t>
  </si>
  <si>
    <t>AGRX.3</t>
  </si>
  <si>
    <t>Agria Corporation</t>
  </si>
  <si>
    <t>Etienne Balon</t>
  </si>
  <si>
    <t>GRO.1.a</t>
  </si>
  <si>
    <t>Xiao Ming Zhou</t>
  </si>
  <si>
    <t>GRO.1.b</t>
  </si>
  <si>
    <t>Aixtron SE</t>
  </si>
  <si>
    <t>01/04/2016</t>
  </si>
  <si>
    <t>Robert Hajosy</t>
  </si>
  <si>
    <t>AIXNY.1</t>
  </si>
  <si>
    <t>Dwayne Abbott</t>
  </si>
  <si>
    <t>AIXNY.2</t>
  </si>
  <si>
    <t>Alcobra, Ltd.</t>
  </si>
  <si>
    <t>02/17/2017</t>
  </si>
  <si>
    <t>04/18/2017</t>
  </si>
  <si>
    <t>Rod Schlosser</t>
  </si>
  <si>
    <t>ADHD.1.a</t>
  </si>
  <si>
    <t>Mike Oldham</t>
  </si>
  <si>
    <t>ADHD.1.b</t>
  </si>
  <si>
    <t>Glazer Capital Management, LP</t>
  </si>
  <si>
    <t>ALR.1.a</t>
  </si>
  <si>
    <t>Abraham, Fruchter &amp; Twersky, LLP; Shapiro Haber &amp; Urmy LLP (local/liaison)</t>
  </si>
  <si>
    <t>Glazer Offshore Fund, LTD</t>
  </si>
  <si>
    <t>ALR.1.b</t>
  </si>
  <si>
    <t>Highmark Limited</t>
  </si>
  <si>
    <t>ALR.1.c</t>
  </si>
  <si>
    <t>Glazer Enhanced Fund L.P.</t>
  </si>
  <si>
    <t>ALR.1.d</t>
  </si>
  <si>
    <t>Glazer Enhanced Offshore Fund, Ltd.</t>
  </si>
  <si>
    <t>ALR.1.e</t>
  </si>
  <si>
    <t>OFI Asset Management</t>
  </si>
  <si>
    <t>ALR.2</t>
  </si>
  <si>
    <t>Bernstein Litowitz Berger &amp; Grossmann LLP; Entwistle &amp; Cappucci LLP; Shapiro Haber &amp; Urmy LLP (local/liaison)</t>
  </si>
  <si>
    <t>ALR.3.a</t>
  </si>
  <si>
    <t>Finkelstein &amp; Krinsk LLP; Glancy Prongay &amp; Murray, LLP; Block &amp; Leviton LLP (local/liaison)</t>
  </si>
  <si>
    <t>Judith Godinez</t>
  </si>
  <si>
    <t>ALR.3.b</t>
  </si>
  <si>
    <t>Boilermakers National Benefit Fund (Canada)</t>
  </si>
  <si>
    <t>ALR.4</t>
  </si>
  <si>
    <t>Labaton Sucharow LLP; Thornton Law Firm LLP (local/liaison)</t>
  </si>
  <si>
    <t>Michael P. Breton</t>
  </si>
  <si>
    <t>ALR.5</t>
  </si>
  <si>
    <t>Pomerantz LLP; Block &amp; Leviton LLP (local/liaison)</t>
  </si>
  <si>
    <t>ALR.6</t>
  </si>
  <si>
    <t>Robbins, Geller, Rudman &amp; Dowd, LLP; Cavanagh &amp; O'Hara (local/liaison)Hutchings, Barsamian, Mandelcorn, LLP (local/liaison)</t>
  </si>
  <si>
    <t>ALXN.1.a</t>
  </si>
  <si>
    <t>Labaton Sucharow LLP; Motley Rice LLC</t>
  </si>
  <si>
    <t>Public Employees Retirement System of Idaho</t>
  </si>
  <si>
    <t>ALXN.1.b</t>
  </si>
  <si>
    <t>Gwinnett County Public Employees Retirement System</t>
  </si>
  <si>
    <t>ALXN.2</t>
  </si>
  <si>
    <t>Robbins, Geller, Rudman &amp; Dowd, LLP; Diserio Martin O'Connor &amp; Castiglioni LLC (local/liaison)</t>
  </si>
  <si>
    <t>Steamship Trade Association-International Longshoremens Association Pension Fund</t>
  </si>
  <si>
    <t>ALXN.3</t>
  </si>
  <si>
    <t>David Rosenberg</t>
  </si>
  <si>
    <t>AGN.1</t>
  </si>
  <si>
    <t>Rick and Melvin Ashman</t>
  </si>
  <si>
    <t>Ashman Law Offices, LLC; Keogh Law, Ltd.; The Law Office of Jeffrey E. Crane, LLC; McDaniel PC (local/liaison)</t>
  </si>
  <si>
    <t>AGN.3.a</t>
  </si>
  <si>
    <t>Berman DeValerio; Schnader Harrison Segal &amp; Lewis LLP (local/liaison)</t>
  </si>
  <si>
    <t>AGN.3.b</t>
  </si>
  <si>
    <t>Miami Firefighters Relief and Pension Fund</t>
  </si>
  <si>
    <t>AGN.4</t>
  </si>
  <si>
    <t>Bleichmar Fonti &amp; Auld LLP; Calcagni &amp; Kanefsky (local/liaison)</t>
  </si>
  <si>
    <t>Edward Santangelo</t>
  </si>
  <si>
    <t>AGN.5</t>
  </si>
  <si>
    <t>Brower Piven; Lite Depalma Greenberg, LLC (local/liaison)</t>
  </si>
  <si>
    <t>William Quartuccio</t>
  </si>
  <si>
    <t>AGN.6</t>
  </si>
  <si>
    <t>AGN.7.a</t>
  </si>
  <si>
    <t>Kessler Topaz  Meltzer &amp; Check, LLP; Motley Rice LLC</t>
  </si>
  <si>
    <t>AGN.7.b</t>
  </si>
  <si>
    <t>AGN.8</t>
  </si>
  <si>
    <t>AGN.9</t>
  </si>
  <si>
    <t>Robbins, Geller, Rudman &amp; Dowd, LLP; Cohn, Lifland, Pearlman, Herrmann,  &amp; Knopf,  LLP (local/liaison)</t>
  </si>
  <si>
    <t>AGN.10</t>
  </si>
  <si>
    <t>Safirstein Metcalf LLP; Kantrowitz, Goldhamer &amp; Graifman (local/liaison)Miller Law, LLC (local/liaison)</t>
  </si>
  <si>
    <t>AGN.11</t>
  </si>
  <si>
    <t>Brian Legett</t>
  </si>
  <si>
    <t>AGN.12.a</t>
  </si>
  <si>
    <t>Bryson Holdings, LLC</t>
  </si>
  <si>
    <t>AGN.12.b</t>
  </si>
  <si>
    <t>Alliance MMA, Inc.</t>
  </si>
  <si>
    <t>04/17/2017</t>
  </si>
  <si>
    <t>06/16/2017</t>
  </si>
  <si>
    <t>Derek Riddick</t>
  </si>
  <si>
    <t>AMMA.1</t>
  </si>
  <si>
    <t>Michael Malcolm</t>
  </si>
  <si>
    <t>AMMA.2.a</t>
  </si>
  <si>
    <t>The Rosen Law Firm, P.A.; Bronstein, Gewirtz &amp; Grossman, LLC (local/liaison)Goldberg Law PC (local/liaison)</t>
  </si>
  <si>
    <t>Daniel Ciccarelli</t>
  </si>
  <si>
    <t>AMMA.2.b</t>
  </si>
  <si>
    <t>Michael Desantis</t>
  </si>
  <si>
    <t>AMMA.2.c</t>
  </si>
  <si>
    <t>Thomas Bendheim</t>
  </si>
  <si>
    <t>AMMA.2.d</t>
  </si>
  <si>
    <t>Anthony Shenk</t>
  </si>
  <si>
    <t>AMMA.2.e</t>
  </si>
  <si>
    <t>Amaya, Inc.</t>
  </si>
  <si>
    <t>04/05/2016</t>
  </si>
  <si>
    <t>Jason Mattie</t>
  </si>
  <si>
    <t>AYA.1</t>
  </si>
  <si>
    <t>Andrew Song</t>
  </si>
  <si>
    <t>AYA.2.a</t>
  </si>
  <si>
    <t>The Rosen Law Firm, P.A.; Pomerantz LLP (local/liaison)</t>
  </si>
  <si>
    <t>Michael Neuberger</t>
  </si>
  <si>
    <t>AYA.2.b</t>
  </si>
  <si>
    <t>Bahram Salehian</t>
  </si>
  <si>
    <t>AYA.2.c</t>
  </si>
  <si>
    <t>James Carmack</t>
  </si>
  <si>
    <t>AYA.2.d</t>
  </si>
  <si>
    <t>Ambac Financial Group, Inc.</t>
  </si>
  <si>
    <t>06/28/2016</t>
  </si>
  <si>
    <t>08/29/2016</t>
  </si>
  <si>
    <t>Ori Wilbush</t>
  </si>
  <si>
    <t>AMBC.1</t>
  </si>
  <si>
    <t>American DG Energy, Inc.</t>
  </si>
  <si>
    <t>02/15/2017</t>
  </si>
  <si>
    <t>04/21/2017</t>
  </si>
  <si>
    <t>William Chase May</t>
  </si>
  <si>
    <t>Holdings</t>
  </si>
  <si>
    <t>ADGE.1</t>
  </si>
  <si>
    <t>Monteverde &amp; Associates PC; Wolf Popper LLP; Berman DeValerio (local/liaison)Block &amp; Leviton LLP (local/liaison)</t>
  </si>
  <si>
    <t>American Realty Capital  Retail Center of America, Inc.</t>
  </si>
  <si>
    <t>Maryland District Court</t>
  </si>
  <si>
    <t>Stuart B. Wollman</t>
  </si>
  <si>
    <t>ARCP.1</t>
  </si>
  <si>
    <t>Abraham, Fruchter &amp; Twersky, LLP; Tydings &amp; Rosenberg LLP (local/liaison)</t>
  </si>
  <si>
    <t>Rene Paul DeMeule</t>
  </si>
  <si>
    <t>ARCP.2</t>
  </si>
  <si>
    <t>Wolf Haldenstein Adler Freeman &amp; Herz LLP; Levi &amp; Korsinsky, LLP (local/liaison)</t>
  </si>
  <si>
    <t>American Renal Associates Holdings, Inc.</t>
  </si>
  <si>
    <t>Christine Gelsleichter</t>
  </si>
  <si>
    <t>ARA.1</t>
  </si>
  <si>
    <t>Goldberg Law PC; Pomerantz LLP; Hutchings, Barsamian, Mandelcorn, LLP (local/liaison)</t>
  </si>
  <si>
    <t>Errol M. Rudman</t>
  </si>
  <si>
    <t>ARA.2.a</t>
  </si>
  <si>
    <t>Kirby McInerney LLP; Law Offices of Mark Booker (local/liaison)</t>
  </si>
  <si>
    <t>Rudman Partners LP</t>
  </si>
  <si>
    <t>ARA.2.b</t>
  </si>
  <si>
    <t>Stevo Kecman</t>
  </si>
  <si>
    <t>ARA.3</t>
  </si>
  <si>
    <t>The Rosen Law Firm, P.A.; Hutchings, Barsamian, Mandelcorn, LLP (local/liaison)</t>
  </si>
  <si>
    <t>Mary Esposito</t>
  </si>
  <si>
    <t>ARA.4</t>
  </si>
  <si>
    <t>Wolf Popper LLP; Berman DeValerio (local/liaison)</t>
  </si>
  <si>
    <t>Houston Municipal Employees Pension System</t>
  </si>
  <si>
    <t>AFSI.1</t>
  </si>
  <si>
    <t>Bernstein Liebhard LLP; Brent, Fiol &amp; Pratt LLP (local/liaison)</t>
  </si>
  <si>
    <t>AFSI.2</t>
  </si>
  <si>
    <t>Cohen Milstein Sellers &amp; Toll PLLC; Glancy Prongay &amp; Murray, LLP (local/liaison)</t>
  </si>
  <si>
    <t>Sharon Albano</t>
  </si>
  <si>
    <t>AFSI.3</t>
  </si>
  <si>
    <t>Gainey McKenna &amp; Egleston; The Paskowitz Law Firm, P.C.; Roy Jacobs &amp; Associates (local/liaison)</t>
  </si>
  <si>
    <t>Stanley Newmark</t>
  </si>
  <si>
    <t>AFSI.4</t>
  </si>
  <si>
    <t>Kahn Swick &amp; Foti, LLC</t>
  </si>
  <si>
    <t>Michael Stango</t>
  </si>
  <si>
    <t>AFSI.5.a</t>
  </si>
  <si>
    <t>Pomerantz LLP; Bronstein, Gewirtz &amp; Grossman, LLC (local/liaison)Goldberg Law PC (local/liaison)</t>
  </si>
  <si>
    <t>Richard Dunlap</t>
  </si>
  <si>
    <t>AFSI.5.b</t>
  </si>
  <si>
    <t>Irving Lichtman Revocable Living Trust</t>
  </si>
  <si>
    <t>AFSI.5.c</t>
  </si>
  <si>
    <t>Merkur Family</t>
  </si>
  <si>
    <t>AFSI.5.d</t>
  </si>
  <si>
    <t>Jupiter Capital Management</t>
  </si>
  <si>
    <t>AFSI.5.e</t>
  </si>
  <si>
    <t>New England Carpenters Pension Fund</t>
  </si>
  <si>
    <t>AFSI.6.a</t>
  </si>
  <si>
    <t>New England Carpenters Guaranteed Annuity Fund</t>
  </si>
  <si>
    <t>AFSI.6.b</t>
  </si>
  <si>
    <t>AFSI.7</t>
  </si>
  <si>
    <t>AFSI.8</t>
  </si>
  <si>
    <t>The Miller Law Firm, P.C.; McCune Wright Arevalo, LLP (local/liaison)</t>
  </si>
  <si>
    <t>Gestion Ju-Mo Inc.</t>
  </si>
  <si>
    <t>AFSI.9</t>
  </si>
  <si>
    <t>Amyris, Inc.</t>
  </si>
  <si>
    <t>04/20/2017</t>
  </si>
  <si>
    <t>06/19/2017</t>
  </si>
  <si>
    <t>Robert E. Lapp</t>
  </si>
  <si>
    <t>AMRS.1</t>
  </si>
  <si>
    <t>Daniel Wheeless</t>
  </si>
  <si>
    <t>AMRS.2.a</t>
  </si>
  <si>
    <t>The Rosen Law Firm, P.A.; Goldberg Law PC (local/liaison)</t>
  </si>
  <si>
    <t>Preetam Modur</t>
  </si>
  <si>
    <t>AMRS.2.b</t>
  </si>
  <si>
    <t>Anavex Life Sciences Corp.</t>
  </si>
  <si>
    <t>12/30/2015</t>
  </si>
  <si>
    <t>02/29/2016</t>
  </si>
  <si>
    <t>Stephen Lin</t>
  </si>
  <si>
    <t>AXVL.1.a</t>
  </si>
  <si>
    <t>Glancy Prongay &amp; Murray, LLP; Pomerantz LLP</t>
  </si>
  <si>
    <t>Stanley Gunawan</t>
  </si>
  <si>
    <t>AXVL.1.b</t>
  </si>
  <si>
    <t>Lam Truong</t>
  </si>
  <si>
    <t>AXVL.2</t>
  </si>
  <si>
    <t>Phillip Din, M.D.</t>
  </si>
  <si>
    <t>AXVL.3</t>
  </si>
  <si>
    <t>Anthera Pharmaceuticals, Inc.</t>
  </si>
  <si>
    <t>02/13/2017</t>
  </si>
  <si>
    <t>Uresomir Corak</t>
  </si>
  <si>
    <t>ANTH.1</t>
  </si>
  <si>
    <t>Evan Roberts</t>
  </si>
  <si>
    <t>ANTH.2.a</t>
  </si>
  <si>
    <t>Lifshitz &amp; Miller; Reich Radcliffe &amp; Hoover LLP (local/liaison)</t>
  </si>
  <si>
    <t>Owen Roberts</t>
  </si>
  <si>
    <t>ANTH.2.b</t>
  </si>
  <si>
    <t>Bobby King</t>
  </si>
  <si>
    <t>ANTH.2.c</t>
  </si>
  <si>
    <t>Kent Roberts</t>
  </si>
  <si>
    <t>ANTH.2.d</t>
  </si>
  <si>
    <t>Government of Guam Retirement Fund</t>
  </si>
  <si>
    <t>APOL.1</t>
  </si>
  <si>
    <t>Bernstein Litowitz Berger &amp; Grossmann LLP; Tiffany &amp; Bosco, PA (local/liaison)</t>
  </si>
  <si>
    <t>Yingbo Li</t>
  </si>
  <si>
    <t>APOL.2</t>
  </si>
  <si>
    <t>Glancy Prongay &amp; Murray, LLP; The Wilkins Law Firm, PLLC (local/liaison)</t>
  </si>
  <si>
    <t>APOL.3</t>
  </si>
  <si>
    <t>Kessler Topaz  Meltzer &amp; Check, LLP; James Christian, PLC (local/liaison)</t>
  </si>
  <si>
    <t>Janine LaDouceur</t>
  </si>
  <si>
    <t>APOL.4.a</t>
  </si>
  <si>
    <t>Pomerantz LLP; Martin &amp; Bonnett, PLLC (local/liaison)</t>
  </si>
  <si>
    <t>Betty McLeod</t>
  </si>
  <si>
    <t>APOL.4.b</t>
  </si>
  <si>
    <t>National Shopmen Pension Fund</t>
  </si>
  <si>
    <t>APOL.5</t>
  </si>
  <si>
    <t>Jesse Stone</t>
  </si>
  <si>
    <t>PETX.1</t>
  </si>
  <si>
    <t>Joseph Bessent</t>
  </si>
  <si>
    <t>PETX.2.a</t>
  </si>
  <si>
    <t>Eric Pearson</t>
  </si>
  <si>
    <t>PETX.2.b</t>
  </si>
  <si>
    <t>PETX.2.c</t>
  </si>
  <si>
    <t>Argos Therapeutics Inc.</t>
  </si>
  <si>
    <t>03/14/2017</t>
  </si>
  <si>
    <t>05/15/2017</t>
  </si>
  <si>
    <t>Dung Thi Kim Le</t>
  </si>
  <si>
    <t>ARGS.1.a</t>
  </si>
  <si>
    <t>Levi &amp; Korsinsky, LLP; Ward Black Law (local/liaison)</t>
  </si>
  <si>
    <t>Steven A. Payne</t>
  </si>
  <si>
    <t>ARGS.1.b</t>
  </si>
  <si>
    <t>Stephen Lomax</t>
  </si>
  <si>
    <t>ARGS.1.c</t>
  </si>
  <si>
    <t>Johnny R. Morgan</t>
  </si>
  <si>
    <t>ARGS.1.d</t>
  </si>
  <si>
    <t>David S. Kim</t>
  </si>
  <si>
    <t>ARGS.1.e</t>
  </si>
  <si>
    <t>The Hoey Trust UA DTD 11191993</t>
  </si>
  <si>
    <t>ARGS.2.a</t>
  </si>
  <si>
    <t>Wolf Haldenstein Adler Freeman &amp; Herz LLP; The Law Office of Jean Sutton Martin PLLC (local/liaison)</t>
  </si>
  <si>
    <t>The Hoey Family Trust UA DTD 082292</t>
  </si>
  <si>
    <t>ARGS.2.b</t>
  </si>
  <si>
    <t>Arrowhead Pharmaceuticals, Inc.</t>
  </si>
  <si>
    <t>Charles Cowles</t>
  </si>
  <si>
    <t>ARWR.1</t>
  </si>
  <si>
    <t>Gainey McKenna &amp; Egleston; The Wagner Firm (local/liaison)</t>
  </si>
  <si>
    <t>Joel Kuhn</t>
  </si>
  <si>
    <t>ARWR.2</t>
  </si>
  <si>
    <t>ind</t>
  </si>
  <si>
    <t>Michael Caglioti</t>
  </si>
  <si>
    <t>ARWR.3.a</t>
  </si>
  <si>
    <t>Pomerantz LLP; Bronstein, Gewirtz &amp; Grossman, LLC (local/liaison)Glancy Prongay &amp; Murray, LLP (local/liaison)</t>
  </si>
  <si>
    <t>George Garrison</t>
  </si>
  <si>
    <t>ARWR.3.b</t>
  </si>
  <si>
    <t>Richard Siebold</t>
  </si>
  <si>
    <t>ARWR.3.c</t>
  </si>
  <si>
    <t>Dean Flora</t>
  </si>
  <si>
    <t>ARWR.4.a</t>
  </si>
  <si>
    <t>Mihir Patel</t>
  </si>
  <si>
    <t>ARWR.4.b</t>
  </si>
  <si>
    <t>Stefan Muenchhagen</t>
  </si>
  <si>
    <t>ARWR.4.c</t>
  </si>
  <si>
    <t>Avid Technology, Inc.</t>
  </si>
  <si>
    <t>11/21/2016</t>
  </si>
  <si>
    <t>David Wayne Hammond</t>
  </si>
  <si>
    <t>AVID.1</t>
  </si>
  <si>
    <t>Johnson &amp; Weaver LLP; Hutchings, Barsamian, Mandelcorn, LLP (local/liaison)</t>
  </si>
  <si>
    <t>Mark Fleisher</t>
  </si>
  <si>
    <t>AVID.2.a</t>
  </si>
  <si>
    <t>Pomerantz LLP; The Rosen Law Firm, P.A.; Mirabella Law, LLC (local/liaison)</t>
  </si>
  <si>
    <t>Bradley Justice</t>
  </si>
  <si>
    <t>AVID.2.b</t>
  </si>
  <si>
    <t>Russell Holbrook</t>
  </si>
  <si>
    <t>AVID.2.c</t>
  </si>
  <si>
    <t>Luca Ceselli</t>
  </si>
  <si>
    <t>AVID.2.d</t>
  </si>
  <si>
    <t>BW.1</t>
  </si>
  <si>
    <t>Kaplan Fox &amp; Kilsheimer LLP; Blue LLP (local/liaison)</t>
  </si>
  <si>
    <t>BW.2</t>
  </si>
  <si>
    <t>Robbins, Geller, Rudman &amp; Dowd, LLP; McDaniel &amp; Anderson, LLP (local/liaison)</t>
  </si>
  <si>
    <t>Fernando X. Garcia</t>
  </si>
  <si>
    <t>BANC.1.a</t>
  </si>
  <si>
    <t>Glancy Prongay &amp; Murray, LLP; The Rosen Law Firm, P.A.</t>
  </si>
  <si>
    <t>Charlie Yang</t>
  </si>
  <si>
    <t>BANC.1.b</t>
  </si>
  <si>
    <t>John D. Chapman</t>
  </si>
  <si>
    <t>BANC.2</t>
  </si>
  <si>
    <t>Kessler Topaz  Meltzer &amp; Check, LLP; Rosman and Germain LLP (local/liaison)</t>
  </si>
  <si>
    <t>BANC.3</t>
  </si>
  <si>
    <t>Robbins, Geller, Rudman &amp; Dowd, LLP; Sullivan, Ward, Asher &amp; Patton, P.C. (local/liaison)</t>
  </si>
  <si>
    <t>BBD.1</t>
  </si>
  <si>
    <t>BBD.2.a</t>
  </si>
  <si>
    <t>BBD.2.b</t>
  </si>
  <si>
    <t>Louis Jean</t>
  </si>
  <si>
    <t>BBD.3</t>
  </si>
  <si>
    <t>Richard and Sandra Michael</t>
  </si>
  <si>
    <t>David J. Chili</t>
  </si>
  <si>
    <t>Richard Frechman</t>
  </si>
  <si>
    <t>Hagens Berman Sobol Shapiro LLP</t>
  </si>
  <si>
    <t>Town of Jupiter Police Officers Retirement Fund</t>
  </si>
  <si>
    <t>James Crumpley</t>
  </si>
  <si>
    <t>Pomerantz LLP; Bronstein, Gewirtz &amp; Grossman, LLC (local/liaison)The Rosen Law Firm, P.A. (local/liaison)</t>
  </si>
  <si>
    <t>Thomas OReilly</t>
  </si>
  <si>
    <t>BioAmber Inc.</t>
  </si>
  <si>
    <t>New York Eastern District Court</t>
  </si>
  <si>
    <t>03/18/2017</t>
  </si>
  <si>
    <t>05/17/2017</t>
  </si>
  <si>
    <t>Heidi Abrahamson</t>
  </si>
  <si>
    <t>BIOA.1</t>
  </si>
  <si>
    <t>Chad Zubriski</t>
  </si>
  <si>
    <t>BIOA.2</t>
  </si>
  <si>
    <t>Goldberg Law PC; The Rosen Law Firm, P.A.</t>
  </si>
  <si>
    <t>Michael Helfrick</t>
  </si>
  <si>
    <t>BIOA.3</t>
  </si>
  <si>
    <t>FRANKFURT-TRUST Investment Luxemburg AG</t>
  </si>
  <si>
    <t>Group / LIFO</t>
  </si>
  <si>
    <t>BIIB.1.a</t>
  </si>
  <si>
    <t>Frankfurt-Trust Investment-Gesellschaft mbH</t>
  </si>
  <si>
    <t>BIIB.1.b</t>
  </si>
  <si>
    <t>BIIB.2.a</t>
  </si>
  <si>
    <t>BIIB.2.b</t>
  </si>
  <si>
    <t>BIIB.3</t>
  </si>
  <si>
    <t>Robbins, Geller, Rudman &amp; Dowd, LLP; Cypen &amp; Cypen (local/liaison)Hutchings, Barsamian, Mandelcorn, LLP (local/liaison)</t>
  </si>
  <si>
    <t>Blount International Inc.</t>
  </si>
  <si>
    <t>03/21/2016</t>
  </si>
  <si>
    <t>Dean Alfrange</t>
  </si>
  <si>
    <t>BLT.1.a</t>
  </si>
  <si>
    <t>Johnson &amp; Weaver LLP; Levi &amp; Korsinsky, LLP; McGaughey Erickson (local/liaison)</t>
  </si>
  <si>
    <t>Elia Azar</t>
  </si>
  <si>
    <t>BLT.1.b</t>
  </si>
  <si>
    <t>BofI Holding, Inc.</t>
  </si>
  <si>
    <t>06/02/2017</t>
  </si>
  <si>
    <t>Linda Ostermann</t>
  </si>
  <si>
    <t>BOFI.1.a</t>
  </si>
  <si>
    <t>Bragar Eagel &amp; Squire, PC; Kirby McInerney LLP (local/liaison)</t>
  </si>
  <si>
    <t>Larry Dooley</t>
  </si>
  <si>
    <t>BOFI.1.b</t>
  </si>
  <si>
    <t>Philip Ricciardi</t>
  </si>
  <si>
    <t>BOFI.1.c</t>
  </si>
  <si>
    <t>Vickie Siebert</t>
  </si>
  <si>
    <t>BOFI.2.a</t>
  </si>
  <si>
    <t>Bronstein, Gewirtz &amp; Grossman, LLC; Goldberg Law PC; Pomerantz LLP</t>
  </si>
  <si>
    <t>Chao Wang</t>
  </si>
  <si>
    <t>BOFI.2.b</t>
  </si>
  <si>
    <t>David Siebert</t>
  </si>
  <si>
    <t>BOFI.2.c</t>
  </si>
  <si>
    <t>Joseph Shepard</t>
  </si>
  <si>
    <t>BOFI.2.d</t>
  </si>
  <si>
    <t>David Grigsby</t>
  </si>
  <si>
    <t>BRX.1.a</t>
  </si>
  <si>
    <t>BRX.1.b</t>
  </si>
  <si>
    <t>Westchester Putnam Counties Heavy &amp; Highway Laborers Local 60 Benefit Funds</t>
  </si>
  <si>
    <t>BRX.2.a</t>
  </si>
  <si>
    <t>Saxena White P.A.; Law Offices of Curtis V. Trinko (local/liaison)</t>
  </si>
  <si>
    <t>BRX.2.b</t>
  </si>
  <si>
    <t>BRX.2.c</t>
  </si>
  <si>
    <t>Brocade Communications Systems, Inc.</t>
  </si>
  <si>
    <t>Giulio D. Cessario</t>
  </si>
  <si>
    <t>HELD</t>
  </si>
  <si>
    <t>BRCD.1</t>
  </si>
  <si>
    <t>Robbins, Geller, Rudman &amp; Dowd, LLP; The Briscoe Law Firm, PLLC (local/liaison)</t>
  </si>
  <si>
    <t>BT Group PLC</t>
  </si>
  <si>
    <t>Robert Korenblat</t>
  </si>
  <si>
    <t>BT.1.a</t>
  </si>
  <si>
    <t>Pierre S. Lefebvre</t>
  </si>
  <si>
    <t>BT.1.b</t>
  </si>
  <si>
    <t>Gary Claassen</t>
  </si>
  <si>
    <t>BT.1.c</t>
  </si>
  <si>
    <t>Alice Korenblat</t>
  </si>
  <si>
    <t>BT.1.d</t>
  </si>
  <si>
    <t>PAMCAH-UA Local 675 Pension Fund</t>
  </si>
  <si>
    <t>BT.2</t>
  </si>
  <si>
    <t>Capstone Turbine Corp.</t>
  </si>
  <si>
    <t>11/16/2015</t>
  </si>
  <si>
    <t>01/15/2016</t>
  </si>
  <si>
    <t>Isaac Haber</t>
  </si>
  <si>
    <t>CPST.1</t>
  </si>
  <si>
    <t>Bragar Eagel &amp; Squire, PC; The Wagner Firm (local/liaison)</t>
  </si>
  <si>
    <t>Elizabeth R. Kay</t>
  </si>
  <si>
    <t>Randall G. Kay</t>
  </si>
  <si>
    <t>Gary Ouellet</t>
  </si>
  <si>
    <t>CPST.3.a</t>
  </si>
  <si>
    <t>Levi &amp; Korsinsky, LLP; Pomerantz LLP; Goldberg Law PC (local/liaison)</t>
  </si>
  <si>
    <t>Dimitri N. Giasemis</t>
  </si>
  <si>
    <t>CPST.3.b</t>
  </si>
  <si>
    <t>Marc Ouellet</t>
  </si>
  <si>
    <t>CPST.3.c</t>
  </si>
  <si>
    <t>William Van Fossen</t>
  </si>
  <si>
    <t>CPST.3.d</t>
  </si>
  <si>
    <t>Douglas Pirie</t>
  </si>
  <si>
    <t>CPST.4.a</t>
  </si>
  <si>
    <t>Robert Andrews</t>
  </si>
  <si>
    <t>CPST.4.b</t>
  </si>
  <si>
    <t>Cardinal Financial Corporation</t>
  </si>
  <si>
    <t>12/20/2016</t>
  </si>
  <si>
    <t>Henry Kwong</t>
  </si>
  <si>
    <t>CFNL.1.a</t>
  </si>
  <si>
    <t>Brower Piven; Levi &amp; Korsinsky, LLP; Finkelstein Thompson LLP (local/liaison)</t>
  </si>
  <si>
    <t>Kyle Miller</t>
  </si>
  <si>
    <t>CFNL.1.b</t>
  </si>
  <si>
    <t>CSII.1</t>
  </si>
  <si>
    <t>Luzerne County Retirement System</t>
  </si>
  <si>
    <t>CSII.2.a</t>
  </si>
  <si>
    <t>Pompano Beach General Employees Retirement System</t>
  </si>
  <si>
    <t>CSII.2.b</t>
  </si>
  <si>
    <t>Norfolk County Retirement System</t>
  </si>
  <si>
    <t>CSII.3.a</t>
  </si>
  <si>
    <t>Labaton Sucharow LLP; The Wagner Firm (local/liaison)</t>
  </si>
  <si>
    <t>CSII.3.b</t>
  </si>
  <si>
    <t>Mark Nelson</t>
  </si>
  <si>
    <t>CSII.4</t>
  </si>
  <si>
    <t>Carmike Cinemas, Inc.</t>
  </si>
  <si>
    <t>Georgia Middle District Court</t>
  </si>
  <si>
    <t>06/27/2016</t>
  </si>
  <si>
    <t>John Solak</t>
  </si>
  <si>
    <t>CKEC.1.a</t>
  </si>
  <si>
    <t>Levi &amp; Korsinsky, LLP; Robbins Arroyo LLP; Johnson &amp; Weaver LLP (local/liaison)</t>
  </si>
  <si>
    <t>Ray Baskette</t>
  </si>
  <si>
    <t>CKEC.1.b</t>
  </si>
  <si>
    <t>Catalyst Hedged Futures Fund</t>
  </si>
  <si>
    <t>04/28/2017</t>
  </si>
  <si>
    <t>06/27/2017</t>
  </si>
  <si>
    <t>Jeffrey Berkowitz</t>
  </si>
  <si>
    <t>HFXAX.1</t>
  </si>
  <si>
    <t>Betsy H. Latham</t>
  </si>
  <si>
    <t>HFXAX.2.a</t>
  </si>
  <si>
    <t>Robert McCandless</t>
  </si>
  <si>
    <t>HFXAX.2.b</t>
  </si>
  <si>
    <t>Gary P. Latham</t>
  </si>
  <si>
    <t>HFXAX.2.c</t>
  </si>
  <si>
    <t>Mark R. Craig</t>
  </si>
  <si>
    <t>HFXAX.2.d</t>
  </si>
  <si>
    <t>Victor F. Diaz</t>
  </si>
  <si>
    <t>HFXAX.2.e</t>
  </si>
  <si>
    <t>James Kim</t>
  </si>
  <si>
    <t>HFXAX.2.f</t>
  </si>
  <si>
    <t>Jeannie Kim</t>
  </si>
  <si>
    <t>HFXAX.2.g</t>
  </si>
  <si>
    <t>Maryann Lovelidge</t>
  </si>
  <si>
    <t>HFXAX.3.a</t>
  </si>
  <si>
    <t>Robbins, Geller, Rudman &amp; Dowd, LLP; Johnson &amp; Weaver LLP (local/liaison)</t>
  </si>
  <si>
    <t>Debra Folk</t>
  </si>
  <si>
    <t>HFXAX.3.b</t>
  </si>
  <si>
    <t>Tom Lovelidge</t>
  </si>
  <si>
    <t>HFXAX.3.c</t>
  </si>
  <si>
    <t>Eugene Almendinger</t>
  </si>
  <si>
    <t>HFXAX.3.d</t>
  </si>
  <si>
    <t>William H. Tod</t>
  </si>
  <si>
    <t>HFXAX.3.e</t>
  </si>
  <si>
    <t>Earle Folk</t>
  </si>
  <si>
    <t>HFXAX.3.f</t>
  </si>
  <si>
    <t>Ken Hopkins</t>
  </si>
  <si>
    <t>HFXAX.4.a</t>
  </si>
  <si>
    <t>Margaret Pak</t>
  </si>
  <si>
    <t>HFXAX.4.b</t>
  </si>
  <si>
    <t>Richard Kingston</t>
  </si>
  <si>
    <t>HFXAX.4.c</t>
  </si>
  <si>
    <t>The Weinstein Family Trust</t>
  </si>
  <si>
    <t>HFXAX.4.d</t>
  </si>
  <si>
    <t>Kelly Farmer</t>
  </si>
  <si>
    <t>HFXAX.4.e</t>
  </si>
  <si>
    <t>CAT.1</t>
  </si>
  <si>
    <t>Motley Rice LLC; Robbins, Geller, Rudman &amp; Dowd, LLP (local/liaison)</t>
  </si>
  <si>
    <t>Jacob Newman</t>
  </si>
  <si>
    <t>CAT.2.a</t>
  </si>
  <si>
    <t>Pomerantz LLP; The Rosen Law Firm, P.A.; Bronstein, Gewirtz &amp; Grossman, LLC (local/liaison)</t>
  </si>
  <si>
    <t>Aymon Sukkar</t>
  </si>
  <si>
    <t>CAT.2.b</t>
  </si>
  <si>
    <t>Ricky Hoyle</t>
  </si>
  <si>
    <t>CAT.2.c</t>
  </si>
  <si>
    <t>New Mexico Educational Retirement Board</t>
  </si>
  <si>
    <t>CBL.1</t>
  </si>
  <si>
    <t>Bernstein Liebhard LLP; Barrett Law Office, PLLC (local/liaison)</t>
  </si>
  <si>
    <t>Louisiana Municipal Police Employees Retirement System</t>
  </si>
  <si>
    <t>CBL.2.a</t>
  </si>
  <si>
    <t>Block &amp; Leviton LLP; Bramlett Law Offices (local/liaison)</t>
  </si>
  <si>
    <t>CBL.2.b</t>
  </si>
  <si>
    <t>CBL.3.a</t>
  </si>
  <si>
    <t>Kessler Topaz  Meltzer &amp; Check, LLP; Labaton Sucharow LLP; Branstetter Stranch &amp; Jennings PLLC (local/liaison)</t>
  </si>
  <si>
    <t>Cambridge Retirement System</t>
  </si>
  <si>
    <t>CBL.3.b</t>
  </si>
  <si>
    <t>CBL.4</t>
  </si>
  <si>
    <t>Motley Rice LLC; Summers, Rufolo &amp; Rodgers, P.C. (local/liaison)</t>
  </si>
  <si>
    <t>Larry L. Halcomb</t>
  </si>
  <si>
    <t>CBL.5</t>
  </si>
  <si>
    <t>Pomerantz LLP; Bramlett Law Offices (local/liaison)</t>
  </si>
  <si>
    <t>CBL.6</t>
  </si>
  <si>
    <t>Robbins, Geller, Rudman &amp; Dowd, LLP; O'Donoghue &amp; O'Donoghue LLP (local/liaison)</t>
  </si>
  <si>
    <t>Celadon Group, Inc.</t>
  </si>
  <si>
    <t>04/19/2017</t>
  </si>
  <si>
    <t>John E. Fox</t>
  </si>
  <si>
    <t>CGI.1</t>
  </si>
  <si>
    <t>Block &amp; Leviton LLP; Gardy &amp; Notis, LLP (local/liaison)</t>
  </si>
  <si>
    <t>Greater Pennsylvania Carpenters Pension Fund</t>
  </si>
  <si>
    <t>CGI.2.a</t>
  </si>
  <si>
    <t>CGI.2.b</t>
  </si>
  <si>
    <t>Rick Grof</t>
  </si>
  <si>
    <t>CGI.3</t>
  </si>
  <si>
    <t>Rick Groff</t>
  </si>
  <si>
    <t>CGI.4</t>
  </si>
  <si>
    <t>Pomerantz LLP; Bronstein, Gewirtz &amp; Grossman, LLC (local/liaison)</t>
  </si>
  <si>
    <t>Gleyndon E. Kern, Jr.</t>
  </si>
  <si>
    <t>CEMP.1.a</t>
  </si>
  <si>
    <t>Brower Piven; Pomerantz LLP; Schiller &amp; Schiller, P.L.L.C. (local/liaison)</t>
  </si>
  <si>
    <t>David Rash</t>
  </si>
  <si>
    <t>CEMP.1.b</t>
  </si>
  <si>
    <t>Gordon F. Lentz</t>
  </si>
  <si>
    <t>CEMP.1.c</t>
  </si>
  <si>
    <t>Louis Pohoryles</t>
  </si>
  <si>
    <t>CEMP.1.d</t>
  </si>
  <si>
    <t>Robert Gluck</t>
  </si>
  <si>
    <t>CEMP.1.e</t>
  </si>
  <si>
    <t>Yelin Lapidot Mutual Funds</t>
  </si>
  <si>
    <t>CEMP.2</t>
  </si>
  <si>
    <t>Glancy Prongay &amp; Murray, LLP; Whitfield Bryson &amp; Mason LLP (local/liaison)</t>
  </si>
  <si>
    <t>Heather Hollister</t>
  </si>
  <si>
    <t>CEMP.3.a</t>
  </si>
  <si>
    <t>Hagens Berman Sobol Shapiro LLP; Blue LLP (local/liaison)</t>
  </si>
  <si>
    <t>Perry Smith</t>
  </si>
  <si>
    <t>CEMP.3.b</t>
  </si>
  <si>
    <t>Darrell Ticehurst</t>
  </si>
  <si>
    <t>CEMP.3.c</t>
  </si>
  <si>
    <t>Charles Craig Janies</t>
  </si>
  <si>
    <t>CEMP.4.a</t>
  </si>
  <si>
    <t>Johnson &amp; Weaver LLP; Robbins, Geller, Rudman &amp; Dowd, LLP; McDaniel &amp; Anderson, LLP (local/liaison)</t>
  </si>
  <si>
    <t>Robert F. Colwell, Jr.</t>
  </si>
  <si>
    <t>CEMP.4.b</t>
  </si>
  <si>
    <t>Robert Pavleszek</t>
  </si>
  <si>
    <t>CEMP.5.a</t>
  </si>
  <si>
    <t>Levi &amp; Korsinsky, LLP; Scott &amp; Scott,  LLP; Ward Black Law (local/liaison)</t>
  </si>
  <si>
    <t>CEMP.5.b</t>
  </si>
  <si>
    <t>Donald B. Hallowes</t>
  </si>
  <si>
    <t>CEMP.5.c</t>
  </si>
  <si>
    <t>Danny Lu</t>
  </si>
  <si>
    <t>CEMP.5.d</t>
  </si>
  <si>
    <t>Cemtrex, Inc.</t>
  </si>
  <si>
    <t>02/24/2017</t>
  </si>
  <si>
    <t>04/25/2017</t>
  </si>
  <si>
    <t>Zarrin Nelson</t>
  </si>
  <si>
    <t>CETX.1</t>
  </si>
  <si>
    <t>Minh Nguyen</t>
  </si>
  <si>
    <t>CETX.2.a</t>
  </si>
  <si>
    <t>Levi &amp; Korsinsky, LLP; Bragar Eagel &amp; Squire, PC (local/liaison)</t>
  </si>
  <si>
    <t>Timothy Heath</t>
  </si>
  <si>
    <t>CETX.2.b</t>
  </si>
  <si>
    <t>Gang Chen</t>
  </si>
  <si>
    <t>CETX.2.c</t>
  </si>
  <si>
    <t>Benjamin Webb</t>
  </si>
  <si>
    <t>CETX.2.d</t>
  </si>
  <si>
    <t>Umang Khetarpal</t>
  </si>
  <si>
    <t>CETX.2.e</t>
  </si>
  <si>
    <t>Lewis Monteil</t>
  </si>
  <si>
    <t>CETX.3</t>
  </si>
  <si>
    <t>RM Law, P.C.; Saxena White P.A.</t>
  </si>
  <si>
    <t>Ajith Chennadi</t>
  </si>
  <si>
    <t>CETX.4.a</t>
  </si>
  <si>
    <t>Thanh Monat</t>
  </si>
  <si>
    <t>CETX.4.b</t>
  </si>
  <si>
    <t>Mark Mitchell</t>
  </si>
  <si>
    <t>CETX.4.c</t>
  </si>
  <si>
    <t>Ben Webb</t>
  </si>
  <si>
    <t>CETX.4.d</t>
  </si>
  <si>
    <t>Wei Cao</t>
  </si>
  <si>
    <t>CETX.4.e</t>
  </si>
  <si>
    <t>CNC.1</t>
  </si>
  <si>
    <t>Richard P. Wolsfeld, Jr.</t>
  </si>
  <si>
    <t>CNC.2</t>
  </si>
  <si>
    <t>Amir Softic</t>
  </si>
  <si>
    <t>CNC.3.a</t>
  </si>
  <si>
    <t>Sunil Chand</t>
  </si>
  <si>
    <t>CNC.3.b</t>
  </si>
  <si>
    <t>CNC.4</t>
  </si>
  <si>
    <t>Charles Schwab &amp; Co., Inc.</t>
  </si>
  <si>
    <t>07/13/2016</t>
  </si>
  <si>
    <t>Frank Pino</t>
  </si>
  <si>
    <t>SCHW.1.a</t>
  </si>
  <si>
    <t>Bragar Eagel &amp; Squire, PC; Glancy Prongay &amp; Murray, LLP</t>
  </si>
  <si>
    <t>Robert Wolfson</t>
  </si>
  <si>
    <t>SCHW.1.b</t>
  </si>
  <si>
    <t>Scott Posson</t>
  </si>
  <si>
    <t>SCHW.2</t>
  </si>
  <si>
    <t>Checkpoint Systems Inc.</t>
  </si>
  <si>
    <t>11/11/2015</t>
  </si>
  <si>
    <t>Ina Pollins</t>
  </si>
  <si>
    <t>CKP.1</t>
  </si>
  <si>
    <t>Gilad Wirguin</t>
  </si>
  <si>
    <t>CKP.2</t>
  </si>
  <si>
    <t>Wing Young, Trustee of the Wing Young, Phoebe Young, UA 12-16-1988 Young Family Trust</t>
  </si>
  <si>
    <t>CHK.1.a</t>
  </si>
  <si>
    <t>Kessler Topaz  Meltzer &amp; Check, LLP; Mattingly &amp; Roselius, PLLC (local/liaison)</t>
  </si>
  <si>
    <t>Wing Young</t>
  </si>
  <si>
    <t>CHK.1.b</t>
  </si>
  <si>
    <t>Michael Tigner</t>
  </si>
  <si>
    <t>CHK.2</t>
  </si>
  <si>
    <t>Levi &amp; Korsinsky, LLP; Lee, Goodwin, Lee, Lewis &amp; Dobson (local/liaison)</t>
  </si>
  <si>
    <t>Frank Acosta</t>
  </si>
  <si>
    <t>CHK.3.a</t>
  </si>
  <si>
    <t>Pomerantz LLP; Bronstein, Gewirtz &amp; Grossman, LLC (local/liaison)Federman &amp; Sherwood (local/liaison)Goldberg Law PC (local/liaison)</t>
  </si>
  <si>
    <t>Teddi M. Reese Revocable Trust</t>
  </si>
  <si>
    <t>CHK.3.b</t>
  </si>
  <si>
    <t>Scott Kim</t>
  </si>
  <si>
    <t>CHK.3.c</t>
  </si>
  <si>
    <t>CHK.4</t>
  </si>
  <si>
    <t>Spector Roseman Kodroff &amp; Willis, P.C.; Federman &amp; Sherwood (local/liaison)</t>
  </si>
  <si>
    <t>Ken Roscoe</t>
  </si>
  <si>
    <t>CHK.5</t>
  </si>
  <si>
    <t>The Rosen Law Firm, P.A.; Federman &amp; Sherwood (local/liaison)</t>
  </si>
  <si>
    <t>Falcon Capital Management</t>
  </si>
  <si>
    <t>CHMA.1.a</t>
  </si>
  <si>
    <t>Johnson &amp; Weaver LLP; Robbins, Geller, Rudman &amp; Dowd, LLP; Hutchings, Barsamian, Mandelcorn, LLP (local/liaison)</t>
  </si>
  <si>
    <t>Laurent Sberro</t>
  </si>
  <si>
    <t>CHMA.1.b</t>
  </si>
  <si>
    <t>Wetherby International, Inc.</t>
  </si>
  <si>
    <t>CHMA.1.c</t>
  </si>
  <si>
    <t>Bernardi &amp; Partners S.R.L.</t>
  </si>
  <si>
    <t>CHMA.2</t>
  </si>
  <si>
    <t>Oscar Torrijos</t>
  </si>
  <si>
    <t>CHMA.3.a</t>
  </si>
  <si>
    <t>CHMA.3.b</t>
  </si>
  <si>
    <t>MARTA-ATU Local 732 Employees Retirement Plan</t>
  </si>
  <si>
    <t>CBI.6.a</t>
  </si>
  <si>
    <t>CBI.6.b</t>
  </si>
  <si>
    <t>BlueSky Capital Partners LLC</t>
  </si>
  <si>
    <t>CBI.1</t>
  </si>
  <si>
    <t>Brower Piven</t>
  </si>
  <si>
    <t>New Jersey Building Laborers Pension Fund</t>
  </si>
  <si>
    <t>CBI.2</t>
  </si>
  <si>
    <t>Gardy &amp; Notis, LLP; Kroll, Heineman Carton, LLC (local/liaison)</t>
  </si>
  <si>
    <t>Alsar Ltd. Partnership</t>
  </si>
  <si>
    <t>CBI.3</t>
  </si>
  <si>
    <t>Iron Workers Locals 580 Joint Funds</t>
  </si>
  <si>
    <t>CBI.4.a</t>
  </si>
  <si>
    <t>CBI.4.b</t>
  </si>
  <si>
    <t>CBI.5.a</t>
  </si>
  <si>
    <t>CBI.5.b</t>
  </si>
  <si>
    <t>China Mobile Games &amp; Entertainment Group, Ltd.</t>
  </si>
  <si>
    <t>06/20/2014</t>
  </si>
  <si>
    <t>Miran Segregated Portfolio Company - Miran Long Short Equity Segregated Portfolio</t>
  </si>
  <si>
    <t>Ashok Sagar</t>
  </si>
  <si>
    <t>Johnnie Dormier</t>
  </si>
  <si>
    <t>CMGE.2</t>
  </si>
  <si>
    <t>Huang Shuainan</t>
  </si>
  <si>
    <t>CMGE.3.a</t>
  </si>
  <si>
    <t>Tian Yu Ma</t>
  </si>
  <si>
    <t>CMGE.3.b</t>
  </si>
  <si>
    <t>Sun Bing</t>
  </si>
  <si>
    <t>CMGE.3.c</t>
  </si>
  <si>
    <t>ZhenDong Company Limited</t>
  </si>
  <si>
    <t>CMGE.3.d</t>
  </si>
  <si>
    <t>Charlie Chun</t>
  </si>
  <si>
    <t>CMGE.4.a</t>
  </si>
  <si>
    <t>Edward McCaffery</t>
  </si>
  <si>
    <t>CMGE.4.b</t>
  </si>
  <si>
    <t>OP Investment Management Limited</t>
  </si>
  <si>
    <t>CMGE.4.c</t>
  </si>
  <si>
    <t>Doug V. Fougnies</t>
  </si>
  <si>
    <t>Uri Skorski</t>
  </si>
  <si>
    <t>Cigna Corporation</t>
  </si>
  <si>
    <t>02/04/2016</t>
  </si>
  <si>
    <t>04/04/2016</t>
  </si>
  <si>
    <t>Minohor Singh</t>
  </si>
  <si>
    <t>CI.1</t>
  </si>
  <si>
    <t>Labaton Sucharow LLP; Hurwitz, Sagarin, Slossberg &amp; Knuff, LLC (local/liaison)</t>
  </si>
  <si>
    <t>Jyotindra Patel</t>
  </si>
  <si>
    <t>CI.2.a</t>
  </si>
  <si>
    <t>Randall S. Wilhelm</t>
  </si>
  <si>
    <t>CI.2.b</t>
  </si>
  <si>
    <t>Citizens Financial Group, Inc.</t>
  </si>
  <si>
    <t>06/26/2017</t>
  </si>
  <si>
    <t>Richard Grace</t>
  </si>
  <si>
    <t>CFG.1.a</t>
  </si>
  <si>
    <t>Glancy Prongay &amp; Murray, LLP; Levi &amp; Korsinsky, LLP</t>
  </si>
  <si>
    <t>Ken Warner</t>
  </si>
  <si>
    <t>CFG.1.b</t>
  </si>
  <si>
    <t>CFG.2</t>
  </si>
  <si>
    <t>Citizens, Inc.</t>
  </si>
  <si>
    <t>Texas Western District Court</t>
  </si>
  <si>
    <t>03/16/2017</t>
  </si>
  <si>
    <t>Juan Gamboa</t>
  </si>
  <si>
    <t>CIA.1.a</t>
  </si>
  <si>
    <t>The Rosen Law Firm, P.A.; Sanders Bajwa LLP (local/liaison)</t>
  </si>
  <si>
    <t>Correy Hemingway</t>
  </si>
  <si>
    <t>CIA.1.b</t>
  </si>
  <si>
    <t>Clovis Oncology, Inc.</t>
  </si>
  <si>
    <t>11/19/2015</t>
  </si>
  <si>
    <t>01/19/2016</t>
  </si>
  <si>
    <t>Arkin Communications LTD</t>
  </si>
  <si>
    <t>CLVS.1.a</t>
  </si>
  <si>
    <t>Bernstein Litowitz Berger &amp; Grossmann LLP; Wheeler Trigg O'Donnell LLP (local/liaison)</t>
  </si>
  <si>
    <t>M.Arkin (1999) LTD</t>
  </si>
  <si>
    <t>CLVS.1.b</t>
  </si>
  <si>
    <t>Karl Showrai</t>
  </si>
  <si>
    <t>CLVS.2.a</t>
  </si>
  <si>
    <t>Thomas Jankowski</t>
  </si>
  <si>
    <t>CLVS.2.b</t>
  </si>
  <si>
    <t>Naim Koymen</t>
  </si>
  <si>
    <t>CLVS.2.c</t>
  </si>
  <si>
    <t>Employees Retirement System of the City of St. Petersburg, Florida</t>
  </si>
  <si>
    <t>CLVS.3.a</t>
  </si>
  <si>
    <t>Grant &amp; Eisenhofer, P.A.; Saxena White P.A.; The Shuman Law Firm (local/liaison)</t>
  </si>
  <si>
    <t>Laborers District Council and Contractors Pension Fund of Ohio</t>
  </si>
  <si>
    <t>CLVS.3.b</t>
  </si>
  <si>
    <t>John Brian Moran</t>
  </si>
  <si>
    <t>CLVS.4</t>
  </si>
  <si>
    <t>Todd Rinaldi</t>
  </si>
  <si>
    <t>CLVS.5.a</t>
  </si>
  <si>
    <t>Labaton Sucharow LLP; The Rosen Law Firm, P.A.; Condit Csajaghy, LLC (local/liaison)</t>
  </si>
  <si>
    <t>Myo Thant</t>
  </si>
  <si>
    <t>CLVS.5.b</t>
  </si>
  <si>
    <t>Suzanne J. Real</t>
  </si>
  <si>
    <t>CLVS.6.a</t>
  </si>
  <si>
    <t>Pomerantz LLP; Jeffrey M. Villanueva, P.C. (local/liaison)</t>
  </si>
  <si>
    <t>Barbara Fayeulle-Frey</t>
  </si>
  <si>
    <t>CLVS.6.b</t>
  </si>
  <si>
    <t>Vikram B. Kothari</t>
  </si>
  <si>
    <t>CLVS.6.c</t>
  </si>
  <si>
    <t>Cnova N.V.</t>
  </si>
  <si>
    <t>01/20/2016</t>
  </si>
  <si>
    <t>Michael Schwabe</t>
  </si>
  <si>
    <t>CNV.1.a</t>
  </si>
  <si>
    <t>Jaideep Khanna</t>
  </si>
  <si>
    <t>CNV.1.b</t>
  </si>
  <si>
    <t>William J. Stevenson</t>
  </si>
  <si>
    <t>CNV.2</t>
  </si>
  <si>
    <t>Charles Dumon</t>
  </si>
  <si>
    <t>CNV.3.a</t>
  </si>
  <si>
    <t>Shivakumar Ballur</t>
  </si>
  <si>
    <t>CNV.3.b</t>
  </si>
  <si>
    <t>Donald M. Perugini</t>
  </si>
  <si>
    <t>CNV.3.c</t>
  </si>
  <si>
    <t>Teresa Granieri</t>
  </si>
  <si>
    <t>CNV.4</t>
  </si>
  <si>
    <t>Code Rebel Corporation</t>
  </si>
  <si>
    <t>Afaq Shaik</t>
  </si>
  <si>
    <t>CDRB.1</t>
  </si>
  <si>
    <t>Larry Strowbridge</t>
  </si>
  <si>
    <t>CDRB.2</t>
  </si>
  <si>
    <t>William Tran</t>
  </si>
  <si>
    <t>CDRB.3.a</t>
  </si>
  <si>
    <t>Pomerantz LLP; The Rosen Law Firm, P.A.; Goldberg Law PC (local/liaison)</t>
  </si>
  <si>
    <t>Adrian Ybarra</t>
  </si>
  <si>
    <t>CDRB.3.b</t>
  </si>
  <si>
    <t>George Torres</t>
  </si>
  <si>
    <t>CDRB.4</t>
  </si>
  <si>
    <t>Fire &amp; Police Pension Association of Colorado</t>
  </si>
  <si>
    <t>CTSH.1.a</t>
  </si>
  <si>
    <t>Bernstein Litowitz Berger &amp; Grossmann LLP; Motley Rice LLC; Lowenstein Sandler, LLP (local/liaison)</t>
  </si>
  <si>
    <t>CTSH.1.b</t>
  </si>
  <si>
    <t>CTSH.1.c</t>
  </si>
  <si>
    <t>Rebecca Fong</t>
  </si>
  <si>
    <t>CTSH.2.a</t>
  </si>
  <si>
    <t>Goldberg Law PC; Pomerantz LLP; Lite Depalma Greenberg, LLC (local/liaison)</t>
  </si>
  <si>
    <t>Gilbert Lerner</t>
  </si>
  <si>
    <t>CTSH.2.b</t>
  </si>
  <si>
    <t>Danske Invest Management AS</t>
  </si>
  <si>
    <t>CTSH.3</t>
  </si>
  <si>
    <t>Kessler Topaz  Meltzer &amp; Check, LLP; Carella, Byrne, Cecchi, Olstein, Brody &amp; Agnello P.C. (local/liaison)</t>
  </si>
  <si>
    <t>Laborers Pension Trust Fund for Northern California</t>
  </si>
  <si>
    <t>CTSH.4</t>
  </si>
  <si>
    <t>Labaton Sucharow LLP; Lite Depalma Greenberg, LLC (local/liaison)</t>
  </si>
  <si>
    <t>Anna Marie Daddabbo</t>
  </si>
  <si>
    <t>CTSH.5.a</t>
  </si>
  <si>
    <t>Strauss Troy; The Rosen Law Firm, P.A.</t>
  </si>
  <si>
    <t>Nancy Gay</t>
  </si>
  <si>
    <t>CTSH.5.b</t>
  </si>
  <si>
    <t>Shane Park</t>
  </si>
  <si>
    <t>CTSH.5.c</t>
  </si>
  <si>
    <t>Neal E. Schear as Trustee of the Schear and Schear Retirement Plan</t>
  </si>
  <si>
    <t>CTSH.5.d</t>
  </si>
  <si>
    <t>Hyman and Bessie Passman Charitable Foundation</t>
  </si>
  <si>
    <t>CTSH.5.e</t>
  </si>
  <si>
    <t>Employees Retirement System  of the City of Baton Rouge and Parish of East Baton Rouge</t>
  </si>
  <si>
    <t>SCOR.1.a</t>
  </si>
  <si>
    <t>SCOR.1.b</t>
  </si>
  <si>
    <t>McClender Logan</t>
  </si>
  <si>
    <t>Elliot Sommer</t>
  </si>
  <si>
    <t>SCOR.2</t>
  </si>
  <si>
    <t>William Huff</t>
  </si>
  <si>
    <t>SCOR.3</t>
  </si>
  <si>
    <t>SCOR.4</t>
  </si>
  <si>
    <t>Daniela and Susan Sikorski</t>
  </si>
  <si>
    <t>SCOR.5</t>
  </si>
  <si>
    <t>Concordia International Corp.</t>
  </si>
  <si>
    <t>Azad Esmail</t>
  </si>
  <si>
    <t>CXR.1</t>
  </si>
  <si>
    <t>Robert Goldstein</t>
  </si>
  <si>
    <t>CXR.2.a</t>
  </si>
  <si>
    <t>Don Algama</t>
  </si>
  <si>
    <t>CXR.2.b</t>
  </si>
  <si>
    <t>Lin Xu</t>
  </si>
  <si>
    <t>CXR.2.c</t>
  </si>
  <si>
    <t>Mohammad Jafar</t>
  </si>
  <si>
    <t>CXR.3.a</t>
  </si>
  <si>
    <t>Mohammad Uddin</t>
  </si>
  <si>
    <t>CXR.3.b</t>
  </si>
  <si>
    <t>Tony Bernardo</t>
  </si>
  <si>
    <t>CXR.4</t>
  </si>
  <si>
    <t>Luvell L. Glanton</t>
  </si>
  <si>
    <t>CXW.1</t>
  </si>
  <si>
    <t>Kessler Topaz  Meltzer &amp; Check, LLP; Scott &amp; Cain, Attorneys at Law (local/liaison)</t>
  </si>
  <si>
    <t>Burton Seigal</t>
  </si>
  <si>
    <t>CXW.2</t>
  </si>
  <si>
    <t>Levi &amp; Korsinsky, LLP; Holifield, Janich, Rachal &amp; Associates, PLLC (local/liaison)</t>
  </si>
  <si>
    <t>Bruce T. Schmidt</t>
  </si>
  <si>
    <t>CXW.3.a</t>
  </si>
  <si>
    <t>Pomerantz LLP; The Rosen Law Firm, P.A.; Bramlett Law Offices (local/liaison)</t>
  </si>
  <si>
    <t>Donald D. Dodge</t>
  </si>
  <si>
    <t>CXW.3.b</t>
  </si>
  <si>
    <t>Edward Miske</t>
  </si>
  <si>
    <t>CXW.3.c</t>
  </si>
  <si>
    <t>CXW.4</t>
  </si>
  <si>
    <t>Robbins, Geller, Rudman &amp; Dowd, LLP; Barrett Johnston Martin &amp; Garrison, LLC (local/liaison)</t>
  </si>
  <si>
    <t>CPI Card Group Inc.</t>
  </si>
  <si>
    <t>06/15/2016</t>
  </si>
  <si>
    <t>Paul Costanzo, Jr.</t>
  </si>
  <si>
    <t>PMTS.1.a</t>
  </si>
  <si>
    <t>Kenyon Riches</t>
  </si>
  <si>
    <t>PMTS.1.b</t>
  </si>
  <si>
    <t>John Lorge</t>
  </si>
  <si>
    <t>PMTS.1.c</t>
  </si>
  <si>
    <t>Dr. John P. Hodges, Jr.</t>
  </si>
  <si>
    <t>PMTS.1.d</t>
  </si>
  <si>
    <t>Steve Bostic</t>
  </si>
  <si>
    <t>PMTS.2.a</t>
  </si>
  <si>
    <t>Waltraud Buchanan</t>
  </si>
  <si>
    <t>PMTS.2.b</t>
  </si>
  <si>
    <t>Dean Hiser</t>
  </si>
  <si>
    <t>PMTS.3</t>
  </si>
  <si>
    <t>Thomas C. Swieringa</t>
  </si>
  <si>
    <t>PMTS.4</t>
  </si>
  <si>
    <t>Alex Stewart</t>
  </si>
  <si>
    <t>PMTS.5</t>
  </si>
  <si>
    <t>Carl Zank</t>
  </si>
  <si>
    <t>PMTS.6</t>
  </si>
  <si>
    <t>Shannon Wayne Myers</t>
  </si>
  <si>
    <t>PMTS.7.a</t>
  </si>
  <si>
    <t>Scott &amp; Scott,  LLP; Quinn, Connor, Weaver, Davies &amp; Rouco LLP (local/liaison)</t>
  </si>
  <si>
    <t>Vida Myers</t>
  </si>
  <si>
    <t>PMTS.7.b</t>
  </si>
  <si>
    <t>Brett Goldfarb</t>
  </si>
  <si>
    <t>PMTS.8</t>
  </si>
  <si>
    <t>Cresud Sociedad Anonima Comercial, Inmobiliaria, Financiera y Agropecuaria</t>
  </si>
  <si>
    <t>04/29/2016</t>
  </si>
  <si>
    <t>John Tomka</t>
  </si>
  <si>
    <t>CRESY.1</t>
  </si>
  <si>
    <t>CST Brands, Inc.</t>
  </si>
  <si>
    <t>12/13/2016</t>
  </si>
  <si>
    <t>Richard Malone</t>
  </si>
  <si>
    <t>CST.1</t>
  </si>
  <si>
    <t>Faruqi &amp; Faruqi, LLP; The Bilek Law Firm LLP (local/liaison)</t>
  </si>
  <si>
    <t>CTIC.1.a</t>
  </si>
  <si>
    <t>CTIC.1.b</t>
  </si>
  <si>
    <t>IPConcept (Luxemburg) S.A. on behalf of apo Medical Opportunities</t>
  </si>
  <si>
    <t>CTIC.2</t>
  </si>
  <si>
    <t>Federman &amp; Sherwood</t>
  </si>
  <si>
    <t>Rebecca Lessard</t>
  </si>
  <si>
    <t>CTIC.3.a</t>
  </si>
  <si>
    <t>Gainey McKenna &amp; Egleston; Keller Rohrback L.L.P.</t>
  </si>
  <si>
    <t>James Lessard</t>
  </si>
  <si>
    <t>CTIC.3.b</t>
  </si>
  <si>
    <t>Stefano DAgostino</t>
  </si>
  <si>
    <t>CTIC.4.a</t>
  </si>
  <si>
    <t>Glancy Prongay &amp; Murray, LLP; The Rosen Law Firm, P.A.; Zwerling, Schachter, Zwerling LLP (local/liaison)</t>
  </si>
  <si>
    <t>Paul Sapan</t>
  </si>
  <si>
    <t>CTIC.4.b</t>
  </si>
  <si>
    <t>Ernie Lemoi</t>
  </si>
  <si>
    <t>CTIC.4.c</t>
  </si>
  <si>
    <t>Marcello Zucca</t>
  </si>
  <si>
    <t>CTIC.4.d</t>
  </si>
  <si>
    <t>Samuel Suhua Zhang</t>
  </si>
  <si>
    <t>CTIC.5.a</t>
  </si>
  <si>
    <t>Goldberg Law PC; Pomerantz LLP; Law Offices of Clifford A. Cantor, P.C (local/liaison)</t>
  </si>
  <si>
    <t>CTIC.5.b</t>
  </si>
  <si>
    <t>Sanjivkumar Dalsania</t>
  </si>
  <si>
    <t>CTIC.6</t>
  </si>
  <si>
    <t>Gregory D. Callender</t>
  </si>
  <si>
    <t>CYTR.1</t>
  </si>
  <si>
    <t>Brad S. Feldman</t>
  </si>
  <si>
    <t>CYTR.2</t>
  </si>
  <si>
    <t>Holzer &amp; Holzer, LLC; Robbins, Geller, Rudman &amp; Dowd, LLP</t>
  </si>
  <si>
    <t>Bahjat Saleh</t>
  </si>
  <si>
    <t>CYTR.4</t>
  </si>
  <si>
    <t>Sarah Phan</t>
  </si>
  <si>
    <t>CYTR.3.a</t>
  </si>
  <si>
    <t>David Nguyen</t>
  </si>
  <si>
    <t>CYTR.3.b</t>
  </si>
  <si>
    <t>CYTR.3.c</t>
  </si>
  <si>
    <t>Ryan Bird</t>
  </si>
  <si>
    <t>CYTR.3.d</t>
  </si>
  <si>
    <t>Kostas Restinas</t>
  </si>
  <si>
    <t>CYTR.3.e</t>
  </si>
  <si>
    <t>Harry Diamantopoulos</t>
  </si>
  <si>
    <t>Daimler AG</t>
  </si>
  <si>
    <t>Maria Munro</t>
  </si>
  <si>
    <t>Bronstein, Gewirtz &amp; Grossman, LLC; Pomerantz LLP</t>
  </si>
  <si>
    <t>Public School Retirement System of the School District of Kansas City, Missouri</t>
  </si>
  <si>
    <t>Labaton Sucharow LLP; Glancy Prongay &amp; Murray, LLP (local/liaison)</t>
  </si>
  <si>
    <t>Vancouver Alumni Asset Holdings Inc.</t>
  </si>
  <si>
    <t>Dakota Plains Holdings, Inc.</t>
  </si>
  <si>
    <t>12/16/2016</t>
  </si>
  <si>
    <t>02/14/2017</t>
  </si>
  <si>
    <t>John D. Gruber</t>
  </si>
  <si>
    <t>DAKPQ.1</t>
  </si>
  <si>
    <t>Cera LLP; Abraham, Fruchter &amp; Twersky, LLP (local/liaison)</t>
  </si>
  <si>
    <t>Nibahoo Malhotra</t>
  </si>
  <si>
    <t>DAKPQ.2</t>
  </si>
  <si>
    <t>Peace Officers Annuity and Benefit Fund of Georgia</t>
  </si>
  <si>
    <t>DVA.1.a</t>
  </si>
  <si>
    <t>Saxena White P.A.; The Shuman Law Firm (local/liaison)</t>
  </si>
  <si>
    <t>DVA.1.b</t>
  </si>
  <si>
    <t>Desarrolladora Homex S.A.B. de C.V.</t>
  </si>
  <si>
    <t>Luis Lemus</t>
  </si>
  <si>
    <t>HOMEX.1</t>
  </si>
  <si>
    <t>Bronstein, Gewirtz &amp; Grossman, LLC; The Rosen Law Firm, P.A.</t>
  </si>
  <si>
    <t>Jose F. Acosta Abiega</t>
  </si>
  <si>
    <t>HOMEX.2</t>
  </si>
  <si>
    <t>Barbara Priscus</t>
  </si>
  <si>
    <t>Brad Bjorklund</t>
  </si>
  <si>
    <t>Essam Hamouda</t>
  </si>
  <si>
    <t>Damon Knauss</t>
  </si>
  <si>
    <t>Andrei Sfiraiala</t>
  </si>
  <si>
    <t>James Ranson</t>
  </si>
  <si>
    <t>Pension Trust Fund for Operating Engineers</t>
  </si>
  <si>
    <t>DV.1</t>
  </si>
  <si>
    <t>Saxena White P.A.; Law Office of Norman Rifkind (local/liaison)</t>
  </si>
  <si>
    <t>DV.2</t>
  </si>
  <si>
    <t>Spector Roseman Kodroff &amp; Willis, P.C.; Wexler Wallace, LLP (local/liaison)</t>
  </si>
  <si>
    <t>Diplomat Pharmacy, Inc.</t>
  </si>
  <si>
    <t>Michigan Eastern District</t>
  </si>
  <si>
    <t>David Zimmerman</t>
  </si>
  <si>
    <t>DPLO.1.a</t>
  </si>
  <si>
    <t>Glancy Prongay &amp; Murray, LLP; The Miller Law Firm, P.C. (local/liaison)</t>
  </si>
  <si>
    <t>William Kitsonas</t>
  </si>
  <si>
    <t>DPLO.1.b</t>
  </si>
  <si>
    <t>Employees Retirement System of the Government of the Virgin Islands</t>
  </si>
  <si>
    <t>DPLO.2</t>
  </si>
  <si>
    <t>Robbins, Geller, Rudman &amp; Dowd, LLP; VanOverbeke Michaud &amp; Timmony, P.C. (local/liaison)</t>
  </si>
  <si>
    <t>Fire and Police Retiree Health Care Fund, San Antonio</t>
  </si>
  <si>
    <t>DOLE.1.a</t>
  </si>
  <si>
    <t>Bernstein Litowitz Berger &amp; Grossmann LLP; Entwistle &amp; Cappucci LLP; Friedlander &amp; Gorris, P.A. (local/liaison)</t>
  </si>
  <si>
    <t>Proxima Capital Master Fund, Ltd.</t>
  </si>
  <si>
    <t>DOLE.1.b</t>
  </si>
  <si>
    <t>San Antonio Fire &amp; Police Pension Fund</t>
  </si>
  <si>
    <t>DOLE.1.c</t>
  </si>
  <si>
    <t>The Arbitrage Fund</t>
  </si>
  <si>
    <t>DOLE.1.d</t>
  </si>
  <si>
    <t>D.R. Long Foundation</t>
  </si>
  <si>
    <t>Dura</t>
  </si>
  <si>
    <t>DOLE.2.a</t>
  </si>
  <si>
    <t>Brower Piven; Rigrodsky &amp; Long, PA (local/liaison)</t>
  </si>
  <si>
    <t>Daniel R. Long III Revocable Living Trust</t>
  </si>
  <si>
    <t>DOLE.2.b</t>
  </si>
  <si>
    <t>Daniel R. Long III</t>
  </si>
  <si>
    <t>DOLE.2.c</t>
  </si>
  <si>
    <t>Sutton View Capital, LLC</t>
  </si>
  <si>
    <t>DOLE.3</t>
  </si>
  <si>
    <t>Glancy Prongay &amp; Murray, LLP; Finger &amp; Slanina, LLC (local/liaison)</t>
  </si>
  <si>
    <t>DOLE.4</t>
  </si>
  <si>
    <t>Motley Rice LLC; Rosenthal, Monhait &amp; Goddess, P.A. (local/liaison)</t>
  </si>
  <si>
    <t>DG.1</t>
  </si>
  <si>
    <t>Kessler Topaz  Meltzer &amp; Check, LLP; Berke, Berke &amp; Berke (local/liaison)</t>
  </si>
  <si>
    <t>Taruna Varma</t>
  </si>
  <si>
    <t>DG.2</t>
  </si>
  <si>
    <t>Todd and Sally Hellrigel</t>
  </si>
  <si>
    <t>DG.3</t>
  </si>
  <si>
    <t>DS Healthcare Group Inc.</t>
  </si>
  <si>
    <t>Anoujj Sapra</t>
  </si>
  <si>
    <t>DSKX.1.a</t>
  </si>
  <si>
    <t>Cohen Milstein Sellers &amp; Toll PLLC; Glancy Prongay &amp; Murray, LLP; Saxena White P.A. (local/liaison)</t>
  </si>
  <si>
    <t>Keri Kazel Peragine</t>
  </si>
  <si>
    <t>DSKX.1.b</t>
  </si>
  <si>
    <t>Donald Brockman</t>
  </si>
  <si>
    <t>DSKX.2</t>
  </si>
  <si>
    <t>Shuli Chiu</t>
  </si>
  <si>
    <t>DSKX.3</t>
  </si>
  <si>
    <t>Levi &amp; Korsinsky, LLP; Cullin O'Brien Law, P.A. (local/liaison)</t>
  </si>
  <si>
    <t>Joseph Terranova</t>
  </si>
  <si>
    <t>DSKX.4.a</t>
  </si>
  <si>
    <t>Mark Baldwin</t>
  </si>
  <si>
    <t>DSKX.4.b</t>
  </si>
  <si>
    <t>Dynavax Technologies Corporation</t>
  </si>
  <si>
    <t>11/18/2016</t>
  </si>
  <si>
    <t>Brendan Dwyer</t>
  </si>
  <si>
    <t>DVAX.1.a</t>
  </si>
  <si>
    <t>Van Trinh</t>
  </si>
  <si>
    <t>Karen Dwyer</t>
  </si>
  <si>
    <t>Glenn Dietel</t>
  </si>
  <si>
    <t>Levi &amp; Korsinsky, LLP; Shepherd, Finkelman, Miller &amp; Shah, LLP (local/liaison)</t>
  </si>
  <si>
    <t>Kwok Pang</t>
  </si>
  <si>
    <t>E Trade Financial Corporation</t>
  </si>
  <si>
    <t>09/20/2016</t>
  </si>
  <si>
    <t>Stephen Simnowitz</t>
  </si>
  <si>
    <t>ETFC.1</t>
  </si>
  <si>
    <t>Craig L. Schwab</t>
  </si>
  <si>
    <t>ETFC.2.a</t>
  </si>
  <si>
    <t>Ita S. Mermelstein</t>
  </si>
  <si>
    <t>ETFC.2.b</t>
  </si>
  <si>
    <t>Eagle Pharmaceuticals, Inc.</t>
  </si>
  <si>
    <t>08/01/2016</t>
  </si>
  <si>
    <t>Blake Bauer</t>
  </si>
  <si>
    <t>EGRX.1.a</t>
  </si>
  <si>
    <t>Guarang Patel</t>
  </si>
  <si>
    <t>EGRX.1.b</t>
  </si>
  <si>
    <t>Brent Kawamura</t>
  </si>
  <si>
    <t>EGRX.1.c</t>
  </si>
  <si>
    <t>ETN.1</t>
  </si>
  <si>
    <t>ETN.2</t>
  </si>
  <si>
    <t>South Carolina Retirement Systems Group Trust</t>
  </si>
  <si>
    <t>ETN.3</t>
  </si>
  <si>
    <t>The Council of the Borough of South Tyneside Acting in its Capacity as the Administering Authority of the Tyne and Wear Pension Fund</t>
  </si>
  <si>
    <t>ETN.4</t>
  </si>
  <si>
    <t>Egalet Corporation</t>
  </si>
  <si>
    <t>01/27/2017</t>
  </si>
  <si>
    <t>03/28/2017</t>
  </si>
  <si>
    <t>Kyle Kobold</t>
  </si>
  <si>
    <t>EGLT.1.a</t>
  </si>
  <si>
    <t>Levi &amp; Korsinsky, LLP; Pomerantz LLP; O'Kelly &amp; Ernst, LLC (local/liaison)</t>
  </si>
  <si>
    <t>Abdul Rahiman</t>
  </si>
  <si>
    <t>EGLT.1.b</t>
  </si>
  <si>
    <t>Joseph Spizzirri</t>
  </si>
  <si>
    <t>EGLT.1.c</t>
  </si>
  <si>
    <t>Steven Grella</t>
  </si>
  <si>
    <t>EGLT.2.a</t>
  </si>
  <si>
    <t>Ruihua He</t>
  </si>
  <si>
    <t>EGLT.2.b</t>
  </si>
  <si>
    <t>Markus Ebner</t>
  </si>
  <si>
    <t>EGLT.2.c</t>
  </si>
  <si>
    <t>ERJ.1.a</t>
  </si>
  <si>
    <t>ERJ.1.b</t>
  </si>
  <si>
    <t>Vernon Priest</t>
  </si>
  <si>
    <t>ERJ.2</t>
  </si>
  <si>
    <t>EMC Corporation</t>
  </si>
  <si>
    <t>10/30/2015</t>
  </si>
  <si>
    <t>04/01/2016</t>
  </si>
  <si>
    <t>Dr. Philip Stull</t>
  </si>
  <si>
    <t>EMC.1</t>
  </si>
  <si>
    <t>The Grant Law Firm PLLC; Shapiro Haber &amp; Urmy LLP (local/liaison)</t>
  </si>
  <si>
    <t>Emergent Biosolutions, Inc.</t>
  </si>
  <si>
    <t>07/19/2016</t>
  </si>
  <si>
    <t>09/19/2016</t>
  </si>
  <si>
    <t>City of Sunrise Police Officers Retirement Plan</t>
  </si>
  <si>
    <t>EBS.1.a</t>
  </si>
  <si>
    <t>Robbins, Geller, Rudman &amp; Dowd, LLP; Brown Goldstein Levy, LLP (local/liaison)Klausner, Kaufman, Jensen &amp; Levinson (local/liaison)Rice Pugatch Robinson Storfer &amp; Cohen, PLLC (local/liaison)</t>
  </si>
  <si>
    <t>City of Cape Coral Municipal Firefighters Retirement Plan</t>
  </si>
  <si>
    <t>EBS.1.b</t>
  </si>
  <si>
    <t>Syed T. Bashir</t>
  </si>
  <si>
    <t>Chimicles &amp; Tikellis LLP; Wolf Haldenstein Adler Freeman &amp; Herz LLP (local/liaison)</t>
  </si>
  <si>
    <t>Sheet Metal Workers Pension Fund of Local No. 19</t>
  </si>
  <si>
    <t>Robert Rosenblatt</t>
  </si>
  <si>
    <t>John Blume</t>
  </si>
  <si>
    <t>Kavi Jaikishin Hathiramani</t>
  </si>
  <si>
    <t>Endologix, Inc.</t>
  </si>
  <si>
    <t>Samuel M. Butman</t>
  </si>
  <si>
    <t>Kodgi Ahmed</t>
  </si>
  <si>
    <t>Vicky Nguyen</t>
  </si>
  <si>
    <t>Dana Alexander</t>
  </si>
  <si>
    <t>Group Holdings</t>
  </si>
  <si>
    <t>ETP.1.a</t>
  </si>
  <si>
    <t>ETP.1.b</t>
  </si>
  <si>
    <t>Robert Casebier</t>
  </si>
  <si>
    <t>ETP.1.c</t>
  </si>
  <si>
    <t>ERBA Diagnostics, Inc.</t>
  </si>
  <si>
    <t>12/02/2015</t>
  </si>
  <si>
    <t>Nghiem Tran</t>
  </si>
  <si>
    <t>ERBA.1</t>
  </si>
  <si>
    <t>Abel M. Brown, Jr.</t>
  </si>
  <si>
    <t>ERBA.2</t>
  </si>
  <si>
    <t>EROS.1</t>
  </si>
  <si>
    <t>Anumita Singh</t>
  </si>
  <si>
    <t>EROS.2.a</t>
  </si>
  <si>
    <t>James Christopher Shelburne</t>
  </si>
  <si>
    <t>EROS.2.b</t>
  </si>
  <si>
    <t>John J. Sciortino</t>
  </si>
  <si>
    <t>EROS.3</t>
  </si>
  <si>
    <t>Strahinja Ivosevic</t>
  </si>
  <si>
    <t>EROS.4.a</t>
  </si>
  <si>
    <t>Fred Eisner</t>
  </si>
  <si>
    <t>EROS.4.b</t>
  </si>
  <si>
    <t>Teamsters Local 710 Pension Fund</t>
  </si>
  <si>
    <t>EROS.5</t>
  </si>
  <si>
    <t>Savva Popi</t>
  </si>
  <si>
    <t>EROS.6</t>
  </si>
  <si>
    <t>Esperion Therapeutics, Inc.</t>
  </si>
  <si>
    <t>Brian Berberian</t>
  </si>
  <si>
    <t>ESPR.1</t>
  </si>
  <si>
    <t>Glancy Prongay &amp; Murray, LLP; Cafferty Clobes Meriwether &amp; Sprengel LLP (local/liaison)</t>
  </si>
  <si>
    <t>Walter J. Minett</t>
  </si>
  <si>
    <t>ESPR.2.a</t>
  </si>
  <si>
    <t>Kahn Swick &amp; Foti, LLC; Robbins, Geller, Rudman &amp; Dowd, LLP; Holzer &amp; Holzer, LLC (local/liaison)The Miller Law Firm, P.C. (local/liaison)</t>
  </si>
  <si>
    <t>Ronald E. Wallace</t>
  </si>
  <si>
    <t>ESPR.2.b</t>
  </si>
  <si>
    <t>Aurelio Scarpatetti</t>
  </si>
  <si>
    <t>ESPR.3.a</t>
  </si>
  <si>
    <t>Kessler Topaz  Meltzer &amp; Check, LLP; Bronstein, Gewirtz &amp; Grossman, LLC (local/liaison)Sachs Waldman P.C. (local/liaison)</t>
  </si>
  <si>
    <t>Manuele Scarpatetti</t>
  </si>
  <si>
    <t>ESPR.3.b</t>
  </si>
  <si>
    <t>Daniel Lee Martin</t>
  </si>
  <si>
    <t>ESPR.4</t>
  </si>
  <si>
    <t>Levi &amp; Korsinsky, LLP; Sommers Schwartz, PC. (local/liaison)</t>
  </si>
  <si>
    <t>Roger Jolicoeur</t>
  </si>
  <si>
    <t>ESPR.5</t>
  </si>
  <si>
    <t>Pension Fund and Treasury of Surrey</t>
  </si>
  <si>
    <t>ESRX.1.a</t>
  </si>
  <si>
    <t>Rhondda Cynon Taf Pension Fund</t>
  </si>
  <si>
    <t>ESRX.1.b</t>
  </si>
  <si>
    <t>ESRX.1.c</t>
  </si>
  <si>
    <t>ESRX.2</t>
  </si>
  <si>
    <t>ESRX.3</t>
  </si>
  <si>
    <t>ESRX.4</t>
  </si>
  <si>
    <t>Robbins, Geller, Rudman &amp; Dowd, LLP; Sugarman &amp; Susskind (local/liaison)</t>
  </si>
  <si>
    <t>Exxon Mobil Corporation</t>
  </si>
  <si>
    <t>Texas Northern District Court</t>
  </si>
  <si>
    <t>11/07/2016</t>
  </si>
  <si>
    <t>XOM.1</t>
  </si>
  <si>
    <t>Robbins, Geller, Rudman &amp; Dowd, LLP; Kendall Law Group, LLP (local/liaison)Law Offices of Balon B. Bradley (local/liaison)</t>
  </si>
  <si>
    <t>Facebook, Inc.</t>
  </si>
  <si>
    <t>Daniel Anshen</t>
  </si>
  <si>
    <t>FB.1.a</t>
  </si>
  <si>
    <t>Jung Passow</t>
  </si>
  <si>
    <t>FB.1.b</t>
  </si>
  <si>
    <t>FEI Company</t>
  </si>
  <si>
    <t>09/09/2016</t>
  </si>
  <si>
    <t>11/08/2016</t>
  </si>
  <si>
    <t>City of Hialeah Employees Retirement System</t>
  </si>
  <si>
    <t>FEIC.1</t>
  </si>
  <si>
    <t>Robbins, Geller, Rudman &amp; Dowd, LLP; Cypen &amp; Cypen (local/liaison)Stoll Stoll Berne Lokting &amp; Schlachter P.C. (local/liaison)</t>
  </si>
  <si>
    <t>Fenix Parts, Inc.</t>
  </si>
  <si>
    <t>01/12/2017</t>
  </si>
  <si>
    <t>Douglas Barnard</t>
  </si>
  <si>
    <t>FENX.1.a</t>
  </si>
  <si>
    <t>Glancy Prongay &amp; Murray, LLP; Levi &amp; Korsinsky, LLP; Carella, Byrne, Cecchi, Olstein, Brody &amp; Agnello P.C. (local/liaison)</t>
  </si>
  <si>
    <t>Keith B. White</t>
  </si>
  <si>
    <t>FENX.1.b</t>
  </si>
  <si>
    <t>Thomas Weeks</t>
  </si>
  <si>
    <t>FENX.1.c</t>
  </si>
  <si>
    <t>Manny Paulo</t>
  </si>
  <si>
    <t>FENX.2</t>
  </si>
  <si>
    <t>Ferrellgas Partners, L.P.</t>
  </si>
  <si>
    <t>10/06/2016</t>
  </si>
  <si>
    <t>Hal Scofield</t>
  </si>
  <si>
    <t>FGP.1.a</t>
  </si>
  <si>
    <t>Michael Conforti</t>
  </si>
  <si>
    <t>FGP.1.b</t>
  </si>
  <si>
    <t>Mary Thornton</t>
  </si>
  <si>
    <t>FGP.1.c</t>
  </si>
  <si>
    <t>Thomas Babcock</t>
  </si>
  <si>
    <t>FGP.1.d</t>
  </si>
  <si>
    <t>Kevin Sheetz</t>
  </si>
  <si>
    <t>FGP.2</t>
  </si>
  <si>
    <t>Ernest Davis</t>
  </si>
  <si>
    <t>FGP.3.a</t>
  </si>
  <si>
    <t>Glancy Prongay &amp; Murray, LLP; Kirby McInerney LLP; Bragar Eagel &amp; Squire, PC (local/liaison)</t>
  </si>
  <si>
    <t>Alan Carlsen</t>
  </si>
  <si>
    <t>FGP.3.b</t>
  </si>
  <si>
    <t>Timothy Lopatofsky</t>
  </si>
  <si>
    <t>FGP.3.c</t>
  </si>
  <si>
    <t>L. Lee Williams, Jr.</t>
  </si>
  <si>
    <t>FGP.3.d</t>
  </si>
  <si>
    <t>Frank Gracar</t>
  </si>
  <si>
    <t>FGP.4</t>
  </si>
  <si>
    <t>James R. Baxter</t>
  </si>
  <si>
    <t>FGP.5</t>
  </si>
  <si>
    <t>Joel Brenner as Trustee for the Joel Brenner MPP Plan &amp; Trust</t>
  </si>
  <si>
    <t>FGP.6.a</t>
  </si>
  <si>
    <t>Joel Brenner</t>
  </si>
  <si>
    <t>FGP.6.b</t>
  </si>
  <si>
    <t>Kevin Gaberlavage</t>
  </si>
  <si>
    <t>FGP.6.c</t>
  </si>
  <si>
    <t>Lazy Dogs Partnership LLLP</t>
  </si>
  <si>
    <t>FGP.6.d</t>
  </si>
  <si>
    <t>Susan Batai</t>
  </si>
  <si>
    <t>FGP.6.e</t>
  </si>
  <si>
    <t>Fiat Chrysler Automobiles N.V.</t>
  </si>
  <si>
    <t>07/29/2016</t>
  </si>
  <si>
    <t>09/27/2016</t>
  </si>
  <si>
    <t>Richard Champagne</t>
  </si>
  <si>
    <t>FCAU.1</t>
  </si>
  <si>
    <t>Carl Palazzolo</t>
  </si>
  <si>
    <t>FCAU.2.a</t>
  </si>
  <si>
    <t>Kessler Topaz  Meltzer &amp; Check, LLP; The Miller Law Firm, P.C. (local/liaison)</t>
  </si>
  <si>
    <t>Albert Ferrandi</t>
  </si>
  <si>
    <t>See loss chart</t>
  </si>
  <si>
    <t>FCAU.2.b</t>
  </si>
  <si>
    <t>Owen Hutchinson</t>
  </si>
  <si>
    <t>FCAU.3</t>
  </si>
  <si>
    <t>Fifth Street Asset Management</t>
  </si>
  <si>
    <t>01/07/2016</t>
  </si>
  <si>
    <t>Kieran and Susan Duffy</t>
  </si>
  <si>
    <t>FSAM.1</t>
  </si>
  <si>
    <t>Howard Greenspan</t>
  </si>
  <si>
    <t>FSAM.2</t>
  </si>
  <si>
    <t>Joyce L. Trupp Agreement of Trust</t>
  </si>
  <si>
    <t>FSAM.3</t>
  </si>
  <si>
    <t>Central Laborers Pension Fund</t>
  </si>
  <si>
    <t>FNBCQ.1.a</t>
  </si>
  <si>
    <t>Barrack  Rodos &amp; Bacine; Labaton Sucharow LLP; The Glorioso Law Firm (local/liaison)</t>
  </si>
  <si>
    <t>FNBCQ.1.b</t>
  </si>
  <si>
    <t>FNBCQ.1.c</t>
  </si>
  <si>
    <t>Local 810 Affiliated Pension Plan</t>
  </si>
  <si>
    <t>Robbins, Geller, Rudman &amp; Dowd, LLP; Lemmon Law Firm (local/liaison)</t>
  </si>
  <si>
    <t>George Diaz</t>
  </si>
  <si>
    <t>Mark Cunningham</t>
  </si>
  <si>
    <t>Viet Tran</t>
  </si>
  <si>
    <t>Jesse M. Koth and Kelley Koth</t>
  </si>
  <si>
    <t>Timothy Flynn</t>
  </si>
  <si>
    <t>Teamsters Local 282 Pension Trust Fund</t>
  </si>
  <si>
    <t>Teamsters Local 282 Welfare Trust Fund</t>
  </si>
  <si>
    <t>Local No. 8 IBEW Retirement Plan and Trust</t>
  </si>
  <si>
    <t>Bright Agyapong</t>
  </si>
  <si>
    <t>Shapiro Haber &amp; Urmy LLP; Schubert Jonckheer &amp; Kolbe LLP (local/liaison)</t>
  </si>
  <si>
    <t>FTK.1</t>
  </si>
  <si>
    <t>Bernstein Litowitz Berger &amp; Grossmann LLP; Ajamie LLP (local/liaison)</t>
  </si>
  <si>
    <t>Stuart Emmert</t>
  </si>
  <si>
    <t>FTK.2</t>
  </si>
  <si>
    <t>Block &amp; Leviton LLP; The Briscoe Law Firm, PLLC (local/liaison)</t>
  </si>
  <si>
    <t>Louis M. Shapiro</t>
  </si>
  <si>
    <t>FTK.3</t>
  </si>
  <si>
    <t>Glancy Prongay &amp; Murray, LLP; Kendall Law Group, LLP (local/liaison)</t>
  </si>
  <si>
    <t>FTK.4.a</t>
  </si>
  <si>
    <t>FTK.4.b</t>
  </si>
  <si>
    <t>Roy Shapira</t>
  </si>
  <si>
    <t>FTK.5</t>
  </si>
  <si>
    <t>Levi &amp; Korsinsky, LLP; The Bilek Law Firm LLP (local/liaison)</t>
  </si>
  <si>
    <t>Qingfeng Dong</t>
  </si>
  <si>
    <t>FTK.6</t>
  </si>
  <si>
    <t>Pomerantz LLP; Abraham, Watkins Nichols, Sorrels, Agosto &amp; Friend (local/liaison)</t>
  </si>
  <si>
    <t>FTK.7</t>
  </si>
  <si>
    <t>Robbins, Geller, Rudman &amp; Dowd, LLP; Sponsel Miller Greenberg PLLC (local/liaison)</t>
  </si>
  <si>
    <t>Tam Miao Ling</t>
  </si>
  <si>
    <t>FTK.8.a</t>
  </si>
  <si>
    <t>Michael Kennedy</t>
  </si>
  <si>
    <t>FTK.8.b</t>
  </si>
  <si>
    <t>Olga Cataldi IRA</t>
  </si>
  <si>
    <t>FTK.9.a</t>
  </si>
  <si>
    <t>Wolf Haldenstein Adler Freeman &amp; Herz LLP; The Bilek Law Firm LLP (local/liaison)</t>
  </si>
  <si>
    <t>Olga Cataldi Anna Federova JTWROS Account</t>
  </si>
  <si>
    <t>FTK.9.b</t>
  </si>
  <si>
    <t>Flowers Foods, Inc.</t>
  </si>
  <si>
    <t>Walter Matthews</t>
  </si>
  <si>
    <t>FLO.1</t>
  </si>
  <si>
    <t>Glancy Prongay &amp; Murray, LLP; Johnson &amp; Weaver LLP</t>
  </si>
  <si>
    <t>Nancy A. St. Pierre</t>
  </si>
  <si>
    <t>FLO.2.a</t>
  </si>
  <si>
    <t>Steven Klemaier</t>
  </si>
  <si>
    <t>FLO.2.b</t>
  </si>
  <si>
    <t>David M. St. Pierre</t>
  </si>
  <si>
    <t>FLO.2.c</t>
  </si>
  <si>
    <t>Mary De Soto</t>
  </si>
  <si>
    <t>FLO.2.d</t>
  </si>
  <si>
    <t>Ronald Brogan</t>
  </si>
  <si>
    <t>FLO.3.a</t>
  </si>
  <si>
    <t>Janet Lovette</t>
  </si>
  <si>
    <t>FLO.3.b</t>
  </si>
  <si>
    <t>FLY Leasing Limited</t>
  </si>
  <si>
    <t>Francis Crespo</t>
  </si>
  <si>
    <t>FLY.1</t>
  </si>
  <si>
    <t>Robert Dennis</t>
  </si>
  <si>
    <t>FLY.2.a</t>
  </si>
  <si>
    <t>Sandra L. Dennis</t>
  </si>
  <si>
    <t>FLY.2.b</t>
  </si>
  <si>
    <t>Catherine K. Wilkins</t>
  </si>
  <si>
    <t>FLY.2.c</t>
  </si>
  <si>
    <t>FCX.1</t>
  </si>
  <si>
    <t>Faruqi &amp; Faruqi, LLP; James Christian, PLC (local/liaison)</t>
  </si>
  <si>
    <t>Thomas Lee</t>
  </si>
  <si>
    <t>FCX.2.a</t>
  </si>
  <si>
    <t>FCX.2.b</t>
  </si>
  <si>
    <t>Robert Beeman</t>
  </si>
  <si>
    <t>FCX.2.c</t>
  </si>
  <si>
    <t>Powszechne Towarzystwo Emerytalne PZU Spolka Akcyjna</t>
  </si>
  <si>
    <t>FCX.3</t>
  </si>
  <si>
    <t>Levi &amp; Korsinsky, LLP; Goldman &amp; Zwillinger PLLC (local/liaison)</t>
  </si>
  <si>
    <t>James E. and Patricia Henry</t>
  </si>
  <si>
    <t>FCX.4.a</t>
  </si>
  <si>
    <t>Pomerantz LLP; Bronstein, Gewirtz &amp; Grossman, LLC (local/liaison)Martin &amp; Bonnett, PLLC (local/liaison)</t>
  </si>
  <si>
    <t>Malik M. Ghanayem</t>
  </si>
  <si>
    <t>FCX.4.b</t>
  </si>
  <si>
    <t>Paul Kim</t>
  </si>
  <si>
    <t>FCX.4.c</t>
  </si>
  <si>
    <t>FCX.5</t>
  </si>
  <si>
    <t>Scott &amp; Scott,  LLP; Bonnett, Fairbourn, Friedman &amp; Balint, P.C. (local/liaison)</t>
  </si>
  <si>
    <t>Keith Gehres</t>
  </si>
  <si>
    <t>FRPT.1</t>
  </si>
  <si>
    <t>FRPT.2</t>
  </si>
  <si>
    <t>Robbins, Geller, Rudman &amp; Dowd, LLP; Carella, Byrne, Cecchi, Olstein, Brody &amp; Agnello P.C. (local/liaison)</t>
  </si>
  <si>
    <t>FTD Companies, Inc.</t>
  </si>
  <si>
    <t>05/19/2017</t>
  </si>
  <si>
    <t>Robert Winograd</t>
  </si>
  <si>
    <t>FTD.1</t>
  </si>
  <si>
    <t>Inter-Local Pension Fund of The Graphic Communications Conference of the International Brotherhood of Teamsters</t>
  </si>
  <si>
    <t>FTD.2</t>
  </si>
  <si>
    <t>Fusion Pharm, Inc.</t>
  </si>
  <si>
    <t>Joseph Soliman</t>
  </si>
  <si>
    <t>FSPM.1</t>
  </si>
  <si>
    <t>Lifshitz &amp; Miller; Berens Law LLC (local/liaison)</t>
  </si>
  <si>
    <t>Nicholas Crocco</t>
  </si>
  <si>
    <t>FSPM.2</t>
  </si>
  <si>
    <t>Wolf Haldenstein Adler Freeman &amp; Herz LLP; Cody-Hopkins Law Firm (local/liaison)</t>
  </si>
  <si>
    <t>FXCM, Inc.</t>
  </si>
  <si>
    <t>02/07/2017</t>
  </si>
  <si>
    <t>04/10/2017</t>
  </si>
  <si>
    <t>Abed Latif</t>
  </si>
  <si>
    <t>GLBR.1.a</t>
  </si>
  <si>
    <t>Adi Damty</t>
  </si>
  <si>
    <t>GLBR.1.b</t>
  </si>
  <si>
    <t>Thomas Kelly</t>
  </si>
  <si>
    <t>GLBR.2</t>
  </si>
  <si>
    <t>Kathy Gray</t>
  </si>
  <si>
    <t>GLBR.3</t>
  </si>
  <si>
    <t>Moshe Ariel</t>
  </si>
  <si>
    <t>GLBR.4</t>
  </si>
  <si>
    <t>Johnson &amp; Weaver LLP; Robbins, Geller, Rudman &amp; Dowd, LLP</t>
  </si>
  <si>
    <t>Hany Sikaik</t>
  </si>
  <si>
    <t>GLBR.5</t>
  </si>
  <si>
    <t>Newman Ferrara LLP</t>
  </si>
  <si>
    <t>Timothy Black</t>
  </si>
  <si>
    <t>GLBR.6.a</t>
  </si>
  <si>
    <t>John Dearborn</t>
  </si>
  <si>
    <t>GLBR.6.b</t>
  </si>
  <si>
    <t>Gene Segalis</t>
  </si>
  <si>
    <t>GLBR.6.c</t>
  </si>
  <si>
    <t>Wendy Howell</t>
  </si>
  <si>
    <t>GLBR.6.d</t>
  </si>
  <si>
    <t>Shipco Transport, Inc.</t>
  </si>
  <si>
    <t>GLBR.7.b</t>
  </si>
  <si>
    <t>683 Capital Partners, L.P.</t>
  </si>
  <si>
    <t>Sergey Regukh</t>
  </si>
  <si>
    <t>GLBR.8</t>
  </si>
  <si>
    <t>G. Willi-Food International Ltd.</t>
  </si>
  <si>
    <t>Miki Ben-Zeev</t>
  </si>
  <si>
    <t>WILC.1</t>
  </si>
  <si>
    <t>Mary A. Rupert</t>
  </si>
  <si>
    <t>WILC.2</t>
  </si>
  <si>
    <t>Pravda Capital S.R.O.</t>
  </si>
  <si>
    <t>WILC.3</t>
  </si>
  <si>
    <t>Galena Biopharma, Inc.</t>
  </si>
  <si>
    <t>04/14/2017</t>
  </si>
  <si>
    <t>Mark Muir</t>
  </si>
  <si>
    <t>GALE.1</t>
  </si>
  <si>
    <t>James Huisman</t>
  </si>
  <si>
    <t>GALE.2.a</t>
  </si>
  <si>
    <t>Federman &amp; Sherwood; Kantrowitz, Goldhamer &amp; Graifman</t>
  </si>
  <si>
    <t>Brooks Lieske</t>
  </si>
  <si>
    <t>GALE.2.b</t>
  </si>
  <si>
    <t>Joseph Selinger</t>
  </si>
  <si>
    <t>GALE.2.c</t>
  </si>
  <si>
    <t>Shawn Kracht</t>
  </si>
  <si>
    <t>GALE.2.d</t>
  </si>
  <si>
    <t>Dan Grunfeld</t>
  </si>
  <si>
    <t>GALE.2.e</t>
  </si>
  <si>
    <t>GAW Miners, LLC / ZenMiner LLC</t>
  </si>
  <si>
    <t>09/06/2016</t>
  </si>
  <si>
    <t>Dean Allen Shinners</t>
  </si>
  <si>
    <t>Susman Godfrey, L.L.P.; Izard, Kindall &amp; Raabe, LLP (local/liaison)</t>
  </si>
  <si>
    <t>Michael Pfeiffer</t>
  </si>
  <si>
    <t>Denis Marc Audet</t>
  </si>
  <si>
    <t>Jason Vargas</t>
  </si>
  <si>
    <t>BGC.1</t>
  </si>
  <si>
    <t>Abraham, Fruchter &amp; Twersky, LLP; Busald Funk Zevely P.C. (local/liaison)</t>
  </si>
  <si>
    <t>William Edward Long, as Trustee of the UA 09-21-2001 William Edward Long &amp; Bonnie Diane Long Living Trust</t>
  </si>
  <si>
    <t>BGC.2</t>
  </si>
  <si>
    <t>Kessler Topaz  Meltzer &amp; Check, LLP; Mehr, Fairbanks, &amp; Peterson Trial Lawyers, PLLC (local/liaison)</t>
  </si>
  <si>
    <t>Satish Doshi</t>
  </si>
  <si>
    <t>BGC.3.a</t>
  </si>
  <si>
    <t>Pomerantz LLP; Bronstein, Gewirtz &amp; Grossman, LLC (local/liaison)Strauss Troy (local/liaison)</t>
  </si>
  <si>
    <t>Erick Grimm</t>
  </si>
  <si>
    <t>BGC.3.b</t>
  </si>
  <si>
    <t>Genworth Financial, Inc.</t>
  </si>
  <si>
    <t>Alexander Rice</t>
  </si>
  <si>
    <t>GNW.1.a</t>
  </si>
  <si>
    <t>Faruqi &amp; Faruqi, LLP; Kahn Swick &amp; Foti, LLC; MeyerGoergen PC (local/liaison)Monteverde &amp; Associates PC (local/liaison)</t>
  </si>
  <si>
    <t>Brian James</t>
  </si>
  <si>
    <t>GNW.1.b</t>
  </si>
  <si>
    <t>David Pinkoski</t>
  </si>
  <si>
    <t>GNW.2.a</t>
  </si>
  <si>
    <t>Johnson &amp; Weaver LLP; Scott &amp; Scott,  LLP; Holzer &amp; Holzer, LLC (local/liaison)Shelley Cupp Schulte, P.C. (local/liaison)The Weiser Law Firm, PC (local/liaison)</t>
  </si>
  <si>
    <t>International Union of Operating Engineers Local No. 478 Pension Fund</t>
  </si>
  <si>
    <t>GNW.2.b</t>
  </si>
  <si>
    <t>Martin Cohen</t>
  </si>
  <si>
    <t>GNW.2.c</t>
  </si>
  <si>
    <t>Richard L. Salberg, M.D.</t>
  </si>
  <si>
    <t>GNW.2.d</t>
  </si>
  <si>
    <t>Rocha Global Ltd.</t>
  </si>
  <si>
    <t>GGB.1</t>
  </si>
  <si>
    <t>Lebanon County Employees Retirement Fund</t>
  </si>
  <si>
    <t>GGB.2</t>
  </si>
  <si>
    <t>Jose Carlos Segreto</t>
  </si>
  <si>
    <t>GGB.3</t>
  </si>
  <si>
    <t>Jeffrey Dreyer</t>
  </si>
  <si>
    <t>GGB.4.a</t>
  </si>
  <si>
    <t>Vincente Paulo Coelho</t>
  </si>
  <si>
    <t>GGB.4.b</t>
  </si>
  <si>
    <t>GGB.5</t>
  </si>
  <si>
    <t>Gigamon Inc.</t>
  </si>
  <si>
    <t>Regina Joy</t>
  </si>
  <si>
    <t>GIMO.1.a</t>
  </si>
  <si>
    <t>Stephen Smolen</t>
  </si>
  <si>
    <t>GIMO.1.b</t>
  </si>
  <si>
    <t>Eric Jacobson</t>
  </si>
  <si>
    <t>GIMO.1.c</t>
  </si>
  <si>
    <t>Clifford Rebello</t>
  </si>
  <si>
    <t>GIMO.1.d</t>
  </si>
  <si>
    <t>Frank Goodyear</t>
  </si>
  <si>
    <t>GIMO.1.e</t>
  </si>
  <si>
    <t>Joseph Rodriguez</t>
  </si>
  <si>
    <t>GIMO.2</t>
  </si>
  <si>
    <t>Babak Roushanaee</t>
  </si>
  <si>
    <t>GIMO.3</t>
  </si>
  <si>
    <t>Kreling &amp; Company I401K Plan</t>
  </si>
  <si>
    <t>GIMO.4.a</t>
  </si>
  <si>
    <t>Levi &amp; Korsinsky, LLP; Brower Piven (local/liaison)</t>
  </si>
  <si>
    <t>Matthew Kreling</t>
  </si>
  <si>
    <t>GIMO.4.b</t>
  </si>
  <si>
    <t>Sharyn McGowan</t>
  </si>
  <si>
    <t>GIMO.4.c</t>
  </si>
  <si>
    <t>Ricardo Salinas</t>
  </si>
  <si>
    <t>GIMO.4.d</t>
  </si>
  <si>
    <t>City of Daytona Beach Police &amp; Fire Pension Fund</t>
  </si>
  <si>
    <t>GIMO.5</t>
  </si>
  <si>
    <t>Robbins, Geller, Rudman &amp; Dowd, LLP; Christiansen &amp; Dehner, P.A. (local/liaison)</t>
  </si>
  <si>
    <t>Global Digital Solutions, Inc.</t>
  </si>
  <si>
    <t>08/24/2016</t>
  </si>
  <si>
    <t>David Beasley</t>
  </si>
  <si>
    <t>GDSI.1.a</t>
  </si>
  <si>
    <t>Jonathan Cox</t>
  </si>
  <si>
    <t>GDSI.1.b</t>
  </si>
  <si>
    <t>Betty C. Little</t>
  </si>
  <si>
    <t>GDSI.1.c</t>
  </si>
  <si>
    <t>Debbie Campbell</t>
  </si>
  <si>
    <t>GDSI.2</t>
  </si>
  <si>
    <t>Michael Perry</t>
  </si>
  <si>
    <t>GDSI.3</t>
  </si>
  <si>
    <t>Gary Blum</t>
  </si>
  <si>
    <t>GDSI.4.a</t>
  </si>
  <si>
    <t>Marjorie Berg</t>
  </si>
  <si>
    <t>GDSI.4.b</t>
  </si>
  <si>
    <t>Michael Hamblett</t>
  </si>
  <si>
    <t>GG.1.a</t>
  </si>
  <si>
    <t>Robert Shavelle</t>
  </si>
  <si>
    <t>GG.1.b</t>
  </si>
  <si>
    <t>V. Anthony Ansaldi III and Janet Ansaldi</t>
  </si>
  <si>
    <t>GG.2</t>
  </si>
  <si>
    <t>Wise Tang</t>
  </si>
  <si>
    <t>GG.3</t>
  </si>
  <si>
    <t>Bin Ye</t>
  </si>
  <si>
    <t>GG.4</t>
  </si>
  <si>
    <t>GG.5</t>
  </si>
  <si>
    <t>Robin Schroyer</t>
  </si>
  <si>
    <t>GG.6</t>
  </si>
  <si>
    <t>Zhao Gao</t>
  </si>
  <si>
    <t>Azim Maknojia</t>
  </si>
  <si>
    <t>Troy Larkin</t>
  </si>
  <si>
    <t>Lenny Muma</t>
  </si>
  <si>
    <t>Federman &amp; Sherwood; Green &amp; Noblin, P.C. (local/liaison)</t>
  </si>
  <si>
    <t>Keith Drennan</t>
  </si>
  <si>
    <t>Christopher Murphy</t>
  </si>
  <si>
    <t>Julia and Charles Boettcher</t>
  </si>
  <si>
    <t>Leonard and Janice Fedon</t>
  </si>
  <si>
    <t>Jon Goldstein</t>
  </si>
  <si>
    <t>Gainey McKenna &amp; Egleston; Stull, Stull &amp; Brody (local/liaison)</t>
  </si>
  <si>
    <t>Isaac Benporat</t>
  </si>
  <si>
    <t>Majesty Palms, LLLP</t>
  </si>
  <si>
    <t>Zoinks, Inc.</t>
  </si>
  <si>
    <t>Edward Wayne Shorter</t>
  </si>
  <si>
    <t>Sheldon Reinhardt</t>
  </si>
  <si>
    <t>Michael Sherman</t>
  </si>
  <si>
    <t>Haluk Lee Aykut</t>
  </si>
  <si>
    <t>Osman Koci</t>
  </si>
  <si>
    <t>Melissa Pham</t>
  </si>
  <si>
    <t>Shelly Lynn Ravipudi as Custodian for Kailash Ravipudi</t>
  </si>
  <si>
    <t>The Rosen Law Firm, P.A.; Bronstein, Gewirtz &amp; Grossman, LLC (local/liaison)</t>
  </si>
  <si>
    <t>Balwinder Brar</t>
  </si>
  <si>
    <t>Meena Nupur Revocable Trust</t>
  </si>
  <si>
    <t>Sanjeev Dhari Ravipudi Revocable Trust</t>
  </si>
  <si>
    <t>Karen Mokrushin</t>
  </si>
  <si>
    <t>Rajendra Panchal</t>
  </si>
  <si>
    <t>Joe Errico</t>
  </si>
  <si>
    <t>Michael Kadera</t>
  </si>
  <si>
    <t>Grana y Montero S.A.A.</t>
  </si>
  <si>
    <t>02/27/2017</t>
  </si>
  <si>
    <t>Treasure Finance Holding Corp.</t>
  </si>
  <si>
    <t>GRAM.1</t>
  </si>
  <si>
    <t>Jose Carlos Valencia Peralta</t>
  </si>
  <si>
    <t>GRAM.2.a</t>
  </si>
  <si>
    <t>The Rosen Law Firm, P.A.; Goldberg Law PC (local/liaison)Pawar Law Group (local/liaison)</t>
  </si>
  <si>
    <t>Ricky Dudley</t>
  </si>
  <si>
    <t>GRAM.2.b</t>
  </si>
  <si>
    <t>Olivier Bouillot</t>
  </si>
  <si>
    <t>GRAM.2.c</t>
  </si>
  <si>
    <t>Julio Vignati</t>
  </si>
  <si>
    <t>GRAM.2.d</t>
  </si>
  <si>
    <t>GW Pharmaceuticals PLC</t>
  </si>
  <si>
    <t>01/21/2016</t>
  </si>
  <si>
    <t>Douglas Rosen</t>
  </si>
  <si>
    <t>Goldberg Law PC; Pomerantz LLP; Bronstein, Gewirtz &amp; Grossman, LLC (local/liaison)</t>
  </si>
  <si>
    <t>Angelika G. Johnson</t>
  </si>
  <si>
    <t>Douglas Kirk Ingoldsby</t>
  </si>
  <si>
    <t>John and Huali Thompson</t>
  </si>
  <si>
    <t>Joel Spingarn</t>
  </si>
  <si>
    <t>Robert Wortman</t>
  </si>
  <si>
    <t>Halyard Health, Inc.</t>
  </si>
  <si>
    <t>Ronald Jackson</t>
  </si>
  <si>
    <t>HYH.1</t>
  </si>
  <si>
    <t>Kai Chiu</t>
  </si>
  <si>
    <t>HYH.2</t>
  </si>
  <si>
    <t>Harman International Industries, Incorporated</t>
  </si>
  <si>
    <t>Patricia B. Baum</t>
  </si>
  <si>
    <t>HAR.1</t>
  </si>
  <si>
    <t>Robbins, Geller, Rudman &amp; Dowd, LLP; Johnson &amp; Weaver LLP (local/liaison)Motley Rice LLC (local/liaison)</t>
  </si>
  <si>
    <t>HCP.1</t>
  </si>
  <si>
    <t>Barrack  Rodos &amp; Bacine; Bernstein Litowitz Berger &amp; Grossmann LLP; Climaco, Wilcox, Peca, Tarantino &amp; Garofoli Co., L.P.A. (local/liaison)</t>
  </si>
  <si>
    <t>Albert J. Belle</t>
  </si>
  <si>
    <t>HCP.2</t>
  </si>
  <si>
    <t>Glancy Prongay &amp; Murray, LLP; Kooperman Mentel Ferguson Yaross Ltd. (local/liaison)</t>
  </si>
  <si>
    <t>Motley Rice LLC; Robbins, Geller, Rudman &amp; Dowd, LLP; Landskroner, Grieco, Merriman, LLC (local/liaison)</t>
  </si>
  <si>
    <t>HTWR.1</t>
  </si>
  <si>
    <t>InS</t>
  </si>
  <si>
    <t>HMS Holdings Corp.</t>
  </si>
  <si>
    <t>David Conine</t>
  </si>
  <si>
    <t>Mary Danahar</t>
  </si>
  <si>
    <t>Automotive Industries Pension Trust Fund</t>
  </si>
  <si>
    <t>HZNP.1</t>
  </si>
  <si>
    <t>HZNP.2.a</t>
  </si>
  <si>
    <t>HZNP.2.b</t>
  </si>
  <si>
    <t>Jonathan Walden</t>
  </si>
  <si>
    <t>HZNP.3</t>
  </si>
  <si>
    <t>David Nichols</t>
  </si>
  <si>
    <t>HZNP.4.a</t>
  </si>
  <si>
    <t>Stephen Springer</t>
  </si>
  <si>
    <t>HZNP.4.b</t>
  </si>
  <si>
    <t>HZNP.5</t>
  </si>
  <si>
    <t>HZNP.6</t>
  </si>
  <si>
    <t>Horsehead Holding Corporation</t>
  </si>
  <si>
    <t>04/22/2016</t>
  </si>
  <si>
    <t>06/21/2016</t>
  </si>
  <si>
    <t>Raymond Cook</t>
  </si>
  <si>
    <t>ZINCQ.1.a</t>
  </si>
  <si>
    <t>Glancy Prongay &amp; Murray, LLP; Kranenburg (local/liaison)Montgomery, McCracken, Walker &amp; Rhoads, LLP (local/liaison)The Wagner Firm (local/liaison)</t>
  </si>
  <si>
    <t>Dyson Capital Management Ltd.</t>
  </si>
  <si>
    <t>ZINCQ.1.b</t>
  </si>
  <si>
    <t>Rory Johnson</t>
  </si>
  <si>
    <t>ZINCQ.2</t>
  </si>
  <si>
    <t>Hagens Berman Sobol Shapiro LLP; Rigrodsky &amp; Long, PA (local/liaison)</t>
  </si>
  <si>
    <t>Young Sohn</t>
  </si>
  <si>
    <t>ZINCQ.3.a</t>
  </si>
  <si>
    <t>Pomerantz LLP; The Rosen Law Firm, P.A.; Andrews &amp; Springer, LLC (local/liaison)Bronstein, Gewirtz &amp; Grossman, LLC (local/liaison)</t>
  </si>
  <si>
    <t>Sky Nordic LLC</t>
  </si>
  <si>
    <t>ZINCQ.3.b</t>
  </si>
  <si>
    <t>Daniel Ezernack</t>
  </si>
  <si>
    <t>ZINCQ.3.c</t>
  </si>
  <si>
    <t>Dirk Sievers</t>
  </si>
  <si>
    <t>ZINCQ.4</t>
  </si>
  <si>
    <t>Robbins Arroyo LLP; Cooch &amp; Taylor, PA (local/liaison)</t>
  </si>
  <si>
    <t>John and Mary Elizabeth Moring Anacker</t>
  </si>
  <si>
    <t>ZINCQ.5</t>
  </si>
  <si>
    <t>Robbins, Geller, Rudman &amp; Dowd, LLP; Friedlander &amp; Gorris, P.A. (local/liaison)</t>
  </si>
  <si>
    <t>Hortonworks, Inc.</t>
  </si>
  <si>
    <t>Randall A. Arvidson</t>
  </si>
  <si>
    <t>HDP.1</t>
  </si>
  <si>
    <t>Babu Pinnamraju</t>
  </si>
  <si>
    <t>HDP.2</t>
  </si>
  <si>
    <t>Hutchinson Technology Inc.</t>
  </si>
  <si>
    <t>12/14/2015</t>
  </si>
  <si>
    <t>Matthew and Lori Ridler</t>
  </si>
  <si>
    <t>HTCH.1</t>
  </si>
  <si>
    <t>Faruqi &amp; Faruqi, LLP; Heins Mills &amp; Olson, PLC (local/liaison)</t>
  </si>
  <si>
    <t>Identiv, Inc.</t>
  </si>
  <si>
    <t>12/16/2015</t>
  </si>
  <si>
    <t>Thomas Cunningham</t>
  </si>
  <si>
    <t>INVE.1</t>
  </si>
  <si>
    <t>Jerome Davis</t>
  </si>
  <si>
    <t>INVE.2.a</t>
  </si>
  <si>
    <t>John Gaddum</t>
  </si>
  <si>
    <t>INVE.2.b</t>
  </si>
  <si>
    <t>Ronald Manzani</t>
  </si>
  <si>
    <t>INVE.2.c</t>
  </si>
  <si>
    <t>Michael Garsva</t>
  </si>
  <si>
    <t>INVE.3</t>
  </si>
  <si>
    <t>Illumina Inc.</t>
  </si>
  <si>
    <t>Yi Fan Chen</t>
  </si>
  <si>
    <t>ILMN.1.a</t>
  </si>
  <si>
    <t>Glancy Prongay &amp; Murray, LLP; Law Offices of Howard G. Smith (local/liaison)</t>
  </si>
  <si>
    <t>Frontline Global Trading Pte Ltd.</t>
  </si>
  <si>
    <t>ILMN.1.b</t>
  </si>
  <si>
    <t>City of Hartford Municipal Employees Retirement Fund</t>
  </si>
  <si>
    <t>ILMN.2</t>
  </si>
  <si>
    <t>Kessler Topaz  Meltzer &amp; Check, LLP; Robbins, Geller, Rudman &amp; Dowd, LLP (local/liaison)</t>
  </si>
  <si>
    <t>Natissisa Enterprises Ltd.</t>
  </si>
  <si>
    <t>ILMN.3</t>
  </si>
  <si>
    <t>Armandino Batali</t>
  </si>
  <si>
    <t>ILMN.4.a</t>
  </si>
  <si>
    <t>Peter Greenwald</t>
  </si>
  <si>
    <t>ILMN.4.b</t>
  </si>
  <si>
    <t>ImmunoCellular Therapeutics Ltd.</t>
  </si>
  <si>
    <t>06/30/2017</t>
  </si>
  <si>
    <t>Arthur Kaye IRA FCC as Custodian DTD 6-8-00</t>
  </si>
  <si>
    <t>IMUC.1</t>
  </si>
  <si>
    <t>Glancy Prongay &amp; Murray, LLP; Wolf Popper LLP</t>
  </si>
  <si>
    <t>Hayden Leason</t>
  </si>
  <si>
    <t>IMUC.2</t>
  </si>
  <si>
    <t>Nathaniel Parker</t>
  </si>
  <si>
    <t>IMUC.3</t>
  </si>
  <si>
    <t>Immunomedics, Inc.</t>
  </si>
  <si>
    <t>06/09/2016</t>
  </si>
  <si>
    <t>Sensung Tsai</t>
  </si>
  <si>
    <t>IMMU.1</t>
  </si>
  <si>
    <t>Hagens Berman Sobol Shapiro LLP; Lite Depalma Greenberg, LLC (local/liaison)</t>
  </si>
  <si>
    <t>Stella Moraschini</t>
  </si>
  <si>
    <t>IMMU.2.a</t>
  </si>
  <si>
    <t>Ronald Diamond</t>
  </si>
  <si>
    <t>IMMU.2.b</t>
  </si>
  <si>
    <t>Rajesh Shah</t>
  </si>
  <si>
    <t>IPXL.1.a</t>
  </si>
  <si>
    <t>Ted Nunez, Jr.</t>
  </si>
  <si>
    <t>IPXL.1.b</t>
  </si>
  <si>
    <t>IPXL.2</t>
  </si>
  <si>
    <t>Imprivata, Inc.</t>
  </si>
  <si>
    <t>02/02/2016</t>
  </si>
  <si>
    <t>Charles Freehill</t>
  </si>
  <si>
    <t>IMPR.1</t>
  </si>
  <si>
    <t>Mark Hensley</t>
  </si>
  <si>
    <t>IMPR.2</t>
  </si>
  <si>
    <t>The Rosen Law Firm, P.A.; Block &amp; Leviton LLP (local/liaison)</t>
  </si>
  <si>
    <t>InfuSystem Holdings, Inc.</t>
  </si>
  <si>
    <t>Joseph Salisbury</t>
  </si>
  <si>
    <t>INFU.1</t>
  </si>
  <si>
    <t>Nicoya Capital LLC</t>
  </si>
  <si>
    <t>INFU.2</t>
  </si>
  <si>
    <t>Innocoll Holdings Public Limited Company</t>
  </si>
  <si>
    <t>01/24/2017</t>
  </si>
  <si>
    <t>Carl Bayney</t>
  </si>
  <si>
    <t>INNL.1.a</t>
  </si>
  <si>
    <t>Jianmin Huang</t>
  </si>
  <si>
    <t>INNL.1.b</t>
  </si>
  <si>
    <t>Russel Bleiler</t>
  </si>
  <si>
    <t>INNL.1.c</t>
  </si>
  <si>
    <t>Ashok Chainani</t>
  </si>
  <si>
    <t>INNL.1.d</t>
  </si>
  <si>
    <t>Inotek Pharmaceuticals Corporation</t>
  </si>
  <si>
    <t>Samantha Whitehead</t>
  </si>
  <si>
    <t>ITEK.1.a</t>
  </si>
  <si>
    <t>Bragar Eagel &amp; Squire, PC; Levi &amp; Korsinsky, LLP (local/liaison)</t>
  </si>
  <si>
    <t>Obi Nwabueze</t>
  </si>
  <si>
    <t>ITEK.1.b</t>
  </si>
  <si>
    <t>Harold B. Kalt</t>
  </si>
  <si>
    <t>ITEK.1.c</t>
  </si>
  <si>
    <t>Brian Gniadek</t>
  </si>
  <si>
    <t>ITEK.2</t>
  </si>
  <si>
    <t>Bronstein, Gewirtz &amp; Grossman, LLC; Wolf Haldenstein Adler Freeman &amp; Herz LLP; Levi &amp; Korsinsky, LLP (local/liaison)</t>
  </si>
  <si>
    <t>Gary Bagwell</t>
  </si>
  <si>
    <t>ITEK.3</t>
  </si>
  <si>
    <t>Monteverde &amp; Associates PC; Block &amp; Leviton LLP (local/liaison)</t>
  </si>
  <si>
    <t>Christopher Peoples</t>
  </si>
  <si>
    <t>INOV.1</t>
  </si>
  <si>
    <t>INOV.2</t>
  </si>
  <si>
    <t>Ester T. Jones</t>
  </si>
  <si>
    <t>Group loss</t>
  </si>
  <si>
    <t>INSM.1.a</t>
  </si>
  <si>
    <t>Pomerantz LLP; The Rosen Law Firm, P.A.; Bronstein, Gewirtz &amp; Grossman, LLC (local/liaison)Goldberg Law PC (local/liaison)Lite Depalma Greenberg, LLC (local/liaison)</t>
  </si>
  <si>
    <t>Ida Wan</t>
  </si>
  <si>
    <t>INSM.1.b</t>
  </si>
  <si>
    <t>Jimmy L. Jones</t>
  </si>
  <si>
    <t>INSM.1.c</t>
  </si>
  <si>
    <t>William T. Hoey</t>
  </si>
  <si>
    <t>INSM.1.d</t>
  </si>
  <si>
    <t>INSM.2</t>
  </si>
  <si>
    <t>Insys Therapeutics Incorporated</t>
  </si>
  <si>
    <t>Clark Miller</t>
  </si>
  <si>
    <t>Kessler Topaz  Meltzer &amp; Check, LLP; Bonnett, Fairbourn, Friedman &amp; Balint, P.C. (local/liaison)</t>
  </si>
  <si>
    <t>Connie Buyens</t>
  </si>
  <si>
    <t>Ken Chin</t>
  </si>
  <si>
    <t>The Rosen Law Firm, P.A.; Tiffany &amp; Bosco, PA (local/liaison)</t>
  </si>
  <si>
    <t>Insys Therapeutics, Inc.</t>
  </si>
  <si>
    <t>03/17/2017</t>
  </si>
  <si>
    <t>05/16/2017</t>
  </si>
  <si>
    <t>Walter Lee</t>
  </si>
  <si>
    <t>Said Goueli</t>
  </si>
  <si>
    <t>Jack E. Hatfield</t>
  </si>
  <si>
    <t>Luis Martinez</t>
  </si>
  <si>
    <t>Michael Robson</t>
  </si>
  <si>
    <t>Interactive Intelligence Group, Inc.</t>
  </si>
  <si>
    <t>Indiana Southern District Court</t>
  </si>
  <si>
    <t>Karl Trahan</t>
  </si>
  <si>
    <t>ININ.1</t>
  </si>
  <si>
    <t>Robbins, Geller, Rudman &amp; Dowd, LLP; George &amp; Farinas, LLP (local/liaison)Johnson &amp; Weaver LLP (local/liaison)</t>
  </si>
  <si>
    <t>Intrexon Corporation</t>
  </si>
  <si>
    <t>05/03/2016</t>
  </si>
  <si>
    <t>Joe Seppen</t>
  </si>
  <si>
    <t>XON.1</t>
  </si>
  <si>
    <t>Carey Read</t>
  </si>
  <si>
    <t>XON.2</t>
  </si>
  <si>
    <t>Mike Johnson</t>
  </si>
  <si>
    <t>XON.3.a</t>
  </si>
  <si>
    <t>James Basile</t>
  </si>
  <si>
    <t>XON.3.b</t>
  </si>
  <si>
    <t>Inventure Foods Incorporated</t>
  </si>
  <si>
    <t>05/30/2017</t>
  </si>
  <si>
    <t>Robert W. Richards</t>
  </si>
  <si>
    <t>SNAK.1.a</t>
  </si>
  <si>
    <t>Claudio Mantovani</t>
  </si>
  <si>
    <t>SNAK.1.b</t>
  </si>
  <si>
    <t>Aaron Mendenhall</t>
  </si>
  <si>
    <t>SNAK.2</t>
  </si>
  <si>
    <t>Invuity, Inc.</t>
  </si>
  <si>
    <t>Mike Paciga</t>
  </si>
  <si>
    <t>IVTY.1</t>
  </si>
  <si>
    <t>Glancy Prongay &amp; Murray, LLP; Holzer &amp; Holzer, LLC</t>
  </si>
  <si>
    <t>Franklin Roberts</t>
  </si>
  <si>
    <t>IVTY.2</t>
  </si>
  <si>
    <t>IRSA Inversiones y Representaciones S.A.</t>
  </si>
  <si>
    <t>02/23/2016</t>
  </si>
  <si>
    <t>Stefan Sachsenberg</t>
  </si>
  <si>
    <t>07/08/2016</t>
  </si>
  <si>
    <t>ITC Holdings Corporation</t>
  </si>
  <si>
    <t>06/13/2016</t>
  </si>
  <si>
    <t>Washtenaw County Employees Retirement System</t>
  </si>
  <si>
    <t>ITC.1</t>
  </si>
  <si>
    <t>Robbins, Geller, Rudman &amp; Dowd, LLP; The Miller Law Firm, P.C. (local/liaison)VanOverbeke Michaud &amp; Timmony, P.C. (local/liaison)</t>
  </si>
  <si>
    <t>Jarden Corporation</t>
  </si>
  <si>
    <t>Vincent A. Hirsch</t>
  </si>
  <si>
    <t>JAH.1</t>
  </si>
  <si>
    <t>Robbins, Geller, Rudman &amp; Dowd, LLP; Robbins Arroyo LLP (local/liaison)</t>
  </si>
  <si>
    <t>Johnson Controls Inc.</t>
  </si>
  <si>
    <t>John and Vivian Fifrick</t>
  </si>
  <si>
    <t>JCI.1</t>
  </si>
  <si>
    <t>Bragar Eagel &amp; Squire, PC; Glancy Prongay &amp; Murray, LLP; Pines Bach LLP (local/liaison)</t>
  </si>
  <si>
    <t>Brian L. Ellison</t>
  </si>
  <si>
    <t>JCI.2.a</t>
  </si>
  <si>
    <t>Lockridge, Grindal, Nauen, PLLP; Wagner Law Group, S.C. (local/liaison)</t>
  </si>
  <si>
    <t>Cathreen W. Clark</t>
  </si>
  <si>
    <t>JCI.2.b</t>
  </si>
  <si>
    <t>Cynthia Pontier</t>
  </si>
  <si>
    <t>JCI.2.c</t>
  </si>
  <si>
    <t>Henry J. Nisiewicz</t>
  </si>
  <si>
    <t>JCI.2.d</t>
  </si>
  <si>
    <t>Peter J. Smykla</t>
  </si>
  <si>
    <t>JCI.2.e</t>
  </si>
  <si>
    <t>Joy Global, Inc.</t>
  </si>
  <si>
    <t>Charles Caparelli</t>
  </si>
  <si>
    <t>JOY.1.a</t>
  </si>
  <si>
    <t>Bronstein, Gewirtz &amp; Grossman, LLC; Bykhovsky Law, LLC (local/liaison)</t>
  </si>
  <si>
    <t>Peter Cahill</t>
  </si>
  <si>
    <t>JOY.1.b</t>
  </si>
  <si>
    <t>Steven Duncan</t>
  </si>
  <si>
    <t>JOY.2</t>
  </si>
  <si>
    <t>Robbins, Geller, Rudman &amp; Dowd, LLP; Johnson &amp; Weaver LLP (local/liaison)Wagner Law Group, S.C. (local/liaison)</t>
  </si>
  <si>
    <t>Juno Therapeutics, Inc.</t>
  </si>
  <si>
    <t>Goce Veljanoski</t>
  </si>
  <si>
    <t>JUNO.1.a</t>
  </si>
  <si>
    <t>Block &amp; Leviton LLP; Glancy Prongay &amp; Murray, LLP; Tousley Brain Stephens PLLC (local/liaison)</t>
  </si>
  <si>
    <t>Stephen Hamby</t>
  </si>
  <si>
    <t>JUNO.1.b</t>
  </si>
  <si>
    <t>Steve Conner</t>
  </si>
  <si>
    <t>JUNO.1.c</t>
  </si>
  <si>
    <t>Arthur Felix</t>
  </si>
  <si>
    <t>JUNO.1.d</t>
  </si>
  <si>
    <t>Liberata Paradiso</t>
  </si>
  <si>
    <t>JUNO.1.e</t>
  </si>
  <si>
    <t>Man Nguyen</t>
  </si>
  <si>
    <t>JUNO.2</t>
  </si>
  <si>
    <t>Levi &amp; Korsinsky, LLP; Law Offices of Clifford A. Cantor, P.C (local/liaison)</t>
  </si>
  <si>
    <t>Gilbert Hoang Nguyen</t>
  </si>
  <si>
    <t>JUNO.3</t>
  </si>
  <si>
    <t>Pomerantz LLP; Law Offices of Clifford A. Cantor, P.C (local/liaison)</t>
  </si>
  <si>
    <t>K12 Inc.</t>
  </si>
  <si>
    <t>07/20/2016</t>
  </si>
  <si>
    <t>Mark Beadle</t>
  </si>
  <si>
    <t>LRN.1.a</t>
  </si>
  <si>
    <t>Babulal Tarapara</t>
  </si>
  <si>
    <t>LRN.1.b</t>
  </si>
  <si>
    <t>Plinio Kawakubo</t>
  </si>
  <si>
    <t>LRN.2</t>
  </si>
  <si>
    <t>Baharat Patel</t>
  </si>
  <si>
    <t>KBIO.1.a</t>
  </si>
  <si>
    <t>Kindness Keong</t>
  </si>
  <si>
    <t>KBIO.1.b</t>
  </si>
  <si>
    <t>Gustavo Isunza</t>
  </si>
  <si>
    <t>KBIO.1.c</t>
  </si>
  <si>
    <t>Christopher Massad</t>
  </si>
  <si>
    <t>KBIO.1.d</t>
  </si>
  <si>
    <t>Yi Wang</t>
  </si>
  <si>
    <t>KBIO.2.a</t>
  </si>
  <si>
    <t>Ming and Jing-Wei Wang</t>
  </si>
  <si>
    <t>KBIO.2.b</t>
  </si>
  <si>
    <t>Bhaskar Gudlavenkatasiva</t>
  </si>
  <si>
    <t>KBIO.2.c</t>
  </si>
  <si>
    <t>Javier Marte</t>
  </si>
  <si>
    <t>KBIO.2.d</t>
  </si>
  <si>
    <t>David Borges</t>
  </si>
  <si>
    <t>KBIO.3</t>
  </si>
  <si>
    <t>Abuhena M. Saifulislam</t>
  </si>
  <si>
    <t>KBIO.4.a</t>
  </si>
  <si>
    <t>Bhaskar R. Gudlavenkatasiva</t>
  </si>
  <si>
    <t>KBIO.4.b</t>
  </si>
  <si>
    <t>KBIO.4.c</t>
  </si>
  <si>
    <t>Kaniz Fatema</t>
  </si>
  <si>
    <t>KBIO.4.d</t>
  </si>
  <si>
    <t>Ernso Auguste</t>
  </si>
  <si>
    <t>KBIO.5</t>
  </si>
  <si>
    <t>Saxena White P.A.; The Wagner Firm (local/liaison)</t>
  </si>
  <si>
    <t>08/26/2016</t>
  </si>
  <si>
    <t>KERX.1.a</t>
  </si>
  <si>
    <t>Tim Karth</t>
  </si>
  <si>
    <t>KERX.1.b</t>
  </si>
  <si>
    <t>Block &amp; Leviton LLP; Friedman Oster &amp; Tejtel PLLC (local/liaison)</t>
  </si>
  <si>
    <t>Richard J. Erickson</t>
  </si>
  <si>
    <t>KERX.2</t>
  </si>
  <si>
    <t>Marna Izzo</t>
  </si>
  <si>
    <t>KERX.3.a</t>
  </si>
  <si>
    <t>Mike Izzo</t>
  </si>
  <si>
    <t>KERX.3.b</t>
  </si>
  <si>
    <t>Keurig Green Mountain, Inc.</t>
  </si>
  <si>
    <t>Vermont District Court</t>
  </si>
  <si>
    <t>01/27/2016</t>
  </si>
  <si>
    <t>Kyle Montanio</t>
  </si>
  <si>
    <t>GMCR.1</t>
  </si>
  <si>
    <t>Robbins, Geller, Rudman &amp; Dowd, LLP; Woodward &amp; Kelley, PLLC (local/liaison)</t>
  </si>
  <si>
    <t>Kitov Pharmaceuticals Holdings Ltd.</t>
  </si>
  <si>
    <t>Jason Breunig</t>
  </si>
  <si>
    <t>KTOV.1.a</t>
  </si>
  <si>
    <t>Rotem Cohen</t>
  </si>
  <si>
    <t>KTOV.1.b</t>
  </si>
  <si>
    <t>Janet Law</t>
  </si>
  <si>
    <t>KLXI.1</t>
  </si>
  <si>
    <t>KLXI.2.a</t>
  </si>
  <si>
    <t>Robbins, Geller, Rudman &amp; Dowd, LLP; Allotta Farley Co., L.P.A. (local/liaison)</t>
  </si>
  <si>
    <t>International Brotherhood of Electrical Workers Local Union 38 Pension Fund</t>
  </si>
  <si>
    <t>KLXI.2.b</t>
  </si>
  <si>
    <t>Burckhard Schneider</t>
  </si>
  <si>
    <t>KLXI.3</t>
  </si>
  <si>
    <t>La Quinta Holdings Inc.</t>
  </si>
  <si>
    <t>Police &amp; Fire Retirement System of the City of Detroit</t>
  </si>
  <si>
    <t>LQ.1</t>
  </si>
  <si>
    <t>Sarasota Firefighters Pension Fund</t>
  </si>
  <si>
    <t>LQ.2</t>
  </si>
  <si>
    <t>Robert McEvoy</t>
  </si>
  <si>
    <t>LQ.3</t>
  </si>
  <si>
    <t>Abraham, Fruchter &amp; Twersky, LLP; Profy Promisloff &amp; Ciarlanto, P.C. (local/liaison)</t>
  </si>
  <si>
    <t>John Allen</t>
  </si>
  <si>
    <t>Bernstein Liebhard LLP; The Weiser Law Firm, PC (local/liaison)</t>
  </si>
  <si>
    <t>Ronald Sykes</t>
  </si>
  <si>
    <t>Gainey McKenna &amp; Egleston; Hynes Keller &amp; Hernandez, LLC (local/liaison)</t>
  </si>
  <si>
    <t>Michael A. Castrodale</t>
  </si>
  <si>
    <t>City of Hollywood FL Employees Retirement Fund</t>
  </si>
  <si>
    <t>Labaton Sucharow LLP; Pomerantz LLP; Griesing Law, LLC (local/liaison)</t>
  </si>
  <si>
    <t>West Palm Beach Police Pension Fund</t>
  </si>
  <si>
    <t>Laborers District Council of Western Pennsylvania Welfare and Pension Funds</t>
  </si>
  <si>
    <t>John Jafolla</t>
  </si>
  <si>
    <t>Levi &amp; Korsinsky, LLP; The Rosen Law Firm, P.A.</t>
  </si>
  <si>
    <t>Charlotte Rutsch</t>
  </si>
  <si>
    <t>Rick Denton</t>
  </si>
  <si>
    <t>Glade Hall</t>
  </si>
  <si>
    <t>John Spagnuolo</t>
  </si>
  <si>
    <t>Operating Engineers Construction Industry and Miscellaneous Pension Fund</t>
  </si>
  <si>
    <t>Robbins, Geller, Rudman &amp; Dowd, LLP; Kaufman, Coren &amp; Ress, P.C. (local/liaison)</t>
  </si>
  <si>
    <t>LeapFrog Enterprises, Inc.</t>
  </si>
  <si>
    <t>03/09/2016</t>
  </si>
  <si>
    <t>Pete J. Manger</t>
  </si>
  <si>
    <t>LF.1</t>
  </si>
  <si>
    <t>Chimicles &amp; Tikellis LLP; Wolf Haldenstein Adler Freeman &amp; Herz LLP</t>
  </si>
  <si>
    <t>U.S. Equity Fund, a series of the Wespath Funds Trust</t>
  </si>
  <si>
    <t>Lyle Hansen</t>
  </si>
  <si>
    <t>Jin Chen</t>
  </si>
  <si>
    <t>Robert Stelly</t>
  </si>
  <si>
    <t>Ignacio Canals</t>
  </si>
  <si>
    <t>Water and Power Employees Retirement, Disability and Death Plan of the City of Los Angeles</t>
  </si>
  <si>
    <t>Spector Roseman Kodroff &amp; Willis, P.C.; Lieff Cabraser Heimann &amp; Bernstein, LLP (local/liaison)</t>
  </si>
  <si>
    <t>LifeVantage Corporation</t>
  </si>
  <si>
    <t>09/15/2016</t>
  </si>
  <si>
    <t>Francesco Crosara</t>
  </si>
  <si>
    <t>LFVN.1</t>
  </si>
  <si>
    <t>Block &amp; Leviton LLP; Ban Law Offices PC (local/liaison)</t>
  </si>
  <si>
    <t>Yvonne Cohen</t>
  </si>
  <si>
    <t>LFVN.2.a</t>
  </si>
  <si>
    <t>Pomerantz LLP; Bronstein, Gewirtz &amp; Grossman, LLC (local/liaison)Christensen Young &amp; Associates, PLLC (local/liaison)Goldberg Law PC (local/liaison)</t>
  </si>
  <si>
    <t>Dale Blanch</t>
  </si>
  <si>
    <t>LFVN.2.b</t>
  </si>
  <si>
    <t>G-ind</t>
  </si>
  <si>
    <t>Chris Sayer</t>
  </si>
  <si>
    <t>LFVN.3</t>
  </si>
  <si>
    <t>The Rosen Law Firm, P.A.; Hatch James &amp; Dodge PC (local/liaison)</t>
  </si>
  <si>
    <t>Ligand Pharmaceuticals Incorporated</t>
  </si>
  <si>
    <t>11/17/2016</t>
  </si>
  <si>
    <t>John Traina</t>
  </si>
  <si>
    <t>LGND.1</t>
  </si>
  <si>
    <t>Linkwell Corporation</t>
  </si>
  <si>
    <t>Frederick Siegmund</t>
  </si>
  <si>
    <t>LWLL.1</t>
  </si>
  <si>
    <t>Wolf Haldenstein Adler Freeman &amp; Herz LLP; Fischler &amp; Friedman, P.A. (local/liaison)</t>
  </si>
  <si>
    <t>Lion Biotechnologies, Inc.</t>
  </si>
  <si>
    <t>06/13/2017</t>
  </si>
  <si>
    <t>Michele Rosati</t>
  </si>
  <si>
    <t>IOVA.1.a</t>
  </si>
  <si>
    <t>Bragar Eagel &amp; Squire, PC; Levi &amp; Korsinsky, LLP; Glancy Prongay &amp; Murray, LLP (local/liaison)</t>
  </si>
  <si>
    <t>Kimberly Colautti</t>
  </si>
  <si>
    <t>IOVA.1.b</t>
  </si>
  <si>
    <t>Jay Rabkin</t>
  </si>
  <si>
    <t>IOVA.2</t>
  </si>
  <si>
    <t>Kevin Fong</t>
  </si>
  <si>
    <t>IOVA.3.a</t>
  </si>
  <si>
    <t>Manfred E. Strauch</t>
  </si>
  <si>
    <t>IOVA.3.b</t>
  </si>
  <si>
    <t>Sriram Sundareswaran</t>
  </si>
  <si>
    <t>IOVA.3.c</t>
  </si>
  <si>
    <t>Su Yee Lynn Ho</t>
  </si>
  <si>
    <t>IOVA.3.d</t>
  </si>
  <si>
    <t>Lionbridge Technologies, Inc.</t>
  </si>
  <si>
    <t>04/27/2017</t>
  </si>
  <si>
    <t>Laborers Local 231 Pension Fund</t>
  </si>
  <si>
    <t>Shares Held</t>
  </si>
  <si>
    <t>LIOX.1</t>
  </si>
  <si>
    <t>Robbins, Geller, Rudman &amp; Dowd, LLP; Andrews &amp; Springer, LLC (local/liaison)Cavanagh &amp; O'Hara (local/liaison)</t>
  </si>
  <si>
    <t>Lipocine Incorporated</t>
  </si>
  <si>
    <t>07/01/2016</t>
  </si>
  <si>
    <t>08/30/2016</t>
  </si>
  <si>
    <t>Grey Burleson</t>
  </si>
  <si>
    <t>LPCN.1</t>
  </si>
  <si>
    <t>DPC Partners, Ltd.</t>
  </si>
  <si>
    <t>LPCN.2.a</t>
  </si>
  <si>
    <t>Pomerantz LLP; Bronstein, Gewirtz &amp; Grossman, LLC (local/liaison)Lite Depalma Greenberg, LLC (local/liaison)</t>
  </si>
  <si>
    <t>Quantum Partners, Ltd</t>
  </si>
  <si>
    <t>LPCN.2.b</t>
  </si>
  <si>
    <t>John William Burke</t>
  </si>
  <si>
    <t>LPCN.2.c</t>
  </si>
  <si>
    <t>John Redmond</t>
  </si>
  <si>
    <t>LPCN.3</t>
  </si>
  <si>
    <t>LPL Financial Holdings Inc.</t>
  </si>
  <si>
    <t>05/23/2016</t>
  </si>
  <si>
    <t>Soft Drink and Brewery Workers Union Local 812 Retirement Fund</t>
  </si>
  <si>
    <t>LPLA.1</t>
  </si>
  <si>
    <t>magicJack Vocaltec Ltd.</t>
  </si>
  <si>
    <t>Samuel Saad Revocable Trust</t>
  </si>
  <si>
    <t>CALL.1</t>
  </si>
  <si>
    <t>State Teachers Retirement System of Ohio</t>
  </si>
  <si>
    <t>MNK.1</t>
  </si>
  <si>
    <t>Barrack  Rodos &amp; Bacine; Murray Murphy Moul &amp; Basil, LLP (local/liaison)</t>
  </si>
  <si>
    <t>MNK.2</t>
  </si>
  <si>
    <t>Bleichmar Fonti &amp; Auld LLP; Law Offices of Susan R. Podolsky (local/liaison)</t>
  </si>
  <si>
    <t>Amy T. and Stephen A. Schwartz</t>
  </si>
  <si>
    <t>DURA</t>
  </si>
  <si>
    <t>MNK.3</t>
  </si>
  <si>
    <t>Kahn Swick &amp; Foti, LLC; Finkelstein Thompson LLP (local/liaison)</t>
  </si>
  <si>
    <t>Michael Paladino</t>
  </si>
  <si>
    <t>Nova Scotia Health Employees Pension Plan</t>
  </si>
  <si>
    <t>MNK.4.a</t>
  </si>
  <si>
    <t>Pomerantz LLP; Saxena White P.A.; Cohen Milstein Sellers &amp; Toll PLLC (local/liaison)</t>
  </si>
  <si>
    <t>Iron Workers Local 580 Pension Fund</t>
  </si>
  <si>
    <t>MNK.4.b</t>
  </si>
  <si>
    <t>Fulton County Employees Retirement System</t>
  </si>
  <si>
    <t>MNK.4.c</t>
  </si>
  <si>
    <t>MannKind Corporation</t>
  </si>
  <si>
    <t>03/15/2016</t>
  </si>
  <si>
    <t>Masoud Paydar</t>
  </si>
  <si>
    <t>Brower Piven; Brodsky &amp; Smith, LLC (local/liaison)</t>
  </si>
  <si>
    <t>Vladimir Rivkin</t>
  </si>
  <si>
    <t>Marchex, Inc.</t>
  </si>
  <si>
    <t>11/17/2015</t>
  </si>
  <si>
    <t>Steven Porter</t>
  </si>
  <si>
    <t>MCHX.1</t>
  </si>
  <si>
    <t>Erik Lewis</t>
  </si>
  <si>
    <t>MCHX.2</t>
  </si>
  <si>
    <t>Match Group, Inc.</t>
  </si>
  <si>
    <t>02/26/2016</t>
  </si>
  <si>
    <t>04/26/2016</t>
  </si>
  <si>
    <t>Mary McCloskey</t>
  </si>
  <si>
    <t>MTCH.1.a</t>
  </si>
  <si>
    <t>Bragar Eagel &amp; Squire, PC; Glancy Prongay &amp; Murray, LLP; Kendall Law Group, LLP (local/liaison)</t>
  </si>
  <si>
    <t>Craig Kneller</t>
  </si>
  <si>
    <t>MTCH.1.b</t>
  </si>
  <si>
    <t>David M. Stein</t>
  </si>
  <si>
    <t>Combined losses</t>
  </si>
  <si>
    <t>MTCH.2.a</t>
  </si>
  <si>
    <t>Gainey McKenna &amp; Egleston; Lackey Hershman, LLP (local/liaison)</t>
  </si>
  <si>
    <t>Varuna Jenkins</t>
  </si>
  <si>
    <t>MTCH.2.b</t>
  </si>
  <si>
    <t>Shen Shen</t>
  </si>
  <si>
    <t>MTCH.3.a</t>
  </si>
  <si>
    <t>Stephany Kam-wan Chan</t>
  </si>
  <si>
    <t>MTCH.3.b</t>
  </si>
  <si>
    <t>Liwei Sun</t>
  </si>
  <si>
    <t>MTCH.3.c</t>
  </si>
  <si>
    <t>Adam Marigliano</t>
  </si>
  <si>
    <t>MTCH.3.d</t>
  </si>
  <si>
    <t>Kenneth Varin</t>
  </si>
  <si>
    <t>MTCH.4</t>
  </si>
  <si>
    <t>Levi &amp; Korsinsky, LLP; Deans &amp; Lyons LLP (local/liaison)</t>
  </si>
  <si>
    <t>Mentor Graphics Corporation</t>
  </si>
  <si>
    <t>03/18/2016</t>
  </si>
  <si>
    <t>Herbert Goodfriend</t>
  </si>
  <si>
    <t>MENT.1</t>
  </si>
  <si>
    <t>Pomerantz LLP; Bronstein, Gewirtz &amp; Grossman, LLC (local/liaison)McGaughey Erickson (local/liaison)</t>
  </si>
  <si>
    <t>Western Pennsylvania Electrical Employees Pension Fund</t>
  </si>
  <si>
    <t>MENT.2</t>
  </si>
  <si>
    <t>Robbins, Geller, Rudman &amp; Dowd, LLP; Stoll Stoll Berne Lokting &amp; Schlachter P.C. (local/liaison)</t>
  </si>
  <si>
    <t>MGT Capital Investments, Inc.</t>
  </si>
  <si>
    <t>09/22/2016</t>
  </si>
  <si>
    <t>Jalmar Araujo</t>
  </si>
  <si>
    <t>MGT.1</t>
  </si>
  <si>
    <t>Block &amp; Leviton LLP; Wolf Haldenstein Adler Freeman &amp; Herz LLP (local/liaison)</t>
  </si>
  <si>
    <t>Song Suh</t>
  </si>
  <si>
    <t>Danny T. Nguyen</t>
  </si>
  <si>
    <t>Paul Skittone</t>
  </si>
  <si>
    <t>MGT.4</t>
  </si>
  <si>
    <t>Miller Energy Resources, Inc.</t>
  </si>
  <si>
    <t>12/09/2015</t>
  </si>
  <si>
    <t>Kenneth R. Martin as beneficiary of the Kenneth Ray Martin Roth IRA</t>
  </si>
  <si>
    <t>MILLQ.1.a</t>
  </si>
  <si>
    <t>Gordon Ball PLLC</t>
  </si>
  <si>
    <t>Lewis Cosby</t>
  </si>
  <si>
    <t>MILLQ.1.b</t>
  </si>
  <si>
    <t>Christopher R. Vorrath</t>
  </si>
  <si>
    <t>MILLQ.2.a</t>
  </si>
  <si>
    <t>Robbins, Geller, Rudman &amp; Dowd, LLP; Barrett Johnston Martin &amp; Garrison, LLC (local/liaison)Kranenburg (local/liaison)Law Offices of Curtis V. Trinko (local/liaison)</t>
  </si>
  <si>
    <t>Gabriel R. Hull</t>
  </si>
  <si>
    <t>MILLQ.2.b</t>
  </si>
  <si>
    <t>Kenneth Gaynor</t>
  </si>
  <si>
    <t>MILLQ.2.c</t>
  </si>
  <si>
    <t>Marcia Goldberg</t>
  </si>
  <si>
    <t>MILLQ.2.d</t>
  </si>
  <si>
    <t>Misonix, Inc.</t>
  </si>
  <si>
    <t>Richard Scalfani</t>
  </si>
  <si>
    <t>MSON.1.a</t>
  </si>
  <si>
    <t>Tracey Angiuoli</t>
  </si>
  <si>
    <t>MSON.1.b</t>
  </si>
  <si>
    <t>MoneyGram International Inc.</t>
  </si>
  <si>
    <t>05/19/2015</t>
  </si>
  <si>
    <t>Iron Workers District Council of New England Pension Fund</t>
  </si>
  <si>
    <t>MGI.1</t>
  </si>
  <si>
    <t>Multi-Fineline Electronix, Inc.</t>
  </si>
  <si>
    <t>Cynthia Lehn</t>
  </si>
  <si>
    <t>MFLX.1</t>
  </si>
  <si>
    <t>Brodsky &amp; Smith, LLC; Levi &amp; Korsinsky, LLP</t>
  </si>
  <si>
    <t>Vladimir Tchentsov</t>
  </si>
  <si>
    <t>MYL.1</t>
  </si>
  <si>
    <t>MYL.2</t>
  </si>
  <si>
    <t>The Phoenix Insurance Company, Ltd.</t>
  </si>
  <si>
    <t>MYL.3.a</t>
  </si>
  <si>
    <t>MYL.3.b</t>
  </si>
  <si>
    <t>Menorah Mivtachim Insurance Ltd.</t>
  </si>
  <si>
    <t>Menorah Total</t>
  </si>
  <si>
    <t>MYL.3.c</t>
  </si>
  <si>
    <t>Menorah Mivtachim Pension and Gemel Ltd.</t>
  </si>
  <si>
    <t>NH.1.a</t>
  </si>
  <si>
    <t>Michael Fontaine</t>
  </si>
  <si>
    <t>NH.1.b</t>
  </si>
  <si>
    <t>Rena Listokin</t>
  </si>
  <si>
    <t>NH.2</t>
  </si>
  <si>
    <t>Levi &amp; Korsinsky, LLP; Bragar Eagel &amp; Squire, PC (local/liaison)Glancy Prongay &amp; Murray, LLP (local/liaison)</t>
  </si>
  <si>
    <t>John Jalas</t>
  </si>
  <si>
    <t>NH.3.a</t>
  </si>
  <si>
    <t>Michael Di Rienzo</t>
  </si>
  <si>
    <t>NH.3.b</t>
  </si>
  <si>
    <t>Greenblatt Trust</t>
  </si>
  <si>
    <t>NH.3.c</t>
  </si>
  <si>
    <t>Amos Chalmers</t>
  </si>
  <si>
    <t>NH.3.d</t>
  </si>
  <si>
    <t>Don Scoca</t>
  </si>
  <si>
    <t>NH.3.e</t>
  </si>
  <si>
    <t>NantKwest, Inc.</t>
  </si>
  <si>
    <t>Brayton Li</t>
  </si>
  <si>
    <t>NK.1.a</t>
  </si>
  <si>
    <t>Bragar Eagel &amp; Squire, PC; Pomerantz LLP; Glancy Prongay &amp; Murray, LLP (local/liaison)</t>
  </si>
  <si>
    <t>Donald Hu</t>
  </si>
  <si>
    <t>NK.1.b</t>
  </si>
  <si>
    <t>National Beverage Corporation</t>
  </si>
  <si>
    <t>Tan Kim Whatt</t>
  </si>
  <si>
    <t>Natural Health Trends Corporation</t>
  </si>
  <si>
    <t>Manh Dao</t>
  </si>
  <si>
    <t>NHTC.1</t>
  </si>
  <si>
    <t>Adriana Stroh</t>
  </si>
  <si>
    <t>NHTC.2.a</t>
  </si>
  <si>
    <t>David Dunning</t>
  </si>
  <si>
    <t>NHTC.2.b</t>
  </si>
  <si>
    <t>Jerry E. Carafello</t>
  </si>
  <si>
    <t>NHTC.2.c</t>
  </si>
  <si>
    <t>Brandon Stroh</t>
  </si>
  <si>
    <t>NHTC.2.d</t>
  </si>
  <si>
    <t>Wang Juan</t>
  </si>
  <si>
    <t>NHTC.3</t>
  </si>
  <si>
    <t>Natus Medical Incorporated</t>
  </si>
  <si>
    <t>01/30/2017</t>
  </si>
  <si>
    <t>03/31/2017</t>
  </si>
  <si>
    <t>John Constabile</t>
  </si>
  <si>
    <t>BABY.1</t>
  </si>
  <si>
    <t>Bernstein Litowitz Berger &amp; Grossmann LLP; Friedlander &amp; Gorris, P.A. (local/liaison)</t>
  </si>
  <si>
    <t>Lord Abbett Bond Debenture Fund, Inc.</t>
  </si>
  <si>
    <t>Lieff Cabraser Heimann &amp; Bernstein, LLP; Morris and Morris LLC (local/liaison)</t>
  </si>
  <si>
    <t>Lord Abbett Investment Trust - Lord Abbett High Yield Fund</t>
  </si>
  <si>
    <t>Lord Abbett Equity Trust - Lord Abbett Calibrated Mid Cap Value Fund</t>
  </si>
  <si>
    <t>Lord Abbett Affiliated Fund, Inc.</t>
  </si>
  <si>
    <t>Robbins, Geller, Rudman &amp; Dowd, LLP; Cypen &amp; Cypen (local/liaison)Rosenthal, Monhait &amp; Goddess, P.A. (local/liaison)</t>
  </si>
  <si>
    <t>Neovasc Inc.</t>
  </si>
  <si>
    <t>06/06/2016</t>
  </si>
  <si>
    <t>08/05/2016</t>
  </si>
  <si>
    <t>Greg Olson</t>
  </si>
  <si>
    <t>NVCN.1</t>
  </si>
  <si>
    <t>Sergio Grobler</t>
  </si>
  <si>
    <t>NVCN.2</t>
  </si>
  <si>
    <t>Yang Zhan</t>
  </si>
  <si>
    <t>NVCN.3</t>
  </si>
  <si>
    <t>Netflix, Inc.</t>
  </si>
  <si>
    <t>03/01/2017</t>
  </si>
  <si>
    <t>Michael DuDash</t>
  </si>
  <si>
    <t>NFLX.1</t>
  </si>
  <si>
    <t>Finkelstein &amp; Krinsk LLP; Kahn Swick &amp; Foti, LLC</t>
  </si>
  <si>
    <t>Linda Bagley</t>
  </si>
  <si>
    <t>NFLX.2</t>
  </si>
  <si>
    <t>New Oriental Education</t>
  </si>
  <si>
    <t>12/15/2016</t>
  </si>
  <si>
    <t>Shunfeng Cheng</t>
  </si>
  <si>
    <t>EDU.1</t>
  </si>
  <si>
    <t>Bragar Eagel &amp; Squire, PC; Glancy Prongay &amp; Murray, LLP; Carella, Byrne, Cecchi, Olstein, Brody &amp; Agnello P.C. (local/liaison)</t>
  </si>
  <si>
    <t>Amy Chan</t>
  </si>
  <si>
    <t>EDU.2.a</t>
  </si>
  <si>
    <t>EDU.2.b</t>
  </si>
  <si>
    <t>Steven Wade</t>
  </si>
  <si>
    <t>EDU.2.c</t>
  </si>
  <si>
    <t>New Source Energy Partners L.P.</t>
  </si>
  <si>
    <t>01/25/2016</t>
  </si>
  <si>
    <t>Edwin Bailey, Jr.</t>
  </si>
  <si>
    <t>NSLPQ.1</t>
  </si>
  <si>
    <t>William Slater</t>
  </si>
  <si>
    <t>NSLPQ.2.a</t>
  </si>
  <si>
    <t>The Rosen Law Firm, P.A.; Wolf Haldenstein Adler Freeman &amp; Herz LLP</t>
  </si>
  <si>
    <t>Enrico Vaccaro</t>
  </si>
  <si>
    <t>NSLPQ.2.b</t>
  </si>
  <si>
    <t>F. Gregory Deneen</t>
  </si>
  <si>
    <t>NSLPQ.2.c</t>
  </si>
  <si>
    <t>NewLink Genetics Corporation</t>
  </si>
  <si>
    <t>05/12/2016</t>
  </si>
  <si>
    <t>Michael and Kelly Nguyen</t>
  </si>
  <si>
    <t>NLNK.1</t>
  </si>
  <si>
    <t>David Graves</t>
  </si>
  <si>
    <t>NLNK.2</t>
  </si>
  <si>
    <t>Juan Jose Herrero Sancha</t>
  </si>
  <si>
    <t>NLNK.3.a</t>
  </si>
  <si>
    <t>Mary S. Wyatt</t>
  </si>
  <si>
    <t>NLNK.3.b</t>
  </si>
  <si>
    <t>Hani Ascha</t>
  </si>
  <si>
    <t>NMBL.1.a</t>
  </si>
  <si>
    <t>Farshid Tabrizi</t>
  </si>
  <si>
    <t>NMBL.1.b</t>
  </si>
  <si>
    <t>NMBL.2</t>
  </si>
  <si>
    <t>Labaton Sucharow LLP; Berman DeValerio (local/liaison)</t>
  </si>
  <si>
    <t>Carl Vincent Karnes</t>
  </si>
  <si>
    <t>NMBL.3.a</t>
  </si>
  <si>
    <t>Hilleary Worthington</t>
  </si>
  <si>
    <t>NMBL.3.b</t>
  </si>
  <si>
    <t>John S. McNierney</t>
  </si>
  <si>
    <t>NMBL.3.c</t>
  </si>
  <si>
    <t>David Tay</t>
  </si>
  <si>
    <t>NMBL.4</t>
  </si>
  <si>
    <t>Nobilis Health Corporation</t>
  </si>
  <si>
    <t>Guenter Schott</t>
  </si>
  <si>
    <t>Pomerantz LLP; The Briscoe Law Firm, PLLC (local/liaison)</t>
  </si>
  <si>
    <t>Northern Dynasty Minerals Ltd.</t>
  </si>
  <si>
    <t>Cristos Thanos</t>
  </si>
  <si>
    <t>NAK.1.a</t>
  </si>
  <si>
    <t>Glancy Prongay &amp; Murray, LLP; Kirby McInerney LLP</t>
  </si>
  <si>
    <t>Stephania Niziolek</t>
  </si>
  <si>
    <t>NAK.1.b</t>
  </si>
  <si>
    <t>Repreon Worldwide Investments Limited Partnership</t>
  </si>
  <si>
    <t>NAK.2</t>
  </si>
  <si>
    <t>Stephen Ball</t>
  </si>
  <si>
    <t>NAK.3.a</t>
  </si>
  <si>
    <t>Lifshitz &amp; Miller</t>
  </si>
  <si>
    <t>Ramon Tang</t>
  </si>
  <si>
    <t>NAK.3.b</t>
  </si>
  <si>
    <t>Alexander Lammert</t>
  </si>
  <si>
    <t>NAK.4.a</t>
  </si>
  <si>
    <t>James B. Platt III Revocable Trust</t>
  </si>
  <si>
    <t>NAK.4.b</t>
  </si>
  <si>
    <t>Northern Oil and Gas, Inc.</t>
  </si>
  <si>
    <t>08/18/2016</t>
  </si>
  <si>
    <t>Richard Miller</t>
  </si>
  <si>
    <t>NOG.1.a</t>
  </si>
  <si>
    <t>Matthew Atkinson</t>
  </si>
  <si>
    <t>NOG.1.b</t>
  </si>
  <si>
    <t>Vittorio Franceschi</t>
  </si>
  <si>
    <t>NOG.2</t>
  </si>
  <si>
    <t>Northern Tier Energy LP</t>
  </si>
  <si>
    <t>Jeff Kendig</t>
  </si>
  <si>
    <t>NTI.1</t>
  </si>
  <si>
    <t>Faruqi &amp; Faruqi, LLP; Monteverde &amp; Associates PC; DeConcini McDonald Yetwin &amp; Lacy, P.C. (local/liaison)</t>
  </si>
  <si>
    <t>Lehigh County Employees Retirement  Board</t>
  </si>
  <si>
    <t>NVO.1.a</t>
  </si>
  <si>
    <t>Bernstein Litowitz Berger &amp; Grossmann LLP; Saxena White P.A.; Carella, Byrne, Cecchi, Olstein, Brody &amp; Agnello P.C. (local/liaison)</t>
  </si>
  <si>
    <t>NVO.1.b</t>
  </si>
  <si>
    <t>NVO.1.c</t>
  </si>
  <si>
    <t>NVO.1.d</t>
  </si>
  <si>
    <t>Brian Lundstrom</t>
  </si>
  <si>
    <t>NVO.2</t>
  </si>
  <si>
    <t>NVO.3</t>
  </si>
  <si>
    <t>Pomerantz LLP; Lite Depalma Greenberg, LLC (local/liaison)</t>
  </si>
  <si>
    <t>Central States Southeast and Southwest Areas Pension Fund</t>
  </si>
  <si>
    <t>NVO.4</t>
  </si>
  <si>
    <t>Robbins, Geller, Rudman &amp; Dowd, LLP; Seeger Weiss LLP (local/liaison)</t>
  </si>
  <si>
    <t>Ocwen Financial Corporation</t>
  </si>
  <si>
    <t>06/20/2017</t>
  </si>
  <si>
    <t>OCN.1</t>
  </si>
  <si>
    <t>Abraham, Fruchter &amp; Twersky, LLP; Vianale &amp; Vianale LLP (local/liaison)</t>
  </si>
  <si>
    <t>Ryan Huseman</t>
  </si>
  <si>
    <t>OCN.2.a</t>
  </si>
  <si>
    <t>Glancy Prongay &amp; Murray, LLP; Levi &amp; Korsinsky, LLP; Berman DeValerio (local/liaison)</t>
  </si>
  <si>
    <t>Randy D. McElhanon</t>
  </si>
  <si>
    <t>OCN.2.b</t>
  </si>
  <si>
    <t>Ali Dehghanpoor</t>
  </si>
  <si>
    <t>OCN.3.a</t>
  </si>
  <si>
    <t>Pomerantz LLP; Bronstein, Gewirtz &amp; Grossman, LLC (local/liaison)Shepherd, Finkelman, Miller &amp; Shah, LLP (local/liaison)</t>
  </si>
  <si>
    <t>Karen A. Carvelli</t>
  </si>
  <si>
    <t>OCN.3.b</t>
  </si>
  <si>
    <t>Darren Frost</t>
  </si>
  <si>
    <t>OCN.3.c</t>
  </si>
  <si>
    <t>Omega Protein Corporation</t>
  </si>
  <si>
    <t>Scott Hansen</t>
  </si>
  <si>
    <t>OME.1.a</t>
  </si>
  <si>
    <t>Kimberley L. Ahern</t>
  </si>
  <si>
    <t>OME.1.b</t>
  </si>
  <si>
    <t>Jack R. Gray</t>
  </si>
  <si>
    <t>OME.1.c</t>
  </si>
  <si>
    <t>Kevin Malone</t>
  </si>
  <si>
    <t>OME.1.d</t>
  </si>
  <si>
    <t>Paul Ahern</t>
  </si>
  <si>
    <t>OME.1.e</t>
  </si>
  <si>
    <t>Hsueh Tien Chen</t>
  </si>
  <si>
    <t>OME.1.f</t>
  </si>
  <si>
    <t>Jia Chun Wen</t>
  </si>
  <si>
    <t>OME.1.g</t>
  </si>
  <si>
    <t>International Brotherhood of Electrical Workers Local Union 98</t>
  </si>
  <si>
    <t>OME.2</t>
  </si>
  <si>
    <t>Robbins, Geller, Rudman &amp; Dowd, LLP; Marino Associates (local/liaison)</t>
  </si>
  <si>
    <t>OneMain Holdings, Inc.</t>
  </si>
  <si>
    <t>02/10/2017</t>
  </si>
  <si>
    <t>Afshin Galestan</t>
  </si>
  <si>
    <t>OMF.1</t>
  </si>
  <si>
    <t>Ophthotech Corporation</t>
  </si>
  <si>
    <t>Dora Jordan</t>
  </si>
  <si>
    <t>OPHT.1.a</t>
  </si>
  <si>
    <t>Sonia Carrero-Pomeroy</t>
  </si>
  <si>
    <t>OPHT.1.b</t>
  </si>
  <si>
    <t>Colin Kirk</t>
  </si>
  <si>
    <t>OPHT.1.c</t>
  </si>
  <si>
    <t>Frank Magiera</t>
  </si>
  <si>
    <t>OPHT.2</t>
  </si>
  <si>
    <t>David Jenkins</t>
  </si>
  <si>
    <t>OPHT.3</t>
  </si>
  <si>
    <t>Frank Sims Stolper LLP; Wolf Popper LLP (local/liaison)</t>
  </si>
  <si>
    <t>Brian Ferber</t>
  </si>
  <si>
    <t>OPHT.4</t>
  </si>
  <si>
    <t>Genghong Zhao</t>
  </si>
  <si>
    <t>Combined Losses</t>
  </si>
  <si>
    <t>Xing Wang</t>
  </si>
  <si>
    <t>Sergio Albonico</t>
  </si>
  <si>
    <t>OPHT.6.a</t>
  </si>
  <si>
    <t>Levi &amp; Korsinsky, LLP; Scott &amp; Scott,  LLP</t>
  </si>
  <si>
    <t>Brandon Suedekum</t>
  </si>
  <si>
    <t>OPHT.6.b</t>
  </si>
  <si>
    <t>Ashok Dalal</t>
  </si>
  <si>
    <t>OPHT.6.c</t>
  </si>
  <si>
    <t>OPHT.6.d</t>
  </si>
  <si>
    <t>Mayur Shah</t>
  </si>
  <si>
    <t>OPHT.6.e</t>
  </si>
  <si>
    <t>Oppenheim Asset Management Services S.A.R.L. (OPAM)</t>
  </si>
  <si>
    <t>OPHT.7</t>
  </si>
  <si>
    <t>Sheet Metal Workers Pension Plan of Southern California, Arizona and Nevada</t>
  </si>
  <si>
    <t>OPHT.8</t>
  </si>
  <si>
    <t>OPB.1.a.</t>
  </si>
  <si>
    <t>Chimicles &amp; Tikellis LLP; Cohon &amp; Pollak, LLP (local/liaison)</t>
  </si>
  <si>
    <t>OPB.1.b</t>
  </si>
  <si>
    <t>OPB.2</t>
  </si>
  <si>
    <t>Cohen Milstein Sellers &amp; Toll PLLC; Glancy &amp; Binkow LLP (local/liaison)</t>
  </si>
  <si>
    <t>Gregg E. Monette</t>
  </si>
  <si>
    <t>OPB.3.a</t>
  </si>
  <si>
    <t>Johnson &amp; Weaver LLP</t>
  </si>
  <si>
    <t>Eileen L. Loustau</t>
  </si>
  <si>
    <t>OPB.3.b</t>
  </si>
  <si>
    <t>OPB.4</t>
  </si>
  <si>
    <t>OA.1</t>
  </si>
  <si>
    <t>Kessler Topaz  Meltzer &amp; Check, LLP; Labaton Sucharow LLP; Law Offices of Susan R. Podolsky (local/liaison)</t>
  </si>
  <si>
    <t>John Kim</t>
  </si>
  <si>
    <t>OA.2.a</t>
  </si>
  <si>
    <t>Pomerantz LLP; Bronstein, Gewirtz &amp; Grossman, LLC (local/liaison)Cohen Milstein Sellers &amp; Toll PLLC (local/liaison)</t>
  </si>
  <si>
    <t>Christopher B. Cooper</t>
  </si>
  <si>
    <t>OA.2.b</t>
  </si>
  <si>
    <t>OA.3</t>
  </si>
  <si>
    <t>Robbins, Geller, Rudman &amp; Dowd, LLP; Law Offices of Craig C. Reilly (local/liaison)</t>
  </si>
  <si>
    <t>Osiris Therapeutics, Inc.</t>
  </si>
  <si>
    <t>11/23/2015</t>
  </si>
  <si>
    <t>Cole Bryant Travis</t>
  </si>
  <si>
    <t>OSIR.1.a</t>
  </si>
  <si>
    <t>Bronstein, Gewirtz &amp; Grossman, LLC; Whiteford, Taylor and Preston (local/liaison)</t>
  </si>
  <si>
    <t>Arnold Hastings</t>
  </si>
  <si>
    <t>OSIR.1.b</t>
  </si>
  <si>
    <t>Kenneth R. Travis</t>
  </si>
  <si>
    <t>OSIR.1.c</t>
  </si>
  <si>
    <t>Hanspeter Strebel</t>
  </si>
  <si>
    <t>OSIR.1.d</t>
  </si>
  <si>
    <t>Kiran Kumar Nallagonda</t>
  </si>
  <si>
    <t>OSIR.1.e</t>
  </si>
  <si>
    <t>Dr. Raffy Mirzayan</t>
  </si>
  <si>
    <t>OSIR.2</t>
  </si>
  <si>
    <t>Hagens Berman Sobol Shapiro LLP; Hirschler Fleischer, P.C. (local/liaison)</t>
  </si>
  <si>
    <t>Outerwall, Inc.</t>
  </si>
  <si>
    <t>Mark Rudd</t>
  </si>
  <si>
    <t>OUTR.1</t>
  </si>
  <si>
    <t>Robbins, Geller, Rudman &amp; Dowd, LLP; Johnson &amp; Weaver LLP (local/liaison)Stritmatter Kessler Whelan Koehler Moore Kahler (local/liaison)</t>
  </si>
  <si>
    <t>Syed Abbas</t>
  </si>
  <si>
    <t>OUTR.2</t>
  </si>
  <si>
    <t>WeissLaw, LLP; Breskin Johnson &amp; Townsend PLLC (local/liaison)</t>
  </si>
  <si>
    <t>OvaScience, Inc.</t>
  </si>
  <si>
    <t>05/26/2017</t>
  </si>
  <si>
    <t>Fadi Dahhan</t>
  </si>
  <si>
    <t>Freedman Family Investments LLC</t>
  </si>
  <si>
    <t>Robbins, Geller, Rudman &amp; Dowd, LLP; Law Office of Alan L. Kovacs (local/liaison)</t>
  </si>
  <si>
    <t>Party City Holdco, Inc.</t>
  </si>
  <si>
    <t>11/18/2015</t>
  </si>
  <si>
    <t>M. Erik Meinholz</t>
  </si>
  <si>
    <t>PRTY.1</t>
  </si>
  <si>
    <t>Kessler Topaz  Meltzer &amp; Check, LLP; Johnson &amp; Weaver LLP (local/liaison)</t>
  </si>
  <si>
    <t>William H. Crook</t>
  </si>
  <si>
    <t>PRTY.2</t>
  </si>
  <si>
    <t>Edwin Brotemarkle</t>
  </si>
  <si>
    <t>PRTY.3.a</t>
  </si>
  <si>
    <t>Florence Redmond</t>
  </si>
  <si>
    <t>PRTY.3.b</t>
  </si>
  <si>
    <t>Patriot National, Inc.</t>
  </si>
  <si>
    <t>Barry A. Smith</t>
  </si>
  <si>
    <t>PN.1.a</t>
  </si>
  <si>
    <t>Berger &amp; Montague, P.C.; Bronstein, Gewirtz &amp; Grossman, LLC</t>
  </si>
  <si>
    <t>Sunil Shah</t>
  </si>
  <si>
    <t>PN.1.b</t>
  </si>
  <si>
    <t>Brian Gomes</t>
  </si>
  <si>
    <t>PN.2.a</t>
  </si>
  <si>
    <t>Bragar Eagel &amp; Squire, PC</t>
  </si>
  <si>
    <t>James Maguire</t>
  </si>
  <si>
    <t>PN.2.b</t>
  </si>
  <si>
    <t>Kevin Ross</t>
  </si>
  <si>
    <t>PN.2.c</t>
  </si>
  <si>
    <t>ODS Capital LLC</t>
  </si>
  <si>
    <t>PN.3</t>
  </si>
  <si>
    <t>Elena Brescia</t>
  </si>
  <si>
    <t>PN.4.a</t>
  </si>
  <si>
    <t>Kathleen Brescia</t>
  </si>
  <si>
    <t>PN.4.b</t>
  </si>
  <si>
    <t>Raymond Brescia</t>
  </si>
  <si>
    <t>PN.4.c</t>
  </si>
  <si>
    <t>Pattern Energy Group, Inc.</t>
  </si>
  <si>
    <t>01/10/2017</t>
  </si>
  <si>
    <t>Robert Kezer</t>
  </si>
  <si>
    <t>PEGI.1.a</t>
  </si>
  <si>
    <t>Frank Rowe Michels</t>
  </si>
  <si>
    <t>PEGI.1.b</t>
  </si>
  <si>
    <t>PayPal Holdings, Inc.</t>
  </si>
  <si>
    <t>12/28/2016</t>
  </si>
  <si>
    <t>Vera Anderson</t>
  </si>
  <si>
    <t>Sheck Kwai Cho</t>
  </si>
  <si>
    <t>Tianxiong Jiang</t>
  </si>
  <si>
    <t>Pearson plc</t>
  </si>
  <si>
    <t>Manuel Martin</t>
  </si>
  <si>
    <t>PSO.1.a</t>
  </si>
  <si>
    <t>Sharon Finger</t>
  </si>
  <si>
    <t>PSO.1.b</t>
  </si>
  <si>
    <t>Kurt Peterschmidt</t>
  </si>
  <si>
    <t>PSO.2</t>
  </si>
  <si>
    <t>Juan Francisco Gonzalez Nieves</t>
  </si>
  <si>
    <t>PSG.1</t>
  </si>
  <si>
    <t>PSG.2</t>
  </si>
  <si>
    <t>Cohen Milstein Sellers &amp; Toll PLLC; O'Donoghue &amp; O'Donoghue LLP (local/liaison)</t>
  </si>
  <si>
    <t>Atudot Pension Fund for Employees and Independents Ltd.</t>
  </si>
  <si>
    <t>PRGO.1.a</t>
  </si>
  <si>
    <t>G-ins</t>
  </si>
  <si>
    <t>Clal Pension &amp; Provident Fund Ltd.</t>
  </si>
  <si>
    <t>PRGO.1.b</t>
  </si>
  <si>
    <t>PRGO.1.c</t>
  </si>
  <si>
    <t>Clal Insurance Ltd.</t>
  </si>
  <si>
    <t>PRGO.1.d</t>
  </si>
  <si>
    <t>Migdal Insurance Company Ltd.</t>
  </si>
  <si>
    <t>PRGO.1.e</t>
  </si>
  <si>
    <t>Migdal Makefet Pension and Provident Funds Ltd.</t>
  </si>
  <si>
    <t>PRGO.1.f</t>
  </si>
  <si>
    <t>PRGO.2</t>
  </si>
  <si>
    <t>Harel Insurance Company Ltd.</t>
  </si>
  <si>
    <t>PRGO.3</t>
  </si>
  <si>
    <t>PRGO.4</t>
  </si>
  <si>
    <t>Safirstein Metcalf LLP; Kantrowitz, Goldhamer &amp; Graifman (local/liaison)</t>
  </si>
  <si>
    <t>Pilgrim's Pride Corporation</t>
  </si>
  <si>
    <t>12/19/2016</t>
  </si>
  <si>
    <t>George James Fuller</t>
  </si>
  <si>
    <t>PPC.1</t>
  </si>
  <si>
    <t>Kahn Swick &amp; Foti, LLC; The Shuman Law Firm (local/liaison)</t>
  </si>
  <si>
    <t>Stewart Marcantoni</t>
  </si>
  <si>
    <t>PPC.2.a</t>
  </si>
  <si>
    <t>William Mauney</t>
  </si>
  <si>
    <t>PPC.2.b</t>
  </si>
  <si>
    <t>Susan Nash</t>
  </si>
  <si>
    <t>PPC.2.c</t>
  </si>
  <si>
    <t>William DiSalvio</t>
  </si>
  <si>
    <t>PPC.2.d</t>
  </si>
  <si>
    <t>Peter Hong</t>
  </si>
  <si>
    <t>PPC.2.e</t>
  </si>
  <si>
    <t>PixarBio Corporation fka BMP Holdings, Inc.</t>
  </si>
  <si>
    <t>Marvin and Jacqueline Becker</t>
  </si>
  <si>
    <t>PXRB.1</t>
  </si>
  <si>
    <t>Mark Allen</t>
  </si>
  <si>
    <t>PXRB.2.a</t>
  </si>
  <si>
    <t>Salvatore Rappa</t>
  </si>
  <si>
    <t>PXRB.2.b</t>
  </si>
  <si>
    <t>Moeed Azam</t>
  </si>
  <si>
    <t>PXRB.2.c</t>
  </si>
  <si>
    <t>PJT Partners Inc.</t>
  </si>
  <si>
    <t>04/15/2016</t>
  </si>
  <si>
    <t>06/14/2016</t>
  </si>
  <si>
    <t>Gregory G. Barrett</t>
  </si>
  <si>
    <t>PJT.1</t>
  </si>
  <si>
    <t>Platform Specialty Products Corporation</t>
  </si>
  <si>
    <t>03/30/2016</t>
  </si>
  <si>
    <t>Stephen Watson</t>
  </si>
  <si>
    <t>PAH.1</t>
  </si>
  <si>
    <t>Mukesh Patel</t>
  </si>
  <si>
    <t>PAH.2</t>
  </si>
  <si>
    <t>Platinum Pari-Mutuel Holdings, Inc.</t>
  </si>
  <si>
    <t>Daniel Johnson</t>
  </si>
  <si>
    <t>PPMH.1.a</t>
  </si>
  <si>
    <t>Jason Fessler</t>
  </si>
  <si>
    <t>PPMH.1.b</t>
  </si>
  <si>
    <t>Rock Hall</t>
  </si>
  <si>
    <t>PPMH.1.c</t>
  </si>
  <si>
    <t>Lycoming County Employees Retirement System</t>
  </si>
  <si>
    <t>PII.1.a</t>
  </si>
  <si>
    <t>PII.1.b</t>
  </si>
  <si>
    <t>Seepersaud and Kowsilla Surooj</t>
  </si>
  <si>
    <t>PII.2</t>
  </si>
  <si>
    <t>Glancy Prongay &amp; Murray, LLP; Law Offices of Howard G. Smith (local/liaison)Zimmerman Reed, PLLP (local/liaison)</t>
  </si>
  <si>
    <t>Robert Bonner</t>
  </si>
  <si>
    <t>PII.3.a</t>
  </si>
  <si>
    <t>Pomerantz LLP; The Rosen Law Firm, P.A.; Lockridge, Grindal, Nauen, PLLP (local/liaison)</t>
  </si>
  <si>
    <t>David Brown</t>
  </si>
  <si>
    <t>PII.3.b</t>
  </si>
  <si>
    <t>Jerry and Julie Ambrosius</t>
  </si>
  <si>
    <t>PII.3.c</t>
  </si>
  <si>
    <t>Interstate Research &amp; Development Corp.</t>
  </si>
  <si>
    <t>PII.3.d</t>
  </si>
  <si>
    <t>PII.4</t>
  </si>
  <si>
    <t>Robbins, Geller, Rudman &amp; Dowd, LLP; Hellmuth &amp; Johnson, PLLC (local/liaison)</t>
  </si>
  <si>
    <t>Power Solutions International, Inc.</t>
  </si>
  <si>
    <t>08/22/2016</t>
  </si>
  <si>
    <t>Richard Giunta</t>
  </si>
  <si>
    <t>PSIX.1</t>
  </si>
  <si>
    <t>Glancy Prongay &amp; Murray, LLP; Lawrence, Kamin, Saunders &amp; Uhlenhop LLC (local/liaison)</t>
  </si>
  <si>
    <t>David P. Leibowitz</t>
  </si>
  <si>
    <t>PSIX.2.a</t>
  </si>
  <si>
    <t>Alexander Shmidt</t>
  </si>
  <si>
    <t>PSIX.2.b</t>
  </si>
  <si>
    <t>Angela Lohmann, as Trustee for the Angela Lohmann Revocable Trust</t>
  </si>
  <si>
    <t>PCP.1.a</t>
  </si>
  <si>
    <t>Berger &amp; Montague, P.C.; Robbins, Geller, Rudman &amp; Dowd, LLP; Cavanagh &amp; O'Hara (local/liaison)Stoll Stoll Berne Lokting &amp; Schlachter P.C. (local/liaison)</t>
  </si>
  <si>
    <t>PCP.1.b</t>
  </si>
  <si>
    <t>PCP.2.a</t>
  </si>
  <si>
    <t>Kessler Topaz  Meltzer &amp; Check, LLP; Labaton Sucharow LLP; Garvey Schubert Barer (local/liaison)</t>
  </si>
  <si>
    <t>PCP.2.b</t>
  </si>
  <si>
    <t>PCP.3</t>
  </si>
  <si>
    <t>Motley Rice LLC; Black Helterline LLP (local/liaison)</t>
  </si>
  <si>
    <t>Primero Mining Corporation</t>
  </si>
  <si>
    <t>02/15/2016</t>
  </si>
  <si>
    <t>Robert E. Cook, as trustee of The Robert E. Cook and Paula J. Brooks Living Trust</t>
  </si>
  <si>
    <t>PPP.1.a</t>
  </si>
  <si>
    <t>Royal Wulff Ventures, LLC</t>
  </si>
  <si>
    <t>PPP.1.b</t>
  </si>
  <si>
    <t>Rolando Corona  Podesta</t>
  </si>
  <si>
    <t>PPP.2</t>
  </si>
  <si>
    <t>David Guiness</t>
  </si>
  <si>
    <t>PPP.3</t>
  </si>
  <si>
    <t>Seymor Mondshein</t>
  </si>
  <si>
    <t>PPP.4.a</t>
  </si>
  <si>
    <t>David Greenwald</t>
  </si>
  <si>
    <t>PPP.4.b</t>
  </si>
  <si>
    <t>Paul Graf</t>
  </si>
  <si>
    <t>PPP.5</t>
  </si>
  <si>
    <t>Robbins, Geller, Rudman &amp; Dowd, LLP; Law Offices of Marc Henzel (local/liaison)</t>
  </si>
  <si>
    <t>DNAI.1.a</t>
  </si>
  <si>
    <t>Mindy Frost</t>
  </si>
  <si>
    <t>DNAI.1.b</t>
  </si>
  <si>
    <t>Yeshan Jagroo</t>
  </si>
  <si>
    <t>DNAI.1.c</t>
  </si>
  <si>
    <t>Psychemedics Corporation</t>
  </si>
  <si>
    <t>John Parrish</t>
  </si>
  <si>
    <t>PMD.1.a</t>
  </si>
  <si>
    <t>Bragar Eagel &amp; Squire, PC; Glancy Prongay &amp; Murray, LLP; Levi &amp; Korsinsky, LLP (local/liaison)</t>
  </si>
  <si>
    <t>Alain Couet</t>
  </si>
  <si>
    <t>PMD.1.b</t>
  </si>
  <si>
    <t>Brandon Weyer</t>
  </si>
  <si>
    <t>PMD.1.c</t>
  </si>
  <si>
    <t>Paul McBride</t>
  </si>
  <si>
    <t>PMD.1.d</t>
  </si>
  <si>
    <t>Frank DAmbrosio</t>
  </si>
  <si>
    <t>PMD.1.e</t>
  </si>
  <si>
    <t>Mary Kathleen Hermann</t>
  </si>
  <si>
    <t>PMD.2</t>
  </si>
  <si>
    <t>Holzer &amp; Holzer, LLC; Pomerantz LLP; Hutchings, Barsamian, Mandelcorn, LLP (local/liaison)</t>
  </si>
  <si>
    <t>PTC Inc.</t>
  </si>
  <si>
    <t>05/06/2016</t>
  </si>
  <si>
    <t>Matthew Crandall</t>
  </si>
  <si>
    <t>PTC.1</t>
  </si>
  <si>
    <t>John Cocchiara</t>
  </si>
  <si>
    <t>PTCT.1.a</t>
  </si>
  <si>
    <t>Jonathan Rand</t>
  </si>
  <si>
    <t>PTCT.1.b</t>
  </si>
  <si>
    <t>David Beyers</t>
  </si>
  <si>
    <t>PTCT.1.c</t>
  </si>
  <si>
    <t>PTCT.2</t>
  </si>
  <si>
    <t>PTCT.3</t>
  </si>
  <si>
    <t>Labaton Sucharow LLP; Carella, Byrne, Cecchi, Olstein, Brody &amp; Agnello P.C. (local/liaison)</t>
  </si>
  <si>
    <t>John Nguyen</t>
  </si>
  <si>
    <t>PTCT.4.a</t>
  </si>
  <si>
    <t>Si Tan Nguyen Trust</t>
  </si>
  <si>
    <t>PTCT.4.b</t>
  </si>
  <si>
    <t>Hong-Luu Nguyen</t>
  </si>
  <si>
    <t>PTCT.4.c</t>
  </si>
  <si>
    <t>Si Nguyen</t>
  </si>
  <si>
    <t>PTCT.4.d</t>
  </si>
  <si>
    <t>PTCT.5.a</t>
  </si>
  <si>
    <t>Motley Rice LLC; Seeger Weiss LLP (local/liaison)</t>
  </si>
  <si>
    <t>General Retirement System of the City of Detroit</t>
  </si>
  <si>
    <t>PTCT.5.b</t>
  </si>
  <si>
    <t>Dieter Gotte</t>
  </si>
  <si>
    <t>PTCT.6</t>
  </si>
  <si>
    <t>Wen Hua Realtor, Inc.</t>
  </si>
  <si>
    <t>PTCT.7</t>
  </si>
  <si>
    <t>Kessler Topaz  Meltzer &amp; Check, LLP; Labaton Sucharow LLP; Johnson &amp; Weaver LLP (local/liaison)</t>
  </si>
  <si>
    <t>Jeffrey Frantz</t>
  </si>
  <si>
    <t>Motley Rice LLC; Glancy Prongay &amp; Murray, LLP (local/liaison)</t>
  </si>
  <si>
    <t>Alice Feldman</t>
  </si>
  <si>
    <t>Ruth Meyer</t>
  </si>
  <si>
    <t>Philip Stahl</t>
  </si>
  <si>
    <t>Rasesh Shah</t>
  </si>
  <si>
    <t>Quorum Health Corporation</t>
  </si>
  <si>
    <t>IBEW 673 Pension Plan</t>
  </si>
  <si>
    <t>QHC.1</t>
  </si>
  <si>
    <t>Barrett Johnston Martin &amp; Garrison, LLC; Robbins, Geller, Rudman &amp; Dowd, LLP; Macala &amp; Piatt, LLC (local/liaison)</t>
  </si>
  <si>
    <t>Mitch Mongell</t>
  </si>
  <si>
    <t>QHC.2</t>
  </si>
  <si>
    <t>Glancy Prongay &amp; Murray, LLP; Davies, Humphreys &amp; Reese (local/liaison)</t>
  </si>
  <si>
    <t>Zwick Partners LP</t>
  </si>
  <si>
    <t>QHC.3</t>
  </si>
  <si>
    <t>Goldberg Law PC; Pomerantz LLP; Bramlett Law Offices (local/liaison)</t>
  </si>
  <si>
    <t>Manzoor Bevinal</t>
  </si>
  <si>
    <t>QHC.4</t>
  </si>
  <si>
    <t>Johnson &amp; Weaver LLP; Gilbert Russell McWherter Scott &amp; Bobbitt PLC (local/liaison)</t>
  </si>
  <si>
    <t>Koh Beng Yan</t>
  </si>
  <si>
    <t>QHC.5</t>
  </si>
  <si>
    <t>Regulus Therapeutics Inc.</t>
  </si>
  <si>
    <t>Michael Spitters</t>
  </si>
  <si>
    <t>RGLS.1.a</t>
  </si>
  <si>
    <t>Mark Appel</t>
  </si>
  <si>
    <t>RGLS.1.b</t>
  </si>
  <si>
    <t>Sheng Wang</t>
  </si>
  <si>
    <t>RGLS.2.a</t>
  </si>
  <si>
    <t>Liying Donchez</t>
  </si>
  <si>
    <t>RGLS.2.b</t>
  </si>
  <si>
    <t>Joseph Buscema</t>
  </si>
  <si>
    <t>RGLS.2.c</t>
  </si>
  <si>
    <t>RCII.1</t>
  </si>
  <si>
    <t>Abraham, Fruchter &amp; Twersky, LLP; Susman Godfrey, L.L.P. (local/liaison)</t>
  </si>
  <si>
    <t>Larry Adams</t>
  </si>
  <si>
    <t>RCII.2.a</t>
  </si>
  <si>
    <t>Alan Hall</t>
  </si>
  <si>
    <t>RCII.2.b</t>
  </si>
  <si>
    <t>RCII.3</t>
  </si>
  <si>
    <t>Labaton Sucharow LLP; Hicks Davis Wynn, PC (local/liaison)</t>
  </si>
  <si>
    <t>District No. 9, I.A. of M. &amp; A.W. Pension Trust</t>
  </si>
  <si>
    <t>RCII.4</t>
  </si>
  <si>
    <t>James DePalma</t>
  </si>
  <si>
    <t>RCII.5.a</t>
  </si>
  <si>
    <t>The Rosen Law Firm, P.A.; Pomerantz LLP (local/liaison)Steckler Gresham Cochran (local/liaison)</t>
  </si>
  <si>
    <t>Carl Miceli</t>
  </si>
  <si>
    <t>RCII.5.b</t>
  </si>
  <si>
    <t>Dominic Miceli</t>
  </si>
  <si>
    <t>Rentech, Inc.</t>
  </si>
  <si>
    <t>02/22/2017</t>
  </si>
  <si>
    <t>04/24/2017</t>
  </si>
  <si>
    <t>Ichiro Ilkuno</t>
  </si>
  <si>
    <t>RTK.1</t>
  </si>
  <si>
    <t>Anton Shaigne</t>
  </si>
  <si>
    <t>RTK.2.a</t>
  </si>
  <si>
    <t>Jeffrey Romenesko</t>
  </si>
  <si>
    <t>RTK.2.b</t>
  </si>
  <si>
    <t>Daniel McDermott</t>
  </si>
  <si>
    <t>RTK.2.c</t>
  </si>
  <si>
    <t>ReWalk Robotics, Ltd.</t>
  </si>
  <si>
    <t>Paul Sislin</t>
  </si>
  <si>
    <t>RWLK.1.a</t>
  </si>
  <si>
    <t>Gardy &amp; Notis, LLP; Block &amp; Leviton LLP (local/liaison)</t>
  </si>
  <si>
    <t>Jackie888, Inc.</t>
  </si>
  <si>
    <t>RWLK.1.b</t>
  </si>
  <si>
    <t>Michael C. Kemmerling</t>
  </si>
  <si>
    <t>RWLK.1.c</t>
  </si>
  <si>
    <t>David Hershlikovitz</t>
  </si>
  <si>
    <t>RWLK.1.d</t>
  </si>
  <si>
    <t>Donald Rolland</t>
  </si>
  <si>
    <t>RWLK.1.e</t>
  </si>
  <si>
    <t>Wang Yan</t>
  </si>
  <si>
    <t>Pomerantz LLP; Shapiro Haber &amp; Urmy LLP (local/liaison)</t>
  </si>
  <si>
    <t>RH.1.a</t>
  </si>
  <si>
    <t>RH.1.b</t>
  </si>
  <si>
    <t>Kalpesh Patel</t>
  </si>
  <si>
    <t>RH.2</t>
  </si>
  <si>
    <t>Kristen Hulaj</t>
  </si>
  <si>
    <t>RH.3.a</t>
  </si>
  <si>
    <t>Blair Hulaj</t>
  </si>
  <si>
    <t>RH.3.b</t>
  </si>
  <si>
    <t>Henrietta Hulaj</t>
  </si>
  <si>
    <t>RH.3.c</t>
  </si>
  <si>
    <t>Steven Hulaj</t>
  </si>
  <si>
    <t>RH.3.d</t>
  </si>
  <si>
    <t>RH.4</t>
  </si>
  <si>
    <t>Rio Tinto PLC</t>
  </si>
  <si>
    <t>Puranjay Das</t>
  </si>
  <si>
    <t>RiT Technologies Ltd.</t>
  </si>
  <si>
    <t>07/28/2016</t>
  </si>
  <si>
    <t>Hershel Smilovich</t>
  </si>
  <si>
    <t>RITT.1.a</t>
  </si>
  <si>
    <t>Martin Smilovich</t>
  </si>
  <si>
    <t>RITT.1.b</t>
  </si>
  <si>
    <t>Theodore P. Ivanco</t>
  </si>
  <si>
    <t>RITT.2</t>
  </si>
  <si>
    <t>Stephen Padgett</t>
  </si>
  <si>
    <t>RITT.3</t>
  </si>
  <si>
    <t>Rite Aid Corporation</t>
  </si>
  <si>
    <t>Pennsylvania Middle District Court</t>
  </si>
  <si>
    <t>02/22/2016</t>
  </si>
  <si>
    <t>Don Michael Hussey</t>
  </si>
  <si>
    <t>RAD.1.a</t>
  </si>
  <si>
    <t>Robbins, Geller, Rudman &amp; Dowd, LLP; Hagens Berman Sobol Shapiro LLP (local/liaison)</t>
  </si>
  <si>
    <t>Jerry Herring</t>
  </si>
  <si>
    <t>RAD.1.b</t>
  </si>
  <si>
    <t>Joanna Pauli Hussey</t>
  </si>
  <si>
    <t>RAD.1.c</t>
  </si>
  <si>
    <t>RRTS.1</t>
  </si>
  <si>
    <t>Bryan Reifsnyder</t>
  </si>
  <si>
    <t>RRTS.2</t>
  </si>
  <si>
    <t>Kahn Swick &amp; Foti, LLC; Wagner Law Group, S.C. (local/liaison)</t>
  </si>
  <si>
    <t>Armin Leuze</t>
  </si>
  <si>
    <t>RRTS.3</t>
  </si>
  <si>
    <t>Pomerantz LLP; Ademi &amp; O'Reilly, LLP (local/liaison)Goldberg Law PC (local/liaison)</t>
  </si>
  <si>
    <t>Michael Easley</t>
  </si>
  <si>
    <t>RRTS.4</t>
  </si>
  <si>
    <t>The Rosen Law Firm, P.A.; Ademi &amp; O'Reilly, LLP (local/liaison)</t>
  </si>
  <si>
    <t>Rockwell Medical, Inc.</t>
  </si>
  <si>
    <t>Earl McCrary</t>
  </si>
  <si>
    <t>Douglas Benkowski</t>
  </si>
  <si>
    <t>Dmitriy Chatskiy</t>
  </si>
  <si>
    <t>Ruby Tuesday, Inc.</t>
  </si>
  <si>
    <t>John Grant-Dooley</t>
  </si>
  <si>
    <t>RT.1</t>
  </si>
  <si>
    <t>Alessandro Jacob</t>
  </si>
  <si>
    <t>RT.2</t>
  </si>
  <si>
    <t>Ruckus Wireless, Inc.</t>
  </si>
  <si>
    <t>City of Pontiac General Employees Retirement System</t>
  </si>
  <si>
    <t>RKUS.1</t>
  </si>
  <si>
    <t>Robbins, Geller, Rudman &amp; Dowd, LLP; Andrews &amp; Springer, LLC (local/liaison)Sullivan, Ward, Asher &amp; Patton, P.C. (local/liaison)</t>
  </si>
  <si>
    <t>Samarco Mineracao S.A.</t>
  </si>
  <si>
    <t>Banco Safra S.A. - Cayman Islands Branch</t>
  </si>
  <si>
    <t>Sanderson Farms, Inc.</t>
  </si>
  <si>
    <t>10/28/2016</t>
  </si>
  <si>
    <t>Don Pritchard</t>
  </si>
  <si>
    <t>SAFM.1.a</t>
  </si>
  <si>
    <t>Gordon Gamm</t>
  </si>
  <si>
    <t>SAFM.1.b</t>
  </si>
  <si>
    <t>Santander Consumer USA Holdings Inc.</t>
  </si>
  <si>
    <t>Cynthia A. Parmelee</t>
  </si>
  <si>
    <t>SC.1</t>
  </si>
  <si>
    <t>Glancy Prongay &amp; Murray, LLP; The Briscoe Law Firm, PLLC (local/liaison)</t>
  </si>
  <si>
    <t>Kelly Baxley</t>
  </si>
  <si>
    <t>SC.2</t>
  </si>
  <si>
    <t>The Rosen Law Firm, P.A.; Gresham PC (local/liaison)</t>
  </si>
  <si>
    <t>Scynexis, Inc.</t>
  </si>
  <si>
    <t>03/08/2017</t>
  </si>
  <si>
    <t>Boussad Baguenane</t>
  </si>
  <si>
    <t>SCYX.1</t>
  </si>
  <si>
    <t>Seattle Genetics, Inc.</t>
  </si>
  <si>
    <t>Carl Johnson</t>
  </si>
  <si>
    <t>SGEN.1</t>
  </si>
  <si>
    <t>Sempra Energy</t>
  </si>
  <si>
    <t>Stephen Graham</t>
  </si>
  <si>
    <t>SRE.1</t>
  </si>
  <si>
    <t>Richard Berkowitz</t>
  </si>
  <si>
    <t>Sequenom, Inc.</t>
  </si>
  <si>
    <t>Shikha Gupta</t>
  </si>
  <si>
    <t>SQNM.1</t>
  </si>
  <si>
    <t>Faruqi &amp; Faruqi, LLP; Levi &amp; Korsinsky, LLP; Monteverde &amp; Associates PC</t>
  </si>
  <si>
    <t>James Reilly</t>
  </si>
  <si>
    <t>SQNM.2</t>
  </si>
  <si>
    <t>Fred Fesel</t>
  </si>
  <si>
    <t>MCRB.1.a</t>
  </si>
  <si>
    <t>Cohen Milstein Sellers &amp; Toll PLLC; Hagens Berman Sobol Shapiro LLP</t>
  </si>
  <si>
    <t>G-mix</t>
  </si>
  <si>
    <t>Richard and Christine Kennedy</t>
  </si>
  <si>
    <t>MCRB.1.b</t>
  </si>
  <si>
    <t>Oklahoma Law Enforcement Retirement System</t>
  </si>
  <si>
    <t>MCRB.1.c</t>
  </si>
  <si>
    <t>Dariusz Lazarczyk</t>
  </si>
  <si>
    <t>MCRB.2</t>
  </si>
  <si>
    <t>Glancy Prongay &amp; Murray, LLP; Kenneth Reich Law, LLC (local/liaison)</t>
  </si>
  <si>
    <t>MCRB.3</t>
  </si>
  <si>
    <t>Steven Taylor</t>
  </si>
  <si>
    <t>MCRB.4</t>
  </si>
  <si>
    <t>The Rosen Law Firm, P.A.; Mirabella Law, LLC (local/liaison)</t>
  </si>
  <si>
    <t>Signet Jewelers Limited</t>
  </si>
  <si>
    <t>Susan Dube</t>
  </si>
  <si>
    <t>SIG.1.a</t>
  </si>
  <si>
    <t>Lyubomir Spasov</t>
  </si>
  <si>
    <t>SIG.1.b</t>
  </si>
  <si>
    <t>Sito Mobile Ltd.</t>
  </si>
  <si>
    <t>Pinnacle Opportunities Fund, LP</t>
  </si>
  <si>
    <t>SITO.1.a</t>
  </si>
  <si>
    <t>Red Oak Fund, LP</t>
  </si>
  <si>
    <t>SITO.1.b</t>
  </si>
  <si>
    <t>The Red Oak Institutional Founders Long Fund</t>
  </si>
  <si>
    <t>SITO.1.c</t>
  </si>
  <si>
    <t>The Red Oak Long Fund LP</t>
  </si>
  <si>
    <t>SITO.1.d</t>
  </si>
  <si>
    <t>Sizmek, Inc.</t>
  </si>
  <si>
    <t>Joseph Burns</t>
  </si>
  <si>
    <t>SZMK.1</t>
  </si>
  <si>
    <t>Faruqi &amp; Faruqi, LLP; Monteverde &amp; Associates PC; Edwards Sutarwalla PLLC (local/liaison)</t>
  </si>
  <si>
    <t>Skullcandy, Inc.</t>
  </si>
  <si>
    <t>Marjorie B. Oswald</t>
  </si>
  <si>
    <t>USK.1.a</t>
  </si>
  <si>
    <t>Ryan &amp; Maniskas, LLP; Saxena White P.A.; Cohne Kinghorn, P.C. (local/liaison)</t>
  </si>
  <si>
    <t>Margaret K. Peterson</t>
  </si>
  <si>
    <t>USK.1.b</t>
  </si>
  <si>
    <t>SCTY.1</t>
  </si>
  <si>
    <t>Neil Jubitz</t>
  </si>
  <si>
    <t>SCTY.2.a</t>
  </si>
  <si>
    <t>Richard Flynn</t>
  </si>
  <si>
    <t>SCTY.2.b</t>
  </si>
  <si>
    <t>Frank Fish</t>
  </si>
  <si>
    <t>SCTY.3</t>
  </si>
  <si>
    <t>Newman Ferrara LLP; Schubert Jonckheer &amp; Kolbe LLP</t>
  </si>
  <si>
    <t>SolarWinds, Inc.</t>
  </si>
  <si>
    <t>12/28/2015</t>
  </si>
  <si>
    <t>John Thomas Moore Rollover IRA</t>
  </si>
  <si>
    <t>SWI.1</t>
  </si>
  <si>
    <t>Robbins, Geller, Rudman &amp; Dowd, LLP; Boulette Golden &amp; Marin L.L.P. (local/liaison)Law Offices of Marc Henzel (local/liaison)</t>
  </si>
  <si>
    <t>Spectrum Pharmaceuticals, Inc.</t>
  </si>
  <si>
    <t>Nevada District Court</t>
  </si>
  <si>
    <t>09/21/2016</t>
  </si>
  <si>
    <t>Anchorage Police &amp; Fire Retirement System</t>
  </si>
  <si>
    <t>SPPI.1</t>
  </si>
  <si>
    <t>Bleichmar Fonti &amp; Auld LLP; Cooksey, Toolen, Gage, Duffy &amp; Woog (local/liaison)</t>
  </si>
  <si>
    <t>Michael Bestwick</t>
  </si>
  <si>
    <t>SPPI.2.a</t>
  </si>
  <si>
    <t>Bronstein, Gewirtz &amp; Grossman, LLC; The Rosen Law Firm, P.A.; Leverty &amp; Associates Law CHTD (local/liaison)</t>
  </si>
  <si>
    <t>Mark Hawkins</t>
  </si>
  <si>
    <t>SPPI.2.b</t>
  </si>
  <si>
    <t>Starz</t>
  </si>
  <si>
    <t>11/09/2015</t>
  </si>
  <si>
    <t>Lucille Theroux</t>
  </si>
  <si>
    <t>STRZA.1</t>
  </si>
  <si>
    <t>Pierre Serge Bolduc</t>
  </si>
  <si>
    <t>STRZA.2</t>
  </si>
  <si>
    <t>State Street Corporation</t>
  </si>
  <si>
    <t>Marlene Konkoly</t>
  </si>
  <si>
    <t>STT.1</t>
  </si>
  <si>
    <t>Stemline Therapeutics, Inc.</t>
  </si>
  <si>
    <t>02/03/2017</t>
  </si>
  <si>
    <t>04/04/2017</t>
  </si>
  <si>
    <t>Kevin Doherty</t>
  </si>
  <si>
    <t>STML.1.a</t>
  </si>
  <si>
    <t>William Annis</t>
  </si>
  <si>
    <t>STML.1.b</t>
  </si>
  <si>
    <t>Marion Beeler</t>
  </si>
  <si>
    <t>STML.1.c</t>
  </si>
  <si>
    <t>Daljit Singh</t>
  </si>
  <si>
    <t>STML.2.a</t>
  </si>
  <si>
    <t>Adam Ludlow</t>
  </si>
  <si>
    <t>STML.2.b</t>
  </si>
  <si>
    <t>Kenneth Walsh</t>
  </si>
  <si>
    <t>STML.2.c</t>
  </si>
  <si>
    <t>SRCL.1</t>
  </si>
  <si>
    <t>Berman DeValerio; Pomerantz LLP (local/liaison)</t>
  </si>
  <si>
    <t>SRCL.2.a</t>
  </si>
  <si>
    <t>SRCL.2.b</t>
  </si>
  <si>
    <t>StoneMor Partners, L.P.</t>
  </si>
  <si>
    <t>Dennis Lively, Sr.</t>
  </si>
  <si>
    <t>STON.1.a</t>
  </si>
  <si>
    <t>Bragar Eagel &amp; Squire, PC; Levi &amp; Korsinsky, LLP; Pribanic &amp; Pribanic (local/liaison)</t>
  </si>
  <si>
    <t>Norman and Robin J. Machi</t>
  </si>
  <si>
    <t>STON.1.b</t>
  </si>
  <si>
    <t>Joseph K. Odenwald</t>
  </si>
  <si>
    <t>STON.1.c</t>
  </si>
  <si>
    <t>Alan M. Smith</t>
  </si>
  <si>
    <t>STON.1.d</t>
  </si>
  <si>
    <t>Harvey S. Wachman</t>
  </si>
  <si>
    <t>STON.1.e</t>
  </si>
  <si>
    <t>Patrick V. McGonigal.</t>
  </si>
  <si>
    <t>STON.2.a</t>
  </si>
  <si>
    <t>Frederick W. Knoch III</t>
  </si>
  <si>
    <t>STON.2.b</t>
  </si>
  <si>
    <t>William P. Carlton</t>
  </si>
  <si>
    <t>STON.2.c</t>
  </si>
  <si>
    <t>Barry Golden</t>
  </si>
  <si>
    <t>STON.2.d</t>
  </si>
  <si>
    <t>Ronald and Kristine Antoine</t>
  </si>
  <si>
    <t>STON.3</t>
  </si>
  <si>
    <t>Robert Crandall</t>
  </si>
  <si>
    <t>STON.4</t>
  </si>
  <si>
    <t>Barbara J. Wynn</t>
  </si>
  <si>
    <t>Group loss / DURA</t>
  </si>
  <si>
    <t>William L. Wynn</t>
  </si>
  <si>
    <t>Royal Estate Management, LLC</t>
  </si>
  <si>
    <t>STON.6.a</t>
  </si>
  <si>
    <t>Labaton Sucharow LLP; Kessler Topaz  Meltzer &amp; Check, LLP (local/liaison)</t>
  </si>
  <si>
    <t>Peter Fan</t>
  </si>
  <si>
    <t>STON.6.b</t>
  </si>
  <si>
    <t>Fremont Hotel, Inc.</t>
  </si>
  <si>
    <t>STON.6.c</t>
  </si>
  <si>
    <t>Harry Binder</t>
  </si>
  <si>
    <t>STON.7.a</t>
  </si>
  <si>
    <t>Alan Markowitz</t>
  </si>
  <si>
    <t>STON.7.b</t>
  </si>
  <si>
    <t>Joe K. Moore</t>
  </si>
  <si>
    <t>STON.7.c</t>
  </si>
  <si>
    <t>Leos Poklop</t>
  </si>
  <si>
    <t>STON.7.d</t>
  </si>
  <si>
    <t>Victor Lohman</t>
  </si>
  <si>
    <t>STON.7.e</t>
  </si>
  <si>
    <t>James W. Young</t>
  </si>
  <si>
    <t>STON.8</t>
  </si>
  <si>
    <t>The Weiser Law Firm, PC</t>
  </si>
  <si>
    <t>Jean Ray McCown</t>
  </si>
  <si>
    <t>STON.9.a</t>
  </si>
  <si>
    <t>Wolf Haldenstein Adler Freeman &amp; Herz LLP; Griesing Law, LLC (local/liaison)</t>
  </si>
  <si>
    <t>Irv Canter</t>
  </si>
  <si>
    <t>STON.9.b</t>
  </si>
  <si>
    <t>Elissa Crosby</t>
  </si>
  <si>
    <t>STON.9.c</t>
  </si>
  <si>
    <t>Robert Jarmon</t>
  </si>
  <si>
    <t>STON.9.d</t>
  </si>
  <si>
    <t>Lloyd Bracewell</t>
  </si>
  <si>
    <t>STON.9.e</t>
  </si>
  <si>
    <t>Straight Path Communications, Inc.</t>
  </si>
  <si>
    <t>Jeffrey Cole</t>
  </si>
  <si>
    <t>Robert Eth</t>
  </si>
  <si>
    <t>Leslie Axman</t>
  </si>
  <si>
    <t>George Folias</t>
  </si>
  <si>
    <t>Thomas Schonberg</t>
  </si>
  <si>
    <t>STRP.1</t>
  </si>
  <si>
    <t>Charles Frischer</t>
  </si>
  <si>
    <t>STRP.2</t>
  </si>
  <si>
    <t>Glancy Prongay &amp; Murray, LLP; Schnader Harrison Segal &amp; Lewis LLP (local/liaison)</t>
  </si>
  <si>
    <t>Peter Hopfe</t>
  </si>
  <si>
    <t>STRP.3</t>
  </si>
  <si>
    <t>Kessler Topaz  Meltzer &amp; Check, LLP; Seeger Weiss LLP (local/liaison)</t>
  </si>
  <si>
    <t>Municipal Employees Retirement System of Michigan</t>
  </si>
  <si>
    <t>SUNE.1</t>
  </si>
  <si>
    <t>Bernstein Litowitz Berger &amp; Grossmann LLP; Gray, Ritter &amp; Graham, P.C. (local/liaison)</t>
  </si>
  <si>
    <t>ins</t>
  </si>
  <si>
    <t>Steve Wiegele</t>
  </si>
  <si>
    <t>SUNE.2.a</t>
  </si>
  <si>
    <t>Gardy &amp; Notis, LLP; Carey, Danis &amp; Lowe (local/liaison)</t>
  </si>
  <si>
    <t>Scott Kroeker</t>
  </si>
  <si>
    <t>SUNE.2.b</t>
  </si>
  <si>
    <t>Al Zecher</t>
  </si>
  <si>
    <t>SUNE.3.a</t>
  </si>
  <si>
    <t>Hagens Berman Sobol Shapiro LLP; Stueve Siegel Hanson LLP (local/liaison)</t>
  </si>
  <si>
    <t>Richard N. Zecher 2010 Family Trust</t>
  </si>
  <si>
    <t>SUNE.3.b</t>
  </si>
  <si>
    <t>Zech Capital LLC</t>
  </si>
  <si>
    <t>SUNE.3.c</t>
  </si>
  <si>
    <t>Andrew C. Newman</t>
  </si>
  <si>
    <t>SUNE.4</t>
  </si>
  <si>
    <t>Levi &amp; Korsinsky, LLP; Swanson Midgley LLC (local/liaison)</t>
  </si>
  <si>
    <t>SUNE.5.a</t>
  </si>
  <si>
    <t>Motley Rice LLC; Simmons Hanly Conroy (local/liaison)</t>
  </si>
  <si>
    <t>SUNE.5.b</t>
  </si>
  <si>
    <t>Victoriano V. Fernandez</t>
  </si>
  <si>
    <t>SUNE.6.a</t>
  </si>
  <si>
    <t>Pomerantz LLP; Cuneo, Gilbert &amp; LaDuca, LLP (local/liaison)Goldberg Law PC (local/liaison)</t>
  </si>
  <si>
    <t>Jerome Thissen</t>
  </si>
  <si>
    <t>SUNE.6.b</t>
  </si>
  <si>
    <t>Cameron Braithwaite</t>
  </si>
  <si>
    <t>SUNE.6.c</t>
  </si>
  <si>
    <t>Kim Kyung Boum</t>
  </si>
  <si>
    <t>SUNE.6.d</t>
  </si>
  <si>
    <t>Ankur Dadoo</t>
  </si>
  <si>
    <t>SUNE.6.e</t>
  </si>
  <si>
    <t>Mundeog Seol</t>
  </si>
  <si>
    <t>SPWR.1</t>
  </si>
  <si>
    <t>Brower Piven; Finkelstein Thompson LLP (local/liaison)</t>
  </si>
  <si>
    <t>SPWR.2.a</t>
  </si>
  <si>
    <t>JianFei Huang</t>
  </si>
  <si>
    <t>SPWR.2.b</t>
  </si>
  <si>
    <t>Augustine Cabrera</t>
  </si>
  <si>
    <t>SPWR.3.a</t>
  </si>
  <si>
    <t>Sandeep Doma</t>
  </si>
  <si>
    <t>SPWR.3.b</t>
  </si>
  <si>
    <t>Stephens Johnson</t>
  </si>
  <si>
    <t>SPWR.3.c</t>
  </si>
  <si>
    <t>Gregory Binkiewicz</t>
  </si>
  <si>
    <t>SPWR.4</t>
  </si>
  <si>
    <t>Jason Martinez</t>
  </si>
  <si>
    <t>SPWR.5.a</t>
  </si>
  <si>
    <t>The Rosen Law Firm, P.A.; Glancy Prongay &amp; Murray, LLP (local/liaison)</t>
  </si>
  <si>
    <t>Kevin Korbaylo</t>
  </si>
  <si>
    <t>SPWR.5.b</t>
  </si>
  <si>
    <t>James Nguyen</t>
  </si>
  <si>
    <t>SPWR.5.c</t>
  </si>
  <si>
    <t>Padraig McGowan</t>
  </si>
  <si>
    <t>SPWR.5.d</t>
  </si>
  <si>
    <t>Ricardo Manes</t>
  </si>
  <si>
    <t>SPWR.5.e</t>
  </si>
  <si>
    <t>Sunrun, Inc.</t>
  </si>
  <si>
    <t>Raj M. Pherwani</t>
  </si>
  <si>
    <t>Murray Hoffman</t>
  </si>
  <si>
    <t>Ali B. Zanjani</t>
  </si>
  <si>
    <t>Teresa Nicastro</t>
  </si>
  <si>
    <t>Gregory and Lillian Lennox Family Trust</t>
  </si>
  <si>
    <t>SuperCom Inc.</t>
  </si>
  <si>
    <t>Arthur Seiden</t>
  </si>
  <si>
    <t>SPCB.1</t>
  </si>
  <si>
    <t>Uliel Dreyfuss Nathan Capital Investment Management LTD</t>
  </si>
  <si>
    <t>SPCB.2</t>
  </si>
  <si>
    <t>Kahn Swick &amp; Foti, LLC; Robbins, Geller, Rudman &amp; Dowd, LLP</t>
  </si>
  <si>
    <t>Brandon Coleman</t>
  </si>
  <si>
    <t>SPCB.3</t>
  </si>
  <si>
    <t>Supreme Industries, Inc.</t>
  </si>
  <si>
    <t>Indiana Northern District Court</t>
  </si>
  <si>
    <t>Kenneth L. Fishman</t>
  </si>
  <si>
    <t>STS.1</t>
  </si>
  <si>
    <t>Bragar Eagel &amp; Squire, PC; Kirby McInerney LLP; The Wagner Firm (local/liaison)</t>
  </si>
  <si>
    <t>Clifford Gabel</t>
  </si>
  <si>
    <t>STS.2</t>
  </si>
  <si>
    <t>Synchronoss Technologies, Inc.</t>
  </si>
  <si>
    <t>Bhavisha Parmar</t>
  </si>
  <si>
    <t>SNCR.1</t>
  </si>
  <si>
    <t>SNCR.2</t>
  </si>
  <si>
    <t>Grant &amp; Eisenhofer, P.A.; Carella, Byrne, Cecchi, Olstein, Brody &amp; Agnello P.C. (local/liaison)</t>
  </si>
  <si>
    <t>William Melchione</t>
  </si>
  <si>
    <t>SNCR.3</t>
  </si>
  <si>
    <t>Chowdhury Ziaur Rahman</t>
  </si>
  <si>
    <t>Pomerantz LLP; The Rosen Law Firm, P.A.; Bronstein, Gewirtz &amp; Grossman, LLC (local/liaison)Lite Depalma Greenberg, LLC (local/liaison)</t>
  </si>
  <si>
    <t>Matthew Bakale Jr.</t>
  </si>
  <si>
    <t>SNCR.4.b</t>
  </si>
  <si>
    <t>John Rastelli</t>
  </si>
  <si>
    <t>SNCR.4.c</t>
  </si>
  <si>
    <t>Daniel Langton</t>
  </si>
  <si>
    <t>SNCR.4.d</t>
  </si>
  <si>
    <t>Tasso Araripe</t>
  </si>
  <si>
    <t>SNCR.4.e</t>
  </si>
  <si>
    <t>SNCR.5.a</t>
  </si>
  <si>
    <t>Saxena White P.A.; Carella, Byrne, Cecchi, Olstein, Brody &amp; Agnello P.C. (local/liaison)</t>
  </si>
  <si>
    <t>SNCR.5.b</t>
  </si>
  <si>
    <t>TLRD.1.a</t>
  </si>
  <si>
    <t>TLRD.1.b</t>
  </si>
  <si>
    <t>TLRD.2</t>
  </si>
  <si>
    <t>Robbins, Geller, Rudman &amp; Dowd, LLP; Edison, McDowell &amp; Hetherington, LLP (local/liaison)</t>
  </si>
  <si>
    <t>TLRD.3.a</t>
  </si>
  <si>
    <t>The Miller Law Firm, P.C.; Wolf Haldenstein Adler Freeman &amp; Herz LLP; The Bilek Law Firm LLP (local/liaison)</t>
  </si>
  <si>
    <t>TLRD.3.b</t>
  </si>
  <si>
    <t>TLRD.4</t>
  </si>
  <si>
    <t>Talmer Bancorp, Inc.</t>
  </si>
  <si>
    <t>06/16/2016</t>
  </si>
  <si>
    <t>City of Livonia Employees Retirement System</t>
  </si>
  <si>
    <t>TLMR.1</t>
  </si>
  <si>
    <t>Robbins, Geller, Rudman &amp; Dowd, LLP; Shea Aiello, PLLC (local/liaison)VanOverbeke Michaud &amp; Timmony, P.C. (local/liaison)</t>
  </si>
  <si>
    <t>TNGO.1</t>
  </si>
  <si>
    <t>Finkelstein &amp; Krinsk LLP; The Rosen Law Firm, P.A.</t>
  </si>
  <si>
    <t>Margaret Smith</t>
  </si>
  <si>
    <t>TNGO.2</t>
  </si>
  <si>
    <t>Target Corporation</t>
  </si>
  <si>
    <t>Carpenters Pension Fund of Illinois</t>
  </si>
  <si>
    <t>TGT.1</t>
  </si>
  <si>
    <t>Labaton Sucharow LLP; Robbins, Geller, Rudman &amp; Dowd, LLP; Cavanagh &amp; O'Hara (local/liaison)Zimmerman Reed, PLLP (local/liaison)</t>
  </si>
  <si>
    <t>TARO.1</t>
  </si>
  <si>
    <t>Liew Han Liang</t>
  </si>
  <si>
    <t>TARO.2.a</t>
  </si>
  <si>
    <t>Yuval Lapiner</t>
  </si>
  <si>
    <t>TARO.2.b</t>
  </si>
  <si>
    <t>116060 Canada Inc.</t>
  </si>
  <si>
    <t>TARO.3</t>
  </si>
  <si>
    <t>TCP International Holdings Ltd.</t>
  </si>
  <si>
    <t>Hai Ngo</t>
  </si>
  <si>
    <t>TCPIF.1</t>
  </si>
  <si>
    <t>Roland L. Willis</t>
  </si>
  <si>
    <t>TCPIF.2.a</t>
  </si>
  <si>
    <t>Adela Bai</t>
  </si>
  <si>
    <t>TCPIF.2.b</t>
  </si>
  <si>
    <t>Robert H. Anthony</t>
  </si>
  <si>
    <t>TCPIF.2.c</t>
  </si>
  <si>
    <t>Michael Rivkind</t>
  </si>
  <si>
    <t>TCPIF.3</t>
  </si>
  <si>
    <t>Teekay Corporation</t>
  </si>
  <si>
    <t>03/01/2016</t>
  </si>
  <si>
    <t>Constantinos D. Therios</t>
  </si>
  <si>
    <t>TK.1</t>
  </si>
  <si>
    <t>Kahn Swick &amp; Foti, LLC; Robbins, Geller, Rudman &amp; Dowd, LLP; Diserio Martin O'Connor &amp; Castiglioni LLC (local/liaison)</t>
  </si>
  <si>
    <t>Maeve Investment Company Limited Partnership</t>
  </si>
  <si>
    <t>TK.2</t>
  </si>
  <si>
    <t>Kessler Topaz  Meltzer &amp; Check, LLP; Izard Nobel LLP (local/liaison)</t>
  </si>
  <si>
    <t>Ronald E. Stein and Jacquilyn S. Stein</t>
  </si>
  <si>
    <t>TK.3.a</t>
  </si>
  <si>
    <t>Verneda Johnson</t>
  </si>
  <si>
    <t>TK.3.b</t>
  </si>
  <si>
    <t>Tempur Sealy International, Inc.</t>
  </si>
  <si>
    <t>05/23/2017</t>
  </si>
  <si>
    <t>Annlouise Reitz</t>
  </si>
  <si>
    <t>TPX.1</t>
  </si>
  <si>
    <t>TPX.2</t>
  </si>
  <si>
    <t>Paul Onesti</t>
  </si>
  <si>
    <t>TPX.3</t>
  </si>
  <si>
    <t>Tenet Healthcare Corporation</t>
  </si>
  <si>
    <t>10/10/2016</t>
  </si>
  <si>
    <t>12/06/2016</t>
  </si>
  <si>
    <t>Allan Ramirez</t>
  </si>
  <si>
    <t>THC.1.a</t>
  </si>
  <si>
    <t>Pomerantz LLP; The Rosen Law Firm, P.A.; Gresham PC (local/liaison)</t>
  </si>
  <si>
    <t>Sameh M. Yamany</t>
  </si>
  <si>
    <t>THC.1.b</t>
  </si>
  <si>
    <t>David Burns</t>
  </si>
  <si>
    <t>THC.1.c</t>
  </si>
  <si>
    <t>Steven Krems</t>
  </si>
  <si>
    <t>THC.1.d</t>
  </si>
  <si>
    <t>TerraForm Power, Inc.</t>
  </si>
  <si>
    <t>Jerome Spindler</t>
  </si>
  <si>
    <t>TERP.1.a</t>
  </si>
  <si>
    <t>Pomerantz LLP; Cohen Milstein Sellers &amp; Toll PLLC (local/liaison)</t>
  </si>
  <si>
    <t>Clemens Schlettwein</t>
  </si>
  <si>
    <t>TERP.1.b</t>
  </si>
  <si>
    <t>TerraVia Holdings, Inc.</t>
  </si>
  <si>
    <t>Casey Minnick</t>
  </si>
  <si>
    <t>TVIA.1.a</t>
  </si>
  <si>
    <t>Levi &amp; Korsinsky, LLP; Pomerantz LLP; The Rosen Law Firm, P.A. (local/liaison)</t>
  </si>
  <si>
    <t>Dimitrios Daniil</t>
  </si>
  <si>
    <t>TVIA.1.b</t>
  </si>
  <si>
    <t>Craig Taffel</t>
  </si>
  <si>
    <t>TVIA.1.c</t>
  </si>
  <si>
    <t>Yisroel Lieber</t>
  </si>
  <si>
    <t>TVIA.1.d</t>
  </si>
  <si>
    <t>Ali Alkhateeb</t>
  </si>
  <si>
    <t>TVIA.1.e</t>
  </si>
  <si>
    <t>Daryll Handell</t>
  </si>
  <si>
    <t>Gainey McKenna &amp; Egleston; Smith Duggan Buell &amp; Rufo, LLP (local/liaison)</t>
  </si>
  <si>
    <t>Dan Schlapkohl</t>
  </si>
  <si>
    <t>Goldberg Law PC; The Rosen Law Firm, P.A.; Block &amp; Leviton LLP (local/liaison)</t>
  </si>
  <si>
    <t>Gustavo Rivera De La Fuente</t>
  </si>
  <si>
    <t>Newvana Ventures Limited</t>
  </si>
  <si>
    <t>Massachusetts Water Resources Authority Employees Retirement Board</t>
  </si>
  <si>
    <t>Robbins, Geller, Rudman &amp; Dowd, LLP; Hutchings, Barsamian, Mandelcorn, LLP (local/liaison)</t>
  </si>
  <si>
    <t>Ontario Teachers Pension Plan Board</t>
  </si>
  <si>
    <t>Waterford Township Police &amp; Fire Retirement System</t>
  </si>
  <si>
    <t>City of Roseville Employees Retirement System</t>
  </si>
  <si>
    <t>Robert Brosnan</t>
  </si>
  <si>
    <t>TG Therapeutics, Inc.</t>
  </si>
  <si>
    <t>Ilia Delio</t>
  </si>
  <si>
    <t>Masoud Samee</t>
  </si>
  <si>
    <t>Carpenters Annuity Trust Fund for Northern California</t>
  </si>
  <si>
    <t>ALL.1.a</t>
  </si>
  <si>
    <t>Labaton Sucharow LLP; Pomerantz LLP (local/liaison)</t>
  </si>
  <si>
    <t>ALL.1.b</t>
  </si>
  <si>
    <t>City of Fort Lauderdale General Employees Retirement System</t>
  </si>
  <si>
    <t>ALL.2</t>
  </si>
  <si>
    <t>The Fresh Market, Inc.</t>
  </si>
  <si>
    <t>Bruce &amp; Cynthia Sherman Charitable Foundation</t>
  </si>
  <si>
    <t>TFM.1.a</t>
  </si>
  <si>
    <t>Brower Piven; Wilson Ratledge, PLLC (local/liaison)</t>
  </si>
  <si>
    <t>Bruce S. Sherman</t>
  </si>
  <si>
    <t>TFM.1.b</t>
  </si>
  <si>
    <t>The GEO Group, Inc.</t>
  </si>
  <si>
    <t>Joseph William Oldknow</t>
  </si>
  <si>
    <t>Kessler Topaz  Meltzer &amp; Check, LLP; Salpeter Gitkin, LLP (local/liaison)</t>
  </si>
  <si>
    <t>Ann Hellings 2016 Trust</t>
  </si>
  <si>
    <t>GEO.1.a</t>
  </si>
  <si>
    <t>Brian A. Hellings</t>
  </si>
  <si>
    <t>GEO.1.b</t>
  </si>
  <si>
    <t>Christopher Kiernan</t>
  </si>
  <si>
    <t>GEO.2.a</t>
  </si>
  <si>
    <t>James Pollard</t>
  </si>
  <si>
    <t>GEO.2.b</t>
  </si>
  <si>
    <t>The Hain Celestial Group, Inc.</t>
  </si>
  <si>
    <t>08/17/2016</t>
  </si>
  <si>
    <t>Salamon Gimpel</t>
  </si>
  <si>
    <t>HAIN.1</t>
  </si>
  <si>
    <t>Glancy Prongay &amp; Murray, LLP; Law Offices of Howard G. Smith</t>
  </si>
  <si>
    <t>Rosewood Funeral Home</t>
  </si>
  <si>
    <t>HAIN.2</t>
  </si>
  <si>
    <t>Goldberg Law PC; Labaton Sucharow LLP</t>
  </si>
  <si>
    <t>Thomas Dorsey</t>
  </si>
  <si>
    <t>HAIN.3</t>
  </si>
  <si>
    <t>Kessler Topaz  Meltzer &amp; Check, LLP; Bernstein Litowitz Berger &amp; Grossmann LLP (local/liaison)</t>
  </si>
  <si>
    <t>Xiaolin Wang</t>
  </si>
  <si>
    <t>HAIN.4</t>
  </si>
  <si>
    <t>MCS Supplementary Pension Plan</t>
  </si>
  <si>
    <t>HAIN.5.a</t>
  </si>
  <si>
    <t>Seafarers Money Purchase Pension Plan</t>
  </si>
  <si>
    <t>HAIN.5.b</t>
  </si>
  <si>
    <t>Seafarers Officers and Employees Pension Plan</t>
  </si>
  <si>
    <t>HAIN.5.c</t>
  </si>
  <si>
    <t>United Industrial Workers Pension Plan</t>
  </si>
  <si>
    <t>HAIN.5.d</t>
  </si>
  <si>
    <t>Seafarers Pension Plan</t>
  </si>
  <si>
    <t>HAIN.5.e</t>
  </si>
  <si>
    <t>Grace Omura</t>
  </si>
  <si>
    <t>HAIN.5.f</t>
  </si>
  <si>
    <t>SO.1</t>
  </si>
  <si>
    <t>The Toronto-Dominion Bank</t>
  </si>
  <si>
    <t>03/12/2017</t>
  </si>
  <si>
    <t>05/11/2017</t>
  </si>
  <si>
    <t>John Gilbert</t>
  </si>
  <si>
    <t>TD.1</t>
  </si>
  <si>
    <t>Ethan Silverman</t>
  </si>
  <si>
    <t>TD.2</t>
  </si>
  <si>
    <t>V Rao and Sujata Dandamudi</t>
  </si>
  <si>
    <t>TD.3.a</t>
  </si>
  <si>
    <t>Diana Lawler</t>
  </si>
  <si>
    <t>TD.3.b</t>
  </si>
  <si>
    <t>Lawrence Henry Smallen and Laura Anne Smallen Revocable Living Trust</t>
  </si>
  <si>
    <t>WU.1</t>
  </si>
  <si>
    <t>WU.2</t>
  </si>
  <si>
    <t>Martin Herman</t>
  </si>
  <si>
    <t>WU.3</t>
  </si>
  <si>
    <t>TherapeuticsMD, Inc.</t>
  </si>
  <si>
    <t>Mark J. Somers</t>
  </si>
  <si>
    <t>TXMD.1.a</t>
  </si>
  <si>
    <t>Glancy Prongay &amp; Murray, LLP; Desmond Law Firm, P.C. (local/liaison)</t>
  </si>
  <si>
    <t>Anthony Amadio</t>
  </si>
  <si>
    <t>TXMD.1.b</t>
  </si>
  <si>
    <t>Claude St-Hilaire</t>
  </si>
  <si>
    <t>TXMD.1.c</t>
  </si>
  <si>
    <t>Jerry Brawner</t>
  </si>
  <si>
    <t>TXMD.2</t>
  </si>
  <si>
    <t>David Grooman</t>
  </si>
  <si>
    <t>TXMD.3.a</t>
  </si>
  <si>
    <t>Stephen Kroeger</t>
  </si>
  <si>
    <t>TXMD.3.b</t>
  </si>
  <si>
    <t>The Josephine DiGiovanni Family Trust</t>
  </si>
  <si>
    <t>TXMD.3.c</t>
  </si>
  <si>
    <t>Third Avenue Management (TFCIX and TFCVX)</t>
  </si>
  <si>
    <t>Stephen L. Craig</t>
  </si>
  <si>
    <t>Cera LLP</t>
  </si>
  <si>
    <t>Suprabha Bhat</t>
  </si>
  <si>
    <t>Thomas McCall</t>
  </si>
  <si>
    <t>Chad S. Miller</t>
  </si>
  <si>
    <t>Scott Matthew</t>
  </si>
  <si>
    <t>Robert Bates</t>
  </si>
  <si>
    <t>IBEW Local No. 58 Sound &amp; Communication Division Retirement Plan</t>
  </si>
  <si>
    <t>Robbins, Geller, Rudman &amp; Dowd, LLP; Sachs Waldman P.C. (local/liaison)</t>
  </si>
  <si>
    <t>Kirk Taylor</t>
  </si>
  <si>
    <t>Scott McLatchy</t>
  </si>
  <si>
    <t>Joseph Paulin</t>
  </si>
  <si>
    <t>Frances Taylor</t>
  </si>
  <si>
    <t>Tokai Pharmaceuticals, Inc.</t>
  </si>
  <si>
    <t>09/30/2016</t>
  </si>
  <si>
    <t>Steven Maxon</t>
  </si>
  <si>
    <t>TKAI.1</t>
  </si>
  <si>
    <t>Sanjiv Purohit</t>
  </si>
  <si>
    <t>TKAI.2</t>
  </si>
  <si>
    <t>Tower Semiconductor Ltd.</t>
  </si>
  <si>
    <t>David Hilinsky</t>
  </si>
  <si>
    <t>TSEM.1.a</t>
  </si>
  <si>
    <t>Robert Mattingly</t>
  </si>
  <si>
    <t>TSEM.1.b</t>
  </si>
  <si>
    <t>Nick Cross</t>
  </si>
  <si>
    <t>TSEM.2</t>
  </si>
  <si>
    <t>TransEnterix, Inc.</t>
  </si>
  <si>
    <t>North Carolina Eastern District Court</t>
  </si>
  <si>
    <t>06/02/2016</t>
  </si>
  <si>
    <t>Carmen Caruso</t>
  </si>
  <si>
    <t>TRXC.1.a</t>
  </si>
  <si>
    <t>Bronstein, Gewirtz &amp; Grossman, LLC; Schiller &amp; Schiller, P.L.L.C. (local/liaison)</t>
  </si>
  <si>
    <t>Danilo Gasapo</t>
  </si>
  <si>
    <t>TRXC.1.b</t>
  </si>
  <si>
    <t>Raymond LaPointe</t>
  </si>
  <si>
    <t>TRXC.1.c</t>
  </si>
  <si>
    <t>David Chen</t>
  </si>
  <si>
    <t>TRXC.1.d</t>
  </si>
  <si>
    <t>Ty Hall</t>
  </si>
  <si>
    <t>TRXC.2.a</t>
  </si>
  <si>
    <t>Glancy Prongay &amp; Murray, LLP; The Rosen Law Firm, P.A.; Whitfield Bryson &amp; Mason LLP (local/liaison)</t>
  </si>
  <si>
    <t>Walter Gibson III</t>
  </si>
  <si>
    <t>TRXC.2.b</t>
  </si>
  <si>
    <t>Norman G. Romanick</t>
  </si>
  <si>
    <t>TRXC.2.c</t>
  </si>
  <si>
    <t>Ben M. Brink</t>
  </si>
  <si>
    <t>TRXC.3</t>
  </si>
  <si>
    <t>Holzer &amp; Holzer, LLC; Robbins, Geller, Rudman &amp; Dowd, LLP; McDaniel &amp; Anderson, LLP (local/liaison)</t>
  </si>
  <si>
    <t>James Wright</t>
  </si>
  <si>
    <t>TRXC.4.a</t>
  </si>
  <si>
    <t>Kahn Swick &amp; Foti, LLC; Blue LLP (local/liaison)</t>
  </si>
  <si>
    <t>Nathan Beckett</t>
  </si>
  <si>
    <t>TRXC.4.b</t>
  </si>
  <si>
    <t>Clyde Edward Manning</t>
  </si>
  <si>
    <t>TRXC.4.c</t>
  </si>
  <si>
    <t>Chelston Farm Pty Ltd</t>
  </si>
  <si>
    <t>TRXC.5</t>
  </si>
  <si>
    <t>Labaton Sucharow LLP; Wilson &amp; Ratledge, PLLC (local/liaison)</t>
  </si>
  <si>
    <t>North Underhill Cemetery Association</t>
  </si>
  <si>
    <t>TRXC.6.a</t>
  </si>
  <si>
    <t>Levi &amp; Korsinsky, LLP; S. Ranchor Harris III (local/liaison)</t>
  </si>
  <si>
    <t>Underhill Cemetery Association</t>
  </si>
  <si>
    <t>TRXC.6.b</t>
  </si>
  <si>
    <t>Samir Patel</t>
  </si>
  <si>
    <t>TRXC.6.c</t>
  </si>
  <si>
    <t>Randall Clark</t>
  </si>
  <si>
    <t>TRXC.6.d</t>
  </si>
  <si>
    <t>Paul Duggan</t>
  </si>
  <si>
    <t>TRXC.7.a</t>
  </si>
  <si>
    <t>Ruben Ledesma</t>
  </si>
  <si>
    <t>TRXC.7.b</t>
  </si>
  <si>
    <t>Ivan Barenbaum</t>
  </si>
  <si>
    <t>THS.1</t>
  </si>
  <si>
    <t>Dave Duff</t>
  </si>
  <si>
    <t>THS.2</t>
  </si>
  <si>
    <t>Levi &amp; Korsinsky, LLP; DiTommaso Lubin, PC (local/liaison)</t>
  </si>
  <si>
    <t>City of North Miami Beach General Employees Retirement Plan</t>
  </si>
  <si>
    <t>THS.3.a</t>
  </si>
  <si>
    <t>City of North Miami Beach Police Officers and Firefighters Retirement Plan</t>
  </si>
  <si>
    <t>THS.3.b</t>
  </si>
  <si>
    <t>THS.4</t>
  </si>
  <si>
    <t>Wolf Popper LLP; Robinson Curley &amp; Clayton, P.C (local/liaison)</t>
  </si>
  <si>
    <t>Mark Wallace</t>
  </si>
  <si>
    <t>TWTR.1</t>
  </si>
  <si>
    <t>Edward Puhalla</t>
  </si>
  <si>
    <t>TWTR.2.a</t>
  </si>
  <si>
    <t>John Stearns</t>
  </si>
  <si>
    <t>TWTR.2.b</t>
  </si>
  <si>
    <t>Diane Stearns</t>
  </si>
  <si>
    <t>TWTR.2.c</t>
  </si>
  <si>
    <t>John P. Norton</t>
  </si>
  <si>
    <t>TWTR.3</t>
  </si>
  <si>
    <t>TWTR.4</t>
  </si>
  <si>
    <t>Motley Rice LLC; Bleichmar Fonti &amp; Auld LLP (local/liaison)</t>
  </si>
  <si>
    <t>SNS Holding Co.</t>
  </si>
  <si>
    <t>TWTR.5.a</t>
  </si>
  <si>
    <t>Joseph Cwiertniewicz</t>
  </si>
  <si>
    <t>TWTR.5.b</t>
  </si>
  <si>
    <t>Charles Cheatham</t>
  </si>
  <si>
    <t>TWTR.5.c</t>
  </si>
  <si>
    <t>Zeyad AlMukhaizeem</t>
  </si>
  <si>
    <t>TWTR.5.d</t>
  </si>
  <si>
    <t>National Elevator Industry Pension Fund</t>
  </si>
  <si>
    <t>TWTR.6</t>
  </si>
  <si>
    <t>Youri Hazanov</t>
  </si>
  <si>
    <t>TWTR.7</t>
  </si>
  <si>
    <t>Tyson Foods, Inc.</t>
  </si>
  <si>
    <t>Arkansas Western District Court</t>
  </si>
  <si>
    <t>Stichting Blue Sky Active Large Cap Equity USA Fund</t>
  </si>
  <si>
    <t>TSN.1.a</t>
  </si>
  <si>
    <t>Stichting Blue Sky Global Equity Active Low Volatility Fund</t>
  </si>
  <si>
    <t>TSN.1.b</t>
  </si>
  <si>
    <t>TSN.1.c</t>
  </si>
  <si>
    <t>John Schodowski</t>
  </si>
  <si>
    <t>TSN.2.a</t>
  </si>
  <si>
    <t>Lewis Miller</t>
  </si>
  <si>
    <t>TSN.2.b</t>
  </si>
  <si>
    <t>Patricia S. LaLonde</t>
  </si>
  <si>
    <t>TSN.3</t>
  </si>
  <si>
    <t>U.S. Concrete, Inc.</t>
  </si>
  <si>
    <t>Donald Bellafiore</t>
  </si>
  <si>
    <t>USCR.1.a</t>
  </si>
  <si>
    <t>Bragar Eagel &amp; Squire, PC; Levi &amp; Korsinsky, LLP; Gruber, Elrod, Johansen, Hail &amp; Shank, LLP (local/liaison)</t>
  </si>
  <si>
    <t>Robert Abric</t>
  </si>
  <si>
    <t>USCR.1.b</t>
  </si>
  <si>
    <t>Warren Mattox</t>
  </si>
  <si>
    <t>USCR.2.a</t>
  </si>
  <si>
    <t>Ara Chakalian</t>
  </si>
  <si>
    <t>USCR.2.b</t>
  </si>
  <si>
    <t>U.S. Physical Therapy, Inc.</t>
  </si>
  <si>
    <t>Sean Reilly</t>
  </si>
  <si>
    <t>USPH.1</t>
  </si>
  <si>
    <t>Under Armour, Inc.</t>
  </si>
  <si>
    <t>04/11/2017</t>
  </si>
  <si>
    <t>Sacramento City Employees Retirement System</t>
  </si>
  <si>
    <t>UA.1</t>
  </si>
  <si>
    <t>Labaton Sucharow LLP; Goldman &amp; Minton, P.C. (local/liaison)</t>
  </si>
  <si>
    <t>William H. Dent</t>
  </si>
  <si>
    <t>UA.2.a</t>
  </si>
  <si>
    <t>Levi &amp; Korsinsky, LLP; Pomerantz LLP; Brower Piven (local/liaison)</t>
  </si>
  <si>
    <t>Robert M. Ross</t>
  </si>
  <si>
    <t>UA.2.b</t>
  </si>
  <si>
    <t>Bernardo Medellin</t>
  </si>
  <si>
    <t>UA.2.c</t>
  </si>
  <si>
    <t>Aberdeen City Council as Administrating Authority for the North East Scotland Pension Fund</t>
  </si>
  <si>
    <t>UA.3</t>
  </si>
  <si>
    <t>Robbins, Geller, Rudman &amp; Dowd, LLP; Silverman Thompson Slutkin &amp; White LLC (local/liaison)</t>
  </si>
  <si>
    <t>Unilife Corporation</t>
  </si>
  <si>
    <t>Richard Carrazza</t>
  </si>
  <si>
    <t>UNIS.1.a</t>
  </si>
  <si>
    <t>Richard Farino</t>
  </si>
  <si>
    <t>UNIS.1.b</t>
  </si>
  <si>
    <t>Fred Assefi</t>
  </si>
  <si>
    <t>UNIS.2</t>
  </si>
  <si>
    <t>United Development Funding IV</t>
  </si>
  <si>
    <t>12/21/2015</t>
  </si>
  <si>
    <t>02/19/2016</t>
  </si>
  <si>
    <t>Brian Thomas</t>
  </si>
  <si>
    <t>UDFI.1.a</t>
  </si>
  <si>
    <t>Dan Schon</t>
  </si>
  <si>
    <t>UDFI.1.b</t>
  </si>
  <si>
    <t>Louis J. DAnnibalee</t>
  </si>
  <si>
    <t>UDFI.2</t>
  </si>
  <si>
    <t>David Harter</t>
  </si>
  <si>
    <t>UDFI.3</t>
  </si>
  <si>
    <t>Hagens Berman Sobol Shapiro LLP; Stanley Law Group (local/liaison)</t>
  </si>
  <si>
    <t>William K. and Mary F. Wright</t>
  </si>
  <si>
    <t>UDFI.4.a</t>
  </si>
  <si>
    <t>Charles G. and Rose M. Fairbanks Living Trust</t>
  </si>
  <si>
    <t>UDFI.4.b</t>
  </si>
  <si>
    <t>Jeffrey W. Stum</t>
  </si>
  <si>
    <t>UDFI.4.c</t>
  </si>
  <si>
    <t>Stuart Schapiro</t>
  </si>
  <si>
    <t>UDFI.5</t>
  </si>
  <si>
    <t>UHS.1</t>
  </si>
  <si>
    <t>Labaton Sucharow LLP; Goldberg Law PC (local/liaison)</t>
  </si>
  <si>
    <t>UHS.2</t>
  </si>
  <si>
    <t>Robbins, Geller, Rudman &amp; Dowd, LLP; Koskie Minsky LLP (local/liaison)</t>
  </si>
  <si>
    <t>UHS.3.a</t>
  </si>
  <si>
    <t>Saxena White P.A.; Glancy Prongay &amp; Murray, LLP (local/liaison)</t>
  </si>
  <si>
    <t>Teamsters Local 456 Pension Fund</t>
  </si>
  <si>
    <t>UHS.3.b</t>
  </si>
  <si>
    <t>David Heed</t>
  </si>
  <si>
    <t>UHS.4</t>
  </si>
  <si>
    <t>USANA Health Sciences</t>
  </si>
  <si>
    <t>Chi Wah On</t>
  </si>
  <si>
    <t>USNA.1</t>
  </si>
  <si>
    <t>Orange County Employees Retirement System</t>
  </si>
  <si>
    <t>VALE.1.a</t>
  </si>
  <si>
    <t>VALE.1.b</t>
  </si>
  <si>
    <t>Cristiano Laux</t>
  </si>
  <si>
    <t>VALE.2</t>
  </si>
  <si>
    <t>Bottini &amp; Bottini, Inc.; Bernstein Liebhard LLP (local/liaison)</t>
  </si>
  <si>
    <t>Anders Evju</t>
  </si>
  <si>
    <t>VALE.3.a</t>
  </si>
  <si>
    <t>Ana Piumbini</t>
  </si>
  <si>
    <t>VALE.3.b</t>
  </si>
  <si>
    <t>Farhad Babazadeh</t>
  </si>
  <si>
    <t>VALE.3.c</t>
  </si>
  <si>
    <t>VALE.3.d</t>
  </si>
  <si>
    <t>Roberto Carlen</t>
  </si>
  <si>
    <t>VALE.3.e</t>
  </si>
  <si>
    <t>Constantin Tranalis</t>
  </si>
  <si>
    <t>VALE.4.a</t>
  </si>
  <si>
    <t>Glancy Prongay &amp; Murray, LLP; The Rosen Law Firm, P.A. (local/liaison)</t>
  </si>
  <si>
    <t>VALE.4.b</t>
  </si>
  <si>
    <t>Scott &amp; Vicky Shen</t>
  </si>
  <si>
    <t>VALE.4.c</t>
  </si>
  <si>
    <t>TCAP Real Estate Inc.</t>
  </si>
  <si>
    <t>VALE.5</t>
  </si>
  <si>
    <t>Walter De Schutter</t>
  </si>
  <si>
    <t>VALE.6</t>
  </si>
  <si>
    <t>VimpelCom, Ltd.</t>
  </si>
  <si>
    <t>11/04/2015</t>
  </si>
  <si>
    <t>Westway Alliance Corp.</t>
  </si>
  <si>
    <t>VEON.1</t>
  </si>
  <si>
    <t>Dhirendra Prasad Sangal</t>
  </si>
  <si>
    <t>VEON.2.a</t>
  </si>
  <si>
    <t>Vimal K. Kocher</t>
  </si>
  <si>
    <t>VEON.2.b</t>
  </si>
  <si>
    <t>Richard McColloch</t>
  </si>
  <si>
    <t>VEON.3.a</t>
  </si>
  <si>
    <t>Philip Tohme</t>
  </si>
  <si>
    <t>VEON.3.b</t>
  </si>
  <si>
    <t>Boris Lvov</t>
  </si>
  <si>
    <t>VEON.3.c</t>
  </si>
  <si>
    <t>Max Nussbaumer</t>
  </si>
  <si>
    <t>VEON.4.a</t>
  </si>
  <si>
    <t>Igor Melnikov</t>
  </si>
  <si>
    <t>VEON.4.b</t>
  </si>
  <si>
    <t>Al-Mackey Enterprises, Inc.</t>
  </si>
  <si>
    <t>VSTO.1</t>
  </si>
  <si>
    <t>Glancy Prongay &amp; Murray, LLP; Goebel Anderson PC  (local/liaison)</t>
  </si>
  <si>
    <t>VSTO.2</t>
  </si>
  <si>
    <t>Robbins, Geller, Rudman &amp; Dowd, LLP; Harper Law, PLC (local/liaison)</t>
  </si>
  <si>
    <t>Robert Mansfield</t>
  </si>
  <si>
    <t>VSTO.3</t>
  </si>
  <si>
    <t>VSTO.4</t>
  </si>
  <si>
    <t>Wolf Haldenstein Adler Freeman &amp; Herz LLP; Anderson &amp; Karrenberg (local/liaison)Pitta LLP (local/liaison)</t>
  </si>
  <si>
    <t>Vital Therapies, Inc.</t>
  </si>
  <si>
    <t>Nelson Than</t>
  </si>
  <si>
    <t>VTL.1</t>
  </si>
  <si>
    <t>Kaktrale Austin</t>
  </si>
  <si>
    <t>VTL.2</t>
  </si>
  <si>
    <t>Sumesh Kumar</t>
  </si>
  <si>
    <t>VTL.3</t>
  </si>
  <si>
    <t>Vivint Solar, Inc.</t>
  </si>
  <si>
    <t>Don Harris</t>
  </si>
  <si>
    <t>VSLR.1</t>
  </si>
  <si>
    <t>Pomerantz LLP; The Rosen Law Firm, P.A. (local/liaison)Wehrle Law, LLC (local/liaison)</t>
  </si>
  <si>
    <t>Volkswagen AG (specific bonds)</t>
  </si>
  <si>
    <t>Puerto Rico Government Employees and Judiciary Retirement Systems Administration</t>
  </si>
  <si>
    <t>VLKAY.1</t>
  </si>
  <si>
    <t>Walter Investment Management Corp.</t>
  </si>
  <si>
    <t>Michael E. Vacek, Jr.</t>
  </si>
  <si>
    <t>WAC.1</t>
  </si>
  <si>
    <t>Gainey McKenna &amp; Egleston; Donovan Litigation Group, LLC (local/liaison)</t>
  </si>
  <si>
    <t>Richard Worley</t>
  </si>
  <si>
    <t>WAC.2</t>
  </si>
  <si>
    <t>Danny Trout</t>
  </si>
  <si>
    <t>WAC.3.a</t>
  </si>
  <si>
    <t>Courtney Elkin</t>
  </si>
  <si>
    <t>WAC.3.b</t>
  </si>
  <si>
    <t>Ross Arneberg</t>
  </si>
  <si>
    <t>WAC.3.c</t>
  </si>
  <si>
    <t>Warren Resources, Inc.</t>
  </si>
  <si>
    <t>08/11/2016</t>
  </si>
  <si>
    <t>David Speiser</t>
  </si>
  <si>
    <t>WRES.1.a</t>
  </si>
  <si>
    <t>Gardy &amp; Notis, LLP; Burg Simpson Eldredge Hersh &amp; Jardine, P.C. (local/liaison)</t>
  </si>
  <si>
    <t>Morgan Cartwright</t>
  </si>
  <si>
    <t>WRES.1.b</t>
  </si>
  <si>
    <t>Eduardo Fiallos</t>
  </si>
  <si>
    <t>WRES.2.a</t>
  </si>
  <si>
    <t>Glancy Prongay &amp; Murray, LLP; The Shuman Law Firm (local/liaison)</t>
  </si>
  <si>
    <t>Vinoth Ravi</t>
  </si>
  <si>
    <t>WRES.2.b</t>
  </si>
  <si>
    <t>Kamil Kirio</t>
  </si>
  <si>
    <t>WRES.2.c</t>
  </si>
  <si>
    <t>Altrocchi Family Limited Partnership 1</t>
  </si>
  <si>
    <t>Catherine Altrocchi Waidyatilleka</t>
  </si>
  <si>
    <t>The Paul Altrocchi Revocable Living Trust</t>
  </si>
  <si>
    <t>James Lord</t>
  </si>
  <si>
    <t>Bob F. Reaves</t>
  </si>
  <si>
    <t>Donald W. Fabini</t>
  </si>
  <si>
    <t>Mohammad Djafarian</t>
  </si>
  <si>
    <t>Carlos Antonio Llantada Estrada</t>
  </si>
  <si>
    <t>Group total</t>
  </si>
  <si>
    <t>Donald Van Epps</t>
  </si>
  <si>
    <t>Floyd Madison</t>
  </si>
  <si>
    <t>Lee Van Epps</t>
  </si>
  <si>
    <t>Nicole Conoley</t>
  </si>
  <si>
    <t>Rhett Conoley</t>
  </si>
  <si>
    <t>William L. Pate, Jr.</t>
  </si>
  <si>
    <t>Spector Roseman Kodroff &amp; Willis, P.C.; Saveri &amp; Saveri, Inc. (local/liaison)</t>
  </si>
  <si>
    <t>Williams Partners L.P.</t>
  </si>
  <si>
    <t>Oklahoma Northern District Court</t>
  </si>
  <si>
    <t>Michael Erber</t>
  </si>
  <si>
    <t>WPZ.1</t>
  </si>
  <si>
    <t>Berger &amp; Montague, P.C.</t>
  </si>
  <si>
    <t>Robert Anthony Jr.</t>
  </si>
  <si>
    <t>WPZ.2.a</t>
  </si>
  <si>
    <t>Terry G. Sandlin Sr.</t>
  </si>
  <si>
    <t>WPZ.2.b</t>
  </si>
  <si>
    <t>Employees Retirement System of the State of Rhode Island</t>
  </si>
  <si>
    <t>WPZ.3</t>
  </si>
  <si>
    <t>Labaton Sucharow LLP; Federman &amp; Sherwood (local/liaison)</t>
  </si>
  <si>
    <t>Wins Finance Holdings, Inc.</t>
  </si>
  <si>
    <t>06/05/2017</t>
  </si>
  <si>
    <t>Mary M. Nordskog</t>
  </si>
  <si>
    <t>WINS.1.a</t>
  </si>
  <si>
    <t>Bragar Eagel &amp; Squire, PC; Levi &amp; Korsinsky, LLP</t>
  </si>
  <si>
    <t>Debasish Dutt</t>
  </si>
  <si>
    <t>WINS.1.b</t>
  </si>
  <si>
    <t>Raymond Mentor</t>
  </si>
  <si>
    <t>WINS.2.a</t>
  </si>
  <si>
    <t>Christopher Ikeocha</t>
  </si>
  <si>
    <t>WINS.2.b</t>
  </si>
  <si>
    <t>Brian Gabrich</t>
  </si>
  <si>
    <t>WINS.2.c</t>
  </si>
  <si>
    <t>XBiotech Inc.</t>
  </si>
  <si>
    <t>Kresimir Corak</t>
  </si>
  <si>
    <t>XBIT.1</t>
  </si>
  <si>
    <t>Bronstein, Gewirtz &amp; Grossman, LLC; Abraham, Watkins Nichols, Sorrels, Agosto &amp; Friend (local/liaison)</t>
  </si>
  <si>
    <t>Matthew Solis</t>
  </si>
  <si>
    <t>XBIT.2</t>
  </si>
  <si>
    <t>Mehul Rastogi</t>
  </si>
  <si>
    <t>XBIT.3</t>
  </si>
  <si>
    <t>Aaron Le</t>
  </si>
  <si>
    <t>XBIT.4</t>
  </si>
  <si>
    <t>The Rosen Law Firm, P.A.; Payne Mitchell Law Group (local/liaison)</t>
  </si>
  <si>
    <t>IWA Forest Industry Plan</t>
  </si>
  <si>
    <t>XRX.1</t>
  </si>
  <si>
    <t>XRX.2</t>
  </si>
  <si>
    <t>Jim Welton</t>
  </si>
  <si>
    <t>XRX.3</t>
  </si>
  <si>
    <t>City of Melbourne Police Officers Retirement System</t>
  </si>
  <si>
    <t>XRX.4</t>
  </si>
  <si>
    <t>Yahoo! Inc.</t>
  </si>
  <si>
    <t>Sutton View Partners LP</t>
  </si>
  <si>
    <t>YHOO.1.a</t>
  </si>
  <si>
    <t>Ben Maher</t>
  </si>
  <si>
    <t>YHOO.1.b</t>
  </si>
  <si>
    <t>Yirendai Ltd.</t>
  </si>
  <si>
    <t>Peggy Dern</t>
  </si>
  <si>
    <t>YRD.1.a</t>
  </si>
  <si>
    <t>Shun Wah So</t>
  </si>
  <si>
    <t>YRD.1.b</t>
  </si>
  <si>
    <t>Dong Mei Mi</t>
  </si>
  <si>
    <t>YRD.2.a</t>
  </si>
  <si>
    <t>Len Zheng</t>
  </si>
  <si>
    <t>YRD.2.b</t>
  </si>
  <si>
    <t>Zimmer Biomet Holdings, Inc.</t>
  </si>
  <si>
    <t>12/02/2016</t>
  </si>
  <si>
    <t>Eric Levy</t>
  </si>
  <si>
    <t>ZBH.1.a</t>
  </si>
  <si>
    <t>Glancy Prongay &amp; Murray, LLP; Katz &amp; Korin, PC (local/liaison)</t>
  </si>
  <si>
    <t>Matt Brierley</t>
  </si>
  <si>
    <t>ZBH.1.b</t>
  </si>
  <si>
    <t>Rajesh M. Shah</t>
  </si>
  <si>
    <t>ZBH.1.c</t>
  </si>
  <si>
    <t>Applied Micro Circuits Corporation</t>
  </si>
  <si>
    <t>move to bottom</t>
  </si>
  <si>
    <t>Chemtura Corporation</t>
  </si>
  <si>
    <t>02/05/2017</t>
  </si>
  <si>
    <t>Colony Capital, Inc.</t>
  </si>
  <si>
    <t>09/29/2016</t>
  </si>
  <si>
    <t>Cynosure, Inc.</t>
  </si>
  <si>
    <t>Electro Rent Corporation</t>
  </si>
  <si>
    <t>Envision Healthcare Holdings, Inc.</t>
  </si>
  <si>
    <t>08/31/2016</t>
  </si>
  <si>
    <t>FirstMerit Corporation</t>
  </si>
  <si>
    <t>03/23/2016</t>
  </si>
  <si>
    <t>Full Circle Capital Corporation</t>
  </si>
  <si>
    <t>11/22/2016</t>
  </si>
  <si>
    <t>Global Eagle Entertainment Inc.</t>
  </si>
  <si>
    <t>02/23/2017</t>
  </si>
  <si>
    <t>Heritage Oaks Bancorp</t>
  </si>
  <si>
    <t>03/10/2017</t>
  </si>
  <si>
    <t>05/09/2017</t>
  </si>
  <si>
    <t>Inteliquent, Inc.</t>
  </si>
  <si>
    <t>12/09/2016</t>
  </si>
  <si>
    <t>Krispy Kreme Donuts, Inc.</t>
  </si>
  <si>
    <t>Level 3 Communications, Inc.</t>
  </si>
  <si>
    <t>Mattson Technology, Inc.</t>
  </si>
  <si>
    <t>02/18/2016</t>
  </si>
  <si>
    <t>Memorial Resource Development Corp.</t>
  </si>
  <si>
    <t>Metaldyne Performance Group Inc.</t>
  </si>
  <si>
    <t>02/16/2017</t>
  </si>
  <si>
    <t>Monaker Group, Inc.</t>
  </si>
  <si>
    <t>Northstar Asset Management Group, Inc.</t>
  </si>
  <si>
    <t>NorthStar Realty Finance Corporation</t>
  </si>
  <si>
    <t>Oracle Corporation</t>
  </si>
  <si>
    <t>Questar Corporation</t>
  </si>
  <si>
    <t>Spectra Energy Corporation</t>
  </si>
  <si>
    <t>St. Jude Medical Inc.</t>
  </si>
  <si>
    <t>06/30/2016</t>
  </si>
  <si>
    <t>Stillwater Mining Company</t>
  </si>
  <si>
    <t>Stonegate Mortgage Corporation</t>
  </si>
  <si>
    <t>Suffolk Bancorp</t>
  </si>
  <si>
    <t>08/04/2016</t>
  </si>
  <si>
    <t>Surgical Care Affiliates, Inc.</t>
  </si>
  <si>
    <t>Team Health Holdings, Inc.</t>
  </si>
  <si>
    <t>The WhiteWave Foods Company</t>
  </si>
  <si>
    <t>TiVo, Inc.</t>
  </si>
  <si>
    <t>08/10/2016</t>
  </si>
  <si>
    <t>Transgenomic, Inc.</t>
  </si>
  <si>
    <t>Nebraska District Court</t>
  </si>
  <si>
    <t>TubeMogul, Inc.</t>
  </si>
  <si>
    <t>VCA Inc.</t>
  </si>
  <si>
    <t>WCI Communities, Inc.</t>
  </si>
  <si>
    <t>Florida Middle District Court</t>
  </si>
  <si>
    <t>11/23/2016</t>
  </si>
  <si>
    <t>Kandi Technologies Group, Inc.</t>
  </si>
  <si>
    <t>Seventy Seven Energy Inc.</t>
  </si>
  <si>
    <t>JBS S.A.</t>
  </si>
  <si>
    <t>03/22/2017</t>
  </si>
  <si>
    <t>05/22/2017</t>
  </si>
  <si>
    <t>ONEOK Partners, L.P.</t>
  </si>
  <si>
    <t>Cascade Bancorp</t>
  </si>
  <si>
    <t>Zeltiq Aesthetics, Inc.</t>
  </si>
  <si>
    <t>Lumos Networks Corp.</t>
  </si>
  <si>
    <t>FBR &amp; Co.</t>
  </si>
  <si>
    <t>04/12/2017</t>
  </si>
  <si>
    <t>06/12/2017</t>
  </si>
  <si>
    <t>LMI Aerospace, Inc.</t>
  </si>
  <si>
    <t>GenVec, Inc.</t>
  </si>
  <si>
    <t>RetailMeNot, Inc.</t>
  </si>
  <si>
    <t>Astoria Financial Corporation</t>
  </si>
  <si>
    <t>Royal Bancshares of Pennsylvania, Inc.</t>
  </si>
  <si>
    <t>Docket Number</t>
  </si>
  <si>
    <t xml:space="preserve"> Circuit</t>
  </si>
  <si>
    <t>Class Period</t>
  </si>
  <si>
    <t>Lead Counsel</t>
  </si>
  <si>
    <t>IMP Damages</t>
  </si>
  <si>
    <t>Damage Bucket</t>
  </si>
  <si>
    <t>Lit. Status as of 8/7/17</t>
  </si>
  <si>
    <t>LastDateofClassPeriod</t>
  </si>
  <si>
    <t>Day Before End of Class Period</t>
  </si>
  <si>
    <t>Market Cap. DBEOCP</t>
  </si>
  <si>
    <t>Float DBEOCP</t>
  </si>
  <si>
    <t>Sector</t>
  </si>
  <si>
    <t>16cv03893</t>
  </si>
  <si>
    <r>
      <t> </t>
    </r>
    <r>
      <rPr>
        <sz val="11"/>
        <rFont val="Times New Roman"/>
        <family val="1"/>
      </rPr>
      <t>09/08/2015 - 05/02/2016</t>
    </r>
  </si>
  <si>
    <t>Cohen Milstein Sellers &amp; Toll PLLC; Glancy Prongay &amp; Murray, LLP</t>
  </si>
  <si>
    <t>Pending</t>
  </si>
  <si>
    <t>ADPT</t>
  </si>
  <si>
    <t>17cv00449</t>
  </si>
  <si>
    <t>06/22/2014 - 11/01/2016</t>
  </si>
  <si>
    <t>The Rosen Law Firm, P.A.; Robbins, Geller, Rudman &amp; Dowd, LLP; Saxena White P.A.; The Briscoe Law Firm, PLLC; Bronstein, Gewirtz &amp; Grossman, LLC; Pomerantz LLP; Ward, Smith &amp; Hill, PLLC; Shorty C. Barrett</t>
  </si>
  <si>
    <t>ACM</t>
  </si>
  <si>
    <t>16cv06605</t>
  </si>
  <si>
    <t>11/07/2012 - 08/15/2016</t>
  </si>
  <si>
    <t>Closed - Dismissed</t>
  </si>
  <si>
    <t>AJRD</t>
  </si>
  <si>
    <t>16cv00961</t>
  </si>
  <si>
    <t>10/15/2013 - 02/01/2016</t>
  </si>
  <si>
    <t>Aetna Inc.</t>
  </si>
  <si>
    <t>AET</t>
  </si>
  <si>
    <t>17cv00113</t>
  </si>
  <si>
    <t>08/15/2016 - 01/20/2017</t>
  </si>
  <si>
    <t>Diserio Martin O'Connor &amp; Castiglioni LLC; Saxena White P.A.</t>
  </si>
  <si>
    <t>AGRX</t>
  </si>
  <si>
    <t>17cv00119</t>
  </si>
  <si>
    <t>03/09/2016 - 01/03/2017</t>
  </si>
  <si>
    <t>GRO</t>
  </si>
  <si>
    <t>16cv08376</t>
  </si>
  <si>
    <t>06/08/2016 - 11/04/2016</t>
  </si>
  <si>
    <t>Airgas, Inc.</t>
  </si>
  <si>
    <t>ARG</t>
  </si>
  <si>
    <t>15cv06787</t>
  </si>
  <si>
    <t>11/17/2015 - 11/17/2015</t>
  </si>
  <si>
    <t>Deal Case</t>
  </si>
  <si>
    <t>AIXNY</t>
  </si>
  <si>
    <t>16cv00025</t>
  </si>
  <si>
    <t>09/25/2014 - 12/09/2015</t>
  </si>
  <si>
    <t>ADHD</t>
  </si>
  <si>
    <t>17cv01233</t>
  </si>
  <si>
    <t>08/13/2015 - 01/17/2017</t>
  </si>
  <si>
    <t>ALR</t>
  </si>
  <si>
    <t>16cv10766</t>
  </si>
  <si>
    <t>05/28/2015 - 12/07/2016</t>
  </si>
  <si>
    <t>ALXN</t>
  </si>
  <si>
    <t>16cv02127</t>
  </si>
  <si>
    <t>01/30/2014 - 05/26/2017</t>
  </si>
  <si>
    <t>AGN</t>
  </si>
  <si>
    <t>16cv09449</t>
  </si>
  <si>
    <t>10/29/2013 - 11/02/2016</t>
  </si>
  <si>
    <t>AMMA</t>
  </si>
  <si>
    <t>17cv02583</t>
  </si>
  <si>
    <t>PENDING</t>
  </si>
  <si>
    <t>AYA</t>
  </si>
  <si>
    <t>16cv01884</t>
  </si>
  <si>
    <t>05/26/2015 - 03/22/2016</t>
  </si>
  <si>
    <t>The Rosen Law Firm, P.A. </t>
  </si>
  <si>
    <t>AMBC</t>
  </si>
  <si>
    <t>16cv05076</t>
  </si>
  <si>
    <t>11/13/2013 - 11/17/2015</t>
  </si>
  <si>
    <t>ADGE</t>
  </si>
  <si>
    <t>17cv10247</t>
  </si>
  <si>
    <t>02/15/2017 - 02/15/2017</t>
  </si>
  <si>
    <t>Wolf Popper LLP; Monteverde &amp; Associates PC</t>
  </si>
  <si>
    <t>ARCP</t>
  </si>
  <si>
    <t>17cv00132</t>
  </si>
  <si>
    <t>01/13/2017 - 01/13/2017</t>
  </si>
  <si>
    <t>ARA</t>
  </si>
  <si>
    <t>16cv11797</t>
  </si>
  <si>
    <t>04/18/2016 - 08/18/2016</t>
  </si>
  <si>
    <t>AFSI</t>
  </si>
  <si>
    <t>17cv01608</t>
  </si>
  <si>
    <t>03/02/2015 - 03/16/2017</t>
  </si>
  <si>
    <t>AMRS </t>
  </si>
  <si>
    <t>17cv02210</t>
  </si>
  <si>
    <t>03/02/2017 - 04/17/2017</t>
  </si>
  <si>
    <t>AXVL</t>
  </si>
  <si>
    <t>15cv10162</t>
  </si>
  <si>
    <t>05/17/2013 - 12/30/2015</t>
  </si>
  <si>
    <t>Levi &amp; Korsinsky, LLP </t>
  </si>
  <si>
    <t>ANTH</t>
  </si>
  <si>
    <t>17cv00715</t>
  </si>
  <si>
    <t>02/10/2015 - 12/27/2016</t>
  </si>
  <si>
    <t>APOL</t>
  </si>
  <si>
    <t>16cv00689</t>
  </si>
  <si>
    <t>11/13/2013 - 10/21/2015</t>
  </si>
  <si>
    <t>AMCC</t>
  </si>
  <si>
    <t>17cv00151</t>
  </si>
  <si>
    <t>01/12/2017 - 01/12/2017</t>
  </si>
  <si>
    <t>Finkelstein Thompson LLP; Brower Piven</t>
  </si>
  <si>
    <t>PETX</t>
  </si>
  <si>
    <t>17cv00880</t>
  </si>
  <si>
    <t>03/16/2015 - 02/03/2017</t>
  </si>
  <si>
    <t>ARGS </t>
  </si>
  <si>
    <t>17cv00216</t>
  </si>
  <si>
    <t>02/04/2014 - 02/21/2017</t>
  </si>
  <si>
    <t>Wolf Haldenstein Adler Freeman &amp; Herz LLP; Levi &amp; Korsinsky, LLP</t>
  </si>
  <si>
    <t>ARWR</t>
  </si>
  <si>
    <t>16cv08505</t>
  </si>
  <si>
    <t>01/12/2015 - 11/29/2016</t>
  </si>
  <si>
    <t>AVID</t>
  </si>
  <si>
    <t>16cv12336</t>
  </si>
  <si>
    <t>08/04/2016 - 11/09/2016</t>
  </si>
  <si>
    <t>BW</t>
  </si>
  <si>
    <t>17cv00109</t>
  </si>
  <si>
    <t>07/01/2015 - 02/28/2017</t>
  </si>
  <si>
    <t>BANC</t>
  </si>
  <si>
    <t>17cv00118</t>
  </si>
  <si>
    <t>10/29/2015 - 01/20/2017</t>
  </si>
  <si>
    <t>BBD</t>
  </si>
  <si>
    <t>16cv04155</t>
  </si>
  <si>
    <t>04/30/2012 - 07/27/2016</t>
  </si>
  <si>
    <t>Kessler Topaz Meltzer &amp; Check, LLP</t>
  </si>
  <si>
    <t>16cv01445</t>
  </si>
  <si>
    <t>09/25/2014 - 11/30/2015</t>
  </si>
  <si>
    <t>BIOA </t>
  </si>
  <si>
    <t>17cv01531</t>
  </si>
  <si>
    <t>12/23/2016 - 03/16/2017</t>
  </si>
  <si>
    <t>BIIB</t>
  </si>
  <si>
    <t>16cv12101</t>
  </si>
  <si>
    <t>07/23/2014 - 07/23/2015</t>
  </si>
  <si>
    <t>BLT</t>
  </si>
  <si>
    <t>16cv00483</t>
  </si>
  <si>
    <t>03/04/2016 - 03/04/2016</t>
  </si>
  <si>
    <t>Levi &amp; Korsinsky, LLP; Johnson &amp; Weaver LLP</t>
  </si>
  <si>
    <t>BRX</t>
  </si>
  <si>
    <t>16cv02400</t>
  </si>
  <si>
    <t>02/20/2014 - 02/05/2016</t>
  </si>
  <si>
    <t>Settled</t>
  </si>
  <si>
    <t>BRCD</t>
  </si>
  <si>
    <t>16cv07081</t>
  </si>
  <si>
    <t>12/12/2016 - 12/12/2016</t>
  </si>
  <si>
    <t>BT</t>
  </si>
  <si>
    <t>17cv00558</t>
  </si>
  <si>
    <t>05/24/2012 - 01/23/2017</t>
  </si>
  <si>
    <t>CPST</t>
  </si>
  <si>
    <t>15cv08914</t>
  </si>
  <si>
    <t>06/12/2014 - 11/05/2015</t>
  </si>
  <si>
    <t>CFNL</t>
  </si>
  <si>
    <t>16cv01582</t>
  </si>
  <si>
    <t>12/20/2016 - 12/20/2016</t>
  </si>
  <si>
    <t> Brower Piven; Levi &amp; Korsinsky, LLP; Finkelstein Thompson LLP</t>
  </si>
  <si>
    <t>CSII</t>
  </si>
  <si>
    <t>16cv00568</t>
  </si>
  <si>
    <t>09/12/2011 - 01/21/2016</t>
  </si>
  <si>
    <t>CKEC</t>
  </si>
  <si>
    <t>16cv00154</t>
  </si>
  <si>
    <t>03/03/2016 - 03/03/2016</t>
  </si>
  <si>
    <t>Levi &amp; Korsinsky, LLP; Robbins Arroyo LLP</t>
  </si>
  <si>
    <t>HFXAX</t>
  </si>
  <si>
    <t>17cv02565</t>
  </si>
  <si>
    <t>11/01/2014 - 04/28/2017</t>
  </si>
  <si>
    <t>CAT</t>
  </si>
  <si>
    <t>17cv01713</t>
  </si>
  <si>
    <t>02/19/2013 - 03/01/2017</t>
  </si>
  <si>
    <t>CBL</t>
  </si>
  <si>
    <t>16cv00165</t>
  </si>
  <si>
    <t>08/09/2011 - 05/24/2016</t>
  </si>
  <si>
    <t>CGI </t>
  </si>
  <si>
    <t>17cv02828</t>
  </si>
  <si>
    <t>01/27/2016 - 05/02/2017</t>
  </si>
  <si>
    <t>CEMP</t>
  </si>
  <si>
    <t>16cv01303</t>
  </si>
  <si>
    <t>07/07/2015 - 12/29/2016</t>
  </si>
  <si>
    <t>CETX</t>
  </si>
  <si>
    <t>17cv01071</t>
  </si>
  <si>
    <t>10/26/2016 - 02/22/2017</t>
  </si>
  <si>
    <t>CNC</t>
  </si>
  <si>
    <t>17cv00806</t>
  </si>
  <si>
    <t>04/26/2016 - 07/25/2016</t>
  </si>
  <si>
    <t>SCHW</t>
  </si>
  <si>
    <t>16cv03938</t>
  </si>
  <si>
    <t>07/13/2011 - 07/13/2016</t>
  </si>
  <si>
    <t>CKP</t>
  </si>
  <si>
    <t>15cv08007</t>
  </si>
  <si>
    <t>03/05/2015 - 11/03/2015</t>
  </si>
  <si>
    <t> Levi &amp; Korsinsky, LLP</t>
  </si>
  <si>
    <t>CHMT</t>
  </si>
  <si>
    <t>16cv06626</t>
  </si>
  <si>
    <t>11/17/2016 - 11/17/2016</t>
  </si>
  <si>
    <t>Chamberlain, Hrdlicka, White, Williams &amp; Aughtry; Levi &amp; Korsinsky, LLP</t>
  </si>
  <si>
    <t>CHK</t>
  </si>
  <si>
    <t>16cv01150</t>
  </si>
  <si>
    <t>02/27/2015 - 09/28/2016</t>
  </si>
  <si>
    <t>CHMA</t>
  </si>
  <si>
    <t>16cv11082</t>
  </si>
  <si>
    <t>07/12/2015 - 04/17/2016</t>
  </si>
  <si>
    <t>CBI</t>
  </si>
  <si>
    <t>17cv01580</t>
  </si>
  <si>
    <t>10/29/2013 - 12/10/2014</t>
  </si>
  <si>
    <t>CMGE</t>
  </si>
  <si>
    <t>14cv04471</t>
  </si>
  <si>
    <t>04/26/2013 - 01/14/2015</t>
  </si>
  <si>
    <t>16cv00141</t>
  </si>
  <si>
    <t>02/05/2015 - 02/02/2016</t>
  </si>
  <si>
    <t>CI</t>
  </si>
  <si>
    <t>16cv00182</t>
  </si>
  <si>
    <t>02/27/2014 - 08/02/2016</t>
  </si>
  <si>
    <t>CFG</t>
  </si>
  <si>
    <t>17cv03004</t>
  </si>
  <si>
    <t>03/18/2016 - 03/29/2017</t>
  </si>
  <si>
    <t>CIA</t>
  </si>
  <si>
    <t>17cv00241</t>
  </si>
  <si>
    <t>3/11/2015 - 04/27/2017</t>
  </si>
  <si>
    <t>CLVS</t>
  </si>
  <si>
    <t>15cv02546</t>
  </si>
  <si>
    <t>05/31/2014 - 04/07/2016</t>
  </si>
  <si>
    <t>CNV</t>
  </si>
  <si>
    <t>16cv00444</t>
  </si>
  <si>
    <t>11/16/2014 - 12/18/2015</t>
  </si>
  <si>
    <t>CDRB</t>
  </si>
  <si>
    <t>16cv03492</t>
  </si>
  <si>
    <t>05/19/2015 - 05/12/2017</t>
  </si>
  <si>
    <t>CTSH</t>
  </si>
  <si>
    <t>16cv06509</t>
  </si>
  <si>
    <t>02/27/2015 - 09/29/2016</t>
  </si>
  <si>
    <t>CLNY</t>
  </si>
  <si>
    <t>16cv03282</t>
  </si>
  <si>
    <t>09/29/2016 - 09/29/2016</t>
  </si>
  <si>
    <t>Faruqi &amp; Faruqi, LLP; Brower Piven; Monteverde &amp; Associates PC</t>
  </si>
  <si>
    <t>SCOR</t>
  </si>
  <si>
    <t>16cv01820</t>
  </si>
  <si>
    <t>02/11/2014 - 11/23/2016</t>
  </si>
  <si>
    <t>CXR</t>
  </si>
  <si>
    <t>16cv06467</t>
  </si>
  <si>
    <t>05/13/2015 - 08/12/2016</t>
  </si>
  <si>
    <t>CXW</t>
  </si>
  <si>
    <t>16cv02267</t>
  </si>
  <si>
    <t>02/27/2012 - 08/17/2016</t>
  </si>
  <si>
    <t>PMTS</t>
  </si>
  <si>
    <t>16cv04531</t>
  </si>
  <si>
    <t>10/05/2015 - 06/15/2016</t>
  </si>
  <si>
    <t>CRESY</t>
  </si>
  <si>
    <t>16cv05748</t>
  </si>
  <si>
    <t>02/11/2015 - 12/30/2015</t>
  </si>
  <si>
    <t>CST</t>
  </si>
  <si>
    <t>16cv00955</t>
  </si>
  <si>
    <t>09/26/2016 - 09/26/2016</t>
  </si>
  <si>
    <t>CTIC</t>
  </si>
  <si>
    <t>16cv00216</t>
  </si>
  <si>
    <t>03/04/2014 - 02/09/2016</t>
  </si>
  <si>
    <t>CYNO</t>
  </si>
  <si>
    <t>17cv00212</t>
  </si>
  <si>
    <t>02/24/2017 - 02/24/2017</t>
  </si>
  <si>
    <t>Monteverde &amp; Associates PC; Faruqi &amp; Faruqi, LLP</t>
  </si>
  <si>
    <t>CYTR</t>
  </si>
  <si>
    <t>16cv05519</t>
  </si>
  <si>
    <t>09/12/2014 - 07/11/2016</t>
  </si>
  <si>
    <t>16cv02942</t>
  </si>
  <si>
    <t>02/22/2012 - 04/21/2016</t>
  </si>
  <si>
    <t>DAKPQ</t>
  </si>
  <si>
    <t>16cv09727</t>
  </si>
  <si>
    <t>03/23/2012 - 08/16/2016</t>
  </si>
  <si>
    <t>DVA</t>
  </si>
  <si>
    <t>17cv00304</t>
  </si>
  <si>
    <t>08/05/2015 - 10/21/2016</t>
  </si>
  <si>
    <t>HOMEX </t>
  </si>
  <si>
    <t>17cv01416</t>
  </si>
  <si>
    <t>04/30/2012 - 05/05/2016</t>
  </si>
  <si>
    <t>16cv03495</t>
  </si>
  <si>
    <t>01/31/2013 - 07/26/2016</t>
  </si>
  <si>
    <t>DV</t>
  </si>
  <si>
    <t>16cv05198</t>
  </si>
  <si>
    <t>08/26/2011 - 01/27/2016</t>
  </si>
  <si>
    <t>DPLO</t>
  </si>
  <si>
    <t>16cv14005</t>
  </si>
  <si>
    <t>02/29/2016 - 11/03/2016</t>
  </si>
  <si>
    <t>DOLE</t>
  </si>
  <si>
    <t>15cv01140</t>
  </si>
  <si>
    <t>01/02/2013 - 10/31/2013</t>
  </si>
  <si>
    <t>DG</t>
  </si>
  <si>
    <t>17cv00063</t>
  </si>
  <si>
    <t>03/10/2016 - 11/30/2016</t>
  </si>
  <si>
    <t>DSKX</t>
  </si>
  <si>
    <t>16cv60661</t>
  </si>
  <si>
    <t>05/15/2014 - 04/03/2016</t>
  </si>
  <si>
    <t>DVAX</t>
  </si>
  <si>
    <t>16cv06690</t>
  </si>
  <si>
    <t>03/10/2014 - 11/11/2016</t>
  </si>
  <si>
    <t>ETFC</t>
  </si>
  <si>
    <t>16cv05891</t>
  </si>
  <si>
    <t>07/12/2011 - 02/10/2017</t>
  </si>
  <si>
    <t>EGRX</t>
  </si>
  <si>
    <t>16cv03091</t>
  </si>
  <si>
    <t>05/12/2015 - 03/18/2016</t>
  </si>
  <si>
    <t>ETN</t>
  </si>
  <si>
    <t>16cv05894</t>
  </si>
  <si>
    <t>05/21/2012 - 07/28/2014</t>
  </si>
  <si>
    <t>EGLT</t>
  </si>
  <si>
    <t>17cv00390</t>
  </si>
  <si>
    <t>12/15/2015 - 01/09/2017</t>
  </si>
  <si>
    <t>Levi &amp; Korsinsky, LLP; Pomerantz LLP</t>
  </si>
  <si>
    <t>ELRC</t>
  </si>
  <si>
    <t>16cv04431</t>
  </si>
  <si>
    <t>06/20/2016 - 06/20/2016</t>
  </si>
  <si>
    <t>Brodsky &amp; Smith, LLC</t>
  </si>
  <si>
    <t>ERJ</t>
  </si>
  <si>
    <t>16cv06277</t>
  </si>
  <si>
    <t>01/11/2012 - 11/28/2016</t>
  </si>
  <si>
    <t>EMC</t>
  </si>
  <si>
    <t>15cv13692</t>
  </si>
  <si>
    <t>01/11/2016 - 01/11/2016</t>
  </si>
  <si>
    <t>The Grant Law Firm PLLC</t>
  </si>
  <si>
    <t>EBS</t>
  </si>
  <si>
    <t>16cv02625</t>
  </si>
  <si>
    <t>01/11/2016 - 06/21/2016</t>
  </si>
  <si>
    <t>16cv03912</t>
  </si>
  <si>
    <t>05/11/2015 - 05/06/2016</t>
  </si>
  <si>
    <t>ELGX</t>
  </si>
  <si>
    <t>17cv00017</t>
  </si>
  <si>
    <t>05/05/2016 - 05/18/2017</t>
  </si>
  <si>
    <t>ETP</t>
  </si>
  <si>
    <t>17cv00044</t>
  </si>
  <si>
    <t>01/06/2017 - 01/06/2017</t>
  </si>
  <si>
    <t>EVHC</t>
  </si>
  <si>
    <t>16cv02213</t>
  </si>
  <si>
    <t>08/31/2016 - 08/31/2016</t>
  </si>
  <si>
    <t>The Shuman Law Firm; Levi &amp; Korsinsky, LLP; Rigrodsky &amp; Long, PA; Ryan &amp; Maniskas, LLP</t>
  </si>
  <si>
    <t>ERBA</t>
  </si>
  <si>
    <t>15cv24440</t>
  </si>
  <si>
    <t>04/14/2014 - 11/20/2015</t>
  </si>
  <si>
    <t>EROS</t>
  </si>
  <si>
    <t>15cv08956</t>
  </si>
  <si>
    <t>11/09/2013 - 11/12/2015</t>
  </si>
  <si>
    <t>16cv10089</t>
  </si>
  <si>
    <t>08/18/2015 - 09/28/2015</t>
  </si>
  <si>
    <t>ESRX</t>
  </si>
  <si>
    <t>16cv03338</t>
  </si>
  <si>
    <t>02/24/2015 - 03/21/2016</t>
  </si>
  <si>
    <t>XOM</t>
  </si>
  <si>
    <t>16cv03111</t>
  </si>
  <si>
    <t>03/31/2014 - 01/30/2017</t>
  </si>
  <si>
    <t>FB</t>
  </si>
  <si>
    <t>17cv00679</t>
  </si>
  <si>
    <t>05/05/2014 - 11/02/2016</t>
  </si>
  <si>
    <t>The Rosen Law Firm, P.A.; Bronstein, Gewirtz &amp; Grossman, LLC</t>
  </si>
  <si>
    <t>FEIC</t>
  </si>
  <si>
    <t>16cv01792</t>
  </si>
  <si>
    <t>05/26/2016 - 05/26/2016</t>
  </si>
  <si>
    <t>FENX</t>
  </si>
  <si>
    <t>17cv00233</t>
  </si>
  <si>
    <t>05/14/2015 - 10/12/2016</t>
  </si>
  <si>
    <t>FGP</t>
  </si>
  <si>
    <t>16cv07840</t>
  </si>
  <si>
    <t>06/01/2015 - 11/22/2016</t>
  </si>
  <si>
    <t>FCAU</t>
  </si>
  <si>
    <t>16cv12803</t>
  </si>
  <si>
    <t>11/03/2014 - 07/26/2016</t>
  </si>
  <si>
    <t>FSAM</t>
  </si>
  <si>
    <t>16cv01941</t>
  </si>
  <si>
    <t>10/27/2014 - 01/07/2016</t>
  </si>
  <si>
    <t>FNBCQ</t>
  </si>
  <si>
    <t>16cv04243</t>
  </si>
  <si>
    <t>05/10/2013 - 10/20/2016</t>
  </si>
  <si>
    <t>Barrack Rodos &amp; Bacine</t>
  </si>
  <si>
    <t>FMER-A</t>
  </si>
  <si>
    <t>16cv00723</t>
  </si>
  <si>
    <t>01/26/2016 - 01/26/2016</t>
  </si>
  <si>
    <t>Perantinides &amp; Nolan Co., L.P.A.; Levi &amp; Korsinsky, LLP</t>
  </si>
  <si>
    <t>FIT</t>
  </si>
  <si>
    <t>16cv00151</t>
  </si>
  <si>
    <t>06/15/2015 - 05/19/2016</t>
  </si>
  <si>
    <t>Pomerantz LLP; Glancy Prongay &amp; Murray, LLP</t>
  </si>
  <si>
    <t>FTK</t>
  </si>
  <si>
    <t>15cv03327</t>
  </si>
  <si>
    <t>10/23/2014 - 11/09/2015</t>
  </si>
  <si>
    <t>FLO</t>
  </si>
  <si>
    <t>16cv00222</t>
  </si>
  <si>
    <t>02/07/2013 - 08/10/2016</t>
  </si>
  <si>
    <t>FLY</t>
  </si>
  <si>
    <t>16cv02220</t>
  </si>
  <si>
    <t>05/08/2014 - 03/07/2016</t>
  </si>
  <si>
    <t>FCX</t>
  </si>
  <si>
    <t>16cv00186</t>
  </si>
  <si>
    <t>02/27/2015 - 01/15/2016</t>
  </si>
  <si>
    <t>FRPT</t>
  </si>
  <si>
    <t>16cv02263</t>
  </si>
  <si>
    <t>04/01/2015 - 11/11/2015</t>
  </si>
  <si>
    <t>FTD</t>
  </si>
  <si>
    <t>17cv02135</t>
  </si>
  <si>
    <t>03/13/2015 - 03/14/2017</t>
  </si>
  <si>
    <t>FULL</t>
  </si>
  <si>
    <t>16cv03237</t>
  </si>
  <si>
    <t>09/23/2016 - 09/23/2016</t>
  </si>
  <si>
    <t>Goldman &amp; Minton, P.C.; Rigrodsky &amp; Long, PA</t>
  </si>
  <si>
    <t>FSPM</t>
  </si>
  <si>
    <t>17cv00454</t>
  </si>
  <si>
    <t>03/31/2012 - 05/16/2014</t>
  </si>
  <si>
    <t>GLBR</t>
  </si>
  <si>
    <t>17cv00916</t>
  </si>
  <si>
    <t>03/15/2012 - 02/06/2017</t>
  </si>
  <si>
    <t>WILC</t>
  </si>
  <si>
    <t>16cv01528</t>
  </si>
  <si>
    <t>04/30/2014 - 02/18/2016</t>
  </si>
  <si>
    <t>GALE</t>
  </si>
  <si>
    <t>17cv00929</t>
  </si>
  <si>
    <t>08/11/2014 - 01/31/2017</t>
  </si>
  <si>
    <t>NONE</t>
  </si>
  <si>
    <t>16cv00940</t>
  </si>
  <si>
    <t>06/01/2014 - 07/05/2016</t>
  </si>
  <si>
    <t>BGC</t>
  </si>
  <si>
    <t>17cv00025</t>
  </si>
  <si>
    <t>02/23/2012 - 02/10/2016</t>
  </si>
  <si>
    <t>GNW</t>
  </si>
  <si>
    <t>17cv00059</t>
  </si>
  <si>
    <t>01/23/2017 - 01/23/2017</t>
  </si>
  <si>
    <t>Faruqi &amp; Faruqi, LLP; Harwood Feffer LLP; Rigrodsky &amp; Long, PA; Kahn Swick &amp; Foti, LLC; Gainey McKenna &amp; Egleston; O'Kelly Ernst &amp; Joyce, LLC; WeissLaw, LLP; Williams &amp; Skilling, P.C.; Monteverde &amp; Associates PC; MeyerGoergen PC</t>
  </si>
  <si>
    <t>GGB</t>
  </si>
  <si>
    <t>16cv03925</t>
  </si>
  <si>
    <t>04/23/2012 - 05/16/2016</t>
  </si>
  <si>
    <t>GIMO</t>
  </si>
  <si>
    <t>17cv00434</t>
  </si>
  <si>
    <t>10/27/2016 - 01/17/2017</t>
  </si>
  <si>
    <t>GDSI</t>
  </si>
  <si>
    <t>16cv05153</t>
  </si>
  <si>
    <t>10/08/2013 - 08/11/2016</t>
  </si>
  <si>
    <t>ENT</t>
  </si>
  <si>
    <t>17cv01479</t>
  </si>
  <si>
    <t>07/27/2016 - 03/16/2017</t>
  </si>
  <si>
    <t>GG</t>
  </si>
  <si>
    <t>16cv06391</t>
  </si>
  <si>
    <t>03/31/2014 - 10/03/2016</t>
  </si>
  <si>
    <t>16cv00232</t>
  </si>
  <si>
    <t>07/21/2015 - 01/13/2016</t>
  </si>
  <si>
    <t>GRAM</t>
  </si>
  <si>
    <t>17cv01643</t>
  </si>
  <si>
    <t>07/24/2013 - 02/24/2017</t>
  </si>
  <si>
    <t>GWPH</t>
  </si>
  <si>
    <t>16cv00472</t>
  </si>
  <si>
    <t>12/04/2014 - 01/08/2016</t>
  </si>
  <si>
    <t>The Rosen Law Firm, P.A.; Pomerantz LLP</t>
  </si>
  <si>
    <t>HYH</t>
  </si>
  <si>
    <t>16cv05093</t>
  </si>
  <si>
    <t>08/08/2014 - 04/29/2016</t>
  </si>
  <si>
    <t>HAR</t>
  </si>
  <si>
    <t>17cv00246</t>
  </si>
  <si>
    <t>01/10/2017 - 01/10/2017</t>
  </si>
  <si>
    <t>HCP</t>
  </si>
  <si>
    <t>16cv01106</t>
  </si>
  <si>
    <t>03/30/2015 - 02/08/2016</t>
  </si>
  <si>
    <t>HTWR</t>
  </si>
  <si>
    <t>16cv00520</t>
  </si>
  <si>
    <t>06/10/2014 - 01/10/2016</t>
  </si>
  <si>
    <t>HEOP</t>
  </si>
  <si>
    <t>17cv01939</t>
  </si>
  <si>
    <t>03/10/2017 - 03/10/2017</t>
  </si>
  <si>
    <t>Rigrodsky &amp; Long, PA; WeissLaw, LLP; RM Law, P.C.</t>
  </si>
  <si>
    <t>HMSY</t>
  </si>
  <si>
    <t>17cv01339</t>
  </si>
  <si>
    <t>05/10/2016 - 03/02/2017</t>
  </si>
  <si>
    <t>HZNP</t>
  </si>
  <si>
    <t>16cv01763</t>
  </si>
  <si>
    <t>01/12/2015 - 04/12/2016</t>
  </si>
  <si>
    <t>ZINCQ</t>
  </si>
  <si>
    <t>16cv00292</t>
  </si>
  <si>
    <t>02/25/2014 - 02/02/2016</t>
  </si>
  <si>
    <t>Glancy Prongay &amp; Murray, LLP </t>
  </si>
  <si>
    <t>HDP</t>
  </si>
  <si>
    <t>16cv00980</t>
  </si>
  <si>
    <t>08/05/2015 - 01/15/2016</t>
  </si>
  <si>
    <t>HTCH</t>
  </si>
  <si>
    <t>15cv04356</t>
  </si>
  <si>
    <t>11/02/2015 - 11/02/2015</t>
  </si>
  <si>
    <t>INVE</t>
  </si>
  <si>
    <t>15cv05775</t>
  </si>
  <si>
    <t>11/13/2013 - 11/30/2015</t>
  </si>
  <si>
    <t>ILMN</t>
  </si>
  <si>
    <t>16cv03044</t>
  </si>
  <si>
    <t>07/26/2016 - 10/10/2016</t>
  </si>
  <si>
    <t>IMUC </t>
  </si>
  <si>
    <t>17cv03250</t>
  </si>
  <si>
    <t> 05/01/2012 - 12/11/2013</t>
  </si>
  <si>
    <t>Levi &amp; Korsinsky, LLP; Wolf Popper LLP</t>
  </si>
  <si>
    <t>IMMU</t>
  </si>
  <si>
    <t>16cv03335</t>
  </si>
  <si>
    <t>04/20/2016 - 06/03/2016</t>
  </si>
  <si>
    <t>IPXL</t>
  </si>
  <si>
    <t>16cv06557</t>
  </si>
  <si>
    <t>02/20/2014 - 11/02/2016</t>
  </si>
  <si>
    <t>IMPR</t>
  </si>
  <si>
    <t>16cv10160</t>
  </si>
  <si>
    <t>07/30/2015 - 11/02/2015</t>
  </si>
  <si>
    <t>INFU</t>
  </si>
  <si>
    <t>16cv08295</t>
  </si>
  <si>
    <t>05/12/2015 - 11/07/2016</t>
  </si>
  <si>
    <t>INNL</t>
  </si>
  <si>
    <t>17cv00341</t>
  </si>
  <si>
    <t>07/25/2014 - 12/29/2016</t>
  </si>
  <si>
    <t>ITEK</t>
  </si>
  <si>
    <t>17cv10025</t>
  </si>
  <si>
    <t>07/23/2015 - 12/30/2016</t>
  </si>
  <si>
    <t>INOV</t>
  </si>
  <si>
    <t>16cv04923</t>
  </si>
  <si>
    <t>02/09/2015 - 06/24/2016</t>
  </si>
  <si>
    <t>INSM</t>
  </si>
  <si>
    <t>16cv04323</t>
  </si>
  <si>
    <t>03/26/2014 - 06/08/2016</t>
  </si>
  <si>
    <t>INSY</t>
  </si>
  <si>
    <t>16cv00302</t>
  </si>
  <si>
    <t>08/12/2014 - 12/08/2016</t>
  </si>
  <si>
    <t>17cv01954</t>
  </si>
  <si>
    <t>05/07/2015 - 03/31/2017</t>
  </si>
  <si>
    <t>IQNT</t>
  </si>
  <si>
    <t>16cv11244</t>
  </si>
  <si>
    <t>12/15/2016 - 12/15/2016</t>
  </si>
  <si>
    <t>Wolf Haldenstein Adler Freeman &amp; Herz LLP; Levi &amp; Korsinsky, LLP; Rigrodsky &amp; Long, PA; Ryan &amp; Maniskas, LLP; WeissLaw, LLP</t>
  </si>
  <si>
    <t>ININ</t>
  </si>
  <si>
    <t>16cv03161</t>
  </si>
  <si>
    <t>09/30/2016 - 09/30/2016</t>
  </si>
  <si>
    <t>XON</t>
  </si>
  <si>
    <t>16cv02398</t>
  </si>
  <si>
    <t>05/11/2015 - 04/27/2016</t>
  </si>
  <si>
    <t>SNAK</t>
  </si>
  <si>
    <t>17cv00910</t>
  </si>
  <si>
    <t>03/03/2016 - 03/16/2017</t>
  </si>
  <si>
    <t>IVTY</t>
  </si>
  <si>
    <t>17cv01005</t>
  </si>
  <si>
    <t>02/24/2016 - 11/03/2016</t>
  </si>
  <si>
    <t>Glancy Prongay &amp; Murray, LLP; Holzer &amp; Holzer, LLC </t>
  </si>
  <si>
    <t>IRS</t>
  </si>
  <si>
    <t>16cv05743</t>
  </si>
  <si>
    <t>ITC</t>
  </si>
  <si>
    <t>16cv10914</t>
  </si>
  <si>
    <t>02/09/2016 - 02/09/2016</t>
  </si>
  <si>
    <t>Anthony L. DeLuca, PLC; Faruqi &amp; Faruqi, LLP</t>
  </si>
  <si>
    <t>JAH</t>
  </si>
  <si>
    <t>16cv80258</t>
  </si>
  <si>
    <t>12/14/2015 - 12/14/2015</t>
  </si>
  <si>
    <t>JCI</t>
  </si>
  <si>
    <t>16cv01093</t>
  </si>
  <si>
    <t>01/24/2016 - 01/24/2016</t>
  </si>
  <si>
    <t>Lockridge, Grindal, Nauen, PLLP</t>
  </si>
  <si>
    <t>JOY</t>
  </si>
  <si>
    <t>16cv01229</t>
  </si>
  <si>
    <t>09/01/2016 - 09/01/2016</t>
  </si>
  <si>
    <t>Robbins, Geller, Rudman &amp; Dowd, LLP; Bronstein, Gewirtz &amp; Grossman, LLC</t>
  </si>
  <si>
    <t>JUNO</t>
  </si>
  <si>
    <t>16cv01069</t>
  </si>
  <si>
    <t>06/04/2016 - 11/22/2016</t>
  </si>
  <si>
    <t>LRN</t>
  </si>
  <si>
    <t>16cv04069</t>
  </si>
  <si>
    <t>10/10/2013 - 10/27/2015</t>
  </si>
  <si>
    <t>KBIO</t>
  </si>
  <si>
    <t>15cv05841</t>
  </si>
  <si>
    <t>11/18/2015 - 12/16/2015</t>
  </si>
  <si>
    <t>KERX</t>
  </si>
  <si>
    <t>16cv11745</t>
  </si>
  <si>
    <t>05/08/2013 - 08/01/2016</t>
  </si>
  <si>
    <t>GMCR</t>
  </si>
  <si>
    <t>16cv00019</t>
  </si>
  <si>
    <t>12/07/2015 - 12/07/2015</t>
  </si>
  <si>
    <t>KTOV</t>
  </si>
  <si>
    <t>17cv00917</t>
  </si>
  <si>
    <t>11/17/2015 - 02/06/2017</t>
  </si>
  <si>
    <t>KLXI</t>
  </si>
  <si>
    <t>16cv80023</t>
  </si>
  <si>
    <t>03/09/2015 - 11/11/2015</t>
  </si>
  <si>
    <t>KKD</t>
  </si>
  <si>
    <t>16cv00923</t>
  </si>
  <si>
    <t>06/24/2016 - 06/24/2016</t>
  </si>
  <si>
    <t>Bragar Eagel &amp; Squire, PC; WeissLaw, LLP; Wilson &amp; Helms LLP</t>
  </si>
  <si>
    <t>LQ</t>
  </si>
  <si>
    <t>16cv03068</t>
  </si>
  <si>
    <t>11/19/2014 - 02/24/2016</t>
  </si>
  <si>
    <t>16cv05932</t>
  </si>
  <si>
    <t>05/09/2013 - 11/03/2016</t>
  </si>
  <si>
    <t>LF</t>
  </si>
  <si>
    <t>15cv00347</t>
  </si>
  <si>
    <t>05/05/2014 - 06/11/2015</t>
  </si>
  <si>
    <t>Robbins, Geller, Rudman &amp; Dowd, LLP; Motley Rice LLC</t>
  </si>
  <si>
    <t>16cv02627</t>
  </si>
  <si>
    <t>12/08/2014 - 05/06/2016</t>
  </si>
  <si>
    <t>LVLT</t>
  </si>
  <si>
    <t>17cv00155</t>
  </si>
  <si>
    <t>01/17/2017 - 01/17/2017</t>
  </si>
  <si>
    <t>WeissLaw, LLP</t>
  </si>
  <si>
    <t>LFVN</t>
  </si>
  <si>
    <t>16cv00965</t>
  </si>
  <si>
    <t>09/01/2015 - 01/18/2017</t>
  </si>
  <si>
    <t>LGND</t>
  </si>
  <si>
    <t>16cv02832</t>
  </si>
  <si>
    <t>11/09/2015 - 11/14/2016</t>
  </si>
  <si>
    <t>LWLL</t>
  </si>
  <si>
    <t>16cv62506</t>
  </si>
  <si>
    <t>10/27/2014 - 10/27/2014</t>
  </si>
  <si>
    <t>Wolf Haldenstein Adler Freeman &amp; Herz LLP; Fischler &amp; Friedman, P.A.</t>
  </si>
  <si>
    <t>IOVA</t>
  </si>
  <si>
    <t>17cv02086</t>
  </si>
  <si>
    <t>LIOX</t>
  </si>
  <si>
    <t>17cv10135</t>
  </si>
  <si>
    <t>01/26/2017 - 01/26/2017</t>
  </si>
  <si>
    <t>LPCN</t>
  </si>
  <si>
    <t>17cv00182</t>
  </si>
  <si>
    <t>06/30/2015 - 06/28/2016</t>
  </si>
  <si>
    <t>LPLA</t>
  </si>
  <si>
    <t>16cv00685</t>
  </si>
  <si>
    <t>12/08/2015 - 02/11/2016</t>
  </si>
  <si>
    <t>CALL</t>
  </si>
  <si>
    <t>16cv01869</t>
  </si>
  <si>
    <t>11/12/2013 - 03/12/2014</t>
  </si>
  <si>
    <t>MNK</t>
  </si>
  <si>
    <t>17cv00145</t>
  </si>
  <si>
    <t>DC</t>
  </si>
  <si>
    <t>07/14/2014 - 01/18/2017</t>
  </si>
  <si>
    <t>MNKD</t>
  </si>
  <si>
    <t>16cv00348</t>
  </si>
  <si>
    <t>08/10/2015 - 01/05/2016</t>
  </si>
  <si>
    <t>MCHX</t>
  </si>
  <si>
    <t>16cv00360</t>
  </si>
  <si>
    <t>03/19/2014 - 09/18/2014</t>
  </si>
  <si>
    <t>The Rosen Law Firm, P.A.; Goldberg Law PC </t>
  </si>
  <si>
    <t>MTCH</t>
  </si>
  <si>
    <t>16cv00549</t>
  </si>
  <si>
    <t>11/16/2015 - 02/26/2016</t>
  </si>
  <si>
    <t>Glancy Prongay &amp; Murray, LLP; Bragar Eagel &amp; Squire, PC</t>
  </si>
  <si>
    <t>MTSN</t>
  </si>
  <si>
    <t>16cv00811</t>
  </si>
  <si>
    <t>02/04/2016 - 02/04/2016</t>
  </si>
  <si>
    <t>MRD</t>
  </si>
  <si>
    <t>16cv02183</t>
  </si>
  <si>
    <t>07/11/2016 - 07/11/2016</t>
  </si>
  <si>
    <t>The Bilek Law Firm LLP; Levi &amp; Korsinsky, LLP</t>
  </si>
  <si>
    <t>MENT</t>
  </si>
  <si>
    <t>16cv00470</t>
  </si>
  <si>
    <t>08/21/2014 - 11/19/2015</t>
  </si>
  <si>
    <t>MPG</t>
  </si>
  <si>
    <t>17cv10911</t>
  </si>
  <si>
    <t>02/16/2017 - 02/16/2017</t>
  </si>
  <si>
    <t>Faruqi &amp; Faruqi, LLP; Anthony L. DeLuca, PLC; Monteverde &amp; Associates PC</t>
  </si>
  <si>
    <t>MGT</t>
  </si>
  <si>
    <t>16cv07415</t>
  </si>
  <si>
    <t>05/09/2016 - 10/19/2016</t>
  </si>
  <si>
    <t>MILLQ</t>
  </si>
  <si>
    <t>15cv00545</t>
  </si>
  <si>
    <t>09/06/2012 - 03/15/2016</t>
  </si>
  <si>
    <t>MSON</t>
  </si>
  <si>
    <t>16cv05218</t>
  </si>
  <si>
    <t>11/05/2015 - 09/14/2016</t>
  </si>
  <si>
    <t>MKGI</t>
  </si>
  <si>
    <t>16cv62902</t>
  </si>
  <si>
    <t>04/06/2012 - 06/23/2016</t>
  </si>
  <si>
    <t>Crabtree &amp; Auslander</t>
  </si>
  <si>
    <t>15cv00402</t>
  </si>
  <si>
    <t>03/27/2014 - 04/17/2014</t>
  </si>
  <si>
    <t>MFLX</t>
  </si>
  <si>
    <t>16cv00805</t>
  </si>
  <si>
    <t>Levi &amp; Korsinsky, LLP; Brodsky &amp; Smith, LLC</t>
  </si>
  <si>
    <t>MYL</t>
  </si>
  <si>
    <t>16cv07926</t>
  </si>
  <si>
    <t>02/21/2012 - 01/29/2017</t>
  </si>
  <si>
    <t>NH</t>
  </si>
  <si>
    <t>17cv01825</t>
  </si>
  <si>
    <t>05/29/2016 - 05/01/2017</t>
  </si>
  <si>
    <t>NK</t>
  </si>
  <si>
    <t>16cv01947</t>
  </si>
  <si>
    <t>07/28/2015 - 03/29/2016</t>
  </si>
  <si>
    <t>16cv07487</t>
  </si>
  <si>
    <t>07/16/2015 - 09/28/2016</t>
  </si>
  <si>
    <t>NHTC</t>
  </si>
  <si>
    <t>16cv00255</t>
  </si>
  <si>
    <t>03/06/2015 - 03/15/2016</t>
  </si>
  <si>
    <t>The Rosen Law Firm, P.A.; Levi &amp; Korsinsky, LLP </t>
  </si>
  <si>
    <t>BABY</t>
  </si>
  <si>
    <t>17cv00458</t>
  </si>
  <si>
    <t>10/16/2015 - 04/03/2016</t>
  </si>
  <si>
    <t>16cv00075</t>
  </si>
  <si>
    <t>04/17/2014 - 02/05/2016</t>
  </si>
  <si>
    <t>NVCN</t>
  </si>
  <si>
    <t>16cv11038</t>
  </si>
  <si>
    <t>01/26/2015 - 05/19/2016</t>
  </si>
  <si>
    <t>NFLX</t>
  </si>
  <si>
    <t>17cv01070</t>
  </si>
  <si>
    <t>07/22/2014 - 10/15/2014</t>
  </si>
  <si>
    <t>EDU</t>
  </si>
  <si>
    <t>16cv09279</t>
  </si>
  <si>
    <t>09/28/2016 - 12/01/2016</t>
  </si>
  <si>
    <t>NSLPQ</t>
  </si>
  <si>
    <t>15cv08954</t>
  </si>
  <si>
    <t>05/05/2015 - 10/21/2015</t>
  </si>
  <si>
    <t>Wolf Haldenstein Adler Freeman &amp; Herz LLP; The Rosen Law Firm, P.A. </t>
  </si>
  <si>
    <t>NLNK</t>
  </si>
  <si>
    <t>16cv03545</t>
  </si>
  <si>
    <t>09/17/2013 - 05/09/2016</t>
  </si>
  <si>
    <t>NMBL</t>
  </si>
  <si>
    <t>15cv05803</t>
  </si>
  <si>
    <t>11/25/2014 - 11/19/2015</t>
  </si>
  <si>
    <t>04/02/2015 - 01/06/2016</t>
  </si>
  <si>
    <t>Pomerantz LLP; The Briscoe Law Firm, PLLC</t>
  </si>
  <si>
    <t>NAK</t>
  </si>
  <si>
    <t>17cv01241</t>
  </si>
  <si>
    <t>09/16/2013 - 02/14/2017</t>
  </si>
  <si>
    <t>Kirby McInerney LLP; Glancy Prongay &amp; Murray, LLP </t>
  </si>
  <si>
    <t>NOG</t>
  </si>
  <si>
    <t>16cv06543</t>
  </si>
  <si>
    <t>03/01/2013 - 08/15/2016</t>
  </si>
  <si>
    <t>Pomerantz LLP; Goldberg Law PC</t>
  </si>
  <si>
    <t>NTI</t>
  </si>
  <si>
    <t>17cv00985</t>
  </si>
  <si>
    <t>06/23/2016 - 06/23/2016</t>
  </si>
  <si>
    <t>Faruqi &amp; Faruqi, LLP; Monteverde &amp; Associates PC</t>
  </si>
  <si>
    <t>NSAM</t>
  </si>
  <si>
    <t>16cv03745</t>
  </si>
  <si>
    <t>11/18/2016 - 11/18/2016</t>
  </si>
  <si>
    <t>Brower Piven; Ademi &amp; O'Reilly, LLP</t>
  </si>
  <si>
    <t>NRF</t>
  </si>
  <si>
    <t>16cv03742</t>
  </si>
  <si>
    <t>Brower Piven; Faruqi &amp; Faruqi, LLP</t>
  </si>
  <si>
    <t>NVO</t>
  </si>
  <si>
    <t>17cv00209</t>
  </si>
  <si>
    <t>02/05/2015 - 10/27/2016</t>
  </si>
  <si>
    <t>OCN</t>
  </si>
  <si>
    <t>17cv80500</t>
  </si>
  <si>
    <t>01/13/2015 - 04/20/2017</t>
  </si>
  <si>
    <t>OME</t>
  </si>
  <si>
    <t>17cv02448</t>
  </si>
  <si>
    <t>08/06/2013 - 03/01/2017</t>
  </si>
  <si>
    <t>OMF</t>
  </si>
  <si>
    <t>17cv01016</t>
  </si>
  <si>
    <t>02/25/2016 - 11/07/2016</t>
  </si>
  <si>
    <t>OPHT</t>
  </si>
  <si>
    <t>17cv00210</t>
  </si>
  <si>
    <t>05/11/2015 - 12/12/2016</t>
  </si>
  <si>
    <t>OPB</t>
  </si>
  <si>
    <t>16cv07991</t>
  </si>
  <si>
    <t>01/26/2015 - 01/30/2017</t>
  </si>
  <si>
    <t>ORCL</t>
  </si>
  <si>
    <t>16cv02966</t>
  </si>
  <si>
    <t>09/16/2015 - 06/01/2016</t>
  </si>
  <si>
    <t>OA</t>
  </si>
  <si>
    <t>16cv01031</t>
  </si>
  <si>
    <t>05/28/2015 - 08/09/2016</t>
  </si>
  <si>
    <t>OSIR</t>
  </si>
  <si>
    <t>15cv03562</t>
  </si>
  <si>
    <t>05/12/2014 - 11/20/2015</t>
  </si>
  <si>
    <t>OUTR</t>
  </si>
  <si>
    <t>16cv01275</t>
  </si>
  <si>
    <t>07/25/2016 - 07/25/2016</t>
  </si>
  <si>
    <t>17cv10511</t>
  </si>
  <si>
    <t xml:space="preserve"> 01/08/2015 - 03/26/2015</t>
  </si>
  <si>
    <t>PRTY</t>
  </si>
  <si>
    <t>15cv09080</t>
  </si>
  <si>
    <t>04/13/2015 - 11/18/2015</t>
  </si>
  <si>
    <t>PN</t>
  </si>
  <si>
    <t>17cv01866</t>
  </si>
  <si>
    <t>08/15/2016 - 03/03/2017</t>
  </si>
  <si>
    <t>PEGI</t>
  </si>
  <si>
    <t>16cv06560</t>
  </si>
  <si>
    <t>05/09/2016 - 11/04/2016</t>
  </si>
  <si>
    <t>PYPL</t>
  </si>
  <si>
    <t>16cv07371</t>
  </si>
  <si>
    <t>07/20/2015 - 04/28/2016</t>
  </si>
  <si>
    <t>PSO</t>
  </si>
  <si>
    <t>17cv01422</t>
  </si>
  <si>
    <t>01/21/2015 - 01/17/2017</t>
  </si>
  <si>
    <t>PSG</t>
  </si>
  <si>
    <t>16cv03591</t>
  </si>
  <si>
    <t>01/15/2015 - 03/14/2016</t>
  </si>
  <si>
    <t>PRGO</t>
  </si>
  <si>
    <t>16cv02805</t>
  </si>
  <si>
    <t>04/21/2015 - 05/03/2017</t>
  </si>
  <si>
    <t>Bernstein Litowitz Berger &amp; Grossmann LLP; Pomerantz LLP</t>
  </si>
  <si>
    <t>PPC</t>
  </si>
  <si>
    <t>16cv02611</t>
  </si>
  <si>
    <t>02/21/2014 - 11/17/2016</t>
  </si>
  <si>
    <t>PXRB</t>
  </si>
  <si>
    <t>17cv00496</t>
  </si>
  <si>
    <t>10/30/2016 - 01/20/2017</t>
  </si>
  <si>
    <t>PJT</t>
  </si>
  <si>
    <t>16cv02841</t>
  </si>
  <si>
    <t>10/01/2015 - 03/28/2016</t>
  </si>
  <si>
    <t>PAH</t>
  </si>
  <si>
    <t>16cv80490</t>
  </si>
  <si>
    <t>10/21/2014 - 03/14/2016</t>
  </si>
  <si>
    <t>Pomerantz LLP; Levi &amp; Korsinsky, LLP</t>
  </si>
  <si>
    <t>PPMH</t>
  </si>
  <si>
    <t>17cv01465</t>
  </si>
  <si>
    <t>07/12/2016 - 02/15/2017</t>
  </si>
  <si>
    <t>PII</t>
  </si>
  <si>
    <t>16cv03108</t>
  </si>
  <si>
    <t>02/20/2015 - 09/11/2016</t>
  </si>
  <si>
    <t>PSIX</t>
  </si>
  <si>
    <t>16cv08253</t>
  </si>
  <si>
    <t>01/15/2014 - 08/15/2016</t>
  </si>
  <si>
    <t>PCP</t>
  </si>
  <si>
    <t>16cv00521</t>
  </si>
  <si>
    <t>05/09/2013 - 01/15/2015</t>
  </si>
  <si>
    <t>PPP</t>
  </si>
  <si>
    <t>16cv01034</t>
  </si>
  <si>
    <t>10/05/2012 - 02/03/2016</t>
  </si>
  <si>
    <t>DNAI</t>
  </si>
  <si>
    <t>16cv08703</t>
  </si>
  <si>
    <t>07/12/2015 - 06/06/2016</t>
  </si>
  <si>
    <t>PMD</t>
  </si>
  <si>
    <t>17cv10186</t>
  </si>
  <si>
    <t>02/10/2014 - 01/31/2017</t>
  </si>
  <si>
    <t>PTC</t>
  </si>
  <si>
    <t>16cv10471</t>
  </si>
  <si>
    <t>11/24/2011 - 07/29/2015</t>
  </si>
  <si>
    <t>PTCT</t>
  </si>
  <si>
    <t>16cv01224</t>
  </si>
  <si>
    <t>05/06/2014 - 02/29/2016</t>
  </si>
  <si>
    <t>Labaton Sucharow LLP; Levi &amp; Korsinsky, LLP </t>
  </si>
  <si>
    <t>15cv02678</t>
  </si>
  <si>
    <t>11/19/2014 - 07/22/2015</t>
  </si>
  <si>
    <t>STR</t>
  </si>
  <si>
    <t>02/01/2016 - 02/01/2016</t>
  </si>
  <si>
    <t>Peters Scofield; Wolf Haldenstein Adler Freeman &amp; Herz LLP</t>
  </si>
  <si>
    <t>QHC</t>
  </si>
  <si>
    <t>16cv02475</t>
  </si>
  <si>
    <t>05/02/2016 - 08/10/2016</t>
  </si>
  <si>
    <t>RGLS</t>
  </si>
  <si>
    <t>01/21/2016 - 01/27/2017</t>
  </si>
  <si>
    <t>RCII</t>
  </si>
  <si>
    <t>16cv00978</t>
  </si>
  <si>
    <t>02/02/2015 - 10/11/2016</t>
  </si>
  <si>
    <t>RTK</t>
  </si>
  <si>
    <t>17cv01284</t>
  </si>
  <si>
    <t>11/09/2016 - 02/20/2017</t>
  </si>
  <si>
    <t>RWLK</t>
  </si>
  <si>
    <t>17cv10169</t>
  </si>
  <si>
    <t>09/09/2014 - 01/24/2017</t>
  </si>
  <si>
    <t>RH</t>
  </si>
  <si>
    <t>17cv00554</t>
  </si>
  <si>
    <t>03/26/2015 - 06/08/2016</t>
  </si>
  <si>
    <t>RIO</t>
  </si>
  <si>
    <t>16cv09572</t>
  </si>
  <si>
    <t>03/16/2012 - 11/17/2016</t>
  </si>
  <si>
    <t>RITT</t>
  </si>
  <si>
    <t>16cv04579</t>
  </si>
  <si>
    <t>03/03/2015 - 07/01/2016</t>
  </si>
  <si>
    <t>RAD</t>
  </si>
  <si>
    <t>15cv02440</t>
  </si>
  <si>
    <t>10/27/2015 - 10/27/2015</t>
  </si>
  <si>
    <t>RRTS</t>
  </si>
  <si>
    <t>17cv00144</t>
  </si>
  <si>
    <t>05/02/2013 - 01/30/2017</t>
  </si>
  <si>
    <t>RMTI</t>
  </si>
  <si>
    <t>16cv01691</t>
  </si>
  <si>
    <t>11/20/2014 - 02/29/2016</t>
  </si>
  <si>
    <t>Glancy Prongay &amp; Murray, LLP; The Rosen Law Firm, P.A. </t>
  </si>
  <si>
    <t>RT</t>
  </si>
  <si>
    <t>16cv03214</t>
  </si>
  <si>
    <t>07/24/2015 - 04/07/2016</t>
  </si>
  <si>
    <t>RKUS</t>
  </si>
  <si>
    <t>16cv02991</t>
  </si>
  <si>
    <t>04/03/2016 - 04/03/2016</t>
  </si>
  <si>
    <t>Robbins, Geller, Rudman &amp; Dowd, LLP </t>
  </si>
  <si>
    <t>VALE</t>
  </si>
  <si>
    <t>16cv08800</t>
  </si>
  <si>
    <t>10/31/2012 - 11/30/2015</t>
  </si>
  <si>
    <t>SAFM</t>
  </si>
  <si>
    <t>16cv08420</t>
  </si>
  <si>
    <t>12/17/2013 - 11/17/2016</t>
  </si>
  <si>
    <t>SC</t>
  </si>
  <si>
    <t>01/20/2014 - 08/26/2014</t>
  </si>
  <si>
    <t>SCYX</t>
  </si>
  <si>
    <t>17cv01565</t>
  </si>
  <si>
    <t>04/30/2014 - 03/02/2017</t>
  </si>
  <si>
    <t>SGEN</t>
  </si>
  <si>
    <t>17cv00041</t>
  </si>
  <si>
    <t>10/27/2016 - 12/27/2016</t>
  </si>
  <si>
    <t>Pomerantz LLP </t>
  </si>
  <si>
    <t>SRE</t>
  </si>
  <si>
    <t>16cv00512</t>
  </si>
  <si>
    <t>11/14/2014 - 01/07/2016</t>
  </si>
  <si>
    <t>SQNM</t>
  </si>
  <si>
    <t>16cv02054</t>
  </si>
  <si>
    <t>08/09/2016 - 08/09/2016</t>
  </si>
  <si>
    <t>MCRB</t>
  </si>
  <si>
    <t>16cv11943</t>
  </si>
  <si>
    <t>06/22/2015 - 07/29/2016</t>
  </si>
  <si>
    <t>Cohen Milstein Sellers &amp; Toll PLLC; Motley Rice LLC</t>
  </si>
  <si>
    <t>SIG</t>
  </si>
  <si>
    <t>16cv06728</t>
  </si>
  <si>
    <t>08/29/2013 - 02/27/2017</t>
  </si>
  <si>
    <t>SITO</t>
  </si>
  <si>
    <t>17cv01106</t>
  </si>
  <si>
    <t>08/15/2016 - 01/02/2017</t>
  </si>
  <si>
    <t>SZMK</t>
  </si>
  <si>
    <t>16cv01073</t>
  </si>
  <si>
    <t>09/15/2016 - 09/15/2016</t>
  </si>
  <si>
    <t>USK</t>
  </si>
  <si>
    <t>16cv00121</t>
  </si>
  <si>
    <t>05/05/2015 - 01/11/2016</t>
  </si>
  <si>
    <t>SCTY</t>
  </si>
  <si>
    <t>16cv04686</t>
  </si>
  <si>
    <t>05/05/2015 - 02/09/2016</t>
  </si>
  <si>
    <t>SWI</t>
  </si>
  <si>
    <t>15cv01228</t>
  </si>
  <si>
    <t>10/09/2015 - 02/05/2016</t>
  </si>
  <si>
    <t>SE</t>
  </si>
  <si>
    <t>16cv03019</t>
  </si>
  <si>
    <t>10/10/2016 - 10/10/2016</t>
  </si>
  <si>
    <t>Faruqi &amp; Faruqi, LLP; Levi &amp; Korsinsky, LLP; Kahn Swick &amp; Foti, LLC; The Bilek Law Firm LLP; WeissLaw, LLP; Monteverde &amp; Associates PC</t>
  </si>
  <si>
    <t>SPPI</t>
  </si>
  <si>
    <t>16cv02279</t>
  </si>
  <si>
    <t>02/28/2013 - 09/14/2015</t>
  </si>
  <si>
    <t>STJ</t>
  </si>
  <si>
    <t>16cv02275</t>
  </si>
  <si>
    <t>04/28/2016 - 04/28/2016</t>
  </si>
  <si>
    <t>WeissLaw, LLP; Lockridge, Grindal, Nauen, PLLP</t>
  </si>
  <si>
    <t>STRZA</t>
  </si>
  <si>
    <t>15cv08722</t>
  </si>
  <si>
    <t>08/01/2014 - 10/29/2015</t>
  </si>
  <si>
    <t>STT</t>
  </si>
  <si>
    <t>17cv11155</t>
  </si>
  <si>
    <t>02/27/2012 - 01/18/2017</t>
  </si>
  <si>
    <t>STML</t>
  </si>
  <si>
    <t>17cv00832</t>
  </si>
  <si>
    <t>01/20/2017 - 02/01/2017</t>
  </si>
  <si>
    <t>The Rosen Law Firm, P.A.; Pomerantz LLP </t>
  </si>
  <si>
    <t>SRCL</t>
  </si>
  <si>
    <t>16cv07145</t>
  </si>
  <si>
    <t>02/07/2013 - 09/18/2016</t>
  </si>
  <si>
    <t>SWC</t>
  </si>
  <si>
    <t>17cv00299</t>
  </si>
  <si>
    <t>01/27/2017 - 01/27/2017</t>
  </si>
  <si>
    <t>Levi &amp; Korsinsky, LLP; The Shuman Law Firm</t>
  </si>
  <si>
    <t>SGM</t>
  </si>
  <si>
    <t>17cv00478</t>
  </si>
  <si>
    <t>03/08/2017 - 03/08/2017</t>
  </si>
  <si>
    <t>Wolf Haldenstein Adler Freeman &amp; Herz LLP; Levi &amp; Korsinsky, LLP; Karon LLC</t>
  </si>
  <si>
    <t>STON</t>
  </si>
  <si>
    <t>16cv06111</t>
  </si>
  <si>
    <t>01/19/2012 - 10/27/2016</t>
  </si>
  <si>
    <t>STRP</t>
  </si>
  <si>
    <t>15cv08051</t>
  </si>
  <si>
    <t>10/29/2013 - 11/05/2015</t>
  </si>
  <si>
    <t>SUBK</t>
  </si>
  <si>
    <t>16cv04367</t>
  </si>
  <si>
    <t>08/04/2016 - 08/04/2016</t>
  </si>
  <si>
    <t>Ryan &amp; Maniskas, LLP; Rigrodsky &amp; Long, PA</t>
  </si>
  <si>
    <t>SUNE</t>
  </si>
  <si>
    <t>15cv01769</t>
  </si>
  <si>
    <t>08/07/2014 - 04/04/2016</t>
  </si>
  <si>
    <t>SPWR</t>
  </si>
  <si>
    <t>16cv04710</t>
  </si>
  <si>
    <t>02/17/2016 - 08/09/2016</t>
  </si>
  <si>
    <t>Glancy Prongay &amp; Murray, LLP; Brower Piven; Law Offices of Howard G. Smith; Finkelstein Thompson LLP; Pomerantz LLP; Goldberg Law PC</t>
  </si>
  <si>
    <t>RUN</t>
  </si>
  <si>
    <t>16cv02480</t>
  </si>
  <si>
    <t>08/02/2015 - 05/06/2016</t>
  </si>
  <si>
    <t>SPCB</t>
  </si>
  <si>
    <t>15cv09650</t>
  </si>
  <si>
    <t>01/21/2015 - 11/27/2015</t>
  </si>
  <si>
    <t>STS</t>
  </si>
  <si>
    <t>17cv00143</t>
  </si>
  <si>
    <t>10/22/2015 - 10/21/2016</t>
  </si>
  <si>
    <t>SCAI</t>
  </si>
  <si>
    <t>17cv00211</t>
  </si>
  <si>
    <t>02/28/2017 - 02/28/2017</t>
  </si>
  <si>
    <t>WeissLaw, LLP; Rigrodsky &amp; Long, PA</t>
  </si>
  <si>
    <t>SNCR</t>
  </si>
  <si>
    <t>17cv02978</t>
  </si>
  <si>
    <t>10/28/2015 - 04/27/2017</t>
  </si>
  <si>
    <t>TLRD</t>
  </si>
  <si>
    <t>16cv00838</t>
  </si>
  <si>
    <t>07/29/2014 - 12/09/2015</t>
  </si>
  <si>
    <t>TLMR</t>
  </si>
  <si>
    <t>16cv12229</t>
  </si>
  <si>
    <t>TNGO</t>
  </si>
  <si>
    <t>17cv00146</t>
  </si>
  <si>
    <t>03/18/2014 - 03/07/2016</t>
  </si>
  <si>
    <t>The Rosen Law Firm, P.A.; Finkelstein &amp; Krinsk LLP</t>
  </si>
  <si>
    <t>TGT</t>
  </si>
  <si>
    <t>16cv01315</t>
  </si>
  <si>
    <t>03/20/2013 - 08/04/2014</t>
  </si>
  <si>
    <t>Labaton Sucharow LLP; Robbins, Geller, Rudman &amp; Dowd, LLP</t>
  </si>
  <si>
    <t>TARO</t>
  </si>
  <si>
    <t>16cv08318</t>
  </si>
  <si>
    <t>07/02/2014 - 11/03/2016</t>
  </si>
  <si>
    <t>TCPIF</t>
  </si>
  <si>
    <t>06/23/2014 - 02/26/2015</t>
  </si>
  <si>
    <t>TMH</t>
  </si>
  <si>
    <t>16cv00675</t>
  </si>
  <si>
    <t>12/02/2016 - 12/02/2016</t>
  </si>
  <si>
    <t>Branstetter Stranch &amp; Jennings PLLC; Gainey McKenna &amp; Egleston; Monteverde &amp; Associates PC</t>
  </si>
  <si>
    <t>TK</t>
  </si>
  <si>
    <t>16cv01908</t>
  </si>
  <si>
    <t>02/19/2015 - 12/16/2015</t>
  </si>
  <si>
    <t>TPX</t>
  </si>
  <si>
    <t>17cv02169</t>
  </si>
  <si>
    <t>09/09/2016 - 01/27/2017</t>
  </si>
  <si>
    <t>THC</t>
  </si>
  <si>
    <t>16cv02848</t>
  </si>
  <si>
    <t>02/28/2012 - 08/01/2016</t>
  </si>
  <si>
    <t>TERP</t>
  </si>
  <si>
    <t>16cv00981</t>
  </si>
  <si>
    <t>07/18/2014 - 03/15/2016</t>
  </si>
  <si>
    <t>TVIA</t>
  </si>
  <si>
    <t>16cv06633</t>
  </si>
  <si>
    <t>05/04/2016 - 11/06/2016</t>
  </si>
  <si>
    <t>16cv10133</t>
  </si>
  <si>
    <t>03/05/2015 - 09/08/2015</t>
  </si>
  <si>
    <t>Scott &amp; Scott, LLP; Levi &amp; Korsinsky, LLP</t>
  </si>
  <si>
    <t>02/10/2014 - 11/03/2016</t>
  </si>
  <si>
    <t>17cv00112</t>
  </si>
  <si>
    <t>09/15/2014 - 10/12/2016</t>
  </si>
  <si>
    <t>ALL</t>
  </si>
  <si>
    <t>16cv10510</t>
  </si>
  <si>
    <t>10/29/2014 - 08/03/2015</t>
  </si>
  <si>
    <t>TFM</t>
  </si>
  <si>
    <t>17cv00179</t>
  </si>
  <si>
    <t>03/14/2016 - 03/14/2016</t>
  </si>
  <si>
    <t>Brower Piven </t>
  </si>
  <si>
    <t>GEO</t>
  </si>
  <si>
    <t>16cv81494</t>
  </si>
  <si>
    <t>03/01/2012 - 08/17/2016</t>
  </si>
  <si>
    <t>HAIN</t>
  </si>
  <si>
    <t>16cv04581</t>
  </si>
  <si>
    <t>11/05/2015 - 08/16/2016</t>
  </si>
  <si>
    <t>SO</t>
  </si>
  <si>
    <t>04/25/2012 - 10/29/2013</t>
  </si>
  <si>
    <t>TD</t>
  </si>
  <si>
    <t>17cv01665</t>
  </si>
  <si>
    <t>12/03/2015 - 03/09/2017</t>
  </si>
  <si>
    <t>WU</t>
  </si>
  <si>
    <t>17cv00474</t>
  </si>
  <si>
    <t>02/24/2012 - 01/19/2017</t>
  </si>
  <si>
    <t>WWAV</t>
  </si>
  <si>
    <t>16cv02005</t>
  </si>
  <si>
    <t>07/29/2016 - 07/29/2016</t>
  </si>
  <si>
    <t>Faruqi &amp; Faruqi, LLP; The Shuman Law Firm; Monteverde &amp; Associates PC</t>
  </si>
  <si>
    <t>TXMD</t>
  </si>
  <si>
    <t>07/07/2016 - 05/07/2017</t>
  </si>
  <si>
    <t>16cv02761</t>
  </si>
  <si>
    <t>03/01/2013 - 12/10/2015</t>
  </si>
  <si>
    <t>TIVO</t>
  </si>
  <si>
    <t>16cv04503</t>
  </si>
  <si>
    <t>08/03/2016 - 08/03/2016</t>
  </si>
  <si>
    <t>Rigrodsky &amp; Long, PA; Levi &amp; Korsinsky, LLP</t>
  </si>
  <si>
    <t>TKAI</t>
  </si>
  <si>
    <t>16cv11963</t>
  </si>
  <si>
    <t>09/14/2014 - 07/25/2016</t>
  </si>
  <si>
    <t>WeissLaw, LLP; Shapiro Haber &amp; Urmy LLP</t>
  </si>
  <si>
    <t>TSEM</t>
  </si>
  <si>
    <t>16cv00487</t>
  </si>
  <si>
    <t>04/30/2012 - 01/14/2016</t>
  </si>
  <si>
    <t>TRXC</t>
  </si>
  <si>
    <t>16cv00313</t>
  </si>
  <si>
    <t>02/10/2016 - 05/10/2016</t>
  </si>
  <si>
    <t>TBIO</t>
  </si>
  <si>
    <t>17cv03021</t>
  </si>
  <si>
    <t>02/17/2017 - 02/17/2017</t>
  </si>
  <si>
    <t>Monteverde &amp; Associates PC; Kinsey Rowe Becker &amp; Kistler, LLP</t>
  </si>
  <si>
    <t>THS</t>
  </si>
  <si>
    <t>16cv10632</t>
  </si>
  <si>
    <t>01/20/2016 - 11/02/2016</t>
  </si>
  <si>
    <t>TUBE</t>
  </si>
  <si>
    <t>16cv06996</t>
  </si>
  <si>
    <t>12/06/2016 - 12/06/2016</t>
  </si>
  <si>
    <t>Brower Piven; Brodsky &amp; Smith, LLC</t>
  </si>
  <si>
    <t>TWTR</t>
  </si>
  <si>
    <t>16cv05314</t>
  </si>
  <si>
    <t>02/06/2015 - 07/28/2015</t>
  </si>
  <si>
    <t>TSN</t>
  </si>
  <si>
    <t>16cv05340</t>
  </si>
  <si>
    <t>11/23/2015 - 11/18/2016</t>
  </si>
  <si>
    <t>USCR</t>
  </si>
  <si>
    <t>17cv00266</t>
  </si>
  <si>
    <t>03/06/2015 - 03/23/2017</t>
  </si>
  <si>
    <t>Levi &amp; Korsinsky, LLP; Bragar Eagel &amp; Squire, PC</t>
  </si>
  <si>
    <t>USPH</t>
  </si>
  <si>
    <t>17cv02347</t>
  </si>
  <si>
    <t>UA</t>
  </si>
  <si>
    <t>17cv00388</t>
  </si>
  <si>
    <t>07/24/2014 - 01/30/2017</t>
  </si>
  <si>
    <t>UNIS</t>
  </si>
  <si>
    <t>16cv03976</t>
  </si>
  <si>
    <t>11/09/2011 - 11/14/2016</t>
  </si>
  <si>
    <t>UDFI</t>
  </si>
  <si>
    <t>15cv04030</t>
  </si>
  <si>
    <t>06/04/2014 - 02/04/2016</t>
  </si>
  <si>
    <t>UHS</t>
  </si>
  <si>
    <t>16cv09499</t>
  </si>
  <si>
    <t>02/26/2015 - 12/07/2016</t>
  </si>
  <si>
    <t>USNA</t>
  </si>
  <si>
    <t>17cv00106</t>
  </si>
  <si>
    <t>03/14/2014 - 02/07/2017</t>
  </si>
  <si>
    <t>15cv09539</t>
  </si>
  <si>
    <t>11/07/2013 - 11/30/2015</t>
  </si>
  <si>
    <t>WOOF</t>
  </si>
  <si>
    <t>17cv00289</t>
  </si>
  <si>
    <t>VEON</t>
  </si>
  <si>
    <t>15cv08672</t>
  </si>
  <si>
    <t>12/04/2010 - 11/03/2015</t>
  </si>
  <si>
    <t>Gainey McKenna &amp; Egleston </t>
  </si>
  <si>
    <t>VSTO</t>
  </si>
  <si>
    <t>17cv00012</t>
  </si>
  <si>
    <t>08/11/2016 - 01/13/2017</t>
  </si>
  <si>
    <t>VTL</t>
  </si>
  <si>
    <t>15cv02700</t>
  </si>
  <si>
    <t>04/17/2014 - 08/21/2015</t>
  </si>
  <si>
    <t>VSLR</t>
  </si>
  <si>
    <t>16cv00628</t>
  </si>
  <si>
    <t>07/20/2015 - 03/07/2016</t>
  </si>
  <si>
    <t>VLKAY</t>
  </si>
  <si>
    <t>16cv03435</t>
  </si>
  <si>
    <t>05/15/2014 - 09/22/2015</t>
  </si>
  <si>
    <t>WAC</t>
  </si>
  <si>
    <t>17cv02025</t>
  </si>
  <si>
    <t>02/29/2016 - 03/13/2017</t>
  </si>
  <si>
    <t>WRES</t>
  </si>
  <si>
    <t>16cv02037</t>
  </si>
  <si>
    <t>11/04/2014 - 06/02/2016</t>
  </si>
  <si>
    <t>The Shuman Law Firm; Glancy Prongay &amp; Murray, LLP</t>
  </si>
  <si>
    <t>WCIC</t>
  </si>
  <si>
    <t>16cv00846</t>
  </si>
  <si>
    <t>11/23/2016 - 11/23/2016</t>
  </si>
  <si>
    <t>Rigrodsky &amp; Long, PA; Ryan &amp; Maniskas, LLP; The Polaszek Law Firm, PLLC</t>
  </si>
  <si>
    <t>16cv05479</t>
  </si>
  <si>
    <t>02/26/2014 - 09/20/2016</t>
  </si>
  <si>
    <t>WPZ</t>
  </si>
  <si>
    <t>16cv00131</t>
  </si>
  <si>
    <t>05/13/2015 - 06/19/2015</t>
  </si>
  <si>
    <t>WINS</t>
  </si>
  <si>
    <t>17cv02983</t>
  </si>
  <si>
    <t>10/29/2015 - 03/29/2017</t>
  </si>
  <si>
    <t>XBIT</t>
  </si>
  <si>
    <t>15cv01083</t>
  </si>
  <si>
    <t>04/15/2015 - 11/23/2015</t>
  </si>
  <si>
    <t>XRX</t>
  </si>
  <si>
    <t>16cv08260</t>
  </si>
  <si>
    <t>04/23/2012 - 10/27/2015</t>
  </si>
  <si>
    <t>YHOO</t>
  </si>
  <si>
    <t>17cv00373</t>
  </si>
  <si>
    <t>04/30/2013 - 12/14/2016</t>
  </si>
  <si>
    <t>YRD</t>
  </si>
  <si>
    <t>16cv06437</t>
  </si>
  <si>
    <t>04/27/2016 - 08/24/2016</t>
  </si>
  <si>
    <t>ZBH</t>
  </si>
  <si>
    <t>16cv00815</t>
  </si>
  <si>
    <t>06/07/2016 - 11/07/2016</t>
  </si>
  <si>
    <t>679,339.06</t>
  </si>
  <si>
    <t>46,086.00</t>
  </si>
  <si>
    <t>43,791.00</t>
  </si>
  <si>
    <t>22,055.00</t>
  </si>
  <si>
    <t>74,614.19</t>
  </si>
  <si>
    <t>365,285.04</t>
  </si>
  <si>
    <t>198,302.23</t>
  </si>
  <si>
    <t>115,000.00</t>
  </si>
  <si>
    <t>1,172.28</t>
  </si>
  <si>
    <t>4,364.00</t>
  </si>
  <si>
    <t>4,792.94</t>
  </si>
  <si>
    <t>6,853.51</t>
  </si>
  <si>
    <t>20,066.00</t>
  </si>
  <si>
    <t>12,114.00</t>
  </si>
  <si>
    <t>4,597.96</t>
  </si>
  <si>
    <t>3,578.00</t>
  </si>
  <si>
    <t>104,546.65</t>
  </si>
  <si>
    <t>12,272.00</t>
  </si>
  <si>
    <t>30,633.86</t>
  </si>
  <si>
    <t>153,390.56</t>
  </si>
  <si>
    <t>9,001.23</t>
  </si>
  <si>
    <t>3,289.00</t>
  </si>
  <si>
    <t>9,118.00</t>
  </si>
  <si>
    <t>6,786.00</t>
  </si>
  <si>
    <t>2,399.00</t>
  </si>
  <si>
    <t>3,393,877.05</t>
  </si>
  <si>
    <t>129,610.69</t>
  </si>
  <si>
    <t>238,906.18</t>
  </si>
  <si>
    <t>671,998.37</t>
  </si>
  <si>
    <t>632,986.98</t>
  </si>
  <si>
    <t>721,033.63</t>
  </si>
  <si>
    <t>117,661.00</t>
  </si>
  <si>
    <t>32,571.97</t>
  </si>
  <si>
    <t>7,123.50</t>
  </si>
  <si>
    <t>28,830.26</t>
  </si>
  <si>
    <t>15,883.80</t>
  </si>
  <si>
    <t>105,550.00</t>
  </si>
  <si>
    <t>3,816,131.82</t>
  </si>
  <si>
    <t>293,541.74</t>
  </si>
  <si>
    <t>36,295.15</t>
  </si>
  <si>
    <t>42,275.06</t>
  </si>
  <si>
    <t>184,708.02</t>
  </si>
  <si>
    <t>789,293.15</t>
  </si>
  <si>
    <t>243,895.00</t>
  </si>
  <si>
    <t>78,290.00</t>
  </si>
  <si>
    <t>279,285.00</t>
  </si>
  <si>
    <t>1,176,064.00</t>
  </si>
  <si>
    <t>25,668.00</t>
  </si>
  <si>
    <t>20,613.00</t>
  </si>
  <si>
    <t>50,392.00</t>
  </si>
  <si>
    <t>98,346.00</t>
  </si>
  <si>
    <t>117,161.00</t>
  </si>
  <si>
    <t>120,400.95</t>
  </si>
  <si>
    <t>341,454.65</t>
  </si>
  <si>
    <t>125,066.68</t>
  </si>
  <si>
    <t>63,167.52</t>
  </si>
  <si>
    <t>1,157,170.83</t>
  </si>
  <si>
    <t>1,032,089.48</t>
  </si>
  <si>
    <t>6,012,494.48</t>
  </si>
  <si>
    <t>7,423,927.81</t>
  </si>
  <si>
    <t>11,799.62</t>
  </si>
  <si>
    <t>12,153.00</t>
  </si>
  <si>
    <t>1,408.84</t>
  </si>
  <si>
    <t>568.00</t>
  </si>
  <si>
    <t>11,544.00</t>
  </si>
  <si>
    <t>89,050.00</t>
  </si>
  <si>
    <t>89,885.49</t>
  </si>
  <si>
    <t>6,017.00</t>
  </si>
  <si>
    <t>1,536.00</t>
  </si>
  <si>
    <t>15,502.00</t>
  </si>
  <si>
    <t>8,018.00</t>
  </si>
  <si>
    <t>66,219.00</t>
  </si>
  <si>
    <t>41,370.00</t>
  </si>
  <si>
    <t>69,390.00</t>
  </si>
  <si>
    <t>23,130.00</t>
  </si>
  <si>
    <t>24,725.64</t>
  </si>
  <si>
    <t>441,058.82</t>
  </si>
  <si>
    <t>223,094.93</t>
  </si>
  <si>
    <t>211,390.35</t>
  </si>
  <si>
    <t>8,319,268.95</t>
  </si>
  <si>
    <t>1,032,379.00</t>
  </si>
  <si>
    <t>806,456.00</t>
  </si>
  <si>
    <t>221,509.00</t>
  </si>
  <si>
    <t>918,517.00</t>
  </si>
  <si>
    <t>205,181.00</t>
  </si>
  <si>
    <t>42,840.50</t>
  </si>
  <si>
    <t>1,527,751.80</t>
  </si>
  <si>
    <t>2,788,907.90</t>
  </si>
  <si>
    <t>24,534.44</t>
  </si>
  <si>
    <t>2,728.14</t>
  </si>
  <si>
    <t>8,558.00</t>
  </si>
  <si>
    <t>23,605.25</t>
  </si>
  <si>
    <t>8,109.08</t>
  </si>
  <si>
    <t>9,859.59</t>
  </si>
  <si>
    <t>737,324.00</t>
  </si>
  <si>
    <t>319,372.34</t>
  </si>
  <si>
    <t>293,749.00</t>
  </si>
  <si>
    <t>204,351.85</t>
  </si>
  <si>
    <t>262,183.15</t>
  </si>
  <si>
    <t>354,112.00</t>
  </si>
  <si>
    <t>2,265,462.10</t>
  </si>
  <si>
    <t>74,594.00</t>
  </si>
  <si>
    <t>60,574.00</t>
  </si>
  <si>
    <t>294,020.00</t>
  </si>
  <si>
    <t>107,420.00</t>
  </si>
  <si>
    <t>488,238.00</t>
  </si>
  <si>
    <t>15,865.00</t>
  </si>
  <si>
    <t>175,866.88</t>
  </si>
  <si>
    <t>66,896.16</t>
  </si>
  <si>
    <t>37,223.18</t>
  </si>
  <si>
    <t>153,219.52</t>
  </si>
  <si>
    <t>203,741.00</t>
  </si>
  <si>
    <t>188,202.20</t>
  </si>
  <si>
    <t>947,025.72</t>
  </si>
  <si>
    <t>14,459.00</t>
  </si>
  <si>
    <t>66,040.00</t>
  </si>
  <si>
    <t>93,740.00</t>
  </si>
  <si>
    <t>18,072.00</t>
  </si>
  <si>
    <t>63,020.00</t>
  </si>
  <si>
    <t>24,510.00</t>
  </si>
  <si>
    <t>18,906.00</t>
  </si>
  <si>
    <t>50,126.00</t>
  </si>
  <si>
    <t>20,116.15</t>
  </si>
  <si>
    <t>185,011.11</t>
  </si>
  <si>
    <t>253,606.41</t>
  </si>
  <si>
    <t>140,893.57</t>
  </si>
  <si>
    <t>88,646.69</t>
  </si>
  <si>
    <t>63,211.00</t>
  </si>
  <si>
    <t>153,800.00</t>
  </si>
  <si>
    <t>222,074.00</t>
  </si>
  <si>
    <t>22,591.55</t>
  </si>
  <si>
    <t>12,937.00</t>
  </si>
  <si>
    <t>31,831.00</t>
  </si>
  <si>
    <t>71,002.00</t>
  </si>
  <si>
    <t>516,839.38</t>
  </si>
  <si>
    <t>59,647.05</t>
  </si>
  <si>
    <t>283,886.95</t>
  </si>
  <si>
    <t>820,189.87</t>
  </si>
  <si>
    <t>86,042.06</t>
  </si>
  <si>
    <t>94,270.00</t>
  </si>
  <si>
    <t>183,029.00</t>
  </si>
  <si>
    <t>28,646.00</t>
  </si>
  <si>
    <t>205,865.55</t>
  </si>
  <si>
    <t>344,258.22</t>
  </si>
  <si>
    <t>28,862.41</t>
  </si>
  <si>
    <t>29,111.92</t>
  </si>
  <si>
    <t>20,036.56</t>
  </si>
  <si>
    <t>16,254.39</t>
  </si>
  <si>
    <t>147.20</t>
  </si>
  <si>
    <t>4,150.33</t>
  </si>
  <si>
    <t>65,000.00</t>
  </si>
  <si>
    <t>215,265.25</t>
  </si>
  <si>
    <t>128,045.84</t>
  </si>
  <si>
    <t>24,733.65</t>
  </si>
  <si>
    <t>109,288.70</t>
  </si>
  <si>
    <t>185,301.25</t>
  </si>
  <si>
    <t>22,414.33</t>
  </si>
  <si>
    <t>268,278.00</t>
  </si>
  <si>
    <t>1,036,145.00</t>
  </si>
  <si>
    <t>922,784.46</t>
  </si>
  <si>
    <t>144,851.03</t>
  </si>
  <si>
    <t>791,120.00</t>
  </si>
  <si>
    <t>548,661.00</t>
  </si>
  <si>
    <t>1,117,674.00</t>
  </si>
  <si>
    <t>718,568.00</t>
  </si>
  <si>
    <t>236,558.66</t>
  </si>
  <si>
    <t>12/23/2015</t>
  </si>
  <si>
    <t>22,020.28</t>
  </si>
  <si>
    <t>29,732.21</t>
  </si>
  <si>
    <t>67,132.80</t>
  </si>
  <si>
    <t>124,159.20</t>
  </si>
  <si>
    <t>161,169.89</t>
  </si>
  <si>
    <t>181,352.50</t>
  </si>
  <si>
    <t>42,248.08</t>
  </si>
  <si>
    <t>218,443.00</t>
  </si>
  <si>
    <t>110,110.00</t>
  </si>
  <si>
    <t>1,224,405.00</t>
  </si>
  <si>
    <t>379,202.22</t>
  </si>
  <si>
    <t>94,408.08</t>
  </si>
  <si>
    <t>121,718.93</t>
  </si>
  <si>
    <t>79,892.11</t>
  </si>
  <si>
    <t>70,326.00</t>
  </si>
  <si>
    <t>152,177.05</t>
  </si>
  <si>
    <t>156,754.38</t>
  </si>
  <si>
    <t>691,554.13</t>
  </si>
  <si>
    <t>249,337.68</t>
  </si>
  <si>
    <t>160,552.55</t>
  </si>
  <si>
    <t>507,718.75</t>
  </si>
  <si>
    <t>196,413.00</t>
  </si>
  <si>
    <t>6,259.00</t>
  </si>
  <si>
    <t>258,092.98</t>
  </si>
  <si>
    <t>89,093.00</t>
  </si>
  <si>
    <t>203,274.51</t>
  </si>
  <si>
    <t>234,560.39</t>
  </si>
  <si>
    <t>11,709.00</t>
  </si>
  <si>
    <t>86,724.00</t>
  </si>
  <si>
    <t>24,020.00</t>
  </si>
  <si>
    <t>51,441.00</t>
  </si>
  <si>
    <t>154,709.20</t>
  </si>
  <si>
    <t>80,480.00</t>
  </si>
  <si>
    <t>62,643.93</t>
  </si>
  <si>
    <t>10,250.72</t>
  </si>
  <si>
    <t>719,756.40</t>
  </si>
  <si>
    <t>562,800.44</t>
  </si>
  <si>
    <t>126.00</t>
  </si>
  <si>
    <t>1,222.00</t>
  </si>
  <si>
    <t>885.00</t>
  </si>
  <si>
    <t>332,209.39</t>
  </si>
  <si>
    <t>118,039.13</t>
  </si>
  <si>
    <t>40,076.46</t>
  </si>
  <si>
    <t>97,416.00</t>
  </si>
  <si>
    <t>172,414.00</t>
  </si>
  <si>
    <t>94,687.00</t>
  </si>
  <si>
    <t>4,035.00</t>
  </si>
  <si>
    <t>47,644.68</t>
  </si>
  <si>
    <t>1,502.00</t>
  </si>
  <si>
    <t>4,621.00</t>
  </si>
  <si>
    <t>5,153,394.13</t>
  </si>
  <si>
    <t>913,189.33</t>
  </si>
  <si>
    <t>455,639.71</t>
  </si>
  <si>
    <t>24,011.00</t>
  </si>
  <si>
    <t>42,640.00</t>
  </si>
  <si>
    <t>140,567.00</t>
  </si>
  <si>
    <t>198,545.00</t>
  </si>
  <si>
    <t>408,827.78</t>
  </si>
  <si>
    <t>166,128.20</t>
  </si>
  <si>
    <t>84,305.62</t>
  </si>
  <si>
    <t>1,194,554.40</t>
  </si>
  <si>
    <t>66,096.50</t>
  </si>
  <si>
    <t>69,318.14</t>
  </si>
  <si>
    <t>60,790.47</t>
  </si>
  <si>
    <t>55,373.61</t>
  </si>
  <si>
    <t>3,383.28</t>
  </si>
  <si>
    <t>20,740.18</t>
  </si>
  <si>
    <t>5,968.00</t>
  </si>
  <si>
    <t>13,491.00</t>
  </si>
  <si>
    <t>7,122.00</t>
  </si>
  <si>
    <t>198,000.00</t>
  </si>
  <si>
    <t>1,306,744.52</t>
  </si>
  <si>
    <t>255,988.21</t>
  </si>
  <si>
    <t>21,199.00</t>
  </si>
  <si>
    <t>52,448.00</t>
  </si>
  <si>
    <t>6,424.00</t>
  </si>
  <si>
    <t>41,573.86</t>
  </si>
  <si>
    <t>12,589.39</t>
  </si>
  <si>
    <t>19,681.75</t>
  </si>
  <si>
    <t>64,511.17</t>
  </si>
  <si>
    <t>72.72</t>
  </si>
  <si>
    <t>1,078,041.50</t>
  </si>
  <si>
    <t>110,410.70</t>
  </si>
  <si>
    <t>123,639.68</t>
  </si>
  <si>
    <t>68,684.80</t>
  </si>
  <si>
    <t>43,882.22</t>
  </si>
  <si>
    <t>36,072.29</t>
  </si>
  <si>
    <t>2,194.87</t>
  </si>
  <si>
    <t>33,494.59</t>
  </si>
  <si>
    <t>266,109.00</t>
  </si>
  <si>
    <t>11,209,058.87</t>
  </si>
  <si>
    <t>84,781.93</t>
  </si>
  <si>
    <t>1,234,786.31</t>
  </si>
  <si>
    <t>1,125,495.22</t>
  </si>
  <si>
    <t>24,156.72</t>
  </si>
  <si>
    <t>56,365.54</t>
  </si>
  <si>
    <t>99,971.88</t>
  </si>
  <si>
    <t>203,588.48</t>
  </si>
  <si>
    <t>146,769.00</t>
  </si>
  <si>
    <t>53,835.00</t>
  </si>
  <si>
    <t>64,313.49</t>
  </si>
  <si>
    <t>8,389.44</t>
  </si>
  <si>
    <t>118,494.07</t>
  </si>
  <si>
    <t>65,308.16</t>
  </si>
  <si>
    <t>146,856.78</t>
  </si>
  <si>
    <t>40,163.00</t>
  </si>
  <si>
    <t>23,502.00</t>
  </si>
  <si>
    <t>59,773.44</t>
  </si>
  <si>
    <t>43,618.80</t>
  </si>
  <si>
    <t>80,192.92</t>
  </si>
  <si>
    <t>107,051.15</t>
  </si>
  <si>
    <t>32,179.00</t>
  </si>
  <si>
    <t>118,459.00</t>
  </si>
  <si>
    <t>113,565.32</t>
  </si>
  <si>
    <t>263.58</t>
  </si>
  <si>
    <t>1,529.00</t>
  </si>
  <si>
    <t>13,900.00</t>
  </si>
  <si>
    <t>7,382.55</t>
  </si>
  <si>
    <t>4,826.08</t>
  </si>
  <si>
    <t>14,009.00</t>
  </si>
  <si>
    <t>9,082.00</t>
  </si>
  <si>
    <t>2,777.00</t>
  </si>
  <si>
    <t>2,827.00</t>
  </si>
  <si>
    <t>5,145.44</t>
  </si>
  <si>
    <t>10,108.00</t>
  </si>
  <si>
    <t>660.00</t>
  </si>
  <si>
    <t>12,536.13</t>
  </si>
  <si>
    <t>99,550.00</t>
  </si>
  <si>
    <t>61,160.26</t>
  </si>
  <si>
    <t>48,682.56</t>
  </si>
  <si>
    <t>52,349.53</t>
  </si>
  <si>
    <t>82,725.70</t>
  </si>
  <si>
    <t>264,115.00</t>
  </si>
  <si>
    <t>502,023.69</t>
  </si>
  <si>
    <t>4,691.60</t>
  </si>
  <si>
    <t>678,583.47</t>
  </si>
  <si>
    <t>100,566.80</t>
  </si>
  <si>
    <t>650,415.00</t>
  </si>
  <si>
    <t>2,419.30</t>
  </si>
  <si>
    <t>1,792.00</t>
  </si>
  <si>
    <t>25,222.38</t>
  </si>
  <si>
    <t>51,456.18</t>
  </si>
  <si>
    <t>204,539.73</t>
  </si>
  <si>
    <t>506,482.14</t>
  </si>
  <si>
    <t>46,800.00</t>
  </si>
  <si>
    <t>39,438.00</t>
  </si>
  <si>
    <t>64,669.23</t>
  </si>
  <si>
    <t>160.53</t>
  </si>
  <si>
    <t>6,783.94</t>
  </si>
  <si>
    <t>9,760.00</t>
  </si>
  <si>
    <t>15,182.50</t>
  </si>
  <si>
    <t>111,358.31</t>
  </si>
  <si>
    <t>22,621.65</t>
  </si>
  <si>
    <t>30,722.96</t>
  </si>
  <si>
    <t>60,107.13</t>
  </si>
  <si>
    <t>298,963.79</t>
  </si>
  <si>
    <t>171,030.67</t>
  </si>
  <si>
    <t>33,995.43</t>
  </si>
  <si>
    <t>74,370.00</t>
  </si>
  <si>
    <t>93,317.00</t>
  </si>
  <si>
    <t>250,261.52</t>
  </si>
  <si>
    <t>545,742.95</t>
  </si>
  <si>
    <t>13,902.00</t>
  </si>
  <si>
    <t>4,777.00</t>
  </si>
  <si>
    <t>2,527.40</t>
  </si>
  <si>
    <t>506,283.54</t>
  </si>
  <si>
    <t>77,075.12</t>
  </si>
  <si>
    <t>9,742.00</t>
  </si>
  <si>
    <t>33,303.61</t>
  </si>
  <si>
    <t>84,834.13</t>
  </si>
  <si>
    <t>176,197.00</t>
  </si>
  <si>
    <t>235,230.00</t>
  </si>
  <si>
    <t>185,199.00</t>
  </si>
  <si>
    <t>338,647.00</t>
  </si>
  <si>
    <t>307.60</t>
  </si>
  <si>
    <t>10,788.90</t>
  </si>
  <si>
    <t>3,678.00</t>
  </si>
  <si>
    <t>43,798.74</t>
  </si>
  <si>
    <t>39,750.00</t>
  </si>
  <si>
    <t>12,148.02</t>
  </si>
  <si>
    <t>8,558.18</t>
  </si>
  <si>
    <t>78,902.18</t>
  </si>
  <si>
    <t>58,670.10</t>
  </si>
  <si>
    <t>177,345.68</t>
  </si>
  <si>
    <t>9,172.00</t>
  </si>
  <si>
    <t>14,780.47</t>
  </si>
  <si>
    <t>31,436.35</t>
  </si>
  <si>
    <t>10,270.85</t>
  </si>
  <si>
    <t>5,134.50</t>
  </si>
  <si>
    <t>17,347.27</t>
  </si>
  <si>
    <t>3,517.00</t>
  </si>
  <si>
    <t>1,236.00</t>
  </si>
  <si>
    <t>1,591.00</t>
  </si>
  <si>
    <t>32,033.00</t>
  </si>
  <si>
    <t>69,137.20</t>
  </si>
  <si>
    <t>71,854.74</t>
  </si>
  <si>
    <t>233,979.33</t>
  </si>
  <si>
    <t>159,654.00</t>
  </si>
  <si>
    <t>7,960.00</t>
  </si>
  <si>
    <t>23,194.00</t>
  </si>
  <si>
    <t>20,447.60</t>
  </si>
  <si>
    <t>8,625.00</t>
  </si>
  <si>
    <t>41,846.00</t>
  </si>
  <si>
    <t>21,302.00</t>
  </si>
  <si>
    <t>150.00</t>
  </si>
  <si>
    <t>1,385,425.03</t>
  </si>
  <si>
    <t>341,090.39</t>
  </si>
  <si>
    <t>54,022.24</t>
  </si>
  <si>
    <t>138,077.06</t>
  </si>
  <si>
    <t>2,714,185.68</t>
  </si>
  <si>
    <t>5,210,951.64</t>
  </si>
  <si>
    <t>303,220.49</t>
  </si>
  <si>
    <t>1,312,964.72</t>
  </si>
  <si>
    <t>8,764.00</t>
  </si>
  <si>
    <t>35,848.88</t>
  </si>
  <si>
    <t>239,600.74</t>
  </si>
  <si>
    <t>263,456.39</t>
  </si>
  <si>
    <t>189,990.71</t>
  </si>
  <si>
    <t>47,898.08</t>
  </si>
  <si>
    <t>64,109.30</t>
  </si>
  <si>
    <t>149,690.00</t>
  </si>
  <si>
    <t>85,019.00</t>
  </si>
  <si>
    <t>44,764.00</t>
  </si>
  <si>
    <t>1,285.78</t>
  </si>
  <si>
    <t>56,608.08</t>
  </si>
  <si>
    <t>197,110.00</t>
  </si>
  <si>
    <t>1,833.70</t>
  </si>
  <si>
    <t>112.06</t>
  </si>
  <si>
    <t>345,280.15</t>
  </si>
  <si>
    <t>717.00</t>
  </si>
  <si>
    <t>10,402.37</t>
  </si>
  <si>
    <t>72,517.99</t>
  </si>
  <si>
    <t>252,904.00</t>
  </si>
  <si>
    <t>415,940.00</t>
  </si>
  <si>
    <t>142,774.00</t>
  </si>
  <si>
    <t>148,934.00</t>
  </si>
  <si>
    <t>156,649.25</t>
  </si>
  <si>
    <t>51,024.32</t>
  </si>
  <si>
    <t>33,401.90</t>
  </si>
  <si>
    <t>211,995.39</t>
  </si>
  <si>
    <t>242,970.55</t>
  </si>
  <si>
    <t>35,650.00</t>
  </si>
  <si>
    <t>6,282.00</t>
  </si>
  <si>
    <t>34,900.00</t>
  </si>
  <si>
    <t>4,886.00</t>
  </si>
  <si>
    <t>61,765.00</t>
  </si>
  <si>
    <t>286.22</t>
  </si>
  <si>
    <t>73,006.63</t>
  </si>
  <si>
    <t>24,768.69</t>
  </si>
  <si>
    <t>53,740.71</t>
  </si>
  <si>
    <t>21,647.06</t>
  </si>
  <si>
    <t>69,836.25</t>
  </si>
  <si>
    <t>833.58</t>
  </si>
  <si>
    <t>74,204.35</t>
  </si>
  <si>
    <t>20,164.47</t>
  </si>
  <si>
    <t>27,734.50</t>
  </si>
  <si>
    <t>50,582.95</t>
  </si>
  <si>
    <t>262,921.00</t>
  </si>
  <si>
    <t>154,632.54</t>
  </si>
  <si>
    <t>262,680.50</t>
  </si>
  <si>
    <t>23,682.46</t>
  </si>
  <si>
    <t>34,932.00</t>
  </si>
  <si>
    <t>41,241.00</t>
  </si>
  <si>
    <t>142,016.00</t>
  </si>
  <si>
    <t>39,959.80</t>
  </si>
  <si>
    <t>441,911.00</t>
  </si>
  <si>
    <t>109,157.00</t>
  </si>
  <si>
    <t>119,713.00</t>
  </si>
  <si>
    <t>11,486,547.00</t>
  </si>
  <si>
    <t>12,927,820.08</t>
  </si>
  <si>
    <t>25,873,825.07</t>
  </si>
  <si>
    <t>444,703.00</t>
  </si>
  <si>
    <t>14,291,686.00</t>
  </si>
  <si>
    <t>8,725,237.00</t>
  </si>
  <si>
    <t>16,501,150.00</t>
  </si>
  <si>
    <t>18,286,029.00</t>
  </si>
  <si>
    <t>282,619.56</t>
  </si>
  <si>
    <t>72,994.42</t>
  </si>
  <si>
    <t>51,587.92</t>
  </si>
  <si>
    <t>71,400.89</t>
  </si>
  <si>
    <t>1,289,871.51</t>
  </si>
  <si>
    <t>323,959.00</t>
  </si>
  <si>
    <t>78,930.62</t>
  </si>
  <si>
    <t>116,943.00</t>
  </si>
  <si>
    <t>60,858.17</t>
  </si>
  <si>
    <t>82,257.92</t>
  </si>
  <si>
    <t>144,954.61</t>
  </si>
  <si>
    <t>94,760.00</t>
  </si>
  <si>
    <t>144,929.15</t>
  </si>
  <si>
    <t>7,710.00</t>
  </si>
  <si>
    <t>43,190.00</t>
  </si>
  <si>
    <t>456,576.58</t>
  </si>
  <si>
    <t>722,320.28</t>
  </si>
  <si>
    <t>1,028,788.70</t>
  </si>
  <si>
    <t>328,485.93</t>
  </si>
  <si>
    <t>6,373,736.39</t>
  </si>
  <si>
    <t>189,645.00</t>
  </si>
  <si>
    <t>1,301.00</t>
  </si>
  <si>
    <t>11,948.00</t>
  </si>
  <si>
    <t>10,705.00</t>
  </si>
  <si>
    <t>103,671.28</t>
  </si>
  <si>
    <t>107,234.33</t>
  </si>
  <si>
    <t>126,495.00</t>
  </si>
  <si>
    <t>55,023.63</t>
  </si>
  <si>
    <t>63,379.01</t>
  </si>
  <si>
    <t>8,802.00</t>
  </si>
  <si>
    <t>18,333.00</t>
  </si>
  <si>
    <t>52,539.00</t>
  </si>
  <si>
    <t>41,125.00</t>
  </si>
  <si>
    <t>194,627.97</t>
  </si>
  <si>
    <t>123,209.19</t>
  </si>
  <si>
    <t>134,642.06</t>
  </si>
  <si>
    <t>105,691.72</t>
  </si>
  <si>
    <t>118,287.99</t>
  </si>
  <si>
    <t>5,400.53</t>
  </si>
  <si>
    <t>1,221,355.89</t>
  </si>
  <si>
    <t>499,516.84</t>
  </si>
  <si>
    <t>18,985.81</t>
  </si>
  <si>
    <t>36,104.47</t>
  </si>
  <si>
    <t>33,693.89</t>
  </si>
  <si>
    <t>14,604.02</t>
  </si>
  <si>
    <t>3,362.00</t>
  </si>
  <si>
    <t>30,025.76</t>
  </si>
  <si>
    <t>(586,922.36)</t>
  </si>
  <si>
    <t>1,867,012.77</t>
  </si>
  <si>
    <t>3,666,926.38</t>
  </si>
  <si>
    <t>24,542.00</t>
  </si>
  <si>
    <t>89,692.40</t>
  </si>
  <si>
    <t>10,583.50</t>
  </si>
  <si>
    <t>4,515.00</t>
  </si>
  <si>
    <t>4,052.00</t>
  </si>
  <si>
    <t>3,866.94</t>
  </si>
  <si>
    <t>5,380.00</t>
  </si>
  <si>
    <t>10,472.00</t>
  </si>
  <si>
    <t>9,670.00</t>
  </si>
  <si>
    <t>8,470.00</t>
  </si>
  <si>
    <t>7,505.89</t>
  </si>
  <si>
    <t>49,792.23</t>
  </si>
  <si>
    <t>15,108.97</t>
  </si>
  <si>
    <t>313,942.66</t>
  </si>
  <si>
    <t>84,057.00</t>
  </si>
  <si>
    <t>66,552.10</t>
  </si>
  <si>
    <t>8,622.00</t>
  </si>
  <si>
    <t>991,862.05</t>
  </si>
  <si>
    <t>12,074.88</t>
  </si>
  <si>
    <t>192,986.00</t>
  </si>
  <si>
    <t>5,154.80</t>
  </si>
  <si>
    <t>32,617.25</t>
  </si>
  <si>
    <t>73,750.00</t>
  </si>
  <si>
    <t>100,378.00</t>
  </si>
  <si>
    <t>87,908.00</t>
  </si>
  <si>
    <t>17,320.66</t>
  </si>
  <si>
    <t>29,240.54</t>
  </si>
  <si>
    <t>33,902.16</t>
  </si>
  <si>
    <t>27,811.09</t>
  </si>
  <si>
    <t>26,192.89</t>
  </si>
  <si>
    <t>14,309.95</t>
  </si>
  <si>
    <t>6,250.16</t>
  </si>
  <si>
    <t>25,421.33</t>
  </si>
  <si>
    <t>8,346.44</t>
  </si>
  <si>
    <t>8,556.44</t>
  </si>
  <si>
    <t>132,002.00</t>
  </si>
  <si>
    <t>17,585.00</t>
  </si>
  <si>
    <t>60,752.62</t>
  </si>
  <si>
    <t>59,986.36</t>
  </si>
  <si>
    <t>7,109.00</t>
  </si>
  <si>
    <t>118,720.62</t>
  </si>
  <si>
    <t>19,060.19</t>
  </si>
  <si>
    <t>1,144,164.20</t>
  </si>
  <si>
    <t>122,338.59</t>
  </si>
  <si>
    <t>539,036.94</t>
  </si>
  <si>
    <t>140,126.00</t>
  </si>
  <si>
    <t>599,146.29</t>
  </si>
  <si>
    <t>328,077.00</t>
  </si>
  <si>
    <t>179,019.00</t>
  </si>
  <si>
    <t>82,377.00</t>
  </si>
  <si>
    <t>1,413,191.47</t>
  </si>
  <si>
    <t>1,174,799.28</t>
  </si>
  <si>
    <t>13,631.05</t>
  </si>
  <si>
    <t>965.15</t>
  </si>
  <si>
    <t>2,847.00</t>
  </si>
  <si>
    <t>46,444.00</t>
  </si>
  <si>
    <t>11,770.50</t>
  </si>
  <si>
    <t>130,758.99</t>
  </si>
  <si>
    <t>189,422.00</t>
  </si>
  <si>
    <t>56,702.82</t>
  </si>
  <si>
    <t>390,105.00</t>
  </si>
  <si>
    <t>8,386.76</t>
  </si>
  <si>
    <t>2,232.00</t>
  </si>
  <si>
    <t>5,668.80</t>
  </si>
  <si>
    <t>42,762.59</t>
  </si>
  <si>
    <t>31,200.00</t>
  </si>
  <si>
    <t>1,475.64</t>
  </si>
  <si>
    <t>3,236.61</t>
  </si>
  <si>
    <t>3,214.23</t>
  </si>
  <si>
    <t>67,769.42</t>
  </si>
  <si>
    <t>3,903.00</t>
  </si>
  <si>
    <t>4,857.00</t>
  </si>
  <si>
    <t>1,205.00</t>
  </si>
  <si>
    <t>3,823.00</t>
  </si>
  <si>
    <t>31,625.00</t>
  </si>
  <si>
    <t>10,819.00</t>
  </si>
  <si>
    <t>84,500.00</t>
  </si>
  <si>
    <t>193,307.51</t>
  </si>
  <si>
    <t>21,823.99</t>
  </si>
  <si>
    <t>29,638.46</t>
  </si>
  <si>
    <t>19,894.80</t>
  </si>
  <si>
    <t>44,833.09</t>
  </si>
  <si>
    <t>108,681.76</t>
  </si>
  <si>
    <t>198,772.03</t>
  </si>
  <si>
    <t>145,154.88</t>
  </si>
  <si>
    <t>21,861.32</t>
  </si>
  <si>
    <t>30,197.09</t>
  </si>
  <si>
    <t>256,308.29</t>
  </si>
  <si>
    <t>83,621.28</t>
  </si>
  <si>
    <t>191,991.00</t>
  </si>
  <si>
    <t>92,694.00</t>
  </si>
  <si>
    <t>90,461.00</t>
  </si>
  <si>
    <t>46,412.00</t>
  </si>
  <si>
    <t>95,185.00</t>
  </si>
  <si>
    <t>1,563,260.30</t>
  </si>
  <si>
    <t>93,775.00</t>
  </si>
  <si>
    <t>35,517.00</t>
  </si>
  <si>
    <t>40,506.95</t>
  </si>
  <si>
    <t>171,179.43</t>
  </si>
  <si>
    <t>287,950.00</t>
  </si>
  <si>
    <t>45,780.00</t>
  </si>
  <si>
    <t>84,268.33</t>
  </si>
  <si>
    <t>107,967.21</t>
  </si>
  <si>
    <t>36,144.68</t>
  </si>
  <si>
    <t>17,692.04</t>
  </si>
  <si>
    <t>31,885.15</t>
  </si>
  <si>
    <t>83,513.05</t>
  </si>
  <si>
    <t>185,674.50</t>
  </si>
  <si>
    <t>241,640.00</t>
  </si>
  <si>
    <t>7,803.59</t>
  </si>
  <si>
    <t>822,519.96</t>
  </si>
  <si>
    <t>1,608.86</t>
  </si>
  <si>
    <t>20,110.70</t>
  </si>
  <si>
    <t>28,154.98</t>
  </si>
  <si>
    <t>375,237.50</t>
  </si>
  <si>
    <t>37,572.42</t>
  </si>
  <si>
    <t>463,804.31</t>
  </si>
  <si>
    <t>1,548,333.33</t>
  </si>
  <si>
    <t>125,593.00</t>
  </si>
  <si>
    <t>63,629.11</t>
  </si>
  <si>
    <t>2,808.00</t>
  </si>
  <si>
    <t>1,798.00</t>
  </si>
  <si>
    <t>30,903.64</t>
  </si>
  <si>
    <t>99,047.16</t>
  </si>
  <si>
    <t>46,703.00</t>
  </si>
  <si>
    <t>55,972.00</t>
  </si>
  <si>
    <t>56,335.00</t>
  </si>
  <si>
    <t>26,898.87</t>
  </si>
  <si>
    <t>14,867.40</t>
  </si>
  <si>
    <t>20,183.40</t>
  </si>
  <si>
    <t>974.00</t>
  </si>
  <si>
    <t>1,524.00</t>
  </si>
  <si>
    <t>10,433.57</t>
  </si>
  <si>
    <t>24,289.23</t>
  </si>
  <si>
    <t>9,813.21</t>
  </si>
  <si>
    <t>3,004.88</t>
  </si>
  <si>
    <t>385,308.98</t>
  </si>
  <si>
    <t>565,677.18</t>
  </si>
  <si>
    <t>53,066.00</t>
  </si>
  <si>
    <t>13,387.59</t>
  </si>
  <si>
    <t>2,025.52</t>
  </si>
  <si>
    <t>1,050.80</t>
  </si>
  <si>
    <t>13,928.00</t>
  </si>
  <si>
    <t>19,163.16</t>
  </si>
  <si>
    <t>64,567.20</t>
  </si>
  <si>
    <t>207,321.00</t>
  </si>
  <si>
    <t>357,096.00</t>
  </si>
  <si>
    <t>39,522.95</t>
  </si>
  <si>
    <t>40,253.21</t>
  </si>
  <si>
    <t>123,865.00</t>
  </si>
  <si>
    <t>218,144.00</t>
  </si>
  <si>
    <t>555.00</t>
  </si>
  <si>
    <t>242.00</t>
  </si>
  <si>
    <t>3,630.00</t>
  </si>
  <si>
    <t>85,673.00</t>
  </si>
  <si>
    <t>704,617.00</t>
  </si>
  <si>
    <t>869.00</t>
  </si>
  <si>
    <t>53,137.00</t>
  </si>
  <si>
    <t>20,802.20</t>
  </si>
  <si>
    <t>12,039.74</t>
  </si>
  <si>
    <t>39,755.50</t>
  </si>
  <si>
    <t>162,909.00</t>
  </si>
  <si>
    <t>37,243.02</t>
  </si>
  <si>
    <t>7,563.43</t>
  </si>
  <si>
    <t>10,185.00</t>
  </si>
  <si>
    <t>26,281.00</t>
  </si>
  <si>
    <t>15,392.00</t>
  </si>
  <si>
    <t>83,424.31</t>
  </si>
  <si>
    <t>89,172.75</t>
  </si>
  <si>
    <t>4,493.00</t>
  </si>
  <si>
    <t>4,959.00</t>
  </si>
  <si>
    <t>4,688.00</t>
  </si>
  <si>
    <t>4,077.00</t>
  </si>
  <si>
    <t>366,731.87</t>
  </si>
  <si>
    <t>7,179,573.36</t>
  </si>
  <si>
    <t>1,558,133.51</t>
  </si>
  <si>
    <t>106,577.46</t>
  </si>
  <si>
    <t>379,090.14</t>
  </si>
  <si>
    <t>101,089.14</t>
  </si>
  <si>
    <t>368,697.36</t>
  </si>
  <si>
    <t>139,589.67</t>
  </si>
  <si>
    <t>170,882.00</t>
  </si>
  <si>
    <t>140,888.00</t>
  </si>
  <si>
    <t>127,903.00</t>
  </si>
  <si>
    <t>177,442.00</t>
  </si>
  <si>
    <t>12,052.77</t>
  </si>
  <si>
    <t>25,977.57</t>
  </si>
  <si>
    <t>44,853.27</t>
  </si>
  <si>
    <t>9,905.12</t>
  </si>
  <si>
    <t>82,926.00</t>
  </si>
  <si>
    <t>67,933.00</t>
  </si>
  <si>
    <t>23,789.06</t>
  </si>
  <si>
    <t>672,409.62</t>
  </si>
  <si>
    <t>257,606.16</t>
  </si>
  <si>
    <t>466,509.00</t>
  </si>
  <si>
    <t>22,244.09</t>
  </si>
  <si>
    <t>176,559.52</t>
  </si>
  <si>
    <t>141,391.50</t>
  </si>
  <si>
    <t>220,719.50</t>
  </si>
  <si>
    <t>145,062.80</t>
  </si>
  <si>
    <t>27,330.00</t>
  </si>
  <si>
    <t>65,094.04</t>
  </si>
  <si>
    <t>117,195.00</t>
  </si>
  <si>
    <t>520,838.00</t>
  </si>
  <si>
    <t>197,348.00</t>
  </si>
  <si>
    <t>336,508.75</t>
  </si>
  <si>
    <t>118,740.50</t>
  </si>
  <si>
    <t>344.75</t>
  </si>
  <si>
    <t>3,449.20</t>
  </si>
  <si>
    <t>1,729.20</t>
  </si>
  <si>
    <t>2,589.30</t>
  </si>
  <si>
    <t>2,517.56</t>
  </si>
  <si>
    <t>3,872,591.30</t>
  </si>
  <si>
    <t>318,274.54</t>
  </si>
  <si>
    <t>565,150.41</t>
  </si>
  <si>
    <t>6,903.00</t>
  </si>
  <si>
    <t>2,950.00</t>
  </si>
  <si>
    <t>370,663.04</t>
  </si>
  <si>
    <t>212,937.15</t>
  </si>
  <si>
    <t>130,809.50</t>
  </si>
  <si>
    <t>76,652.00</t>
  </si>
  <si>
    <t>215,239.63</t>
  </si>
  <si>
    <t>141,865.00</t>
  </si>
  <si>
    <t>615,557.28</t>
  </si>
  <si>
    <t>122,273.00</t>
  </si>
  <si>
    <t>48,660.00</t>
  </si>
  <si>
    <t>312,462.00</t>
  </si>
  <si>
    <t>274,900.00</t>
  </si>
  <si>
    <t>140,714.00</t>
  </si>
  <si>
    <t>20,847.00</t>
  </si>
  <si>
    <t>312,521.30</t>
  </si>
  <si>
    <t>314,985.30</t>
  </si>
  <si>
    <t>334,720.58</t>
  </si>
  <si>
    <t>19,803.88</t>
  </si>
  <si>
    <t>27,844.00</t>
  </si>
  <si>
    <t>40,617.00</t>
  </si>
  <si>
    <t>32,234.00</t>
  </si>
  <si>
    <t>85,441.88</t>
  </si>
  <si>
    <t>302,665.53</t>
  </si>
  <si>
    <t>28,504,352.00</t>
  </si>
  <si>
    <t>11,351,169.00</t>
  </si>
  <si>
    <t>2,925,150.66</t>
  </si>
  <si>
    <t>437,721.00</t>
  </si>
  <si>
    <t>952,715.77</t>
  </si>
  <si>
    <t>86,537.77</t>
  </si>
  <si>
    <t>15,472.00</t>
  </si>
  <si>
    <t>10,972.00</t>
  </si>
  <si>
    <t>13,834.00</t>
  </si>
  <si>
    <t>13,892.58</t>
  </si>
  <si>
    <t>11,318.68</t>
  </si>
  <si>
    <t>1,520,055.49</t>
  </si>
  <si>
    <t>102,302.86</t>
  </si>
  <si>
    <t>171,890.15</t>
  </si>
  <si>
    <t>446,000.00</t>
  </si>
  <si>
    <t>146,994.00</t>
  </si>
  <si>
    <t>1,800,842.00</t>
  </si>
  <si>
    <t>574,679.00</t>
  </si>
  <si>
    <t>492,329.36</t>
  </si>
  <si>
    <t>470,000.00</t>
  </si>
  <si>
    <t>129,863.44</t>
  </si>
  <si>
    <t>71,274.56</t>
  </si>
  <si>
    <t>5,359.00</t>
  </si>
  <si>
    <t>10,070.00</t>
  </si>
  <si>
    <t>5,518.00</t>
  </si>
  <si>
    <t>18,851.00</t>
  </si>
  <si>
    <t>22,759.00</t>
  </si>
  <si>
    <t>354,569.34</t>
  </si>
  <si>
    <t>70,866.62</t>
  </si>
  <si>
    <t>371,761.79</t>
  </si>
  <si>
    <t>375,076.44</t>
  </si>
  <si>
    <t>621,586.21</t>
  </si>
  <si>
    <t>178,250.00</t>
  </si>
  <si>
    <t>104,705.00</t>
  </si>
  <si>
    <t>244,043.00</t>
  </si>
  <si>
    <t>339,995.00</t>
  </si>
  <si>
    <t>492,656.00</t>
  </si>
  <si>
    <t>100,225.00</t>
  </si>
  <si>
    <t>41,827.14</t>
  </si>
  <si>
    <t>85,513.00</t>
  </si>
  <si>
    <t>673,790.92</t>
  </si>
  <si>
    <t>214,889.07</t>
  </si>
  <si>
    <t>74,388.00</t>
  </si>
  <si>
    <t>794,296.00</t>
  </si>
  <si>
    <t>1,490,970.47</t>
  </si>
  <si>
    <t>3,097.25</t>
  </si>
  <si>
    <t>18,065.00</t>
  </si>
  <si>
    <t>2,303,773.01</t>
  </si>
  <si>
    <t>138,744.00</t>
  </si>
  <si>
    <t>99,600.09</t>
  </si>
  <si>
    <t>23,236,125.89</t>
  </si>
  <si>
    <t>54,831.47</t>
  </si>
  <si>
    <t>66,930.00</t>
  </si>
  <si>
    <t>138,575.86</t>
  </si>
  <si>
    <t>314,649.42</t>
  </si>
  <si>
    <t>82,243.05</t>
  </si>
  <si>
    <t>425,344.83</t>
  </si>
  <si>
    <t>41,116.78</t>
  </si>
  <si>
    <t>1,898.00</t>
  </si>
  <si>
    <t>18,970.67</t>
  </si>
  <si>
    <t>48,255.56</t>
  </si>
  <si>
    <t>303,249.44</t>
  </si>
  <si>
    <t>395,878.47</t>
  </si>
  <si>
    <t>14,462.00</t>
  </si>
  <si>
    <t>4,314.00</t>
  </si>
  <si>
    <t>941.00</t>
  </si>
  <si>
    <t>1,273.00</t>
  </si>
  <si>
    <t>8,850.62</t>
  </si>
  <si>
    <t>64,910,560.00</t>
  </si>
  <si>
    <t>557,554.63</t>
  </si>
  <si>
    <t>1,219,956.07</t>
  </si>
  <si>
    <t>5,037,534.00</t>
  </si>
  <si>
    <t>5,525.85</t>
  </si>
  <si>
    <t>13,300.00</t>
  </si>
  <si>
    <t>18,700.00</t>
  </si>
  <si>
    <t>1,118,394.00</t>
  </si>
  <si>
    <t>13,405.00</t>
  </si>
  <si>
    <t>260,864.00</t>
  </si>
  <si>
    <t>53,760.00</t>
  </si>
  <si>
    <t>622,628.00</t>
  </si>
  <si>
    <t>5,283.57</t>
  </si>
  <si>
    <t>20,286.00</t>
  </si>
  <si>
    <t>17,928.57</t>
  </si>
  <si>
    <t>1,774,255.72</t>
  </si>
  <si>
    <t>667,993.56</t>
  </si>
  <si>
    <t>111,288.33</t>
  </si>
  <si>
    <t>42,537.20</t>
  </si>
  <si>
    <t>169,083.06</t>
  </si>
  <si>
    <t>319,629.47</t>
  </si>
  <si>
    <t>70,893.00</t>
  </si>
  <si>
    <t>124,070.00</t>
  </si>
  <si>
    <t>52,141.00</t>
  </si>
  <si>
    <t>80,535.00</t>
  </si>
  <si>
    <t>69,514.24</t>
  </si>
  <si>
    <t>146,816.23</t>
  </si>
  <si>
    <t>45,032.00</t>
  </si>
  <si>
    <t>226,232.29</t>
  </si>
  <si>
    <t>85,924.24</t>
  </si>
  <si>
    <t>34,402.00</t>
  </si>
  <si>
    <t>22,416.55</t>
  </si>
  <si>
    <t>88,472.42</t>
  </si>
  <si>
    <t>711,490.28</t>
  </si>
  <si>
    <t>114,474.86</t>
  </si>
  <si>
    <t>87,584.94</t>
  </si>
  <si>
    <t>40,900.00</t>
  </si>
  <si>
    <t>13,931.25</t>
  </si>
  <si>
    <t>47,552.62</t>
  </si>
  <si>
    <t>6,975.00</t>
  </si>
  <si>
    <t>30,481.05</t>
  </si>
  <si>
    <t>15,350.00</t>
  </si>
  <si>
    <t>42,299.00</t>
  </si>
  <si>
    <t>31,199.00</t>
  </si>
  <si>
    <t>918.69</t>
  </si>
  <si>
    <t>67,163.63</t>
  </si>
  <si>
    <t>142,162.07</t>
  </si>
  <si>
    <t>118,388.95</t>
  </si>
  <si>
    <t>3,050.71</t>
  </si>
  <si>
    <t>11,538.00</t>
  </si>
  <si>
    <t>1,124.50</t>
  </si>
  <si>
    <t>7,850.00</t>
  </si>
  <si>
    <t>105,651.00</t>
  </si>
  <si>
    <t>82,081.50</t>
  </si>
  <si>
    <t>40,947.00</t>
  </si>
  <si>
    <t>178,233.76</t>
  </si>
  <si>
    <t>135,101.25</t>
  </si>
  <si>
    <t>81,923.00</t>
  </si>
  <si>
    <t>44,255.70</t>
  </si>
  <si>
    <t>409,433.42</t>
  </si>
  <si>
    <t>72,088.76</t>
  </si>
  <si>
    <t>66,887.54</t>
  </si>
  <si>
    <t>67,025.34</t>
  </si>
  <si>
    <t>130,540.00</t>
  </si>
  <si>
    <t>93,293.60</t>
  </si>
  <si>
    <t>79,776.00</t>
  </si>
  <si>
    <t>95,464.15</t>
  </si>
  <si>
    <t>76,209.00</t>
  </si>
  <si>
    <t>72,980.00</t>
  </si>
  <si>
    <t>148,212.00</t>
  </si>
  <si>
    <t>232,820.00</t>
  </si>
  <si>
    <t>235,523.00</t>
  </si>
  <si>
    <t>383,449.30</t>
  </si>
  <si>
    <t>82,449.63</t>
  </si>
  <si>
    <t>2,280,000.00</t>
  </si>
  <si>
    <t>1,103,079.48</t>
  </si>
  <si>
    <t>358,963.75</t>
  </si>
  <si>
    <t>300,843.07</t>
  </si>
  <si>
    <t>960.00</t>
  </si>
  <si>
    <t>2,171.83</t>
  </si>
  <si>
    <t>2,341.54</t>
  </si>
  <si>
    <t>22,912.00</t>
  </si>
  <si>
    <t>2,488.00</t>
  </si>
  <si>
    <t>2,550.00</t>
  </si>
  <si>
    <t>2,748.00</t>
  </si>
  <si>
    <t>3,097.00</t>
  </si>
  <si>
    <t>278,312.11</t>
  </si>
  <si>
    <t>2,718,014.00</t>
  </si>
  <si>
    <t>4,517.00</t>
  </si>
  <si>
    <t>5,624.80</t>
  </si>
  <si>
    <t>995,212.56</t>
  </si>
  <si>
    <t>141,238.78</t>
  </si>
  <si>
    <t>132,363.99</t>
  </si>
  <si>
    <t>391,823.67</t>
  </si>
  <si>
    <t>8,987.00</t>
  </si>
  <si>
    <t>15,529.00</t>
  </si>
  <si>
    <t>7,003.00</t>
  </si>
  <si>
    <t>12,662.30</t>
  </si>
  <si>
    <t>8,530.70</t>
  </si>
  <si>
    <t>108,334.34</t>
  </si>
  <si>
    <t>3,380.19</t>
  </si>
  <si>
    <t>138,419.00</t>
  </si>
  <si>
    <t>5,960.49</t>
  </si>
  <si>
    <t>269.00</t>
  </si>
  <si>
    <t>232.00</t>
  </si>
  <si>
    <t>959,025.00</t>
  </si>
  <si>
    <t>73,751.23</t>
  </si>
  <si>
    <t>15,121.00</t>
  </si>
  <si>
    <t>7,697.00</t>
  </si>
  <si>
    <t>15,894.00</t>
  </si>
  <si>
    <t>8,610.00</t>
  </si>
  <si>
    <t>18,884.81</t>
  </si>
  <si>
    <t>29,841.43</t>
  </si>
  <si>
    <t>58,983.85</t>
  </si>
  <si>
    <t>8,711.56</t>
  </si>
  <si>
    <t>9,876.90</t>
  </si>
  <si>
    <t>773,027.91</t>
  </si>
  <si>
    <t>106,306.16</t>
  </si>
  <si>
    <t>41,081.48</t>
  </si>
  <si>
    <t>36,122.72</t>
  </si>
  <si>
    <t>81,450.00</t>
  </si>
  <si>
    <t>24,923.54</t>
  </si>
  <si>
    <t>39,607.94</t>
  </si>
  <si>
    <t>8,614.55</t>
  </si>
  <si>
    <t>14,251.97</t>
  </si>
  <si>
    <t>15,495.73</t>
  </si>
  <si>
    <t>23,091.82</t>
  </si>
  <si>
    <t>1,022,233.79</t>
  </si>
  <si>
    <t>202,681.74</t>
  </si>
  <si>
    <t>3,983,836.71</t>
  </si>
  <si>
    <t>4,140,587.00</t>
  </si>
  <si>
    <t>6,435.20</t>
  </si>
  <si>
    <t>3,196.09</t>
  </si>
  <si>
    <t>4,925.60</t>
  </si>
  <si>
    <t>233,962.03</t>
  </si>
  <si>
    <t>200,738.18</t>
  </si>
  <si>
    <t>522,574.94</t>
  </si>
  <si>
    <t>956,114.62</t>
  </si>
  <si>
    <t>142,078.46</t>
  </si>
  <si>
    <t>1,059,702.35</t>
  </si>
  <si>
    <t>248,489.80</t>
  </si>
  <si>
    <t>20,430.00</t>
  </si>
  <si>
    <t>3,561,093.00</t>
  </si>
  <si>
    <t>1,004,573.27</t>
  </si>
  <si>
    <t>87,662.00</t>
  </si>
  <si>
    <t>31,499.49</t>
  </si>
  <si>
    <t>6,863.00</t>
  </si>
  <si>
    <t>29,732.25</t>
  </si>
  <si>
    <t>38,421.30</t>
  </si>
  <si>
    <t>603.84</t>
  </si>
  <si>
    <t>422.00</t>
  </si>
  <si>
    <t>13,663.17</t>
  </si>
  <si>
    <t>28,187.00</t>
  </si>
  <si>
    <t>121,823.00</t>
  </si>
  <si>
    <t>32,460.00</t>
  </si>
  <si>
    <t>76,851.68</t>
  </si>
  <si>
    <t>3,821.00</t>
  </si>
  <si>
    <t>3,495.63</t>
  </si>
  <si>
    <t>2,639.73</t>
  </si>
  <si>
    <t>217.50</t>
  </si>
  <si>
    <t>78,515.73</t>
  </si>
  <si>
    <t>47,914.00</t>
  </si>
  <si>
    <t>23,889.74</t>
  </si>
  <si>
    <t>11,608.11</t>
  </si>
  <si>
    <t>15,203.84</t>
  </si>
  <si>
    <t>20,349.00</t>
  </si>
  <si>
    <t>94,295.20</t>
  </si>
  <si>
    <t>46,378,080.00</t>
  </si>
  <si>
    <t>868,084.55</t>
  </si>
  <si>
    <t>605,592.00</t>
  </si>
  <si>
    <t>501,565.00</t>
  </si>
  <si>
    <t>227,140.00</t>
  </si>
  <si>
    <t>47,770.00</t>
  </si>
  <si>
    <t>200,000.00</t>
  </si>
  <si>
    <t>99,431.70</t>
  </si>
  <si>
    <t>35,460.00</t>
  </si>
  <si>
    <t>9,850.00</t>
  </si>
  <si>
    <t>2,344.30</t>
  </si>
  <si>
    <t>3,940.00</t>
  </si>
  <si>
    <t>985.00</t>
  </si>
  <si>
    <t>326.00</t>
  </si>
  <si>
    <t>10,771.00</t>
  </si>
  <si>
    <t>258,951.50</t>
  </si>
  <si>
    <t>87,737.63</t>
  </si>
  <si>
    <t>860,474.00</t>
  </si>
  <si>
    <t>320,415.00</t>
  </si>
  <si>
    <t>15,310.00</t>
  </si>
  <si>
    <t>5,814.98</t>
  </si>
  <si>
    <t>2,620.00</t>
  </si>
  <si>
    <t>23,535.71</t>
  </si>
  <si>
    <t>32,927.22</t>
  </si>
  <si>
    <t>19,715.00</t>
  </si>
  <si>
    <t>12,365.00</t>
  </si>
  <si>
    <t>98,058.41</t>
  </si>
  <si>
    <t>33,076.10</t>
  </si>
  <si>
    <t>25,974.01</t>
  </si>
  <si>
    <t>48,670.77</t>
  </si>
  <si>
    <t>12,505.96</t>
  </si>
  <si>
    <t>16,852.13</t>
  </si>
  <si>
    <t>25,300.00</t>
  </si>
  <si>
    <t>12,876.50</t>
  </si>
  <si>
    <t>31,200.66</t>
  </si>
  <si>
    <t>49,761.70</t>
  </si>
  <si>
    <t>337.50</t>
  </si>
  <si>
    <t>16,168.00</t>
  </si>
  <si>
    <t>1,800.00</t>
  </si>
  <si>
    <t>30,000.00</t>
  </si>
  <si>
    <t>196,984.00</t>
  </si>
  <si>
    <t>1,667.00</t>
  </si>
  <si>
    <t>122.80</t>
  </si>
  <si>
    <t>242.32</t>
  </si>
  <si>
    <t>599.23</t>
  </si>
  <si>
    <t>107.70</t>
  </si>
  <si>
    <t>290.39</t>
  </si>
  <si>
    <t>56,313.14</t>
  </si>
  <si>
    <t>50,612.05</t>
  </si>
  <si>
    <t>116,658.00</t>
  </si>
  <si>
    <t>62,087.00</t>
  </si>
  <si>
    <t>53,904.00</t>
  </si>
  <si>
    <t>27,403.61</t>
  </si>
  <si>
    <t>20,545.00</t>
  </si>
  <si>
    <t>20,920.00</t>
  </si>
  <si>
    <t>20,530.00</t>
  </si>
  <si>
    <t>42,945.00</t>
  </si>
  <si>
    <t>100,481.70</t>
  </si>
  <si>
    <t>35,847.90</t>
  </si>
  <si>
    <t>75,632.00</t>
  </si>
  <si>
    <t>2,702.42</t>
  </si>
  <si>
    <t>12,570.00</t>
  </si>
  <si>
    <t>5,397.52</t>
  </si>
  <si>
    <t>9,197.53</t>
  </si>
  <si>
    <t>7,275.00</t>
  </si>
  <si>
    <t>15,953.00</t>
  </si>
  <si>
    <t>14,131.96</t>
  </si>
  <si>
    <t>10,937.67</t>
  </si>
  <si>
    <t>5,465.00</t>
  </si>
  <si>
    <t>2,165,815.13</t>
  </si>
  <si>
    <t>558,432.00</t>
  </si>
  <si>
    <t>16,081.58</t>
  </si>
  <si>
    <t>9,440.11</t>
  </si>
  <si>
    <t>91,339.46</t>
  </si>
  <si>
    <t>143,810.00</t>
  </si>
  <si>
    <t>7,793,640.00</t>
  </si>
  <si>
    <t>960,874.33</t>
  </si>
  <si>
    <t>537,683.12</t>
  </si>
  <si>
    <t>103,841.00</t>
  </si>
  <si>
    <t>42,895.00</t>
  </si>
  <si>
    <t>40,828.00</t>
  </si>
  <si>
    <t>187,951.00</t>
  </si>
  <si>
    <t>64,904.00</t>
  </si>
  <si>
    <t>72,567.13</t>
  </si>
  <si>
    <t>552,522.00</t>
  </si>
  <si>
    <t>522,396.00</t>
  </si>
  <si>
    <t>132,000.00</t>
  </si>
  <si>
    <t>795,207.30</t>
  </si>
  <si>
    <t>8,956,650.55</t>
  </si>
  <si>
    <t>54,489.12</t>
  </si>
  <si>
    <t>215,419.65</t>
  </si>
  <si>
    <t>797,816.64</t>
  </si>
  <si>
    <t>211,675.00</t>
  </si>
  <si>
    <t>356,952.13</t>
  </si>
  <si>
    <t>557,757.03</t>
  </si>
  <si>
    <t>161,101.00</t>
  </si>
  <si>
    <t>60,518.65</t>
  </si>
  <si>
    <t>10,912.85</t>
  </si>
  <si>
    <t>81,752.42</t>
  </si>
  <si>
    <t>15,369.90</t>
  </si>
  <si>
    <t>869,253.27</t>
  </si>
  <si>
    <t>39,153.00</t>
  </si>
  <si>
    <t>100.00</t>
  </si>
  <si>
    <t>17,123.00</t>
  </si>
  <si>
    <t>509.80</t>
  </si>
  <si>
    <t>83,736.19</t>
  </si>
  <si>
    <t>90,480.00</t>
  </si>
  <si>
    <t>178,620.00</t>
  </si>
  <si>
    <t>42,032.00</t>
  </si>
  <si>
    <t>179,789.00</t>
  </si>
  <si>
    <t>14,619.57</t>
  </si>
  <si>
    <t>9,954.88</t>
  </si>
  <si>
    <t>10,500.00</t>
  </si>
  <si>
    <t>8,585.00</t>
  </si>
  <si>
    <t>27,101.20</t>
  </si>
  <si>
    <t>108,405.00</t>
  </si>
  <si>
    <t>727,910.44</t>
  </si>
  <si>
    <t>55,053.00</t>
  </si>
  <si>
    <t>44,215.80</t>
  </si>
  <si>
    <t>1,776.00</t>
  </si>
  <si>
    <t>6,532.75</t>
  </si>
  <si>
    <t>2,244.00</t>
  </si>
  <si>
    <t>13,731.98</t>
  </si>
  <si>
    <t>27,839.55</t>
  </si>
  <si>
    <t>20,282.43</t>
  </si>
  <si>
    <t>18,836.59</t>
  </si>
  <si>
    <t>58,331.62</t>
  </si>
  <si>
    <t>33,300.00</t>
  </si>
  <si>
    <t>23,749.50</t>
  </si>
  <si>
    <t>15,393.02</t>
  </si>
  <si>
    <t>16,677.87</t>
  </si>
  <si>
    <t>98,282.66</t>
  </si>
  <si>
    <t>89,964.94</t>
  </si>
  <si>
    <t>1,149.07</t>
  </si>
  <si>
    <t>2,481.61</t>
  </si>
  <si>
    <t>4,678.32</t>
  </si>
  <si>
    <t>2,102.83</t>
  </si>
  <si>
    <t>64,080.00</t>
  </si>
  <si>
    <t>10,599.94</t>
  </si>
  <si>
    <t>4,696.94</t>
  </si>
  <si>
    <t>76,437.38</t>
  </si>
  <si>
    <t>1,422.63</t>
  </si>
  <si>
    <t>2,051.91</t>
  </si>
  <si>
    <t>27,024.54</t>
  </si>
  <si>
    <t>69,090.29</t>
  </si>
  <si>
    <t>291,510.76</t>
  </si>
  <si>
    <t>269,914.83</t>
  </si>
  <si>
    <t>17,466.00</t>
  </si>
  <si>
    <t>101,259.00</t>
  </si>
  <si>
    <t>39,632.00</t>
  </si>
  <si>
    <t>3,540.00</t>
  </si>
  <si>
    <t>7,836.00</t>
  </si>
  <si>
    <t>894,552.73</t>
  </si>
  <si>
    <t>8,392.00</t>
  </si>
  <si>
    <t>850,127.10</t>
  </si>
  <si>
    <t>397,800.06</t>
  </si>
  <si>
    <t>3,076,000.83</t>
  </si>
  <si>
    <t>762,373.56</t>
  </si>
  <si>
    <t>1,526,000.00</t>
  </si>
  <si>
    <t>8,428.34</t>
  </si>
  <si>
    <t>18,865.50</t>
  </si>
  <si>
    <t>24,251.94</t>
  </si>
  <si>
    <t>1,893.00</t>
  </si>
  <si>
    <t>881.00</t>
  </si>
  <si>
    <t>1,926.00</t>
  </si>
  <si>
    <t>1,081.00</t>
  </si>
  <si>
    <t>811.00</t>
  </si>
  <si>
    <t>1,266.00</t>
  </si>
  <si>
    <t>663.00</t>
  </si>
  <si>
    <t>384.00</t>
  </si>
  <si>
    <t>362.00</t>
  </si>
  <si>
    <t>897.00</t>
  </si>
  <si>
    <t>805.61</t>
  </si>
  <si>
    <t>1,949.02</t>
  </si>
  <si>
    <t>2,536.30</t>
  </si>
  <si>
    <t>3,089.78</t>
  </si>
  <si>
    <t>10,550.00</t>
  </si>
  <si>
    <t>527,690.00</t>
  </si>
  <si>
    <t>44,241.00</t>
  </si>
  <si>
    <t>51,120.00</t>
  </si>
  <si>
    <t>22,942.25</t>
  </si>
  <si>
    <t>10,600.00</t>
  </si>
  <si>
    <t>17,490.00</t>
  </si>
  <si>
    <t>330,916.58</t>
  </si>
  <si>
    <t>81,712.48</t>
  </si>
  <si>
    <t>10,565.47</t>
  </si>
  <si>
    <t>23,625.00</t>
  </si>
  <si>
    <t>49,669.00</t>
  </si>
  <si>
    <t>7,121.40</t>
  </si>
  <si>
    <t>1,664.14</t>
  </si>
  <si>
    <t>522,742.97</t>
  </si>
  <si>
    <t>93,176.71</t>
  </si>
  <si>
    <t>363,820.61</t>
  </si>
  <si>
    <t>198,710.96</t>
  </si>
  <si>
    <t>146,236.74</t>
  </si>
  <si>
    <t>781,711.56</t>
  </si>
  <si>
    <t>193,791.84</t>
  </si>
  <si>
    <t>690.00</t>
  </si>
  <si>
    <t>308.92</t>
  </si>
  <si>
    <t>84,274.43</t>
  </si>
  <si>
    <t>322,308.15</t>
  </si>
  <si>
    <t>11,602.65</t>
  </si>
  <si>
    <t>44,806.98</t>
  </si>
  <si>
    <t>6,970.70</t>
  </si>
  <si>
    <t>12,188.08</t>
  </si>
  <si>
    <t>17,348.41</t>
  </si>
  <si>
    <t>380,227.73</t>
  </si>
  <si>
    <t>3,714.82</t>
  </si>
  <si>
    <t>9,322.02</t>
  </si>
  <si>
    <t>12,119.27</t>
  </si>
  <si>
    <t>20,671.88</t>
  </si>
  <si>
    <t>83,796.35</t>
  </si>
  <si>
    <t>3,569.75</t>
  </si>
  <si>
    <t>2,947.41</t>
  </si>
  <si>
    <t>15,939.07</t>
  </si>
  <si>
    <t>7,451.11</t>
  </si>
  <si>
    <t>10,528.21</t>
  </si>
  <si>
    <t>3,989.50</t>
  </si>
  <si>
    <t>2,498.00</t>
  </si>
  <si>
    <t>124,470.12</t>
  </si>
  <si>
    <t>3,527.25</t>
  </si>
  <si>
    <t>71,586.67</t>
  </si>
  <si>
    <t>5,840.74</t>
  </si>
  <si>
    <t>193,034.37</t>
  </si>
  <si>
    <t>3,681.68</t>
  </si>
  <si>
    <t>37,833.58</t>
  </si>
  <si>
    <t>3,654.84</t>
  </si>
  <si>
    <t>11,745.00</t>
  </si>
  <si>
    <t>2,162,690.32</t>
  </si>
  <si>
    <t>10,284.50</t>
  </si>
  <si>
    <t>5,941.08</t>
  </si>
  <si>
    <t>5,040.00</t>
  </si>
  <si>
    <t>2,113.59</t>
  </si>
  <si>
    <t>3,387.37</t>
  </si>
  <si>
    <t>74,464.25</t>
  </si>
  <si>
    <t>46,661.33</t>
  </si>
  <si>
    <t>162.81</t>
  </si>
  <si>
    <t>5,240.73</t>
  </si>
  <si>
    <t>2,619.92</t>
  </si>
  <si>
    <t>12,102.27</t>
  </si>
  <si>
    <t>12,243.00</t>
  </si>
  <si>
    <t>12,983.00</t>
  </si>
  <si>
    <t>62,320.00</t>
  </si>
  <si>
    <t>6,492.00</t>
  </si>
  <si>
    <t>94,049.42</t>
  </si>
  <si>
    <t>7,818.40</t>
  </si>
  <si>
    <t>6,157.93</t>
  </si>
  <si>
    <t>102,332.55</t>
  </si>
  <si>
    <t>27,812.45</t>
  </si>
  <si>
    <t>25,930.24</t>
  </si>
  <si>
    <t>8,048.69</t>
  </si>
  <si>
    <t>2,222.19</t>
  </si>
  <si>
    <t>177,583.84</t>
  </si>
  <si>
    <t>3,315.00</t>
  </si>
  <si>
    <t>3,414.00</t>
  </si>
  <si>
    <t>12,598.00</t>
  </si>
  <si>
    <t>40,382.00</t>
  </si>
  <si>
    <t>234.00</t>
  </si>
  <si>
    <t>19,890.00</t>
  </si>
  <si>
    <t>5,297.64</t>
  </si>
  <si>
    <t>10,962.70</t>
  </si>
  <si>
    <t>5,265.72</t>
  </si>
  <si>
    <t>14,040.00</t>
  </si>
  <si>
    <t>11,257.08</t>
  </si>
  <si>
    <t>2,185.75</t>
  </si>
  <si>
    <t>3,382.00</t>
  </si>
  <si>
    <t>465,142.93</t>
  </si>
  <si>
    <t>987,674.62</t>
  </si>
  <si>
    <t>85,792.92</t>
  </si>
  <si>
    <t>53,496.00</t>
  </si>
  <si>
    <t>53,415.00</t>
  </si>
  <si>
    <t>6,415.67</t>
  </si>
  <si>
    <t>6,861.25</t>
  </si>
  <si>
    <t>1,235.06</t>
  </si>
  <si>
    <t>185,712.70</t>
  </si>
  <si>
    <t>21,212.00</t>
  </si>
  <si>
    <t>22,757.00</t>
  </si>
  <si>
    <t>88,133.00</t>
  </si>
  <si>
    <t>151,613.10</t>
  </si>
  <si>
    <t>38,548.21</t>
  </si>
  <si>
    <t>9,512.00</t>
  </si>
  <si>
    <t>54,203.00</t>
  </si>
  <si>
    <t>28,166.00</t>
  </si>
  <si>
    <t>20,512.79</t>
  </si>
  <si>
    <t>12,570.49</t>
  </si>
  <si>
    <t>12,492.00</t>
  </si>
  <si>
    <t>4,385.21</t>
  </si>
  <si>
    <t>6,319.04</t>
  </si>
  <si>
    <t>33,145.03</t>
  </si>
  <si>
    <t>39,798.49</t>
  </si>
  <si>
    <t>9,654.85</t>
  </si>
  <si>
    <t>5,915.83</t>
  </si>
  <si>
    <t>23,665.90</t>
  </si>
  <si>
    <t>21,385.35</t>
  </si>
  <si>
    <t>61,029.24</t>
  </si>
  <si>
    <t>41,086.73</t>
  </si>
  <si>
    <t>12,535.07</t>
  </si>
  <si>
    <t>34,214.90</t>
  </si>
  <si>
    <t>56,587.18</t>
  </si>
  <si>
    <t>28,027.59</t>
  </si>
  <si>
    <t>4,864.52</t>
  </si>
  <si>
    <t>12,450.75</t>
  </si>
  <si>
    <t>15,007.65</t>
  </si>
  <si>
    <t>17,601.56</t>
  </si>
  <si>
    <t>4,170.00</t>
  </si>
  <si>
    <t>522,412.00</t>
  </si>
  <si>
    <t>969,048.71</t>
  </si>
  <si>
    <t>77,550.00</t>
  </si>
  <si>
    <t>122,081.00</t>
  </si>
  <si>
    <t>2,467,510.00</t>
  </si>
  <si>
    <t>432,072.78</t>
  </si>
  <si>
    <t>9,182.00</t>
  </si>
  <si>
    <t>20,578.00</t>
  </si>
  <si>
    <t>11,226.00</t>
  </si>
  <si>
    <t>9,671.00</t>
  </si>
  <si>
    <t>39,116.00</t>
  </si>
  <si>
    <t>506,002.00</t>
  </si>
  <si>
    <t>720,501.00</t>
  </si>
  <si>
    <t>GWPH.1.a</t>
  </si>
  <si>
    <t>GWPH.3</t>
  </si>
  <si>
    <t>GWPH.4</t>
  </si>
  <si>
    <t>GWPH.1.b</t>
  </si>
  <si>
    <t>GWPH.1.c</t>
  </si>
  <si>
    <t>GWPH.2</t>
  </si>
  <si>
    <t>HCP.3.a</t>
  </si>
  <si>
    <t>HCP.3.b</t>
  </si>
  <si>
    <t>HMSY.1.a</t>
  </si>
  <si>
    <t>HMSY.1.b</t>
  </si>
  <si>
    <t>MNK.5</t>
  </si>
  <si>
    <t>RCII.5.c</t>
  </si>
  <si>
    <t>SRE.2</t>
  </si>
  <si>
    <t>STRP.4.a</t>
  </si>
  <si>
    <t>STRP.4.b</t>
  </si>
  <si>
    <t>STRP.4.c</t>
  </si>
  <si>
    <t>STRP.4.d</t>
  </si>
  <si>
    <t>GEO.3</t>
  </si>
  <si>
    <t>WRES.3.a</t>
  </si>
  <si>
    <t>WRES.3.b</t>
  </si>
  <si>
    <t>WRES.3.c</t>
  </si>
  <si>
    <t>WRES.4.a</t>
  </si>
  <si>
    <t>WRES.4.b</t>
  </si>
  <si>
    <t>WRES.4.c</t>
  </si>
  <si>
    <t>WRES.4.d</t>
  </si>
  <si>
    <t>deal</t>
  </si>
  <si>
    <t>10b</t>
  </si>
  <si>
    <t>Damage Buckets</t>
  </si>
  <si>
    <t>A</t>
  </si>
  <si>
    <t>B</t>
  </si>
  <si>
    <t>C</t>
  </si>
  <si>
    <t>D</t>
  </si>
  <si>
    <t>E</t>
  </si>
  <si>
    <t>F</t>
  </si>
  <si>
    <t>N/A</t>
  </si>
  <si>
    <t>If/Then Formula</t>
  </si>
  <si>
    <t>IF($H2&lt;='Abbrev Key'!$A$2,'Abbrev Key'!$B$2,IF($H2&lt;='Abbrev Key'!$A$3,'Abbrev Key'!$B$3,IF($H2&lt;='Abbrev Key'!$A$4,'Abbrev Key'!$B$4,IF($H2&lt;='Abbrev Key'!$A$5,'Abbrev Key'!$B$5,IF($H2&lt;='Abbrev Key'!$A$6,'Abbrev Key'!$B$6,IF($H2&gt;='Abbrev Key'!$A$7,'Abbrev Key'!$B$7,IF($H2='Abbrev Key'!$A$8,'Abbrev Key'!$B$8,"")))))))</t>
  </si>
  <si>
    <t>Movant Loss</t>
  </si>
  <si>
    <t>SEE ABOVE</t>
  </si>
  <si>
    <t>***</t>
  </si>
  <si>
    <t>OMIT</t>
  </si>
  <si>
    <t>SEE ABOVE?</t>
  </si>
  <si>
    <t>ELGX.1.a</t>
  </si>
  <si>
    <t>ELGX.2</t>
  </si>
  <si>
    <t>ELGX.1.b</t>
  </si>
  <si>
    <t>RWLK.2</t>
  </si>
  <si>
    <t>MGT.2.a</t>
  </si>
  <si>
    <t>MGT.2.b</t>
  </si>
  <si>
    <t>DVAX.1.b</t>
  </si>
  <si>
    <t>DVAX.1.c</t>
  </si>
  <si>
    <t>DVAX.2</t>
  </si>
  <si>
    <t>DVAX.3</t>
  </si>
  <si>
    <t>Below</t>
  </si>
  <si>
    <t>Dr. Reddys Laboratories Limited</t>
  </si>
  <si>
    <t>08/25/2017</t>
  </si>
  <si>
    <t>10/24/2017</t>
  </si>
  <si>
    <t>Regina Critchley</t>
  </si>
  <si>
    <t>Sridhar Dutta</t>
  </si>
  <si>
    <t>$2,828,044.92</t>
  </si>
  <si>
    <t>Labaton Sucharow LLP; Kaplan Fox &amp; Kilsheimer LLP (local/liaison)</t>
  </si>
  <si>
    <t>PetMed Express, Inc.</t>
  </si>
  <si>
    <t>Timothy Bryan</t>
  </si>
  <si>
    <t>Richard S. Engle</t>
  </si>
  <si>
    <t>Michelle Gold</t>
  </si>
  <si>
    <t>Paul Marchese</t>
  </si>
  <si>
    <t>Rice Energy, Inc.</t>
  </si>
  <si>
    <t>08/02/2017</t>
  </si>
  <si>
    <t>10/23/2017</t>
  </si>
  <si>
    <t>Parkway Inc.</t>
  </si>
  <si>
    <t>First Potomac Realty Trust</t>
  </si>
  <si>
    <t>08/04/2017</t>
  </si>
  <si>
    <t>Cynthia Wooldridge</t>
  </si>
  <si>
    <t>Robbins, Geller, Rudman &amp; Dowd, LLP; Silverman Thompson Slutkin &amp; White LLC (local/liaison)The Briscoe Law Firm, PLLC (local/liaison)</t>
  </si>
  <si>
    <t>Zillow Group, Inc.</t>
  </si>
  <si>
    <t>08/22/2017</t>
  </si>
  <si>
    <t>Jo Ann Offutt</t>
  </si>
  <si>
    <t>Johanna Choy</t>
  </si>
  <si>
    <t>Raymond Harris</t>
  </si>
  <si>
    <t>Top Ships Inc.</t>
  </si>
  <si>
    <t>08/23/2017</t>
  </si>
  <si>
    <t>Tomy Lukose</t>
  </si>
  <si>
    <t>Anthony Nguyen</t>
  </si>
  <si>
    <t>Carla Byrd</t>
  </si>
  <si>
    <t>Todd Loccisano</t>
  </si>
  <si>
    <t>Joseph M. Petite</t>
  </si>
  <si>
    <t>Martine-Vivianne Petite</t>
  </si>
  <si>
    <t>Amardeep Sidhu</t>
  </si>
  <si>
    <t>Joel Sofer</t>
  </si>
  <si>
    <t>Moshe Onel</t>
  </si>
  <si>
    <t>Mickey Nardiello</t>
  </si>
  <si>
    <t>Zhenzhe Wang</t>
  </si>
  <si>
    <t>08/30/2017</t>
  </si>
  <si>
    <t>Mason Slaine, as Trustee of Mason P Slaine Revocable Trust</t>
  </si>
  <si>
    <t>Harry Hsai</t>
  </si>
  <si>
    <t>Levi &amp; Korsinsky, LLP; O'Kelly Ernst &amp; Joyce, LLC (local/liaison)</t>
  </si>
  <si>
    <t>Harry Rosenberg</t>
  </si>
  <si>
    <t>Michael R. Lewis</t>
  </si>
  <si>
    <t>Mordehai Schwartz</t>
  </si>
  <si>
    <t>Stuart Krasney</t>
  </si>
  <si>
    <t>Wen-Hsin Hsia</t>
  </si>
  <si>
    <t>Abraham Cohen</t>
  </si>
  <si>
    <t>Robbins Arroyo LLP; Profy Promisloff &amp; Ciarlanto, P.C. (local/liaison)</t>
  </si>
  <si>
    <t>Vincent Della Volpe</t>
  </si>
  <si>
    <t>Jonathan and Grace Lo</t>
  </si>
  <si>
    <t>Yael Amsellem</t>
  </si>
  <si>
    <t>Kahn Swick &amp; Foti, LLC; Weisbrod Matteis &amp; Copley PLLC (local/liaison)</t>
  </si>
  <si>
    <t>Andrew and Danielle Blumenthal</t>
  </si>
  <si>
    <t>Beatrice M. Akers</t>
  </si>
  <si>
    <t>1,090,255.50</t>
  </si>
  <si>
    <t>Scott &amp; Scott,  LLP; Hynes Keller &amp; Hernandez, LLC (local/liaison)</t>
  </si>
  <si>
    <t>Depomed, Inc.</t>
  </si>
  <si>
    <t>08/18/2017</t>
  </si>
  <si>
    <t>10/17/2017</t>
  </si>
  <si>
    <t>150,714.70</t>
  </si>
  <si>
    <t>Duy Vu</t>
  </si>
  <si>
    <t>77,974.61</t>
  </si>
  <si>
    <t>Mark Madrack</t>
  </si>
  <si>
    <t>143,025.57</t>
  </si>
  <si>
    <t>Brian Shrader</t>
  </si>
  <si>
    <t>Joe Bojues</t>
  </si>
  <si>
    <t>John Lucas</t>
  </si>
  <si>
    <t>David Weinstein</t>
  </si>
  <si>
    <t>Dennis J. Seltzer</t>
  </si>
  <si>
    <t>Steven Robert Farrar</t>
  </si>
  <si>
    <t>Thomas J. Bruch</t>
  </si>
  <si>
    <t>Endo International, PLC</t>
  </si>
  <si>
    <t>1,601,663.00</t>
  </si>
  <si>
    <t>Maqsood Sheikh</t>
  </si>
  <si>
    <t>RA Consulting Aps</t>
  </si>
  <si>
    <t>Yuhai Ding</t>
  </si>
  <si>
    <t>John Ream</t>
  </si>
  <si>
    <t>Yongseok Park</t>
  </si>
  <si>
    <t>2,225,875.48</t>
  </si>
  <si>
    <t>SEB Investment Management AB</t>
  </si>
  <si>
    <t>ZTO Express (Cayman) Inc.</t>
  </si>
  <si>
    <t>08/14/2017</t>
  </si>
  <si>
    <t>10/16/2017</t>
  </si>
  <si>
    <t>Rustem Nurlybayev</t>
  </si>
  <si>
    <t>5,128.00</t>
  </si>
  <si>
    <t>Bottini &amp; Bottini, Inc.; Wolf Haldenstein Adler Freeman &amp; Herz LLP</t>
  </si>
  <si>
    <t>Dongna Fang</t>
  </si>
  <si>
    <t>Hector Galvan</t>
  </si>
  <si>
    <t>Spruceland Mall Ltd Partnership</t>
  </si>
  <si>
    <t>Stanislav Yakhno</t>
  </si>
  <si>
    <t>Ivan Wong 2015 Charitable Remainder Unitrust UA September 22, 2015</t>
  </si>
  <si>
    <t>The Wong 2015 Charitable Remainder Trust, UA September 11, 2015</t>
  </si>
  <si>
    <t>Blue Apron Holdings, Inc.</t>
  </si>
  <si>
    <t>08/17/2017</t>
  </si>
  <si>
    <t>11,114.00</t>
  </si>
  <si>
    <t>Gary Chute</t>
  </si>
  <si>
    <t>Marcos Velasquez</t>
  </si>
  <si>
    <t>Cristina Davis</t>
  </si>
  <si>
    <t>Sanzhar Khussainov</t>
  </si>
  <si>
    <t>22,617.00</t>
  </si>
  <si>
    <t>Stephen Waugh</t>
  </si>
  <si>
    <t>Susan Finkel</t>
  </si>
  <si>
    <t>Rayonier Advanced Materials Inc.</t>
  </si>
  <si>
    <t>Local 295 IBT Employer Group Pension Trust Fund</t>
  </si>
  <si>
    <t>Michigan Carpenters Pension Fund</t>
  </si>
  <si>
    <t>Forterra, Inc.</t>
  </si>
  <si>
    <t>10/13/2017</t>
  </si>
  <si>
    <t>Wladislaw Maciuga</t>
  </si>
  <si>
    <t>Christine Dickens</t>
  </si>
  <si>
    <t>Greg Kachnovitz</t>
  </si>
  <si>
    <t>Peter Pastrano</t>
  </si>
  <si>
    <t>Steven Masterson</t>
  </si>
  <si>
    <t>Howard L. Krangle</t>
  </si>
  <si>
    <t>Acacia Communications, Inc.</t>
  </si>
  <si>
    <t>Hui Zhang</t>
  </si>
  <si>
    <t>Glancy Prongay &amp; Murray, LLP; Block &amp; Leviton LLP (local/liaison)</t>
  </si>
  <si>
    <t>WKW Partners Fund I, LP</t>
  </si>
  <si>
    <t>Subhash Saha</t>
  </si>
  <si>
    <t>Ronald Sobala</t>
  </si>
  <si>
    <t>Matorin Law Office, LLC; Monteverde &amp; Associates PC</t>
  </si>
  <si>
    <t>David A. Klopfenstein</t>
  </si>
  <si>
    <t>Pomerantz LLP; Hutchings, Barsamian, Mandelcorn, LLP (local/liaison)</t>
  </si>
  <si>
    <t>Rina Rollhaus</t>
  </si>
  <si>
    <t>Sequans Communications S.A.</t>
  </si>
  <si>
    <t>08/09/2017</t>
  </si>
  <si>
    <t>10/10/2017</t>
  </si>
  <si>
    <t>Kulwant Johal</t>
  </si>
  <si>
    <t>Matthew McGee</t>
  </si>
  <si>
    <t>Jerry L. Searing</t>
  </si>
  <si>
    <t>Boca Raton Firefighters and Police Pension Fund</t>
  </si>
  <si>
    <t>Berman Tabacco</t>
  </si>
  <si>
    <t>GlobalSCAPE, Inc.</t>
  </si>
  <si>
    <t>Brian Fong</t>
  </si>
  <si>
    <t>Irfan Rahman</t>
  </si>
  <si>
    <t>Block &amp; Leviton LLP; Kendall Law Group, LLP (local/liaison)</t>
  </si>
  <si>
    <t>TransDigm Group, Incorporated</t>
  </si>
  <si>
    <t>08/10/2017</t>
  </si>
  <si>
    <t>City of Hollywood Firefighters Pension Fund</t>
  </si>
  <si>
    <t>Saxena White P.A.; Climaco, Wilcox, Peca, Tarantino &amp; Garofoli Co., L.P.A. (local/liaison)</t>
  </si>
  <si>
    <t>48,153.53</t>
  </si>
  <si>
    <t>Robbins, Geller, Rudman &amp; Dowd, LLP; Landskroner, Grieco, Merriman, LLC (local/liaison)</t>
  </si>
  <si>
    <t>Electronics for Imaging, Inc.</t>
  </si>
  <si>
    <t>Anthony Pipitone</t>
  </si>
  <si>
    <t>Donald B. Cork</t>
  </si>
  <si>
    <t>Maximus, Inc.</t>
  </si>
  <si>
    <t>10/06/2017</t>
  </si>
  <si>
    <t>358,632.77</t>
  </si>
  <si>
    <t>Labaton Sucharow LLP; Law Offices of Susan R. Podolsky (local/liaison)</t>
  </si>
  <si>
    <t>Applied Optoelectronics, Inc.</t>
  </si>
  <si>
    <t>08/05/2017</t>
  </si>
  <si>
    <t>10/04/2017</t>
  </si>
  <si>
    <t>Amir and Patricia Fakharzadeh</t>
  </si>
  <si>
    <t>Pomerantz LLP; The Rosen Law Firm, P.A.; Steckler Gresham Cochran (local/liaison)</t>
  </si>
  <si>
    <t>Amnuey and Helen Chiemprabha</t>
  </si>
  <si>
    <t>Kristen and Gregory Knight</t>
  </si>
  <si>
    <t>Stephen Rakower</t>
  </si>
  <si>
    <t>Thomas Edmons</t>
  </si>
  <si>
    <t>Lawrence Rougier</t>
  </si>
  <si>
    <t>Levi &amp; Korsinsky, LLP; Kendall Law Group, LLP (local/liaison)</t>
  </si>
  <si>
    <t>Philip R. Deubler, Jr.</t>
  </si>
  <si>
    <t>Johnson Fistel, LLP; Robbins, Geller, Rudman &amp; Dowd, LLP; Edison, McDowell &amp; Hetherington, LLP (local/liaison)</t>
  </si>
  <si>
    <t>Daniel Sisto</t>
  </si>
  <si>
    <t>Jay C. Weenig</t>
  </si>
  <si>
    <t>Sponsel Miller Greenberg PLLC; Zeldes, Haeggquist &amp; Eck LLP</t>
  </si>
  <si>
    <t>Jaguar Animal Health, Inc.</t>
  </si>
  <si>
    <t>07/20/2017</t>
  </si>
  <si>
    <t>10/03/2017</t>
  </si>
  <si>
    <t>Tony Plant</t>
  </si>
  <si>
    <t>Monteverde &amp; Associates PC</t>
  </si>
  <si>
    <t>Envision Healthcare Corporation</t>
  </si>
  <si>
    <t>518,590.77</t>
  </si>
  <si>
    <t>Rigrodsky &amp; Long, PA; Phillip N. Elbert, Esq. (local/liaison)</t>
  </si>
  <si>
    <t>Michael Avenia</t>
  </si>
  <si>
    <t>670,325.43</t>
  </si>
  <si>
    <t>Kessler Topaz  Meltzer &amp; Check, LLP; Saxena White P.A.; Lieff Cabraser Heimann &amp; Bernstein, LLP (local/liaison)</t>
  </si>
  <si>
    <t>CFG Custom Portfolio Corporation</t>
  </si>
  <si>
    <t>446,288.81</t>
  </si>
  <si>
    <t>Scott &amp; Scott,  LLP; Branstetter Stranch &amp; Jennings PLLC (local/liaison)</t>
  </si>
  <si>
    <t>352,544.60</t>
  </si>
  <si>
    <t>The Miller Law Firm, P.C.; Greg Coleman Law, P.C. (local/liaison)</t>
  </si>
  <si>
    <t>3,344,034.11</t>
  </si>
  <si>
    <t>LIUNA National (Industrial) Pension Fund</t>
  </si>
  <si>
    <t>LIUNA Staff &amp; Affiliates Pension Fund</t>
  </si>
  <si>
    <t>Monogram Residential Trust, Inc.</t>
  </si>
  <si>
    <t>TechnipFMC plc</t>
  </si>
  <si>
    <t>08/03/2017</t>
  </si>
  <si>
    <t>10/02/2017</t>
  </si>
  <si>
    <t>Joseph Prause</t>
  </si>
  <si>
    <t>The Advisory Board Company</t>
  </si>
  <si>
    <t>168,154.74</t>
  </si>
  <si>
    <t>422,385.73</t>
  </si>
  <si>
    <t>607,910.75</t>
  </si>
  <si>
    <t>INC Research Holdings, Inc.</t>
  </si>
  <si>
    <t>07/10/2017</t>
  </si>
  <si>
    <t>09/29/2017</t>
  </si>
  <si>
    <t>IntelliPharmaCeutics International, Inc.</t>
  </si>
  <si>
    <t>07/28/2017</t>
  </si>
  <si>
    <t>David Ducharme</t>
  </si>
  <si>
    <t>Eric Ludwig</t>
  </si>
  <si>
    <t>Guy Braverman</t>
  </si>
  <si>
    <t>Foundation Medicine, Inc.</t>
  </si>
  <si>
    <t>09/26/2017</t>
  </si>
  <si>
    <t>John Blair</t>
  </si>
  <si>
    <t>Levi &amp; Korsinsky, LLP; Robbins, Geller, Rudman &amp; Dowd, LLP; Hutchings, Barsamian, Mandelcorn, LLP (local/liaison)</t>
  </si>
  <si>
    <t>Marc F. Mahoney</t>
  </si>
  <si>
    <t>Tableau Software, Inc.</t>
  </si>
  <si>
    <t>Stephen Rapp</t>
  </si>
  <si>
    <t>912,734.41</t>
  </si>
  <si>
    <t>371,023.15</t>
  </si>
  <si>
    <t>Beldevere Abarrientos</t>
  </si>
  <si>
    <t>Paul McBurney</t>
  </si>
  <si>
    <t>1,413,202.66</t>
  </si>
  <si>
    <t>Zebra Technologies Corporation</t>
  </si>
  <si>
    <t>07/26/2017</t>
  </si>
  <si>
    <t>09/25/2017</t>
  </si>
  <si>
    <t>Gerardo Birkenfeld</t>
  </si>
  <si>
    <t>City of Taylor Police and Fire Retirement System</t>
  </si>
  <si>
    <t>Tribune Media Company</t>
  </si>
  <si>
    <t>07/07/2017</t>
  </si>
  <si>
    <t>Lexmark International, Inc.</t>
  </si>
  <si>
    <t>09/19/2017</t>
  </si>
  <si>
    <t>Bernard Segal as Trustee of the Levine 2012 Trust</t>
  </si>
  <si>
    <t>208,278.50</t>
  </si>
  <si>
    <t>156,029.83</t>
  </si>
  <si>
    <t>The Spectranetics Corporation</t>
  </si>
  <si>
    <t>07/21/2017</t>
  </si>
  <si>
    <t>NCI Inc.</t>
  </si>
  <si>
    <t>07/19/2017</t>
  </si>
  <si>
    <t>09/18/2017</t>
  </si>
  <si>
    <t>Robert Nardy, Jr.</t>
  </si>
  <si>
    <t>Graham Capozio</t>
  </si>
  <si>
    <t>DuPont Fabros Technology, Inc.</t>
  </si>
  <si>
    <t>West Corporation</t>
  </si>
  <si>
    <t>09/15/2017</t>
  </si>
  <si>
    <t>FelCor Lodging Trust Incorporated</t>
  </si>
  <si>
    <t>Dryships Inc.</t>
  </si>
  <si>
    <t>09/12/2017</t>
  </si>
  <si>
    <t>King Nine Associates</t>
  </si>
  <si>
    <t>Frank LLP</t>
  </si>
  <si>
    <t>The Azriliant Family LLC</t>
  </si>
  <si>
    <t>George Keritsis</t>
  </si>
  <si>
    <t>Trust for the Benefit of JohnJohn Ferris</t>
  </si>
  <si>
    <t>Konstantinos Kazanakis</t>
  </si>
  <si>
    <t>Berger &amp; Montague, P.C.; Cohen Tauber Spievack &amp; Wagner P.C. (local/liaison)</t>
  </si>
  <si>
    <t>Brenda Strum</t>
  </si>
  <si>
    <t>Stull, Stull &amp; Brody</t>
  </si>
  <si>
    <t>Janardhan Grandhe</t>
  </si>
  <si>
    <t>Atif Janjua</t>
  </si>
  <si>
    <t>Dean H. Roller</t>
  </si>
  <si>
    <t>Jason R. McDowell</t>
  </si>
  <si>
    <t>Jeff Mamera</t>
  </si>
  <si>
    <t>Glancy Prongay &amp; Murray, LLP; Mazzeo Song P.C. (local/liaison)</t>
  </si>
  <si>
    <t>Chayn Mousa</t>
  </si>
  <si>
    <t>Kamal Kheridden</t>
  </si>
  <si>
    <t>Konrad Wottge</t>
  </si>
  <si>
    <t>Mary Jane Silvey</t>
  </si>
  <si>
    <t>Robert Luke</t>
  </si>
  <si>
    <t>Bryan Siegel</t>
  </si>
  <si>
    <t>Javier Andres Eguia and Maria Veronica Cima</t>
  </si>
  <si>
    <t>Vineet Agrawal</t>
  </si>
  <si>
    <t>Hasan Alsawaf</t>
  </si>
  <si>
    <t>HD Supply Holdings, Inc.</t>
  </si>
  <si>
    <t>07/11/2017</t>
  </si>
  <si>
    <t>09/11/2017</t>
  </si>
  <si>
    <t>City of Hollywood Police Officers Retirement System</t>
  </si>
  <si>
    <t>Saxena White P.A.; Lindsey &amp; Lacy, PC (local/liaison)</t>
  </si>
  <si>
    <t>City Pension Fund for Firefighters and Police Officers In The City of Miami Beach</t>
  </si>
  <si>
    <t>Pembroke Pines Fire and Police Pension Fund</t>
  </si>
  <si>
    <t>Local 272 Labor-Management Pension Fund</t>
  </si>
  <si>
    <t>Cohen Milstein Sellers &amp; Toll PLLC; Carr &amp; Weatherby LLP (local/liaison)</t>
  </si>
  <si>
    <t>117,363.79</t>
  </si>
  <si>
    <t>Covisint Corporation</t>
  </si>
  <si>
    <t>09/08/2017</t>
  </si>
  <si>
    <t>Avinger, Inc.</t>
  </si>
  <si>
    <t>09/05/2017</t>
  </si>
  <si>
    <t>Michael Dolan</t>
  </si>
  <si>
    <t>Arindam Banerjee</t>
  </si>
  <si>
    <t>Jogesh Harjai</t>
  </si>
  <si>
    <t>Dr. Todd Vogel</t>
  </si>
  <si>
    <t>Bottini &amp; Bottini, Inc.</t>
  </si>
  <si>
    <t>Linday Grotewiel</t>
  </si>
  <si>
    <t>Ocular Therapeutix, Inc.</t>
  </si>
  <si>
    <t>Thomas Gallagher</t>
  </si>
  <si>
    <t>Khaled Ramadan</t>
  </si>
  <si>
    <t>Cynthia Troy</t>
  </si>
  <si>
    <t>Jean Claude Dumont</t>
  </si>
  <si>
    <t>Kenneth Herrnson</t>
  </si>
  <si>
    <t>Penny Poirier</t>
  </si>
  <si>
    <t>Yau-Hung Chow</t>
  </si>
  <si>
    <t>Osi Peters</t>
  </si>
  <si>
    <t>Glenn Stephenson</t>
  </si>
  <si>
    <t>Kavita Mehta</t>
  </si>
  <si>
    <t>Oleg Tkalych</t>
  </si>
  <si>
    <t>William L. Stephens</t>
  </si>
  <si>
    <t>Tahoe Resources Inc.</t>
  </si>
  <si>
    <t>Larry Hull</t>
  </si>
  <si>
    <t>Jeffrey Panos</t>
  </si>
  <si>
    <t>Levi &amp; Korsinsky, LLP; Muehlbauer Law Office, Ltd. (local/liaison)</t>
  </si>
  <si>
    <t>Frederick Berliner</t>
  </si>
  <si>
    <t>Kevin Nguyen</t>
  </si>
  <si>
    <t>Ernest H. Wagner</t>
  </si>
  <si>
    <t>Brower Piven; Pomerantz LLP; Bronstein, Gewirtz &amp; Grossman, LLC (local/liaison)</t>
  </si>
  <si>
    <t>John Ziliani</t>
  </si>
  <si>
    <t>Qingbo Ao</t>
  </si>
  <si>
    <t>Weibo Corporation</t>
  </si>
  <si>
    <t>08/28/2017</t>
  </si>
  <si>
    <t>Chen Qiwei</t>
  </si>
  <si>
    <t>Christopher Park</t>
  </si>
  <si>
    <t>Dharmesh Patel</t>
  </si>
  <si>
    <t>Mattel, Inc.</t>
  </si>
  <si>
    <t>48,909.89</t>
  </si>
  <si>
    <t>Gilberto Castro</t>
  </si>
  <si>
    <t>Alfonso Tomas Canovas</t>
  </si>
  <si>
    <t>John Mastin</t>
  </si>
  <si>
    <t>Oswald Llanderosos</t>
  </si>
  <si>
    <t>Richard H. Burnett</t>
  </si>
  <si>
    <t>B Communications Ltd.</t>
  </si>
  <si>
    <t>06/29/2017</t>
  </si>
  <si>
    <t>David Thomas Jones</t>
  </si>
  <si>
    <t>John Taylor Jones</t>
  </si>
  <si>
    <t>Rex and Roberta Living Trust ua December 6, 1990</t>
  </si>
  <si>
    <t>Pingtan Marine Enterprise Ltd.</t>
  </si>
  <si>
    <t>06/23/2017</t>
  </si>
  <si>
    <t>Zhong Zheng</t>
  </si>
  <si>
    <t>Lynda Huang</t>
  </si>
  <si>
    <t>C. R. Bard, Inc.</t>
  </si>
  <si>
    <t>06/21/2017</t>
  </si>
  <si>
    <t>08/21/2017</t>
  </si>
  <si>
    <t>Axiom Holdings, Inc.</t>
  </si>
  <si>
    <t>06/22/2017</t>
  </si>
  <si>
    <t>Matthew Tangeman</t>
  </si>
  <si>
    <t>Joel Friedman</t>
  </si>
  <si>
    <t>Randy Edwards</t>
  </si>
  <si>
    <t>Richard E. Beuhler</t>
  </si>
  <si>
    <t>Brenda Johnston</t>
  </si>
  <si>
    <t>Kerry Johnston</t>
  </si>
  <si>
    <t>Phillip H. Rhodes, Jr.</t>
  </si>
  <si>
    <t>Shem Properties Inc.</t>
  </si>
  <si>
    <t>CenturyLink, Inc.</t>
  </si>
  <si>
    <t>Louisiana Western District Court</t>
  </si>
  <si>
    <t>Laborers Pension Trust Fund - Detroit and Vicinity</t>
  </si>
  <si>
    <t>Kirby McInerney LLP; Labaton Sucharow LLP; Fishman Haygood L.L.P. (local/liaison)</t>
  </si>
  <si>
    <t>600,640.70</t>
  </si>
  <si>
    <t>13,166,113.43</t>
  </si>
  <si>
    <t>Motley Rice LLC; Domengeaux Wright Roy &amp; Edwards (local/liaison)</t>
  </si>
  <si>
    <t>Oregon Public Employees Retirement Fund</t>
  </si>
  <si>
    <t>Bernstein Litowitz Berger &amp; Grossmann LLP; Stoll Berne; Nelson, Zentner, Sartor &amp; Snellings, LLC (local/liaison)</t>
  </si>
  <si>
    <t>1,243,105.39</t>
  </si>
  <si>
    <t>Sona Andresian</t>
  </si>
  <si>
    <t>Gainey McKenna &amp; Egleston; Pendley, Baudin &amp; Coffin (local/liaison)</t>
  </si>
  <si>
    <t>Allen Feldman</t>
  </si>
  <si>
    <t>Glancy Prongay &amp; Murray, LLP; Pomerantz LLP; Houck &amp; Riggle, LLC (local/liaison)</t>
  </si>
  <si>
    <t>Art Kleppen</t>
  </si>
  <si>
    <t>Essex Lacy</t>
  </si>
  <si>
    <t>Mark D. Alger</t>
  </si>
  <si>
    <t>Tae Yi</t>
  </si>
  <si>
    <t>Booz Allen Hamilton Holding Corporation</t>
  </si>
  <si>
    <t>Employers-Teamsters Local 175 &amp; 505 Pension Trust Fund Plan</t>
  </si>
  <si>
    <t>Uniformed Sanitationmens Association Local 831 Compensation Accrual Fund</t>
  </si>
  <si>
    <t>Aaron's Inc.</t>
  </si>
  <si>
    <t>820,939.62</t>
  </si>
  <si>
    <t>Sky Solar Holdings, Ltd.</t>
  </si>
  <si>
    <t>08/15/2017</t>
  </si>
  <si>
    <t>Ronald Pena</t>
  </si>
  <si>
    <t>Edgar Acosta</t>
  </si>
  <si>
    <t>Raphael Domingo</t>
  </si>
  <si>
    <t>Joseph Lobo</t>
  </si>
  <si>
    <t>Dr. Gordon E. Besse</t>
  </si>
  <si>
    <t>Douglas Milton</t>
  </si>
  <si>
    <t>Perry Lasky</t>
  </si>
  <si>
    <t>FleetCor Technologies, Inc.</t>
  </si>
  <si>
    <t>06/15/2017</t>
  </si>
  <si>
    <t>City of Sunrise General Employees Retirement Plan</t>
  </si>
  <si>
    <t>Bernstein Litowitz Berger &amp; Grossmann LLP; Bondurant Mixson &amp; Elmore, LLP (local/liaison)</t>
  </si>
  <si>
    <t>Mazor Robotics Ltd.</t>
  </si>
  <si>
    <t>06/09/2017</t>
  </si>
  <si>
    <t>08/08/2017</t>
  </si>
  <si>
    <t>Socorro Trujillo</t>
  </si>
  <si>
    <t>Zhimin He</t>
  </si>
  <si>
    <t>Gavin Chandler</t>
  </si>
  <si>
    <t>James Ljutic</t>
  </si>
  <si>
    <t>The Susan Nick Trust</t>
  </si>
  <si>
    <t>05/18/2017</t>
  </si>
  <si>
    <t>08/07/2017</t>
  </si>
  <si>
    <t>Caleb McArthur</t>
  </si>
  <si>
    <t>Levi &amp; Korsinsky, LLP; Monteverde &amp; Associates PC</t>
  </si>
  <si>
    <t>Joseph Levine</t>
  </si>
  <si>
    <t>Roche Holding AG</t>
  </si>
  <si>
    <t>06/06/2017</t>
  </si>
  <si>
    <t>Kevin Gardeck</t>
  </si>
  <si>
    <t>Zoompass Holdings, Inc.</t>
  </si>
  <si>
    <t>07/31/2017</t>
  </si>
  <si>
    <t>Carlos Guillermo Julian Vega</t>
  </si>
  <si>
    <t>Robert S. Davis</t>
  </si>
  <si>
    <t>Larry and Lanah Madewell</t>
  </si>
  <si>
    <t>Cheryl D. Puccio</t>
  </si>
  <si>
    <t>Henry C. Reusch</t>
  </si>
  <si>
    <t>Mihaita Virjoghe</t>
  </si>
  <si>
    <t>Asanko Gold Inc.</t>
  </si>
  <si>
    <t>05/31/2017</t>
  </si>
  <si>
    <t>Michael Shenkenberg</t>
  </si>
  <si>
    <t>Gibbs Law Group LLP</t>
  </si>
  <si>
    <t>Swift Transportation Company</t>
  </si>
  <si>
    <t>General Motors Company</t>
  </si>
  <si>
    <t>07/05/2017</t>
  </si>
  <si>
    <t>Chaz Motter</t>
  </si>
  <si>
    <t>Duane Creedon</t>
  </si>
  <si>
    <t>Edward Sutor</t>
  </si>
  <si>
    <t>Jimmy Greathouse</t>
  </si>
  <si>
    <t>Robert Kleszynski</t>
  </si>
  <si>
    <t>Richard Donohue</t>
  </si>
  <si>
    <t>Motley Rice LLC; Gasiorek, Morgan, Greco, McCauley &amp; Kotzian, PC (local/liaison)</t>
  </si>
  <si>
    <t>DigitalGlobe, Inc.</t>
  </si>
  <si>
    <t>07/24/2017</t>
  </si>
  <si>
    <t>Matthew Machion</t>
  </si>
  <si>
    <t>Robbins, Geller, Rudman &amp; Dowd, LLP; Evans &amp; McFarland, LLC (local/liaison)</t>
  </si>
  <si>
    <t>05/03/2017</t>
  </si>
  <si>
    <t>Dane Gussin</t>
  </si>
  <si>
    <t>Eco Science Solutions, Inc.</t>
  </si>
  <si>
    <t>05/24/2017</t>
  </si>
  <si>
    <t>Robert Faucheux</t>
  </si>
  <si>
    <t>Richard Roschke</t>
  </si>
  <si>
    <t>Fred Torbaty</t>
  </si>
  <si>
    <t>Bragar Eagel &amp; Squire, PC; Pomerantz LLP; Gardy &amp; Notis, LLP (local/liaison)</t>
  </si>
  <si>
    <t>Juzo Mizuno</t>
  </si>
  <si>
    <t>Ken Shollmier</t>
  </si>
  <si>
    <t>Stephen Glogowski</t>
  </si>
  <si>
    <t>Suzanne Rice</t>
  </si>
  <si>
    <t>171,363.00</t>
  </si>
  <si>
    <t>284,094.00</t>
  </si>
  <si>
    <t>37,900.00</t>
  </si>
  <si>
    <t>48,249.19</t>
  </si>
  <si>
    <t>88,217.30</t>
  </si>
  <si>
    <t>Jac Mac Phail Revocable Living Trust</t>
  </si>
  <si>
    <t>Philipp Kreuser</t>
  </si>
  <si>
    <t>GWI Enterprise Ltd.</t>
  </si>
  <si>
    <t>KCG Holdings, Inc.</t>
  </si>
  <si>
    <t>07/18/2017</t>
  </si>
  <si>
    <t>Snap, Inc.</t>
  </si>
  <si>
    <t>07/17/2017</t>
  </si>
  <si>
    <t>Ariadna Adijashvili</t>
  </si>
  <si>
    <t>Mary Tam</t>
  </si>
  <si>
    <t>Sharmilli Ghosh</t>
  </si>
  <si>
    <t>Tom DiBiase</t>
  </si>
  <si>
    <t>Howard Weisman</t>
  </si>
  <si>
    <t>Irland James Stewart</t>
  </si>
  <si>
    <t>87,983.00</t>
  </si>
  <si>
    <t>Wu Chen Yueh Chiao</t>
  </si>
  <si>
    <t>Shinu Gupta</t>
  </si>
  <si>
    <t>Dick's Sporting Goods, Inc.</t>
  </si>
  <si>
    <t>Brenda Powell</t>
  </si>
  <si>
    <t>Elliot Stamler</t>
  </si>
  <si>
    <t>57,198.96</t>
  </si>
  <si>
    <t>320,889.00</t>
  </si>
  <si>
    <t>152,925.00</t>
  </si>
  <si>
    <t>Neurotrope, Inc.</t>
  </si>
  <si>
    <t>Daniel Hovasse</t>
  </si>
  <si>
    <t>Leon Kurdziel, Jr.</t>
  </si>
  <si>
    <t>Arif Rawji</t>
  </si>
  <si>
    <t>Shameela Rawji</t>
  </si>
  <si>
    <t>Akari Therapeutics, Plc</t>
  </si>
  <si>
    <t>05/12/2017</t>
  </si>
  <si>
    <t>Moustafa Zaatout</t>
  </si>
  <si>
    <t>Dima Alghazzy</t>
  </si>
  <si>
    <t>Shamcy Alghazzy</t>
  </si>
  <si>
    <t>Willet Beavers</t>
  </si>
  <si>
    <t>Nicholas Cammarato</t>
  </si>
  <si>
    <t>United Technologies Corporation</t>
  </si>
  <si>
    <t>Kapitalforeningen Laegernes Invest</t>
  </si>
  <si>
    <t>Intra-Cellular Therapies, Inc</t>
  </si>
  <si>
    <t>Eiichi Takahara</t>
  </si>
  <si>
    <t>Larry Milton</t>
  </si>
  <si>
    <t>Wendy Beer</t>
  </si>
  <si>
    <t>Joshua Pakdeljam</t>
  </si>
  <si>
    <t>Justice Jiang</t>
  </si>
  <si>
    <t>Rackspace Hosting, Inc.</t>
  </si>
  <si>
    <t>05/10/2017</t>
  </si>
  <si>
    <t>City of Warwick Municipal Employees Pension Fund</t>
  </si>
  <si>
    <t>Labaton Sucharow LLP; Robbins, Geller, Rudman &amp; Dowd, LLP (local/liaison)</t>
  </si>
  <si>
    <t>3,926,958.93</t>
  </si>
  <si>
    <t>Barrick Gold Corporation</t>
  </si>
  <si>
    <t>Markus Knittel</t>
  </si>
  <si>
    <t>Jacques Fuhrer</t>
  </si>
  <si>
    <t>Glancy Prongay &amp; Murray, LLP; Pomerantz LLP; Bronstein, Gewirtz &amp; Grossman, LLC (local/liaison)</t>
  </si>
  <si>
    <t>John Sun</t>
  </si>
  <si>
    <t>Jung Wei Chi</t>
  </si>
  <si>
    <t>Tomasz Gomolinski</t>
  </si>
  <si>
    <t>Ashwini Malhotra</t>
  </si>
  <si>
    <t>BKW Living Trust, dated November 18, 1986</t>
  </si>
  <si>
    <t>UCP, Inc.</t>
  </si>
  <si>
    <t>Silver Bay Realty Trust Corp.</t>
  </si>
  <si>
    <t>Marvin H. Schwartz</t>
  </si>
  <si>
    <t>Robbins, Geller, Rudman &amp; Dowd, LLP; Reinhardt Wendorf &amp; Blanchfield (local/liaison)</t>
  </si>
  <si>
    <t>Hongli Clean Energy Technologies Corporation</t>
  </si>
  <si>
    <t>Glenn Ellis</t>
  </si>
  <si>
    <t>Marcel Lecours, Jr.</t>
  </si>
  <si>
    <t>Adrian Parker</t>
  </si>
  <si>
    <t>Anthony Sallustro</t>
  </si>
  <si>
    <t>Joe Traylor</t>
  </si>
  <si>
    <t>William Dubois</t>
  </si>
  <si>
    <t>Yajun Zhai</t>
  </si>
  <si>
    <t>Heather Salway</t>
  </si>
  <si>
    <t>3,610,647.72</t>
  </si>
  <si>
    <t>Norfolk Pension Fund</t>
  </si>
  <si>
    <t>Live Ventures Incorporated</t>
  </si>
  <si>
    <t>05/05/2017</t>
  </si>
  <si>
    <t>Carlo Caroti</t>
  </si>
  <si>
    <t>Lifshitz &amp; Miller; Aldrich Law Firm, Ltd. (local/liaison)</t>
  </si>
  <si>
    <t>Keith Kolish</t>
  </si>
  <si>
    <t>Vince Holding Corp.</t>
  </si>
  <si>
    <t>Seth Burroughs</t>
  </si>
  <si>
    <t>KBR, Inc.</t>
  </si>
  <si>
    <t>07/03/2017</t>
  </si>
  <si>
    <t>Kuberbhai M. Patel and Kanti K. Patel</t>
  </si>
  <si>
    <t>Anadarko Petroleum Corporation</t>
  </si>
  <si>
    <t>177,040.00</t>
  </si>
  <si>
    <t>486,053.75</t>
  </si>
  <si>
    <t>The Rosen Law Firm, P.A.; Steckler Gresham Cochran (local/liaison)</t>
  </si>
  <si>
    <t>Semir Ghamar</t>
  </si>
  <si>
    <t>Vikram Sheth</t>
  </si>
  <si>
    <t>Alice Twomey</t>
  </si>
  <si>
    <t>Dmitri Karpov</t>
  </si>
  <si>
    <t>Joseph McIntire</t>
  </si>
  <si>
    <t>Ricky Elmore</t>
  </si>
  <si>
    <t>William McCormick</t>
  </si>
  <si>
    <t>Gregory Niehaus</t>
  </si>
  <si>
    <t>John Free</t>
  </si>
  <si>
    <t>Stephen Knauer</t>
  </si>
  <si>
    <t>PCM, Inc.</t>
  </si>
  <si>
    <t>Richard Jacobson</t>
  </si>
  <si>
    <t>Kenneth Rubenfeld</t>
  </si>
  <si>
    <t>Radovan Rasa</t>
  </si>
  <si>
    <t>Stephen Wise</t>
  </si>
  <si>
    <t>United States Steel Corporation</t>
  </si>
  <si>
    <t>Pennsylvania Western District Court</t>
  </si>
  <si>
    <t>05/04/2017</t>
  </si>
  <si>
    <t>Henry G. Bieryla</t>
  </si>
  <si>
    <t>Pomerantz LLP; Pribanic &amp; Pribanic (local/liaison)</t>
  </si>
  <si>
    <t>James L. Jordan</t>
  </si>
  <si>
    <t>Konstantinos H. Tsiavos</t>
  </si>
  <si>
    <t>Salvatore D. Fanelli</t>
  </si>
  <si>
    <t>Thomas Nolan</t>
  </si>
  <si>
    <t>Dennis Coleman</t>
  </si>
  <si>
    <t>Richard Sousa</t>
  </si>
  <si>
    <t>Christakis Vrakas</t>
  </si>
  <si>
    <t>Teamsters Local 237 Additional Security Benefit Fund, Supplemental Fund for Housing Authority Employees, Welfare Fund, and Welfare Fund Pension Plan</t>
  </si>
  <si>
    <t>Lindsey Schweighart</t>
  </si>
  <si>
    <t>Mark Schweighart</t>
  </si>
  <si>
    <t>Matt Schweighart</t>
  </si>
  <si>
    <t>Michael Schweighart</t>
  </si>
  <si>
    <t>Robert Anderson</t>
  </si>
  <si>
    <t>Ryan Schweighart</t>
  </si>
  <si>
    <t>Michelle Thai</t>
  </si>
  <si>
    <t>Gerald W. Klein</t>
  </si>
  <si>
    <t>Gary Vatter</t>
  </si>
  <si>
    <t>David Garner</t>
  </si>
  <si>
    <t>Roberta Garner</t>
  </si>
  <si>
    <t>Sau Au</t>
  </si>
  <si>
    <t>Trivago N.V.</t>
  </si>
  <si>
    <t>10/30/2017</t>
  </si>
  <si>
    <t>12/29/2017</t>
  </si>
  <si>
    <t>Nirav Shah</t>
  </si>
  <si>
    <t>Dharmanand Shetty</t>
  </si>
  <si>
    <t>Alexander Rizk</t>
  </si>
  <si>
    <t>AW Bangayan, Inc.</t>
  </si>
  <si>
    <t>Veronika Prudnikova</t>
  </si>
  <si>
    <t>Panthera Investment Fund L.P.</t>
  </si>
  <si>
    <t>Fishman Haygood L.L.P.; Kirby McInerney LLP; Glancy Prongay &amp; Murray, LLP (local/liaison)</t>
  </si>
  <si>
    <t>Ford Motor Company</t>
  </si>
  <si>
    <t>James Emerson</t>
  </si>
  <si>
    <t>November Family Trust DD 551983</t>
  </si>
  <si>
    <t>Power Holding Corporation</t>
  </si>
  <si>
    <t>The William T. Higgs Trust</t>
  </si>
  <si>
    <t>10/25/2017</t>
  </si>
  <si>
    <t>12/26/2017</t>
  </si>
  <si>
    <t>Inter-Marketing Group USA, Inc.</t>
  </si>
  <si>
    <t>Federman &amp; Sherwood; Sangisetty Law Firm (local/liaison)</t>
  </si>
  <si>
    <t>Skechers U.S.A., Inc.</t>
  </si>
  <si>
    <t>10/20/2017</t>
  </si>
  <si>
    <t>12/22/2017</t>
  </si>
  <si>
    <t>Amy Boatwright</t>
  </si>
  <si>
    <t>Marleen Winer</t>
  </si>
  <si>
    <t>Ronald Miller</t>
  </si>
  <si>
    <t>Bruce Hislop</t>
  </si>
  <si>
    <t>Cavalier Fundamental Growth Fund</t>
  </si>
  <si>
    <t>$254,025.37</t>
  </si>
  <si>
    <t>Michel Dimian</t>
  </si>
  <si>
    <t>Simon Scott</t>
  </si>
  <si>
    <t>Diana Containerships Inc.</t>
  </si>
  <si>
    <t>Jimmie O. Robinson</t>
  </si>
  <si>
    <t>Gerald Cohen</t>
  </si>
  <si>
    <t>Dwayne Barrett</t>
  </si>
  <si>
    <t>Thomas Cosby</t>
  </si>
  <si>
    <t>Cary Gathright</t>
  </si>
  <si>
    <t>John Hyland</t>
  </si>
  <si>
    <t>Burcin Ekser</t>
  </si>
  <si>
    <t>Gianfilippo Mogavero</t>
  </si>
  <si>
    <t>Steven Gerber</t>
  </si>
  <si>
    <t>John Novack</t>
  </si>
  <si>
    <t>Walter Aerts</t>
  </si>
  <si>
    <t>Marina Azorsky</t>
  </si>
  <si>
    <t>Antares Pharma, Inc.</t>
  </si>
  <si>
    <t>Chiru Mackert</t>
  </si>
  <si>
    <t>Vikram Rao</t>
  </si>
  <si>
    <t>Serghei Lungu</t>
  </si>
  <si>
    <t>Faraj Touchan</t>
  </si>
  <si>
    <t>Daniel DeYoe</t>
  </si>
  <si>
    <t>Dennis Roof</t>
  </si>
  <si>
    <t>Qiang Xie</t>
  </si>
  <si>
    <t>Robert Szczodrowski</t>
  </si>
  <si>
    <t>Tai Duong</t>
  </si>
  <si>
    <t>Rehan Khan</t>
  </si>
  <si>
    <t>TerraForm Global, Inc.</t>
  </si>
  <si>
    <t>12/18/2017</t>
  </si>
  <si>
    <t>12/15/2017</t>
  </si>
  <si>
    <t>Yuri Marakhovsky</t>
  </si>
  <si>
    <t>Jason Montblanc</t>
  </si>
  <si>
    <t>Jesse Wayne Pritchard</t>
  </si>
  <si>
    <t>J. Jill, Inc.</t>
  </si>
  <si>
    <t>12/12/2017</t>
  </si>
  <si>
    <t>Jun Wang</t>
  </si>
  <si>
    <t>Glancy Prongay &amp; Murray, LLP; Andrews DeValerio LLP (local/liaison)</t>
  </si>
  <si>
    <t>Oregon Laborers Employers Pension Trust Fund</t>
  </si>
  <si>
    <t>Westar Energy, Inc.</t>
  </si>
  <si>
    <t>Kansas District Court</t>
  </si>
  <si>
    <t>09/21/2017</t>
  </si>
  <si>
    <t>12/11/2017</t>
  </si>
  <si>
    <t>Tesla, Inc.</t>
  </si>
  <si>
    <t>Kurt Friedman</t>
  </si>
  <si>
    <t>Neustar, Inc.</t>
  </si>
  <si>
    <t>10/12/2017</t>
  </si>
  <si>
    <t>St. Clair County Employees Retirement System</t>
  </si>
  <si>
    <t>Santander Securities, L.L.C. (solicitation of Puerto Rico Municipal Bonds and Close End Funds)</t>
  </si>
  <si>
    <t>Puerto Rico District Court</t>
  </si>
  <si>
    <t>Bear State Financial, Inc.</t>
  </si>
  <si>
    <t>Arkansas Eastern District Court</t>
  </si>
  <si>
    <t>11/01/2017</t>
  </si>
  <si>
    <t>Arconic, Inc.</t>
  </si>
  <si>
    <t>08/11/2017</t>
  </si>
  <si>
    <t>12/08/2017</t>
  </si>
  <si>
    <t>616,622.00</t>
  </si>
  <si>
    <t>Pomerantz LLP; Robbins, Geller, Rudman &amp; Dowd, LLP; Law Office Of Alfred G. Yates, Jr. PC (local/liaison)</t>
  </si>
  <si>
    <t>539,992.00</t>
  </si>
  <si>
    <t>Janet Sullivan</t>
  </si>
  <si>
    <t>PharMerica Corporation</t>
  </si>
  <si>
    <t>Kentucky Western District Court</t>
  </si>
  <si>
    <t>09/20/2017</t>
  </si>
  <si>
    <t>12/04/2017</t>
  </si>
  <si>
    <t>1,084.00</t>
  </si>
  <si>
    <t>Robbins, Geller, Rudman &amp; Dowd, LLP; Cavanagh &amp; O'Hara (local/liaison)Dickinson Wright PLLC (local/liaison)</t>
  </si>
  <si>
    <t>Xenith Bankshares, Inc.</t>
  </si>
  <si>
    <t>11/27/2017</t>
  </si>
  <si>
    <t>Shannon Rowe</t>
  </si>
  <si>
    <t>Monteverde &amp; Associates PC; Levi &amp; Korsinsky, LLP (local/liaison)</t>
  </si>
  <si>
    <t>Frontier Communications Corporation</t>
  </si>
  <si>
    <t>John DuBois</t>
  </si>
  <si>
    <t>The Rosen Law Firm, P.A.; Faxon Law Group, LLC (local/liaison)</t>
  </si>
  <si>
    <t>Gene R. Wills</t>
  </si>
  <si>
    <t>Richard Linke</t>
  </si>
  <si>
    <t>Kahn Swick &amp; Foti, LLC; Law Office of Nicole A. Veno, LLC (local/liaison)</t>
  </si>
  <si>
    <t>Raymond East, Jr.</t>
  </si>
  <si>
    <t>Faruqi &amp; Faruqi, LLP; Shepherd, Finkelman, Miller &amp; Shah, LLP (local/liaison)</t>
  </si>
  <si>
    <t>Michael Holub</t>
  </si>
  <si>
    <t>Kirby McInerney LLP; Ury &amp; Moskow LLC (local/liaison)</t>
  </si>
  <si>
    <t>Scott Bugbee</t>
  </si>
  <si>
    <t>Pomerantz LLP; Levi &amp; Korsinsky, LLP (local/liaison)</t>
  </si>
  <si>
    <t>Stephen Doo</t>
  </si>
  <si>
    <t>ATM Four, LLC</t>
  </si>
  <si>
    <t>Anthony Lattarulo</t>
  </si>
  <si>
    <t>Brower Piven; Rome McGuigan, P.C. (local/liaison)</t>
  </si>
  <si>
    <t>Francis L. Ingram</t>
  </si>
  <si>
    <t>Kevin &amp; Mary Jane M. Demet</t>
  </si>
  <si>
    <t>Kevin Demet</t>
  </si>
  <si>
    <t>Russell Smith</t>
  </si>
  <si>
    <t>Edward J. Hopkins</t>
  </si>
  <si>
    <t>Raff Family</t>
  </si>
  <si>
    <t>309,939.77</t>
  </si>
  <si>
    <t>Robbins, Geller, Rudman &amp; Dowd, LLP; Izard, Kindall &amp; Raabe, LLP (local/liaison)VanOverbeke Michaud &amp; Timmony, P.C. (local/liaison)</t>
  </si>
  <si>
    <t>2,780,849.71</t>
  </si>
  <si>
    <t>Bernstein Litowitz Berger &amp; Grossmann LLP; Motley Rice LLC (local/liaison)</t>
  </si>
  <si>
    <t>Carlos Lagomarsino</t>
  </si>
  <si>
    <t>Intercept Pharmaceuticals, Inc.</t>
  </si>
  <si>
    <t>09/27/2017</t>
  </si>
  <si>
    <t>Abraham Kassin</t>
  </si>
  <si>
    <t>Best Pots, Inc.</t>
  </si>
  <si>
    <t>Edward Kobus</t>
  </si>
  <si>
    <t>Hunter Family</t>
  </si>
  <si>
    <t>Vardumyan Marine</t>
  </si>
  <si>
    <t>Richard Schubert</t>
  </si>
  <si>
    <t>58,229.85</t>
  </si>
  <si>
    <t>Hou Liu &amp; Amy Fu</t>
  </si>
  <si>
    <t>SCANA Corporation</t>
  </si>
  <si>
    <t>South Carolina District Court</t>
  </si>
  <si>
    <t>Abraham, Fruchter &amp; Twersky, LLP; Geddings Law Firm P.A. (local/liaison)</t>
  </si>
  <si>
    <t>166,765.26</t>
  </si>
  <si>
    <t>Bernstein Litowitz Berger &amp; Grossmann LLP; Labaton Sucharow LLP; Motley Rice LLC (local/liaison)</t>
  </si>
  <si>
    <t>1,947,527.75</t>
  </si>
  <si>
    <t>West Virginia Investment Management Board</t>
  </si>
  <si>
    <t>Dominic Veneto</t>
  </si>
  <si>
    <t>Pomerantz LLP; Law Offices of Robert Dodson, P.A. (local/liaison)</t>
  </si>
  <si>
    <t>Kenneth Evans</t>
  </si>
  <si>
    <t>Marshall Mullins</t>
  </si>
  <si>
    <t>Tesco Corporation</t>
  </si>
  <si>
    <t>09/28/2017</t>
  </si>
  <si>
    <t>HSN, Inc.</t>
  </si>
  <si>
    <t>09/07/2017</t>
  </si>
  <si>
    <t>Richard McClure</t>
  </si>
  <si>
    <t>Landauer, Inc.</t>
  </si>
  <si>
    <t>11/24/2017</t>
  </si>
  <si>
    <t>Tech Data Corporation</t>
  </si>
  <si>
    <t>John R. Atkinson III</t>
  </si>
  <si>
    <t>Randye Hubsher</t>
  </si>
  <si>
    <t>35,790.38</t>
  </si>
  <si>
    <t>Tintri, Inc.</t>
  </si>
  <si>
    <t>11/17/2017</t>
  </si>
  <si>
    <t>Rustam Mustafin</t>
  </si>
  <si>
    <t>Bronstein, Gewirtz &amp; Grossman, LLC; Cohen Milstein Sellers &amp; Toll PLLC</t>
  </si>
  <si>
    <t>Julia Fattorini</t>
  </si>
  <si>
    <t>Robert Dail</t>
  </si>
  <si>
    <t>Henrik Thorring</t>
  </si>
  <si>
    <t>Park Sterling Corporation</t>
  </si>
  <si>
    <t>11/13/2017</t>
  </si>
  <si>
    <t>Sevcon, Inc.</t>
  </si>
  <si>
    <t>Equifax Inc.</t>
  </si>
  <si>
    <t>Robert Brock</t>
  </si>
  <si>
    <t>The Rosen Law Firm, P.A.; Holzer &amp; Holzer, LLC (local/liaison)</t>
  </si>
  <si>
    <t>225,351.00</t>
  </si>
  <si>
    <t>Labaton Sucharow LLP; Law Offices of David A. Bain, LLC (local/liaison)</t>
  </si>
  <si>
    <t>2,973,692.22</t>
  </si>
  <si>
    <t>Roberta June Campbell</t>
  </si>
  <si>
    <t>Pomerantz LLP; Bronstein, Gewirtz &amp; Grossman, LLC (local/liaison)Carr &amp; Weatherby LLP (local/liaison)</t>
  </si>
  <si>
    <t>Health Insurance Innovations, Inc.</t>
  </si>
  <si>
    <t>11/10/2017</t>
  </si>
  <si>
    <t>magicJack VocalTec Ltd.</t>
  </si>
  <si>
    <t>Robert Freedman</t>
  </si>
  <si>
    <t>Volkswagen Aktiengesellschaft</t>
  </si>
  <si>
    <t>08/29/2017</t>
  </si>
  <si>
    <t>Wayne and Linda Mucha</t>
  </si>
  <si>
    <t>Vitamin Shoppe, Inc.</t>
  </si>
  <si>
    <t>10/27/2017</t>
  </si>
  <si>
    <t>Corpus Christi Firefighters Retirement System</t>
  </si>
  <si>
    <t>Daniel E. Onishuk, Jr.</t>
  </si>
  <si>
    <t>Glancy Prongay &amp; Murray, LLP; Scott &amp; Scott,  LLP; Schnader Harrison Segal &amp; Lewis LLP (local/liaison)</t>
  </si>
  <si>
    <t>Mohammed Kayyal</t>
  </si>
  <si>
    <t>54,748.98</t>
  </si>
  <si>
    <t>AAN</t>
  </si>
  <si>
    <t>ACIA</t>
  </si>
  <si>
    <t>AKTX</t>
  </si>
  <si>
    <t>BSF</t>
  </si>
  <si>
    <t>AMRS</t>
  </si>
  <si>
    <t>APC</t>
  </si>
  <si>
    <t>ATRS</t>
  </si>
  <si>
    <t>ARNC</t>
  </si>
  <si>
    <t>ARGS</t>
  </si>
  <si>
    <t>AKG</t>
  </si>
  <si>
    <t>AF</t>
  </si>
  <si>
    <t>AVGR</t>
  </si>
  <si>
    <t>AIOM</t>
  </si>
  <si>
    <t>BCOM</t>
  </si>
  <si>
    <t>ABX</t>
  </si>
  <si>
    <t>BIOA</t>
  </si>
  <si>
    <t>APRN</t>
  </si>
  <si>
    <t>BOFI</t>
  </si>
  <si>
    <t>BAH</t>
  </si>
  <si>
    <t>BCR</t>
  </si>
  <si>
    <t>CHFF</t>
  </si>
  <si>
    <t>CGI</t>
  </si>
  <si>
    <t>CTL</t>
  </si>
  <si>
    <t>COVS</t>
  </si>
  <si>
    <t>INCR</t>
  </si>
  <si>
    <t>DEPO</t>
  </si>
  <si>
    <t>DCIX</t>
  </si>
  <si>
    <t>DKS</t>
  </si>
  <si>
    <t>DGI</t>
  </si>
  <si>
    <t>HSNI</t>
  </si>
  <si>
    <t>RDY</t>
  </si>
  <si>
    <t>DRYS</t>
  </si>
  <si>
    <t>DFT</t>
  </si>
  <si>
    <t>ESSI</t>
  </si>
  <si>
    <t>EFII</t>
  </si>
  <si>
    <t>FMI</t>
  </si>
  <si>
    <t>EFX</t>
  </si>
  <si>
    <t>RILY</t>
  </si>
  <si>
    <t>FCH</t>
  </si>
  <si>
    <t>FPO</t>
  </si>
  <si>
    <t>FLT</t>
  </si>
  <si>
    <t>FRTA</t>
  </si>
  <si>
    <t>FTR</t>
  </si>
  <si>
    <t>GM</t>
  </si>
  <si>
    <t>GNVC</t>
  </si>
  <si>
    <t>GSB</t>
  </si>
  <si>
    <t>HDS</t>
  </si>
  <si>
    <t>HIIQ</t>
  </si>
  <si>
    <t>CETC</t>
  </si>
  <si>
    <t>IPCI</t>
  </si>
  <si>
    <t>ICPT</t>
  </si>
  <si>
    <t>ITCI</t>
  </si>
  <si>
    <t>JILL</t>
  </si>
  <si>
    <t>JAGX</t>
  </si>
  <si>
    <t>JBSAY</t>
  </si>
  <si>
    <t>KNDI</t>
  </si>
  <si>
    <t>KBR</t>
  </si>
  <si>
    <t>KCG</t>
  </si>
  <si>
    <t>LDR</t>
  </si>
  <si>
    <t>LXK</t>
  </si>
  <si>
    <t>LBIO</t>
  </si>
  <si>
    <t>LIVE</t>
  </si>
  <si>
    <t>LMIA</t>
  </si>
  <si>
    <t>LMOS</t>
  </si>
  <si>
    <t>check</t>
  </si>
  <si>
    <t>MAT</t>
  </si>
  <si>
    <t>MMS</t>
  </si>
  <si>
    <t>MZOR</t>
  </si>
  <si>
    <t>MORE</t>
  </si>
  <si>
    <t>NCIT</t>
  </si>
  <si>
    <t>NTRP</t>
  </si>
  <si>
    <t>NSR</t>
  </si>
  <si>
    <t>OCUL</t>
  </si>
  <si>
    <t>OKS</t>
  </si>
  <si>
    <t>OVAS</t>
  </si>
  <si>
    <t>PSTB</t>
  </si>
  <si>
    <t>PKY</t>
  </si>
  <si>
    <t>PCMI</t>
  </si>
  <si>
    <t>PETS</t>
  </si>
  <si>
    <t>PMC</t>
  </si>
  <si>
    <t>PME</t>
  </si>
  <si>
    <t>RAX</t>
  </si>
  <si>
    <t>RYAM</t>
  </si>
  <si>
    <t>SALE</t>
  </si>
  <si>
    <t>RICE</t>
  </si>
  <si>
    <t>RHHBY</t>
  </si>
  <si>
    <t>SSPRMB</t>
  </si>
  <si>
    <t>SCG</t>
  </si>
  <si>
    <t>SQNS</t>
  </si>
  <si>
    <t>SEV</t>
  </si>
  <si>
    <t>SVNT</t>
  </si>
  <si>
    <t>SBY</t>
  </si>
  <si>
    <t>SKYS</t>
  </si>
  <si>
    <t>SNAP</t>
  </si>
  <si>
    <t>SWFT</t>
  </si>
  <si>
    <t>SCNR</t>
  </si>
  <si>
    <t>DATA</t>
  </si>
  <si>
    <t>TAHO</t>
  </si>
  <si>
    <t>TECD</t>
  </si>
  <si>
    <t>FTI</t>
  </si>
  <si>
    <t>GLBL</t>
  </si>
  <si>
    <t>TESO</t>
  </si>
  <si>
    <t>ABCO</t>
  </si>
  <si>
    <t>SPNC</t>
  </si>
  <si>
    <t>TNTR</t>
  </si>
  <si>
    <t>TOPS</t>
  </si>
  <si>
    <t>TDG</t>
  </si>
  <si>
    <t>TRCO</t>
  </si>
  <si>
    <t>TRVG</t>
  </si>
  <si>
    <t>UCP</t>
  </si>
  <si>
    <t>X</t>
  </si>
  <si>
    <t>UTX</t>
  </si>
  <si>
    <t>VNCE</t>
  </si>
  <si>
    <t>VSI</t>
  </si>
  <si>
    <t>VOW</t>
  </si>
  <si>
    <t>WB</t>
  </si>
  <si>
    <t>WSTC</t>
  </si>
  <si>
    <t>WR</t>
  </si>
  <si>
    <t>XBKS</t>
  </si>
  <si>
    <t>ZBRA</t>
  </si>
  <si>
    <t>ZLTQ</t>
  </si>
  <si>
    <t>ZG</t>
  </si>
  <si>
    <t>ZPAS</t>
  </si>
  <si>
    <t>ZTO</t>
  </si>
  <si>
    <t>Movant</t>
  </si>
  <si>
    <t>Type</t>
  </si>
  <si>
    <t>RDY.1</t>
  </si>
  <si>
    <t>PETS.1</t>
  </si>
  <si>
    <t>FPO.1</t>
  </si>
  <si>
    <t>TOPS.1</t>
  </si>
  <si>
    <t>RDY.2</t>
  </si>
  <si>
    <t>RDY.3</t>
  </si>
  <si>
    <t>TOPS.5.a</t>
  </si>
  <si>
    <t>PETS.2</t>
  </si>
  <si>
    <t>PETS.3.a</t>
  </si>
  <si>
    <t>TOPS.6.a</t>
  </si>
  <si>
    <t>TOPS.3.a</t>
  </si>
  <si>
    <t>PETS.3.b</t>
  </si>
  <si>
    <t>TOPS.2</t>
  </si>
  <si>
    <t>TOPS.3.b</t>
  </si>
  <si>
    <t>TOPS.4.a</t>
  </si>
  <si>
    <t>TOPS.4.b</t>
  </si>
  <si>
    <t>TOPS.5.b</t>
  </si>
  <si>
    <t>TOPS.5.c</t>
  </si>
  <si>
    <t>TOPS.6.b</t>
  </si>
  <si>
    <t>DEPO.1.b</t>
  </si>
  <si>
    <t>DEPO.1.a</t>
  </si>
  <si>
    <t>DEPO.1.c</t>
  </si>
  <si>
    <t>DEPO.1.d</t>
  </si>
  <si>
    <t>DEPO.2</t>
  </si>
  <si>
    <t>DEPO.3</t>
  </si>
  <si>
    <t>DEPO.4.b</t>
  </si>
  <si>
    <t>DEPO.4.a</t>
  </si>
  <si>
    <t>DEPO.5.b</t>
  </si>
  <si>
    <t>DEPO.5.a</t>
  </si>
  <si>
    <t>DEPO.5.c</t>
  </si>
  <si>
    <t>DEPO.5.d</t>
  </si>
  <si>
    <t>ZTO.1</t>
  </si>
  <si>
    <t>FRTA.3</t>
  </si>
  <si>
    <t>FRTA.1</t>
  </si>
  <si>
    <t>SQNS.3</t>
  </si>
  <si>
    <t>SQNS.2</t>
  </si>
  <si>
    <t>GSB.2</t>
  </si>
  <si>
    <t>ZTO.2.a</t>
  </si>
  <si>
    <t>ZTO.2.b</t>
  </si>
  <si>
    <t>ZTO.2.c</t>
  </si>
  <si>
    <t>ZTO.2.d</t>
  </si>
  <si>
    <t>ZTO.3.a</t>
  </si>
  <si>
    <t>ZTO.3.b</t>
  </si>
  <si>
    <t>APRN.1</t>
  </si>
  <si>
    <t>ACIA.2</t>
  </si>
  <si>
    <t>APRN.2.a</t>
  </si>
  <si>
    <t>APRN.3.a</t>
  </si>
  <si>
    <t>APRN.2.b</t>
  </si>
  <si>
    <t>APRN.3.b</t>
  </si>
  <si>
    <t>APRN.3.c</t>
  </si>
  <si>
    <t>APRN.3.d</t>
  </si>
  <si>
    <t>RYAM.1.a</t>
  </si>
  <si>
    <t>RYAM.1.b</t>
  </si>
  <si>
    <t>ACIA.1.a</t>
  </si>
  <si>
    <t>FRTA.2.a</t>
  </si>
  <si>
    <t>FRTA.2.b</t>
  </si>
  <si>
    <t>FRTA.2.c</t>
  </si>
  <si>
    <t>FRTA.2.d</t>
  </si>
  <si>
    <t>ACIA.1.b</t>
  </si>
  <si>
    <t>ACIA.3</t>
  </si>
  <si>
    <t>TDG.2</t>
  </si>
  <si>
    <t>EFII.2</t>
  </si>
  <si>
    <t>ACIA.4</t>
  </si>
  <si>
    <t>ACIA.5</t>
  </si>
  <si>
    <t>EFII.1</t>
  </si>
  <si>
    <t>SQNS.1.b</t>
  </si>
  <si>
    <t>SQNS.1.a</t>
  </si>
  <si>
    <t>GSB.1</t>
  </si>
  <si>
    <t>TDG.1</t>
  </si>
  <si>
    <t>MMS.1</t>
  </si>
  <si>
    <t>JAGX.1</t>
  </si>
  <si>
    <t>EVHC.1</t>
  </si>
  <si>
    <t>FTI.1</t>
  </si>
  <si>
    <t>ABCO.1</t>
  </si>
  <si>
    <t>EVHC.2</t>
  </si>
  <si>
    <t>EVHC.4</t>
  </si>
  <si>
    <t>EVHC.5</t>
  </si>
  <si>
    <t>EVHC.3.a</t>
  </si>
  <si>
    <t>EVHC.3.b</t>
  </si>
  <si>
    <t>EVHC.6.a</t>
  </si>
  <si>
    <t>EVHC.6.b</t>
  </si>
  <si>
    <t>EVHC.6.c</t>
  </si>
  <si>
    <t>ABCO.2.a</t>
  </si>
  <si>
    <t>ABCO.2.b</t>
  </si>
  <si>
    <t>ICPI.1.b</t>
  </si>
  <si>
    <t>ICPI.2.a</t>
  </si>
  <si>
    <t>ICPI.2.b</t>
  </si>
  <si>
    <t>DATA.1</t>
  </si>
  <si>
    <t>DATA.2.a</t>
  </si>
  <si>
    <t>DATA.2.b</t>
  </si>
  <si>
    <t>DATA.3.a</t>
  </si>
  <si>
    <t>DATA.3.b</t>
  </si>
  <si>
    <t>DATA.4</t>
  </si>
  <si>
    <t>ZBRA.1</t>
  </si>
  <si>
    <t>ZBRA.2</t>
  </si>
  <si>
    <t>LXX.1</t>
  </si>
  <si>
    <t>LXX.2</t>
  </si>
  <si>
    <t>LXX.3</t>
  </si>
  <si>
    <t>DRYS.5</t>
  </si>
  <si>
    <t>DRYS.1.a</t>
  </si>
  <si>
    <t>DRYS.1.b</t>
  </si>
  <si>
    <t>HDS.1.b</t>
  </si>
  <si>
    <t>DRYS.4</t>
  </si>
  <si>
    <t>OCUL.5</t>
  </si>
  <si>
    <t>DRYS.9.c</t>
  </si>
  <si>
    <t>DRYS.9.b</t>
  </si>
  <si>
    <t>DRYS.9.a</t>
  </si>
  <si>
    <t>HDS.1.a</t>
  </si>
  <si>
    <t>HDS.1.c</t>
  </si>
  <si>
    <t>OCUL.7.c</t>
  </si>
  <si>
    <t>HDS.2.a</t>
  </si>
  <si>
    <t>HDS.2.b</t>
  </si>
  <si>
    <t>AVGR.1</t>
  </si>
  <si>
    <t>AVGR.2.a</t>
  </si>
  <si>
    <t>WB.2.a</t>
  </si>
  <si>
    <t>AVGR.2.b</t>
  </si>
  <si>
    <t>AVGR.3.a</t>
  </si>
  <si>
    <t>AVGR.3.b</t>
  </si>
  <si>
    <t>OCUL.1</t>
  </si>
  <si>
    <t>TAHO.1</t>
  </si>
  <si>
    <t>WB.1</t>
  </si>
  <si>
    <t>MAT.1</t>
  </si>
  <si>
    <t>OCUL.2</t>
  </si>
  <si>
    <t>MAT.2</t>
  </si>
  <si>
    <t>OCUL.3.a</t>
  </si>
  <si>
    <t>OCUL.3.b</t>
  </si>
  <si>
    <t>OCUL.3.c</t>
  </si>
  <si>
    <t>MAT.3.a</t>
  </si>
  <si>
    <t>OCUL.3.d</t>
  </si>
  <si>
    <t>OCUL.4</t>
  </si>
  <si>
    <t>OCUL.6</t>
  </si>
  <si>
    <t>OCUL.7.b</t>
  </si>
  <si>
    <t>OCUL.7.a</t>
  </si>
  <si>
    <t>TAHO.3</t>
  </si>
  <si>
    <t>TAHO.2</t>
  </si>
  <si>
    <t>TAHO.4</t>
  </si>
  <si>
    <t>TAHO.5.a</t>
  </si>
  <si>
    <t>TAHO.5.b</t>
  </si>
  <si>
    <t>TAHO.5.c</t>
  </si>
  <si>
    <t>WB.2.b</t>
  </si>
  <si>
    <t>MAT.3.b</t>
  </si>
  <si>
    <t>MAT.3.c</t>
  </si>
  <si>
    <t>MAT.3.d</t>
  </si>
  <si>
    <t>BCOM.1.a</t>
  </si>
  <si>
    <t>BCOM.1.b</t>
  </si>
  <si>
    <t>BCOM.1.c</t>
  </si>
  <si>
    <t>AIOM.1</t>
  </si>
  <si>
    <t>AIOM.2.a</t>
  </si>
  <si>
    <t>AIOM.2.b</t>
  </si>
  <si>
    <t>AIOM.2.c</t>
  </si>
  <si>
    <t>AIOM.3.a</t>
  </si>
  <si>
    <t>AIOM.3.b</t>
  </si>
  <si>
    <t>AIOM.4.a</t>
  </si>
  <si>
    <t>AIOM.4.b</t>
  </si>
  <si>
    <t>CTL.1.a</t>
  </si>
  <si>
    <t>CTL.1.b</t>
  </si>
  <si>
    <t>CTL.2</t>
  </si>
  <si>
    <t>AAN.2</t>
  </si>
  <si>
    <t>CTL.3</t>
  </si>
  <si>
    <t>BAH.2</t>
  </si>
  <si>
    <t>CTL.4</t>
  </si>
  <si>
    <t>CTL.5</t>
  </si>
  <si>
    <t>CTL.6.a</t>
  </si>
  <si>
    <t>CTL.6.e</t>
  </si>
  <si>
    <t>SKYS.1</t>
  </si>
  <si>
    <t>CTL.6.b</t>
  </si>
  <si>
    <t>CTL.6.c</t>
  </si>
  <si>
    <t>CTL.6.d</t>
  </si>
  <si>
    <t>BAH.1</t>
  </si>
  <si>
    <t>SKYS.3</t>
  </si>
  <si>
    <t>AAN.1</t>
  </si>
  <si>
    <t>FLT.1</t>
  </si>
  <si>
    <t>ZPAS.1</t>
  </si>
  <si>
    <t>AKG.1</t>
  </si>
  <si>
    <t>DGI.1</t>
  </si>
  <si>
    <t>ESSI.1</t>
  </si>
  <si>
    <t>SKYS.4</t>
  </si>
  <si>
    <t>ZPAS.2</t>
  </si>
  <si>
    <t>ESSI.2</t>
  </si>
  <si>
    <t>SKYS.2.a</t>
  </si>
  <si>
    <t>SKYS.2.b</t>
  </si>
  <si>
    <t>SKYS.5.a</t>
  </si>
  <si>
    <t>SKYS.5.b</t>
  </si>
  <si>
    <t>MZOR.1.a</t>
  </si>
  <si>
    <t>TNGO.1.a</t>
  </si>
  <si>
    <t>GM.1.e</t>
  </si>
  <si>
    <t>MZOR.1.b</t>
  </si>
  <si>
    <t>TNGO.1.b</t>
  </si>
  <si>
    <t>GM.1.b</t>
  </si>
  <si>
    <t>SPWR.1.b</t>
  </si>
  <si>
    <t>ZPAS.3</t>
  </si>
  <si>
    <t>ZPAS.4.a</t>
  </si>
  <si>
    <t>ZPAS.4.b</t>
  </si>
  <si>
    <t>ZPAS.4.c</t>
  </si>
  <si>
    <t>GM.1.a</t>
  </si>
  <si>
    <t>GM.1.c</t>
  </si>
  <si>
    <t>GM.1.d</t>
  </si>
  <si>
    <t>GM.2</t>
  </si>
  <si>
    <t>GM.3</t>
  </si>
  <si>
    <t>DKS.1</t>
  </si>
  <si>
    <t>DGI.2</t>
  </si>
  <si>
    <t>JBSAY.2</t>
  </si>
  <si>
    <t>SNAP.2</t>
  </si>
  <si>
    <t>DKS.2</t>
  </si>
  <si>
    <t>ESSI.3.a</t>
  </si>
  <si>
    <t>ESSI.3.b</t>
  </si>
  <si>
    <t>ESSI.3.c</t>
  </si>
  <si>
    <t>ESSI.3.d</t>
  </si>
  <si>
    <t>ESSI.3.e</t>
  </si>
  <si>
    <t>SPWR.1.a</t>
  </si>
  <si>
    <t>JBSAY.1.b</t>
  </si>
  <si>
    <t>SNAP.1.b</t>
  </si>
  <si>
    <t>NTRP.1.b</t>
  </si>
  <si>
    <t>SPWR.2.e</t>
  </si>
  <si>
    <t>SPWR.2.c</t>
  </si>
  <si>
    <t>SPWR.2.d</t>
  </si>
  <si>
    <t>JBSAY.1.a</t>
  </si>
  <si>
    <t>SNAP.1.a</t>
  </si>
  <si>
    <t>NTRP.1.a</t>
  </si>
  <si>
    <t>SNAP.3</t>
  </si>
  <si>
    <t>SNAP.4.a</t>
  </si>
  <si>
    <t>SNAP.4.b</t>
  </si>
  <si>
    <t>SNAP.4.c</t>
  </si>
  <si>
    <t>SNAP.4.d</t>
  </si>
  <si>
    <t>SNAP.5</t>
  </si>
  <si>
    <t>AKTX.3</t>
  </si>
  <si>
    <t>AKTX.4</t>
  </si>
  <si>
    <t>RAX.1</t>
  </si>
  <si>
    <t>DKS.3</t>
  </si>
  <si>
    <t>DKS.4.a</t>
  </si>
  <si>
    <t>DKS.4.b</t>
  </si>
  <si>
    <t>CETC.1.a</t>
  </si>
  <si>
    <t>LIVE.1.a</t>
  </si>
  <si>
    <t>CETC.1.b</t>
  </si>
  <si>
    <t>NTRP.2.a</t>
  </si>
  <si>
    <t>NTRP.2.b</t>
  </si>
  <si>
    <t>AKTX.1</t>
  </si>
  <si>
    <t>ITCI.1</t>
  </si>
  <si>
    <t>ABX.1</t>
  </si>
  <si>
    <t>SBY.1</t>
  </si>
  <si>
    <t>SIG.2</t>
  </si>
  <si>
    <t>SIG.3</t>
  </si>
  <si>
    <t>AKTX.2.a</t>
  </si>
  <si>
    <t>AKTX.2.b</t>
  </si>
  <si>
    <t>UTX.1</t>
  </si>
  <si>
    <t>ITCI.2.a</t>
  </si>
  <si>
    <t>ITCI.2.b</t>
  </si>
  <si>
    <t>ITCI.3.a</t>
  </si>
  <si>
    <t>ITCI.3.b</t>
  </si>
  <si>
    <t>RAX.2</t>
  </si>
  <si>
    <t>ABX.2.a</t>
  </si>
  <si>
    <t>ABX.2.b</t>
  </si>
  <si>
    <t>ABX.2.c</t>
  </si>
  <si>
    <t>ABX.2.d</t>
  </si>
  <si>
    <t>APC.1</t>
  </si>
  <si>
    <t>CETC.2.a</t>
  </si>
  <si>
    <t>CETC.2.b</t>
  </si>
  <si>
    <t>APC.3.b</t>
  </si>
  <si>
    <t>PCMI.2.b</t>
  </si>
  <si>
    <t>X.2.b</t>
  </si>
  <si>
    <t>X.1.b</t>
  </si>
  <si>
    <t>CETC.2.c</t>
  </si>
  <si>
    <t>CETC.2.d</t>
  </si>
  <si>
    <t>CETC.2.e</t>
  </si>
  <si>
    <t>SIG.4</t>
  </si>
  <si>
    <t>X.1.e</t>
  </si>
  <si>
    <t>X.1.a</t>
  </si>
  <si>
    <t>LIVE.1.b</t>
  </si>
  <si>
    <t>X.4</t>
  </si>
  <si>
    <t>APC.2</t>
  </si>
  <si>
    <t>APC.3.a</t>
  </si>
  <si>
    <t>PCMI.1</t>
  </si>
  <si>
    <t>PCMI.2.a</t>
  </si>
  <si>
    <t>PCMI.2.c</t>
  </si>
  <si>
    <t>X.1.c</t>
  </si>
  <si>
    <t>X.1.d</t>
  </si>
  <si>
    <t>X.2.a</t>
  </si>
  <si>
    <t>X.5</t>
  </si>
  <si>
    <t>KNDI.1</t>
  </si>
  <si>
    <t>KNDI.2.a</t>
  </si>
  <si>
    <t>KNDI.2.b</t>
  </si>
  <si>
    <t>KNDI.2.c</t>
  </si>
  <si>
    <t>KNDI.2.d</t>
  </si>
  <si>
    <t>KNDI.2.e</t>
  </si>
  <si>
    <t>KNDI.2.f</t>
  </si>
  <si>
    <t>KNDI.3</t>
  </si>
  <si>
    <t>SKX.3</t>
  </si>
  <si>
    <t>KNDI.4</t>
  </si>
  <si>
    <t>SKX.4</t>
  </si>
  <si>
    <t>KNDI.5</t>
  </si>
  <si>
    <t>KNDI.6.a</t>
  </si>
  <si>
    <t>KNDI.6.b</t>
  </si>
  <si>
    <t>KNDI.6.c</t>
  </si>
  <si>
    <t>TRVG.1</t>
  </si>
  <si>
    <t>TRVG.2</t>
  </si>
  <si>
    <t>TRVG.3.a</t>
  </si>
  <si>
    <t>TRVG.3.b</t>
  </si>
  <si>
    <t>TRVG.3.c</t>
  </si>
  <si>
    <t>DCIX.1</t>
  </si>
  <si>
    <t>DCIX.7</t>
  </si>
  <si>
    <t>F.1.a</t>
  </si>
  <si>
    <t>SKX.1.a</t>
  </si>
  <si>
    <t>ATRS.1.a</t>
  </si>
  <si>
    <t>F.1.b</t>
  </si>
  <si>
    <t>F.1.c</t>
  </si>
  <si>
    <t>F.1.d</t>
  </si>
  <si>
    <t>CTL.1</t>
  </si>
  <si>
    <t>SKX.2</t>
  </si>
  <si>
    <t>ATRS.3</t>
  </si>
  <si>
    <t>SKX.1.c</t>
  </si>
  <si>
    <t>SKX.1.b</t>
  </si>
  <si>
    <t>ATRS.1.b</t>
  </si>
  <si>
    <t>SKX.5.a</t>
  </si>
  <si>
    <t>SKX.5.b</t>
  </si>
  <si>
    <t>VOW.1</t>
  </si>
  <si>
    <t>VSI.1.a</t>
  </si>
  <si>
    <t>VSI.2.a</t>
  </si>
  <si>
    <t>VSI.2.b</t>
  </si>
  <si>
    <t>VSI.2.c</t>
  </si>
  <si>
    <t>JILL.1</t>
  </si>
  <si>
    <t>NSR.1</t>
  </si>
  <si>
    <t>PMC.1</t>
  </si>
  <si>
    <t>DCIX.2</t>
  </si>
  <si>
    <t>ATRS.2</t>
  </si>
  <si>
    <t>ATRS.4.b</t>
  </si>
  <si>
    <t>JILL.2</t>
  </si>
  <si>
    <t>ATRS.4.a</t>
  </si>
  <si>
    <t>ATRS.4.e</t>
  </si>
  <si>
    <t>ATRS.4.c</t>
  </si>
  <si>
    <t>ATRS.4.d</t>
  </si>
  <si>
    <t>ATRS.5</t>
  </si>
  <si>
    <t>XBKS.1</t>
  </si>
  <si>
    <t>FTR.1</t>
  </si>
  <si>
    <t>ICPT.1</t>
  </si>
  <si>
    <t>HSNI.1</t>
  </si>
  <si>
    <t>FTR.5</t>
  </si>
  <si>
    <t>FTR.7</t>
  </si>
  <si>
    <t>FTR.2</t>
  </si>
  <si>
    <t>FTR.4</t>
  </si>
  <si>
    <t>ICPT.4</t>
  </si>
  <si>
    <t>ARNC.1.a</t>
  </si>
  <si>
    <t>ARNC.1.b</t>
  </si>
  <si>
    <t>SCG.1.b</t>
  </si>
  <si>
    <t>TECD.1.b</t>
  </si>
  <si>
    <t>ARNC.1.c</t>
  </si>
  <si>
    <t>TNTR.1</t>
  </si>
  <si>
    <t>EFX.1</t>
  </si>
  <si>
    <t>TECD.2</t>
  </si>
  <si>
    <t>EFX.2</t>
  </si>
  <si>
    <t>ICPT.3</t>
  </si>
  <si>
    <t>TNTR.3</t>
  </si>
  <si>
    <t>EFX.3</t>
  </si>
  <si>
    <t>EFX.4</t>
  </si>
  <si>
    <t>FTR.8.a</t>
  </si>
  <si>
    <t>FTR.8.b</t>
  </si>
  <si>
    <t>FTR.11.a</t>
  </si>
  <si>
    <t>FTR.11.b</t>
  </si>
  <si>
    <t>ICPT.2.a</t>
  </si>
  <si>
    <t>ICPT.2.b</t>
  </si>
  <si>
    <t>TNTR.2.b</t>
  </si>
  <si>
    <t>ICPT.2.c</t>
  </si>
  <si>
    <t>ICPT.2.d</t>
  </si>
  <si>
    <t>SCG.1.a</t>
  </si>
  <si>
    <t>SCG.2.a</t>
  </si>
  <si>
    <t>SCG.2.b</t>
  </si>
  <si>
    <t>SCG.2.c</t>
  </si>
  <si>
    <t>SCG.3.a</t>
  </si>
  <si>
    <t>SCG.3.b</t>
  </si>
  <si>
    <t>SCG.3.c</t>
  </si>
  <si>
    <t>TECD.1.a</t>
  </si>
  <si>
    <t>TNTR.2.a</t>
  </si>
  <si>
    <t>MZOR.2</t>
  </si>
  <si>
    <t>MZOR.3.a</t>
  </si>
  <si>
    <t>MZOR.3.b</t>
  </si>
  <si>
    <t>DCIX.3.a</t>
  </si>
  <si>
    <t>DCIX.3.b</t>
  </si>
  <si>
    <t>DCIX.4.a</t>
  </si>
  <si>
    <t>DCIX.4.b</t>
  </si>
  <si>
    <t>DCIX.5.a</t>
  </si>
  <si>
    <t>DCIX.5.b</t>
  </si>
  <si>
    <t>DCIX.5.c</t>
  </si>
  <si>
    <t>DCIX.6.a</t>
  </si>
  <si>
    <t>DCIX.6.b</t>
  </si>
  <si>
    <t>02/06/2015 - 10/29/2015</t>
  </si>
  <si>
    <t>08/11/2016 - 07/13/2017</t>
  </si>
  <si>
    <t>03/30/2017 - 05/11/2017</t>
  </si>
  <si>
    <t>02/17/2016 - 05/02/2017</t>
  </si>
  <si>
    <t>12/21/2016 - 10/12/2017</t>
  </si>
  <si>
    <t>07/13/2017 - 08/03/2017</t>
  </si>
  <si>
    <t>11/04/2013 - 06/26/2017</t>
  </si>
  <si>
    <t>10/24/2014 - 05/31/2017</t>
  </si>
  <si>
    <t>10/14/2016 - 06/19/2017</t>
  </si>
  <si>
    <t>07/11/2013 - 06/19/2017</t>
  </si>
  <si>
    <t>02/16/2017 - 04/24/2017</t>
  </si>
  <si>
    <t>06/26/2017 - 08/17/2017</t>
  </si>
  <si>
    <t>05/19/2016 - 06/15/2017</t>
  </si>
  <si>
    <t>03/01/2013 - 06/19/2017</t>
  </si>
  <si>
    <t>02/26/2015 - 08/07/2017</t>
  </si>
  <si>
    <t>03/07/2017 - 05/15/2017</t>
  </si>
  <si>
    <t>06/17/2015 - 08/10/2017</t>
  </si>
  <si>
    <t>06/08/2016 - 07/14/2017</t>
  </si>
  <si>
    <t>12/02/2016 - 05/19/2017</t>
  </si>
  <si>
    <t>02/22/2017 - 08/03/2017</t>
  </si>
  <si>
    <t>02/26/2014 - 11/03/2015</t>
  </si>
  <si>
    <t>02/27/2012 - 05/25/2017</t>
  </si>
  <si>
    <t>11/09/2016 - 06/05/2017</t>
  </si>
  <si>
    <t>03/04/2016 - 09/11/2017</t>
  </si>
  <si>
    <t>09/28/2012 - 04/07/2017</t>
  </si>
  <si>
    <t>05/31/2016 - 09/20/2017</t>
  </si>
  <si>
    <t>08/12/2014 - 04/28/2017</t>
  </si>
  <si>
    <t>03/06/2017 - 10/13/2017</t>
  </si>
  <si>
    <t>02/27/2014 - 04/27/2017</t>
  </si>
  <si>
    <t>08/01/2014 - 07/20/2015</t>
  </si>
  <si>
    <t>11/07/2016 - 01/06/2017</t>
  </si>
  <si>
    <t>10/20/2016 - 04/20/2017</t>
  </si>
  <si>
    <t>10/30/2014 - 02/03/2016</t>
  </si>
  <si>
    <t>11/08/2016 - 06/08/2017</t>
  </si>
  <si>
    <t>01/07/2016 - 04/28/2017</t>
  </si>
  <si>
    <t>03/10/2016 - 07/11/2017</t>
  </si>
  <si>
    <t>06/17/2015 - 05/02/2017</t>
  </si>
  <si>
    <t>08/08/2016 - 05/10/2017</t>
  </si>
  <si>
    <t>11/11/2014 - 08/10/2015</t>
  </si>
  <si>
    <t>03/02/2017 - 06/05/2017</t>
  </si>
  <si>
    <t>12/01/2012 - 10/31/2013</t>
  </si>
  <si>
    <t>04/29/2016 - 07/31/2017</t>
  </si>
  <si>
    <t>04/23/2015 - 10/22/2015</t>
  </si>
  <si>
    <t>02/28/2017 - 06/06/2017</t>
  </si>
  <si>
    <t>11/14/2014 - 06/12/2017</t>
  </si>
  <si>
    <t>06/03/2015 - 02/04/2016</t>
  </si>
  <si>
    <t>04/03/2013 - 07/05/2017</t>
  </si>
  <si>
    <t>06/01/2017 - 08/31/2017</t>
  </si>
  <si>
    <t>05/04/2016 - 10/06/2017</t>
  </si>
  <si>
    <t>10/24/2016 - 08/14/2017</t>
  </si>
  <si>
    <t>04/24/2017 - 05/24/2017</t>
  </si>
  <si>
    <t>02/12/2016 - 08/08/2017</t>
  </si>
  <si>
    <t>03/17/2015 - 05/09/2016</t>
  </si>
  <si>
    <t>04/27/2017 - 06/22/2017</t>
  </si>
  <si>
    <t>03/01/2017 - 08/08/2017</t>
  </si>
  <si>
    <t>12/08/2016 - 04/27/2017</t>
  </si>
  <si>
    <t>04/21/2015 - 07/20/2015</t>
  </si>
  <si>
    <t>11/01/2016 - 04/25/2017</t>
  </si>
  <si>
    <t>01/17/2017 - 08/22/2017</t>
  </si>
  <si>
    <t>06/27/2017 - 09/18/2017</t>
  </si>
  <si>
    <t>09/10/2015 - 05/03/2017</t>
  </si>
  <si>
    <t>10/23/2012 - 02/15/2013</t>
  </si>
  <si>
    <t>02/25/2016 - 10/04/2017</t>
  </si>
  <si>
    <t>03/14/2013 - 07/26/2017</t>
  </si>
  <si>
    <t>11/30/2012 - 07/06/2017</t>
  </si>
  <si>
    <t>11/15/2016 - 08/02/2017</t>
  </si>
  <si>
    <t>10/29/2014 - 08/19/2015</t>
  </si>
  <si>
    <t>01/21/2015 - 02/23/2016</t>
  </si>
  <si>
    <t>02/05/2016 - 07/19/2017</t>
  </si>
  <si>
    <t>06/02/2015 - 05/19/2017</t>
  </si>
  <si>
    <t>02/18/2014 - 10/26/2017</t>
  </si>
  <si>
    <t>17cv02270</t>
  </si>
  <si>
    <t>17cv11504</t>
  </si>
  <si>
    <t>17cv03577</t>
  </si>
  <si>
    <t>10/03/2016 - 04/12/2017</t>
  </si>
  <si>
    <t>17cv01372</t>
  </si>
  <si>
    <t>17cv08945</t>
  </si>
  <si>
    <t>17cv06130</t>
  </si>
  <si>
    <t>05/08/2014 - 03/16/2017</t>
  </si>
  <si>
    <t>05/10/2016 - 03/21/2017</t>
  </si>
  <si>
    <t>02/19/2015 - 07/23/2015</t>
  </si>
  <si>
    <t>15cv01857</t>
  </si>
  <si>
    <t>17cv05886</t>
  </si>
  <si>
    <t>17cv05828</t>
  </si>
  <si>
    <t>04/18/2012 - 10/22/2014</t>
  </si>
  <si>
    <t>14cv08495</t>
  </si>
  <si>
    <t>07/28/2016 - 01/27/2017</t>
  </si>
  <si>
    <t>13cv00286</t>
  </si>
  <si>
    <t>12/20/2011 - 09/05/2012</t>
  </si>
  <si>
    <t>17cv04052</t>
  </si>
  <si>
    <t>17cv05753</t>
  </si>
  <si>
    <t>08cv04437</t>
  </si>
  <si>
    <t>02/04/2008 - 06/09/2008</t>
  </si>
  <si>
    <t>17cv02537</t>
  </si>
  <si>
    <t>04/17/2008 - 11/16/2009</t>
  </si>
  <si>
    <t>17cv03679</t>
  </si>
  <si>
    <t>17cv04572</t>
  </si>
  <si>
    <t>17cv08107</t>
  </si>
  <si>
    <t>17cv04665</t>
  </si>
  <si>
    <t>17cv04056</t>
  </si>
  <si>
    <t>17cv08169</t>
  </si>
  <si>
    <t>17cv01167</t>
  </si>
  <si>
    <t>17cv03501</t>
  </si>
  <si>
    <t>17cv03807</t>
  </si>
  <si>
    <t>17cv80980</t>
  </si>
  <si>
    <t>05/08/2017 - 08/23/2017</t>
  </si>
  <si>
    <t>17cv03364</t>
  </si>
  <si>
    <t>17cv12312</t>
  </si>
  <si>
    <t>01/08/2015 - 05/25/2016</t>
  </si>
  <si>
    <t>Reason for Deletion</t>
  </si>
  <si>
    <t>Consolidated w/ case in dataset</t>
  </si>
  <si>
    <t>Sec. 14</t>
  </si>
  <si>
    <t>17cv08348</t>
  </si>
  <si>
    <t>17cv04412</t>
  </si>
  <si>
    <t>01/16/2017 - 07/24/2017</t>
  </si>
  <si>
    <t>17cv02368</t>
  </si>
  <si>
    <t>17cv02185</t>
  </si>
  <si>
    <t>Only case in time range already in dataset, this one filed before time range</t>
  </si>
  <si>
    <t>17cv02616</t>
  </si>
  <si>
    <t>10/27/2015 - 12/20/2017</t>
  </si>
  <si>
    <t>17cv02243</t>
  </si>
  <si>
    <t>12/13/2016 - 10/26/2017</t>
  </si>
  <si>
    <t>17cv05011</t>
  </si>
  <si>
    <t>17cv03718</t>
  </si>
  <si>
    <t>17cv08373</t>
  </si>
  <si>
    <t>17cv04387</t>
  </si>
  <si>
    <t>17cv00884</t>
  </si>
  <si>
    <t>17cv04732</t>
  </si>
  <si>
    <t>17cv07926</t>
  </si>
  <si>
    <t>10/10/2017 - 10/10/2017</t>
  </si>
  <si>
    <t>17cv01258</t>
  </si>
  <si>
    <t>17cv05543</t>
  </si>
  <si>
    <t>9/27/2013 - 04/10/2017</t>
  </si>
  <si>
    <t>17cv01375</t>
  </si>
  <si>
    <t>11/15/2013 - 03/13/2017</t>
  </si>
  <si>
    <t>17cv03084</t>
  </si>
  <si>
    <t>17cv11980</t>
  </si>
  <si>
    <t>17cv02928</t>
  </si>
  <si>
    <t>17cv07371</t>
  </si>
  <si>
    <t>05/21/2015 - 07/26/2017</t>
  </si>
  <si>
    <t>17cv05761</t>
  </si>
  <si>
    <t>02/23/2016 - 03/15/2017</t>
  </si>
  <si>
    <t>17cv09457</t>
  </si>
  <si>
    <t>05/10/2017 - 11/09/2017</t>
  </si>
  <si>
    <t>copy of case in dataset</t>
  </si>
  <si>
    <t>17cv03244</t>
  </si>
  <si>
    <t>copy of case above that turned out to be sec. 14 anyways</t>
  </si>
  <si>
    <t>17cv02587</t>
  </si>
  <si>
    <t>17cv00753</t>
  </si>
  <si>
    <t>01/26/2017 - 08/07/2017</t>
  </si>
  <si>
    <t>17cv03213</t>
  </si>
  <si>
    <t>17cv01617</t>
  </si>
  <si>
    <t>02/06/2015 - 02/28/2018</t>
  </si>
  <si>
    <t>17cv11394</t>
  </si>
  <si>
    <t>17cv04763</t>
  </si>
  <si>
    <t>10/18/2016 - 08/09/2017</t>
  </si>
  <si>
    <t>17cv13536</t>
  </si>
  <si>
    <t>17cv02207</t>
  </si>
  <si>
    <t>02/04/2016 - 05/03/2017</t>
  </si>
  <si>
    <t>Dup?</t>
  </si>
  <si>
    <t>17cv03463</t>
  </si>
  <si>
    <t>02/25/2016 - 09/15/2017</t>
  </si>
  <si>
    <t>03/02/2015 - 09/18/2017</t>
  </si>
  <si>
    <t>17cv01112</t>
  </si>
  <si>
    <t>17cv03711</t>
  </si>
  <si>
    <t>17cv05992</t>
  </si>
  <si>
    <t>17cv03707</t>
  </si>
  <si>
    <t>17cv05368</t>
  </si>
  <si>
    <t>17cv06436</t>
  </si>
  <si>
    <t>17cv03680</t>
  </si>
  <si>
    <t>01/26/2017 - 10/31/2017</t>
  </si>
  <si>
    <t>17cv06160</t>
  </si>
  <si>
    <t>17cv04830</t>
  </si>
  <si>
    <t>17cv01760</t>
  </si>
  <si>
    <t>17cv00696</t>
  </si>
  <si>
    <t>17cv04846</t>
  </si>
  <si>
    <t>17cv03507</t>
  </si>
  <si>
    <t>17cv04937</t>
  </si>
  <si>
    <t>17cv04756</t>
  </si>
  <si>
    <t>17cv03400</t>
  </si>
  <si>
    <t>01/27/2015 - 04/10/2017</t>
  </si>
  <si>
    <t>17cv03280</t>
  </si>
  <si>
    <t>17cv01057</t>
  </si>
  <si>
    <t>17cv02399</t>
  </si>
  <si>
    <t>17cv03831</t>
  </si>
  <si>
    <t>17cv06207</t>
  </si>
  <si>
    <t>17cv04728</t>
  </si>
  <si>
    <t>17cv20997</t>
  </si>
  <si>
    <t>17cv05092</t>
  </si>
  <si>
    <t>17cv06454</t>
  </si>
  <si>
    <t>17cv02757</t>
  </si>
  <si>
    <t>17cv03570</t>
  </si>
  <si>
    <t>17cv00579</t>
  </si>
  <si>
    <t>17cv01677</t>
  </si>
  <si>
    <t>17cv04987</t>
  </si>
  <si>
    <t>17cv06857</t>
  </si>
  <si>
    <t>17cv80473</t>
  </si>
  <si>
    <t xml:space="preserve">Bob Evans Farms, Inc. </t>
  </si>
  <si>
    <t xml:space="preserve">Massey </t>
  </si>
  <si>
    <t xml:space="preserve">Calgon Carbon Corporation </t>
  </si>
  <si>
    <t xml:space="preserve">IXYS Corporation </t>
  </si>
  <si>
    <t xml:space="preserve">Omega Protein Corporation </t>
  </si>
  <si>
    <t xml:space="preserve">Ruby Tuesday, Inc. </t>
  </si>
  <si>
    <t xml:space="preserve">Silver Spring Networks, Inc. </t>
  </si>
  <si>
    <t xml:space="preserve">BroadSoft, Inc. </t>
  </si>
  <si>
    <t xml:space="preserve">Ocera Therapeutics, Inc. </t>
  </si>
  <si>
    <t xml:space="preserve">Gigamon, Inc. </t>
  </si>
  <si>
    <t xml:space="preserve">Planet Payment, Inc. </t>
  </si>
  <si>
    <t xml:space="preserve">Inventure Foods, Inc. </t>
  </si>
  <si>
    <t xml:space="preserve">Capella Education Company </t>
  </si>
  <si>
    <t xml:space="preserve">Paragon Commercial Corporation </t>
  </si>
  <si>
    <t xml:space="preserve">NewStar Financial, Inc. </t>
  </si>
  <si>
    <t>U.S. Energy Corp.</t>
  </si>
  <si>
    <t>MGC Diagnostics Corporation</t>
  </si>
  <si>
    <t xml:space="preserve">Impax Laboratories, Inc. </t>
  </si>
  <si>
    <t xml:space="preserve">Exactech, Inc. </t>
  </si>
  <si>
    <t xml:space="preserve">Deltic Timber Corporation </t>
  </si>
  <si>
    <t xml:space="preserve">JA Solar Holdings Co., Ltd. </t>
  </si>
  <si>
    <t xml:space="preserve">Bazaarvoice, Inc. </t>
  </si>
  <si>
    <t>Bonanza Creek Energy, Inc.</t>
  </si>
  <si>
    <t xml:space="preserve">Repros Therapeutics, Inc. </t>
  </si>
  <si>
    <t xml:space="preserve">General Cable Corporation </t>
  </si>
  <si>
    <t xml:space="preserve">Cavium, Inc. </t>
  </si>
  <si>
    <t xml:space="preserve">InterOil Corporation </t>
  </si>
  <si>
    <t xml:space="preserve">Dynegy Inc. </t>
  </si>
  <si>
    <t xml:space="preserve">Buffalo Wild Wings, Inc. </t>
  </si>
  <si>
    <t xml:space="preserve">Amplify Snack Brands, Inc. </t>
  </si>
  <si>
    <t xml:space="preserve">Stone Energy Corporation </t>
  </si>
  <si>
    <t xml:space="preserve">Barracuda Networks, Inc. </t>
  </si>
  <si>
    <t xml:space="preserve">Sprouts Farmers Market Incorporated </t>
  </si>
  <si>
    <t xml:space="preserve">Acadia Healthcare Company, Inc. </t>
  </si>
  <si>
    <t xml:space="preserve">Facebook, Inc. </t>
  </si>
  <si>
    <t xml:space="preserve">Funko, Inc. </t>
  </si>
  <si>
    <t>Prothena Corporation plc et. al.</t>
  </si>
  <si>
    <t>ACADIA Pharmaceuticals Inc.</t>
  </si>
  <si>
    <t>Longfin Corp.</t>
  </si>
  <si>
    <t>Overstock.com, Inc.</t>
  </si>
  <si>
    <t>Grupo Televisa</t>
  </si>
  <si>
    <t>Obalon Therapeutics, Inc.</t>
  </si>
  <si>
    <t>Xunlei Limited</t>
  </si>
  <si>
    <t>RYB Education Inc.</t>
  </si>
  <si>
    <t>ATEN</t>
  </si>
  <si>
    <t>02/09/2016 - 01/30/2018</t>
  </si>
  <si>
    <t>10/25/2013 - 09/18/2018</t>
  </si>
  <si>
    <t>02/23/2017 - 10/24/2017</t>
  </si>
  <si>
    <t>04/29/2016 - 07/09/2018</t>
  </si>
  <si>
    <t>08/25/2017 - 04/18/2018</t>
  </si>
  <si>
    <t>04/18/2016 - 11/14/2017</t>
  </si>
  <si>
    <t>10/31/2016 - 06/11/2018</t>
  </si>
  <si>
    <t>01/15/2018 - 05/21/2018</t>
  </si>
  <si>
    <t>11/14/2016 - 08/15/2017</t>
  </si>
  <si>
    <t>02/21/2017 - 01/11/2018</t>
  </si>
  <si>
    <t>04/28/2016 - 06/04/2018</t>
  </si>
  <si>
    <t>11/01/2017 - 01/16/2018</t>
  </si>
  <si>
    <t>02/27/2013 - 01/11/2018</t>
  </si>
  <si>
    <t>05/15/2017 - 06/05/2018</t>
  </si>
  <si>
    <t>03/01/2017 - 02/26/2018</t>
  </si>
  <si>
    <t>02/24/2015 - 11/03/2017</t>
  </si>
  <si>
    <t>06/08/2015 - 04/13/2018</t>
  </si>
  <si>
    <t>02/15/2018 - 09/12/2018</t>
  </si>
  <si>
    <t>04/23/2018 - 10/10/2018</t>
  </si>
  <si>
    <t>12/20/2016 - 08/01/2017</t>
  </si>
  <si>
    <t>12/14/2017 - 08/07/2018</t>
  </si>
  <si>
    <t>01/05/2018 - 01/05/2018</t>
  </si>
  <si>
    <t>08/07/2018 - 09/27/2018</t>
  </si>
  <si>
    <t>05/19/2016 - 11/09/2017</t>
  </si>
  <si>
    <t>07/27/2017 - 01/08/2018</t>
  </si>
  <si>
    <t>12/16/2015 - 03/17/2017</t>
  </si>
  <si>
    <t>03/13/2017 - 03/02/2018</t>
  </si>
  <si>
    <t>04/22/2015 - 01/08/2018</t>
  </si>
  <si>
    <t>09/30/2016 - 01/25/2018</t>
  </si>
  <si>
    <t>08/09/2007 - 06/30/2014</t>
  </si>
  <si>
    <t>02/19/2016 - 10/18/2018</t>
  </si>
  <si>
    <t>01/26/2016 - 12/22/2017</t>
  </si>
  <si>
    <t>01/09/2018 - 01/09/2018</t>
  </si>
  <si>
    <t>12/22/2017 - 12/22/2017</t>
  </si>
  <si>
    <t>05/08/2017 - 01/30/2018</t>
  </si>
  <si>
    <t>10/31/2017 - 10/31/2017</t>
  </si>
  <si>
    <t>12/27/2017 - 12/27/2017</t>
  </si>
  <si>
    <t>04/04/2013 - 03/02/2018</t>
  </si>
  <si>
    <t>01/27/2015 - 10/09/2016</t>
  </si>
  <si>
    <t>11/16/2017 - 11/16/2017</t>
  </si>
  <si>
    <t>11/02/2017 - 11/02/2017</t>
  </si>
  <si>
    <t>08/31/2017 - 05/17/2018</t>
  </si>
  <si>
    <t>03/08/2017 - 08/07/2018</t>
  </si>
  <si>
    <t>03/23/2017 - 04/02/2018</t>
  </si>
  <si>
    <t>11/30/2017 - 11/30/2017</t>
  </si>
  <si>
    <t>01/04/2016 - 08/07/2017</t>
  </si>
  <si>
    <t>01/02/2018 - 01/02/2018</t>
  </si>
  <si>
    <t>03/06/2004 - 04/30/2018</t>
  </si>
  <si>
    <t>02/14/2014 - 07/27/2018</t>
  </si>
  <si>
    <t>01/12/2015 - 02/27/2018</t>
  </si>
  <si>
    <t>08/14/2014 - 03/13/2018</t>
  </si>
  <si>
    <t>04/26/2017 - 10/25/2017</t>
  </si>
  <si>
    <t>07/30/2018 - 09/25/2018</t>
  </si>
  <si>
    <t>03/28/2017 - 04/13/2018</t>
  </si>
  <si>
    <t>09/23/2013 - 09/07/2018</t>
  </si>
  <si>
    <t>01/29/2018 - 02/05/2018</t>
  </si>
  <si>
    <t>03/20/2015 - 02/03/2016</t>
  </si>
  <si>
    <t>08/21/2018 - 08/30/2018</t>
  </si>
  <si>
    <t>06/19/2017 - 08/20/2018</t>
  </si>
  <si>
    <t>12/18/2017 - 12/18/2017</t>
  </si>
  <si>
    <t>03/20/2017 - 05/30/2018</t>
  </si>
  <si>
    <t>11/20/2017 - 08/10/2018</t>
  </si>
  <si>
    <t>01/04/2018 - 01/04/2018</t>
  </si>
  <si>
    <t>12/29/2017 - 03/27/2018</t>
  </si>
  <si>
    <t>03/15/2017 - 12/27/2017</t>
  </si>
  <si>
    <t>09/28/2015 - 02/28/2017</t>
  </si>
  <si>
    <t>02/22/2017 - 05/01/2018</t>
  </si>
  <si>
    <t>12/14/2017 - 12/14/2017</t>
  </si>
  <si>
    <t>04/20/2018 - 08/27/2018</t>
  </si>
  <si>
    <t>05/09/2017 - 07/10/2018</t>
  </si>
  <si>
    <t>10/20/2017 - 08/24/2018</t>
  </si>
  <si>
    <t>01/26/2017 - 04/26/2018</t>
  </si>
  <si>
    <t>11/06/2017 - 06/12/2018</t>
  </si>
  <si>
    <t>08/14/2013 - 05/03/2018</t>
  </si>
  <si>
    <t>08/19/2016 - 08/17/2017</t>
  </si>
  <si>
    <t>10/29/2017 - 04/02/2018</t>
  </si>
  <si>
    <t>10/29/2017 - 06/04/2018</t>
  </si>
  <si>
    <t>11/02/2016 - 07/31/2018</t>
  </si>
  <si>
    <t>12/15/2016 - 11/10/2017</t>
  </si>
  <si>
    <t>02/26/2013 - 01/12/2018</t>
  </si>
  <si>
    <t>08/04/2016 - 09/25/2017</t>
  </si>
  <si>
    <t>11/17/2017 - 11/17/2017</t>
  </si>
  <si>
    <t>09/30/2016 - 07/02/2018</t>
  </si>
  <si>
    <t>02/27/2017 - 05/07/2018</t>
  </si>
  <si>
    <t>11/02/2017 - 01/05/2018</t>
  </si>
  <si>
    <t>09/22/2016 - 04/20/2018</t>
  </si>
  <si>
    <t>04/11/2013 - 01/25/2018</t>
  </si>
  <si>
    <t>04/24/2017 - 10/23/2017</t>
  </si>
  <si>
    <t>08/15/2017 - 07/26/2018</t>
  </si>
  <si>
    <t>03/07/2013 - 02/12/2018</t>
  </si>
  <si>
    <t>05/14/2018 - 08/28/2018</t>
  </si>
  <si>
    <t>12/12/2017 - 12/12/2017</t>
  </si>
  <si>
    <t>11/03/2016 - 08/02/2018</t>
  </si>
  <si>
    <t>08/11/2015 - 05/07/2018</t>
  </si>
  <si>
    <t>07/27/2017 - 01/04/2018</t>
  </si>
  <si>
    <t>02/22/2017 - 02/22/2017</t>
  </si>
  <si>
    <t>11/20/2017 - 11/20/2017</t>
  </si>
  <si>
    <t>11/03/2017 - 11/03/2017</t>
  </si>
  <si>
    <t>05/15/2015 - 04/03/2018</t>
  </si>
  <si>
    <t>12/19/2017 - 12/19/2017</t>
  </si>
  <si>
    <t>11/13/2017 - 10/25/2018</t>
  </si>
  <si>
    <t>02/22/2013 - 02/07/2018</t>
  </si>
  <si>
    <t>02/11/2016 - 11/19/2017</t>
  </si>
  <si>
    <t>05/29/2013 - 10/12/2017</t>
  </si>
  <si>
    <t>10/25/2017 - 02/21/2018</t>
  </si>
  <si>
    <t>11/16/2017 - 05/10/2018</t>
  </si>
  <si>
    <t>02/07/2018 - 08/17/2018</t>
  </si>
  <si>
    <t>02/28/2015 - 04/25/2018</t>
  </si>
  <si>
    <t>06/29/2016 - 12/11/2017</t>
  </si>
  <si>
    <t>02/23/2017 - 03/30/2018</t>
  </si>
  <si>
    <t>02/28/2015 - 02/07/2018</t>
  </si>
  <si>
    <t>03/01/2017 - 07/26/2018</t>
  </si>
  <si>
    <t>12/13/2017 - 04/06/2018</t>
  </si>
  <si>
    <t>03/14/2016 - 05/18/2018</t>
  </si>
  <si>
    <t>02/22/2016 - 02/21/2018</t>
  </si>
  <si>
    <t>10/11/2017 - 10/11/2017</t>
  </si>
  <si>
    <t>10/24/2013 - 01/25/2017</t>
  </si>
  <si>
    <t>02/04/2016 - 07/27/2017</t>
  </si>
  <si>
    <t>10/24/2017 - 04/24/2018</t>
  </si>
  <si>
    <t>03/25/2016 - 07/13/2017</t>
  </si>
  <si>
    <t>02/27/2013 - 01/29/2018</t>
  </si>
  <si>
    <t>10/09/2015 - 09/07/2018</t>
  </si>
  <si>
    <t>09/01/2017 - 05/23/2018</t>
  </si>
  <si>
    <t>03/02/2018 - 08/09/2018</t>
  </si>
  <si>
    <t>03/07/2013 - 02/21/2018</t>
  </si>
  <si>
    <t>10/31/2014 - 08/02/2017</t>
  </si>
  <si>
    <t>08/07/2018 - 08/17/2018</t>
  </si>
  <si>
    <t>08/13/2014 - 03/12/2018</t>
  </si>
  <si>
    <t>11/29/2017 - 10/04/2018</t>
  </si>
  <si>
    <t>07/17/2014 - 07/03/2018</t>
  </si>
  <si>
    <t>01/08/2018 - 07/12/2018</t>
  </si>
  <si>
    <t>02/06/2017 - 01/24/2018</t>
  </si>
  <si>
    <t>12/04/2017 - 12/04/2017</t>
  </si>
  <si>
    <t>02/11/2016 - 07/25/2018</t>
  </si>
  <si>
    <t>03/30/2017 - 02/06/2018</t>
  </si>
  <si>
    <t>10/02/2016 - 01/23/2018</t>
  </si>
  <si>
    <t>06/24/2014 - 01/04/2018</t>
  </si>
  <si>
    <t>02/08/2017 - 10/31/2017</t>
  </si>
  <si>
    <t>09/26/2013 - 09/07/2018</t>
  </si>
  <si>
    <t>05/10/2017 - 03/19/2018</t>
  </si>
  <si>
    <t>08/08/2017 - 05/15/2018</t>
  </si>
  <si>
    <t>08/16/2013 - 12/06/2017</t>
  </si>
  <si>
    <t>01/08/2015 - 11/22/2017</t>
  </si>
  <si>
    <t>08/03/2017 - 03/26/2018</t>
  </si>
  <si>
    <t>02/25/2014 - 07/19/2018</t>
  </si>
  <si>
    <t>06/26/2015 - 02/28/2018</t>
  </si>
  <si>
    <t>02/14/2017 - 12/01/2017</t>
  </si>
  <si>
    <t>04/29/2015 - 06/08/2018</t>
  </si>
  <si>
    <t>07/26/2016 - 04/18/2018</t>
  </si>
  <si>
    <t>07/26/2016 - 12/20/2017</t>
  </si>
  <si>
    <t>07/23/2018 - 08/21/2018</t>
  </si>
  <si>
    <t>03/31/2017 - 06/22/2018</t>
  </si>
  <si>
    <t>04/24/2017 - 05/10/2018</t>
  </si>
  <si>
    <t>07/21/2016 - 09/06/2018</t>
  </si>
  <si>
    <t>10/15/2015 - 04/20/2018</t>
  </si>
  <si>
    <t>01/31/2018 - 03/12/2018</t>
  </si>
  <si>
    <t>05/10/2016 - 02/07/2018</t>
  </si>
  <si>
    <t>10/15/2017 - 12/12/2017</t>
  </si>
  <si>
    <t>02/10/2016 - 04/10/2018</t>
  </si>
  <si>
    <t>08/05/2015 - 09/07/2016</t>
  </si>
  <si>
    <t>07/31/2017 - 05/23/2018</t>
  </si>
  <si>
    <t>12/29/2017 - 12/29/2017</t>
  </si>
  <si>
    <t>10/09/2017 - 06/21/2018</t>
  </si>
  <si>
    <t>01/24/2017 - 06/08/2018</t>
  </si>
  <si>
    <t>10/04/2017 - 02/15/2018</t>
  </si>
  <si>
    <t>03/16/2018 - 06/26/2018</t>
  </si>
  <si>
    <t>11/08/2017 - 11/08/2017</t>
  </si>
  <si>
    <t>09/24/2017 - 11/22/2017</t>
  </si>
  <si>
    <t>05/05/2015 - 11/18/2015</t>
  </si>
  <si>
    <t>04/07/2017 - 06/26/2018</t>
  </si>
  <si>
    <t>08/24/2017 - 11/21/2017</t>
  </si>
  <si>
    <t>11/09/2017 - 11/09/2017</t>
  </si>
  <si>
    <t>02/22/2017 - 07/19/2018</t>
  </si>
  <si>
    <t>10/20/2017 - 07/19/2018</t>
  </si>
  <si>
    <t>01/22/2018 - 03/14/2018</t>
  </si>
  <si>
    <t>03/04/2015 - 03/02/2018</t>
  </si>
  <si>
    <t>06/08/2018 - 10/01/2018</t>
  </si>
  <si>
    <t>08/05/2016 - 01/30/2018</t>
  </si>
  <si>
    <t>10/03/2017 - 06/11/2018</t>
  </si>
  <si>
    <t>05/19/2017 - 05/10/2018</t>
  </si>
  <si>
    <t>05/04/2016 - 03/15/2018</t>
  </si>
  <si>
    <t>11/10/2016 - 11/14/2017</t>
  </si>
  <si>
    <t>04/26/2018 - 06/13/2018</t>
  </si>
  <si>
    <t>04/08/2013 - 07/17/2017</t>
  </si>
  <si>
    <t>03/14/2016 - 01/12/2018</t>
  </si>
  <si>
    <t>03/08/2017 - 02/13/2018</t>
  </si>
  <si>
    <t>06/04/2018 - 09/25/2018</t>
  </si>
  <si>
    <t>08/21/2017 - 12/18/2017</t>
  </si>
  <si>
    <t>02/24/2017 - 11/03/2017</t>
  </si>
  <si>
    <t>05/02/2016 - 10/09/2018</t>
  </si>
  <si>
    <t>05/07/2014 - 11/01/2017</t>
  </si>
  <si>
    <t>11/29/2017 - 07/16/2018</t>
  </si>
  <si>
    <t>02/16/2017 - 11/06/2017</t>
  </si>
  <si>
    <t>12/07/2017 - 12/07/2017</t>
  </si>
  <si>
    <t>12/11/2017 - 12/11/2017</t>
  </si>
  <si>
    <t>05/09/2013 - 02/20/2018</t>
  </si>
  <si>
    <t>03/30/2016 - 02/23/2018</t>
  </si>
  <si>
    <t>10/27/2016 - 05/02/2018</t>
  </si>
  <si>
    <t>11/09/2017 - 09/11/2018</t>
  </si>
  <si>
    <t>11/29/2017 - 11/29/2017</t>
  </si>
  <si>
    <t>01/04/2013 - 08/11/2016</t>
  </si>
  <si>
    <t>02/11/2015 - 01/11/2018</t>
  </si>
  <si>
    <t>02/11/2015 - 01/10/2018</t>
  </si>
  <si>
    <t>11/09/2017 - 03/20/2018</t>
  </si>
  <si>
    <t>05/05/2016 - 03/01/2018</t>
  </si>
  <si>
    <t>10/02/2015 - 10/02/2015</t>
  </si>
  <si>
    <t>02/28/2014 - 01/25/2018</t>
  </si>
  <si>
    <t>11/10/2017 - 11/10/2017</t>
  </si>
  <si>
    <t>10/10/2017 - 01/11/2018</t>
  </si>
  <si>
    <t>02/10/2017 - 05/09/2017</t>
  </si>
  <si>
    <t>01/07/2018 - 01/07/2018</t>
  </si>
  <si>
    <t>03/12/2018 - 07/10/2018</t>
  </si>
  <si>
    <t>ABBV</t>
  </si>
  <si>
    <t>ACHC</t>
  </si>
  <si>
    <t>ACET</t>
  </si>
  <si>
    <t>ACOR</t>
  </si>
  <si>
    <t>AYI</t>
  </si>
  <si>
    <t>ADNT</t>
  </si>
  <si>
    <t>AAP</t>
  </si>
  <si>
    <t>AMD</t>
  </si>
  <si>
    <t>ANW</t>
  </si>
  <si>
    <t>HIVE</t>
  </si>
  <si>
    <t>AFL</t>
  </si>
  <si>
    <t>AKER</t>
  </si>
  <si>
    <t>AKRX</t>
  </si>
  <si>
    <t>ALKS</t>
  </si>
  <si>
    <t>ALGT</t>
  </si>
  <si>
    <t>ALNY</t>
  </si>
  <si>
    <t>AMC</t>
  </si>
  <si>
    <t>AMPE</t>
  </si>
  <si>
    <t>BETR</t>
  </si>
  <si>
    <t>AQMS</t>
  </si>
  <si>
    <t>ARDM</t>
  </si>
  <si>
    <t>ARRY</t>
  </si>
  <si>
    <t>AFH</t>
  </si>
  <si>
    <t>AZZ</t>
  </si>
  <si>
    <t>BLDP</t>
  </si>
  <si>
    <t>OZK</t>
  </si>
  <si>
    <t>BAA</t>
  </si>
  <si>
    <t>CUDA</t>
  </si>
  <si>
    <t>BV</t>
  </si>
  <si>
    <t>BLCM</t>
  </si>
  <si>
    <t>BOBE</t>
  </si>
  <si>
    <t>BCEI</t>
  </si>
  <si>
    <t>BRFS</t>
  </si>
  <si>
    <t>BMY</t>
  </si>
  <si>
    <t>BSFT</t>
  </si>
  <si>
    <t>BWLD</t>
  </si>
  <si>
    <t>CCC</t>
  </si>
  <si>
    <t>CPB</t>
  </si>
  <si>
    <t>CWH</t>
  </si>
  <si>
    <t>CGIX</t>
  </si>
  <si>
    <t>CPLA</t>
  </si>
  <si>
    <t>CPTA</t>
  </si>
  <si>
    <t>CAVM</t>
  </si>
  <si>
    <t>CELG</t>
  </si>
  <si>
    <t>CX</t>
  </si>
  <si>
    <t>CHGG</t>
  </si>
  <si>
    <t>CALI</t>
  </si>
  <si>
    <t>COCP</t>
  </si>
  <si>
    <t>CS</t>
  </si>
  <si>
    <t>CRON</t>
  </si>
  <si>
    <t>CVSI</t>
  </si>
  <si>
    <t>DEL</t>
  </si>
  <si>
    <t>DY</t>
  </si>
  <si>
    <t>DYN</t>
  </si>
  <si>
    <t>EDGE</t>
  </si>
  <si>
    <t>EKSO</t>
  </si>
  <si>
    <t>EXAC</t>
  </si>
  <si>
    <t>FPI</t>
  </si>
  <si>
    <t>FLEX</t>
  </si>
  <si>
    <t>FLKS</t>
  </si>
  <si>
    <t>FLR</t>
  </si>
  <si>
    <t>FL</t>
  </si>
  <si>
    <t>GDS</t>
  </si>
  <si>
    <t>GE</t>
  </si>
  <si>
    <t>GNCA</t>
  </si>
  <si>
    <t>GSUM</t>
  </si>
  <si>
    <t>HAS</t>
  </si>
  <si>
    <t>HSIC</t>
  </si>
  <si>
    <t>HTHT</t>
  </si>
  <si>
    <t>PI</t>
  </si>
  <si>
    <t>INWK</t>
  </si>
  <si>
    <t>IOC</t>
  </si>
  <si>
    <t>IXYS</t>
  </si>
  <si>
    <t>JASO</t>
  </si>
  <si>
    <t>JNJ</t>
  </si>
  <si>
    <t>KATFF</t>
  </si>
  <si>
    <t>KBSTY</t>
  </si>
  <si>
    <t>KRA</t>
  </si>
  <si>
    <t>KLIC</t>
  </si>
  <si>
    <t>TAX</t>
  </si>
  <si>
    <t>LYV</t>
  </si>
  <si>
    <t>LOGM</t>
  </si>
  <si>
    <t>MIC</t>
  </si>
  <si>
    <t>MCK</t>
  </si>
  <si>
    <t>MD</t>
  </si>
  <si>
    <t>MRCY</t>
  </si>
  <si>
    <t>VIVO</t>
  </si>
  <si>
    <t>MET</t>
  </si>
  <si>
    <t>MGCD</t>
  </si>
  <si>
    <t>MGTI</t>
  </si>
  <si>
    <t>MCHP</t>
  </si>
  <si>
    <t>MDXG</t>
  </si>
  <si>
    <t>MOH</t>
  </si>
  <si>
    <t>NVRO</t>
  </si>
  <si>
    <t>NWL</t>
  </si>
  <si>
    <t>NEWS</t>
  </si>
  <si>
    <t>NLSN</t>
  </si>
  <si>
    <t>NOVN</t>
  </si>
  <si>
    <t>NQ</t>
  </si>
  <si>
    <t>OBLN</t>
  </si>
  <si>
    <t>OCRX</t>
  </si>
  <si>
    <t>OHRP</t>
  </si>
  <si>
    <t>OHI</t>
  </si>
  <si>
    <t>OPK</t>
  </si>
  <si>
    <t>ORA</t>
  </si>
  <si>
    <t>OSIS</t>
  </si>
  <si>
    <t>PBNC</t>
  </si>
  <si>
    <t>PDCO</t>
  </si>
  <si>
    <t>PCG</t>
  </si>
  <si>
    <t>PLPM</t>
  </si>
  <si>
    <t>PPG</t>
  </si>
  <si>
    <t>QTM</t>
  </si>
  <si>
    <t>QNST</t>
  </si>
  <si>
    <t>QRTEA</t>
  </si>
  <si>
    <t>REPH</t>
  </si>
  <si>
    <t>RPRX</t>
  </si>
  <si>
    <t>RIOT</t>
  </si>
  <si>
    <t>GAME</t>
  </si>
  <si>
    <t>SBGL</t>
  </si>
  <si>
    <t>SSNI</t>
  </si>
  <si>
    <t>SBGI</t>
  </si>
  <si>
    <t>SLDB</t>
  </si>
  <si>
    <t>SFIX</t>
  </si>
  <si>
    <t>SGY</t>
  </si>
  <si>
    <t>SMCI</t>
  </si>
  <si>
    <t>SYMC</t>
  </si>
  <si>
    <t>SYNC</t>
  </si>
  <si>
    <t>SGYP</t>
  </si>
  <si>
    <t>TAL</t>
  </si>
  <si>
    <t>ERIC</t>
  </si>
  <si>
    <t>CRCW</t>
  </si>
  <si>
    <t>TIME</t>
  </si>
  <si>
    <t>TVTY</t>
  </si>
  <si>
    <t>TRVN</t>
  </si>
  <si>
    <t>TCAP</t>
  </si>
  <si>
    <t>USEG</t>
  </si>
  <si>
    <t>ULTA</t>
  </si>
  <si>
    <t>UNM</t>
  </si>
  <si>
    <t>USAT</t>
  </si>
  <si>
    <t>USAB</t>
  </si>
  <si>
    <t>VNTV</t>
  </si>
  <si>
    <t>VOD</t>
  </si>
  <si>
    <t>VUZI</t>
  </si>
  <si>
    <t>WYNN</t>
  </si>
  <si>
    <t>XCRA</t>
  </si>
  <si>
    <t>XNET</t>
  </si>
  <si>
    <t>YELP</t>
  </si>
  <si>
    <t>YUME</t>
  </si>
  <si>
    <t>Rhode Island District Court</t>
  </si>
  <si>
    <t>Michigan Eastern District Court</t>
  </si>
  <si>
    <t>Florida Northern District Court</t>
  </si>
  <si>
    <t>Ohio Southern District Court</t>
  </si>
  <si>
    <t>Texas Sourthern District Court</t>
  </si>
  <si>
    <t>18cv01772</t>
  </si>
  <si>
    <t>18cv04772</t>
  </si>
  <si>
    <t>ACAD</t>
  </si>
  <si>
    <t>18cv01647</t>
  </si>
  <si>
    <t>original case dismissed before lp proceedings, new case brought</t>
  </si>
  <si>
    <t>18cv00988</t>
  </si>
  <si>
    <t>18cv02425</t>
  </si>
  <si>
    <t>17cv08997</t>
  </si>
  <si>
    <t>10/07/2015 - 04/03/2017</t>
  </si>
  <si>
    <t>18cv02140</t>
  </si>
  <si>
    <t>ADT</t>
  </si>
  <si>
    <t>18cv80668</t>
  </si>
  <si>
    <t>18cv00212</t>
  </si>
  <si>
    <t>18cv00321</t>
  </si>
  <si>
    <t>18cv04993</t>
  </si>
  <si>
    <t>18cv00435</t>
  </si>
  <si>
    <t>18cv00031</t>
  </si>
  <si>
    <t>18cv01713</t>
  </si>
  <si>
    <t>17cv09178</t>
  </si>
  <si>
    <t>18cv03417</t>
  </si>
  <si>
    <t>18cv00299</t>
  </si>
  <si>
    <t>18cv07476</t>
  </si>
  <si>
    <t>17cv07142</t>
  </si>
  <si>
    <t>18cv00261</t>
  </si>
  <si>
    <t>17cv02789</t>
  </si>
  <si>
    <t>18cv01640</t>
  </si>
  <si>
    <t>18cv00025</t>
  </si>
  <si>
    <t>Bank of Montreal</t>
  </si>
  <si>
    <t>Not sure what case this is referring to</t>
  </si>
  <si>
    <t>18cv01986</t>
  </si>
  <si>
    <t>18cv00338</t>
  </si>
  <si>
    <t>18cv02213</t>
  </si>
  <si>
    <t>18cv05612</t>
  </si>
  <si>
    <t>18cv07796</t>
  </si>
  <si>
    <t>18cv02352</t>
  </si>
  <si>
    <t>17cv08141</t>
  </si>
  <si>
    <t>18cv10174</t>
  </si>
  <si>
    <t>Colony NorthStar, Inc.</t>
  </si>
  <si>
    <t>CLNS</t>
  </si>
  <si>
    <t>18cv02888</t>
  </si>
  <si>
    <t>02/28/2017 - 03/01/2018</t>
  </si>
  <si>
    <t>17cv10114</t>
  </si>
  <si>
    <t>XIV</t>
  </si>
  <si>
    <t>18cv02268</t>
  </si>
  <si>
    <t>18cv01602</t>
  </si>
  <si>
    <t>18cv05104</t>
  </si>
  <si>
    <t>18cv08236</t>
  </si>
  <si>
    <t>18cv00001</t>
  </si>
  <si>
    <t>17cv05114</t>
  </si>
  <si>
    <t>18cv11438</t>
  </si>
  <si>
    <t>10/01/2017 - 07/25/2018</t>
  </si>
  <si>
    <t>18cv01725</t>
  </si>
  <si>
    <t>02/03/2017 - 07/25/2018</t>
  </si>
  <si>
    <t>18cv01771</t>
  </si>
  <si>
    <t>FAT</t>
  </si>
  <si>
    <t>18cv07469</t>
  </si>
  <si>
    <t>18cv02706</t>
  </si>
  <si>
    <t>18cv05493</t>
  </si>
  <si>
    <t>18cv01338</t>
  </si>
  <si>
    <t>18cv01492</t>
  </si>
  <si>
    <t>FNKO</t>
  </si>
  <si>
    <t>18cv00812</t>
  </si>
  <si>
    <t>18cv06960</t>
  </si>
  <si>
    <t>17cv12137</t>
  </si>
  <si>
    <t>18cv11477</t>
  </si>
  <si>
    <t>GOGO</t>
  </si>
  <si>
    <t>18cv04473</t>
  </si>
  <si>
    <t>18cv00193</t>
  </si>
  <si>
    <t>18cv03655</t>
  </si>
  <si>
    <t>TV</t>
  </si>
  <si>
    <t>18cv01979</t>
  </si>
  <si>
    <t>HMNY</t>
  </si>
  <si>
    <t>18cv06965</t>
  </si>
  <si>
    <t>18cv01428</t>
  </si>
  <si>
    <t>18cv05704</t>
  </si>
  <si>
    <t>18cv03914</t>
  </si>
  <si>
    <t>INTC</t>
  </si>
  <si>
    <t>IZEA</t>
  </si>
  <si>
    <t>18cv02784</t>
  </si>
  <si>
    <t>18cv01833</t>
  </si>
  <si>
    <t>17cv12188</t>
  </si>
  <si>
    <t>17cv10085</t>
  </si>
  <si>
    <t>18cv00591</t>
  </si>
  <si>
    <t>18cv03969</t>
  </si>
  <si>
    <t>18cv03635</t>
  </si>
  <si>
    <t>18cv02599</t>
  </si>
  <si>
    <t>17cv07327</t>
  </si>
  <si>
    <t>18cv03242</t>
  </si>
  <si>
    <t>LJMIX</t>
  </si>
  <si>
    <t>18cv01039</t>
  </si>
  <si>
    <t>18cv07285</t>
  </si>
  <si>
    <t>18cv02933</t>
  </si>
  <si>
    <t>MBVX</t>
  </si>
  <si>
    <t>18cv03608</t>
  </si>
  <si>
    <t>18cv61572</t>
  </si>
  <si>
    <t>18cv11434</t>
  </si>
  <si>
    <t>17cv00774</t>
  </si>
  <si>
    <t>18cv00780</t>
  </si>
  <si>
    <t>MFGP</t>
  </si>
  <si>
    <t>18cv06763</t>
  </si>
  <si>
    <t>18cv00830</t>
  </si>
  <si>
    <t>18cv03579</t>
  </si>
  <si>
    <t>18cv04865</t>
  </si>
  <si>
    <t>MYGN</t>
  </si>
  <si>
    <t>18cv00336</t>
  </si>
  <si>
    <t>18cv61631</t>
  </si>
  <si>
    <t>18cv05181</t>
  </si>
  <si>
    <t>18cv10878</t>
  </si>
  <si>
    <t>18cv07143</t>
  </si>
  <si>
    <t>17cv00999</t>
  </si>
  <si>
    <t>09/19/2016 - 01/26/2017</t>
  </si>
  <si>
    <t>18cv00096</t>
  </si>
  <si>
    <t>18cv00352</t>
  </si>
  <si>
    <t>18cv01284</t>
  </si>
  <si>
    <t>17cv08983</t>
  </si>
  <si>
    <t>18cv04844</t>
  </si>
  <si>
    <t>18cv00271</t>
  </si>
  <si>
    <t>17cv08841</t>
  </si>
  <si>
    <t>OSTK</t>
  </si>
  <si>
    <t>PZZA</t>
  </si>
  <si>
    <t>18cv07927</t>
  </si>
  <si>
    <t>18cv00871</t>
  </si>
  <si>
    <t>17cv06956</t>
  </si>
  <si>
    <t>18cv03509</t>
  </si>
  <si>
    <t>18cv08049</t>
  </si>
  <si>
    <t>17cv13504</t>
  </si>
  <si>
    <t>PDD</t>
  </si>
  <si>
    <t>18cv07625</t>
  </si>
  <si>
    <t>COOL</t>
  </si>
  <si>
    <t>18cv00510</t>
  </si>
  <si>
    <t>18cv04231</t>
  </si>
  <si>
    <t>PVG</t>
  </si>
  <si>
    <t>18cv08199</t>
  </si>
  <si>
    <t>PRTA</t>
  </si>
  <si>
    <t>18cv02865</t>
  </si>
  <si>
    <t>18cv01208</t>
  </si>
  <si>
    <t>18cv06208</t>
  </si>
  <si>
    <t>18cv00923</t>
  </si>
  <si>
    <t>QD</t>
  </si>
  <si>
    <t>17cv09741</t>
  </si>
  <si>
    <t>18cv02517</t>
  </si>
  <si>
    <t>18cv02300</t>
  </si>
  <si>
    <t>18cv02279</t>
  </si>
  <si>
    <t>HAIR</t>
  </si>
  <si>
    <t>18cv03712</t>
  </si>
  <si>
    <t>REVG</t>
  </si>
  <si>
    <t>18cv05095</t>
  </si>
  <si>
    <t>18cv02293</t>
  </si>
  <si>
    <t>18cv04253</t>
  </si>
  <si>
    <t>RYB</t>
  </si>
  <si>
    <t>17cv09261</t>
  </si>
  <si>
    <t>18cv02463</t>
  </si>
  <si>
    <t>18cv03721</t>
  </si>
  <si>
    <t>17cv09853</t>
  </si>
  <si>
    <t>18cv02445</t>
  </si>
  <si>
    <t>18cv08039</t>
  </si>
  <si>
    <t>18cv10587</t>
  </si>
  <si>
    <t>voluntarilly dismissed before lp deadline</t>
  </si>
  <si>
    <t>18cv00838</t>
  </si>
  <si>
    <t>SWCH</t>
  </si>
  <si>
    <t>18cv01471</t>
  </si>
  <si>
    <t>18cv02902</t>
  </si>
  <si>
    <t>18cv02979</t>
  </si>
  <si>
    <t>Synergy Pharmaceuticals, Inc.</t>
  </si>
  <si>
    <t>Synacor, Inc.</t>
  </si>
  <si>
    <t>Symantec Corporation</t>
  </si>
  <si>
    <t>Switch, Inc.</t>
  </si>
  <si>
    <t>Super Micro Computer, Inc.</t>
  </si>
  <si>
    <t>A10 Networks, Inc.</t>
  </si>
  <si>
    <t>AbbVie Inc.</t>
  </si>
  <si>
    <t>Acadia Healthcare Company, Inc.</t>
  </si>
  <si>
    <t>Aceto Corporation</t>
  </si>
  <si>
    <t>Acorda Therapeutics, Inc.</t>
  </si>
  <si>
    <t>Acuity Brands Inc.</t>
  </si>
  <si>
    <t>Adient plc</t>
  </si>
  <si>
    <t>ADT Inc.</t>
  </si>
  <si>
    <t>Advance Auto Parts, Inc.</t>
  </si>
  <si>
    <t>Advanced Micro Devices, Inc.</t>
  </si>
  <si>
    <t>Aegean Marine Petroleum Network Inc.</t>
  </si>
  <si>
    <t>Aerohive Networks, Inc.</t>
  </si>
  <si>
    <t>Aflac Incorporated</t>
  </si>
  <si>
    <t>Akers Biosciences, Inc.</t>
  </si>
  <si>
    <t>Akorn, Inc.</t>
  </si>
  <si>
    <t>Alkermes plc</t>
  </si>
  <si>
    <t>Allegiant Travel Company</t>
  </si>
  <si>
    <t>Alnylam Pharmaceuticals, Inc.</t>
  </si>
  <si>
    <t>Alphabet, Inc.</t>
  </si>
  <si>
    <t>AMC Entertainment Holdings, Inc.</t>
  </si>
  <si>
    <t>Ampio Pharmaceuticals, Inc.</t>
  </si>
  <si>
    <t>Aqua Metals, Inc.</t>
  </si>
  <si>
    <t>Aradigm Corporation</t>
  </si>
  <si>
    <t>Array Biopharma, Inc.</t>
  </si>
  <si>
    <t>Atlas Financial Holdings, Inc.</t>
  </si>
  <si>
    <t>AZZ, Inc.</t>
  </si>
  <si>
    <t>Ballard Power Systems, Inc.</t>
  </si>
  <si>
    <t>Bank OZK</t>
  </si>
  <si>
    <t>Banro Corporation</t>
  </si>
  <si>
    <t>Bellicum Pharmaceuticals, Inc.</t>
  </si>
  <si>
    <t>BRF S.A.</t>
  </si>
  <si>
    <t>Bristol-Myers Squibb Company</t>
  </si>
  <si>
    <t>Campbell Soup Company</t>
  </si>
  <si>
    <t>Camping World Holdings, Inc.</t>
  </si>
  <si>
    <t>Cancer Genetics, Inc.</t>
  </si>
  <si>
    <t>Capitala Finance Corp.</t>
  </si>
  <si>
    <t>CBS Corporation</t>
  </si>
  <si>
    <t>Celgene Corporation</t>
  </si>
  <si>
    <t>Cemex, S.A.B. de C.V.</t>
  </si>
  <si>
    <t>Cheetah Mobile Inc.</t>
  </si>
  <si>
    <t>Chegg, Inc.</t>
  </si>
  <si>
    <t>China Auto Logistics Inc.</t>
  </si>
  <si>
    <t>Cocrystal Pharma, Inc. f/k/a/ BioZone Pharmaceuticals, Inc.</t>
  </si>
  <si>
    <t>Credit Suisse Group AG</t>
  </si>
  <si>
    <t>Cronos Group, Inc.</t>
  </si>
  <si>
    <t>CV Sciences, Inc.</t>
  </si>
  <si>
    <t>Dycom Industries, Inc.</t>
  </si>
  <si>
    <t>Edge Therapeutics, Inc.</t>
  </si>
  <si>
    <t>Ekso Bionics Holdings, Inc.</t>
  </si>
  <si>
    <t>Farmland Partners Inc.</t>
  </si>
  <si>
    <t>FAT Brands, Inc.</t>
  </si>
  <si>
    <t>Flex Ltd.</t>
  </si>
  <si>
    <t>Flex Pharma, Inc.</t>
  </si>
  <si>
    <t>Fluor Corporation</t>
  </si>
  <si>
    <t>Foot Locker, Inc.</t>
  </si>
  <si>
    <t>Funko, Inc.</t>
  </si>
  <si>
    <t>GDS Holdings Limited</t>
  </si>
  <si>
    <t>General Electric Company</t>
  </si>
  <si>
    <t>Genocea Biosciences, Inc.</t>
  </si>
  <si>
    <t>Glencore plc</t>
  </si>
  <si>
    <t>Gogo Inc.</t>
  </si>
  <si>
    <t>Gridsum Holding Inc.</t>
  </si>
  <si>
    <t>Hasbro, Inc.</t>
  </si>
  <si>
    <t>Helios and Matheson Analytics, Inc.</t>
  </si>
  <si>
    <t>Henry Schein, Inc.</t>
  </si>
  <si>
    <t>Huazhu Group Ltd.</t>
  </si>
  <si>
    <t>Impinj, Inc.</t>
  </si>
  <si>
    <t>InnerWorkings, Inc.</t>
  </si>
  <si>
    <t>Intel Corporation</t>
  </si>
  <si>
    <t>Izea, Inc.</t>
  </si>
  <si>
    <t>Jianpu Technology Inc.</t>
  </si>
  <si>
    <t>Johnson and Johnson</t>
  </si>
  <si>
    <t>Katanga Mining Limited</t>
  </si>
  <si>
    <t>Kobe Steel, Ltd.</t>
  </si>
  <si>
    <t>Kraton Corporation</t>
  </si>
  <si>
    <t>Kulicke and Soffa Industries, Inc.</t>
  </si>
  <si>
    <t>Liberty Tax, Inc.</t>
  </si>
  <si>
    <t>Live Nation Entertainment, Inc.</t>
  </si>
  <si>
    <t>LJM Funds Management, Ltd.</t>
  </si>
  <si>
    <t>LogMeIn, Inc.</t>
  </si>
  <si>
    <t>MabVax Therapeutics Holdings</t>
  </si>
  <si>
    <t>Macquarie Infrastructure Corporation</t>
  </si>
  <si>
    <t>McKesson Corporation</t>
  </si>
  <si>
    <t>Mednax, Inc.</t>
  </si>
  <si>
    <t>Mercury Systems, Inc.</t>
  </si>
  <si>
    <t>Meridian Bioscience, Inc.</t>
  </si>
  <si>
    <t>MetLife, Inc.</t>
  </si>
  <si>
    <t>Micro Focus International plc</t>
  </si>
  <si>
    <t>Microchip Technology Incorporated</t>
  </si>
  <si>
    <t>MiMedx Group, Inc.</t>
  </si>
  <si>
    <t>Molina Healthcare, Inc.</t>
  </si>
  <si>
    <t>Namaste Technologies, Inc.</t>
  </si>
  <si>
    <t>Nevro Corporation</t>
  </si>
  <si>
    <t>Newell Brands, Inc.</t>
  </si>
  <si>
    <t>Nielsen Holdings PLC</t>
  </si>
  <si>
    <t>Novan, Inc.</t>
  </si>
  <si>
    <t>NQ Mobile, Inc.</t>
  </si>
  <si>
    <t>Ohr Pharmaceutical, Inc.</t>
  </si>
  <si>
    <t>Omega Healthcare Investors, Inc.</t>
  </si>
  <si>
    <t>Opko Health, Inc.</t>
  </si>
  <si>
    <t>Ormat Technologies, Inc.</t>
  </si>
  <si>
    <t>OSI Systems, Inc.</t>
  </si>
  <si>
    <t>Papa John's International, Inc.</t>
  </si>
  <si>
    <t>Patterson Companies, Inc.</t>
  </si>
  <si>
    <t>PG&amp;E Corporation</t>
  </si>
  <si>
    <t>Philip Morris International Inc.</t>
  </si>
  <si>
    <t>Pinduoduo Inc.</t>
  </si>
  <si>
    <t>PolarityTE</t>
  </si>
  <si>
    <t>PPG Industries, Inc.</t>
  </si>
  <si>
    <t>Prothena Corporation</t>
  </si>
  <si>
    <t>Quantum Corporation</t>
  </si>
  <si>
    <t>Qudian Inc.</t>
  </si>
  <si>
    <t>QuinStreet, Inc.</t>
  </si>
  <si>
    <t>Qurate Retail, Inc.</t>
  </si>
  <si>
    <t>Recro Pharma, Inc.</t>
  </si>
  <si>
    <t>Restoration Robotics, Inc.</t>
  </si>
  <si>
    <t>REV Group, Inc.</t>
  </si>
  <si>
    <t>Riot Blockchain, Inc.</t>
  </si>
  <si>
    <t>Shanda Games Limited</t>
  </si>
  <si>
    <t>Sibanye Gold Limited</t>
  </si>
  <si>
    <t>Sinclair Broadcast Group, Inc.</t>
  </si>
  <si>
    <t>Solid Biosciences, Inc.</t>
  </si>
  <si>
    <t>Stitch Fix, Inc.</t>
  </si>
  <si>
    <t>TAL Education Group</t>
  </si>
  <si>
    <t>Telefonaktiebolaget LM Ericsson</t>
  </si>
  <si>
    <t>Tesaro Incorporated</t>
  </si>
  <si>
    <t>The Crypto Company</t>
  </si>
  <si>
    <t>Time Inc.</t>
  </si>
  <si>
    <t>Tivity Health, Inc.</t>
  </si>
  <si>
    <t>Trevena, Inc.</t>
  </si>
  <si>
    <t>Triangle Capital Corporation</t>
  </si>
  <si>
    <t>TrueCar, Inc.</t>
  </si>
  <si>
    <t>Trust v. CalAtlantic Group, Inc.</t>
  </si>
  <si>
    <t>Ubiquiti Networks, Inc.</t>
  </si>
  <si>
    <t>Ulta Beauty, Inc.</t>
  </si>
  <si>
    <t>UNUM Group</t>
  </si>
  <si>
    <t>USA Technologies, Inc.</t>
  </si>
  <si>
    <t>USAmeriBancorp, Inc.</t>
  </si>
  <si>
    <t>Valeant Pharmaceuticals International, Inc.</t>
  </si>
  <si>
    <t>Vantiv, Inc.</t>
  </si>
  <si>
    <t>Vodafone Group Public Limited Company</t>
  </si>
  <si>
    <t>Vuzix Corporation</t>
  </si>
  <si>
    <t>Willis Towers Watson plc</t>
  </si>
  <si>
    <t>Wynn Resorts Limited</t>
  </si>
  <si>
    <t>Xcerra Corporation</t>
  </si>
  <si>
    <t>Yelp, Inc.</t>
  </si>
  <si>
    <t>YuMe, Inc.</t>
  </si>
  <si>
    <t>Fanhua, Inc.</t>
  </si>
  <si>
    <t>18cv00873</t>
  </si>
  <si>
    <t>18cv05480</t>
  </si>
  <si>
    <t>18cv03021</t>
  </si>
  <si>
    <t>TSRO</t>
  </si>
  <si>
    <t>18cv10086</t>
  </si>
  <si>
    <t>18cv06797</t>
  </si>
  <si>
    <t>17cv09157</t>
  </si>
  <si>
    <t>17cv01469</t>
  </si>
  <si>
    <t>17cv09102</t>
  </si>
  <si>
    <t>18cv02612</t>
  </si>
  <si>
    <t>UBNT</t>
  </si>
  <si>
    <t>18cv01620</t>
  </si>
  <si>
    <t>18cv01577</t>
  </si>
  <si>
    <t>18cv00128</t>
  </si>
  <si>
    <t>18cv06656</t>
  </si>
  <si>
    <t>WAGE</t>
  </si>
  <si>
    <t>18cv01549</t>
  </si>
  <si>
    <t>18cv00467</t>
  </si>
  <si>
    <t>18cv00400</t>
  </si>
  <si>
    <t>ZN</t>
  </si>
  <si>
    <t>18cv02067</t>
  </si>
  <si>
    <t>18cv09116</t>
  </si>
  <si>
    <t>18cv10521</t>
  </si>
  <si>
    <t>18cv08845</t>
  </si>
  <si>
    <t>18cv03544</t>
  </si>
  <si>
    <t>18cv00793</t>
  </si>
  <si>
    <t>18cv14385</t>
  </si>
  <si>
    <t>18cv07030</t>
  </si>
  <si>
    <t>18cv05956</t>
  </si>
  <si>
    <t>18cv14091</t>
  </si>
  <si>
    <t>18cv08047</t>
  </si>
  <si>
    <t>18cv81448</t>
  </si>
  <si>
    <t>FANH</t>
  </si>
  <si>
    <t>18cv08183</t>
  </si>
  <si>
    <t>18cv00543</t>
  </si>
  <si>
    <t>18cv08633</t>
  </si>
  <si>
    <t>JT</t>
  </si>
  <si>
    <t>18cv09848</t>
  </si>
  <si>
    <t>18cv06525</t>
  </si>
  <si>
    <t>18cv14380</t>
  </si>
  <si>
    <t>18cv02914</t>
  </si>
  <si>
    <t>NXTTF</t>
  </si>
  <si>
    <t>18cv08616</t>
  </si>
  <si>
    <t>18cv13834</t>
  </si>
  <si>
    <t>18cv09104</t>
  </si>
  <si>
    <t>18cv04378</t>
  </si>
  <si>
    <t>18cv06175</t>
  </si>
  <si>
    <t>18cv13759</t>
  </si>
  <si>
    <t>17cv08457</t>
  </si>
  <si>
    <t>02/27/2013 - 01/23/2018</t>
  </si>
  <si>
    <t>18cv02435</t>
  </si>
  <si>
    <t>Block &amp; Leviton LLP; Pomerantz LLP</t>
  </si>
  <si>
    <t xml:space="preserve">Cohen Milstein Sellers &amp; Toll PLLC; Robbins, Geller, Rudman &amp; Dowd, LLP </t>
  </si>
  <si>
    <t>17cv00667</t>
  </si>
  <si>
    <t>04/28/2016 - 10/24/2017</t>
  </si>
  <si>
    <t xml:space="preserve">Glancy Prongay &amp; Murray, LLP; The Rosen Law Firm, P.A. </t>
  </si>
  <si>
    <t xml:space="preserve">Gainey McKenna &amp; Egleston; Pomerantz LLP </t>
  </si>
  <si>
    <t>Scott &amp; Scott, LLP</t>
  </si>
  <si>
    <t xml:space="preserve">Glancy Prongay &amp; Murray, LLP; Pomerantz LLP </t>
  </si>
  <si>
    <t>16cv07967</t>
  </si>
  <si>
    <t>07/28/2015 - 10/29/2015</t>
  </si>
  <si>
    <t>Santander Securities, L.L.C.</t>
  </si>
  <si>
    <t>18cv00800</t>
  </si>
  <si>
    <t xml:space="preserve">Berman Tabacco; Levi &amp; Korsinsky, LLP </t>
  </si>
  <si>
    <t xml:space="preserve">Hach Rose Schirripa &amp; Cheverie LLP; Pomerantz LLP </t>
  </si>
  <si>
    <t>Credit Suisse Group</t>
  </si>
  <si>
    <t xml:space="preserve">Cohen Milstein Sellers &amp; Toll PLLC; Saxena White P.A. </t>
  </si>
  <si>
    <t>Cohen Milstein Sellers &amp; Toll PLLC; Levi &amp; Korsinsky, LLP</t>
  </si>
  <si>
    <t xml:space="preserve">Bernstein Litowitz Berger &amp; Grossmann LLP; Robbins, Geller, Rudman &amp; Dowd, LLP </t>
  </si>
  <si>
    <t xml:space="preserve">Robbins, Geller, Rudman &amp; Dowd, LLP; Saxena White P.A. </t>
  </si>
  <si>
    <t>Glancy Prongay &amp; Murray, LLP; Holzer &amp; Holzer, LLC; The Rosen Law Firm, P.A.</t>
  </si>
  <si>
    <t xml:space="preserve">Glancy Prongay &amp; Murray, LLP; Jack I. Zwick, Esq. </t>
  </si>
  <si>
    <t xml:space="preserve">Faruqi &amp; Faruqi, LLP; WeissLaw, LLP </t>
  </si>
  <si>
    <t xml:space="preserve">Glancy Prongay &amp; Murray, LLP; Holzer &amp; Holzer, LLC </t>
  </si>
  <si>
    <t>18cv03948</t>
  </si>
  <si>
    <t>11/03/2016 - 08/03/2017</t>
  </si>
  <si>
    <t>Cotiviti Holdings, Inc.</t>
  </si>
  <si>
    <t>AV Homes, Inc.</t>
  </si>
  <si>
    <t>Vectren Corporation</t>
  </si>
  <si>
    <t>Gramercy Property Trust</t>
  </si>
  <si>
    <t>DCT Industrial Trust Inc.</t>
  </si>
  <si>
    <t>Analogic Corporation</t>
  </si>
  <si>
    <t>Oclaro, Inc.</t>
  </si>
  <si>
    <t>CYS Investments, Inc.</t>
  </si>
  <si>
    <t>Community Bank</t>
  </si>
  <si>
    <t>Klondex Mines Ltd.</t>
  </si>
  <si>
    <t>Mattersight Corporation</t>
  </si>
  <si>
    <t>Fairmount Santrol Holdings, Inc.</t>
  </si>
  <si>
    <t>GGP, Inc.</t>
  </si>
  <si>
    <t>Columbia Pipeline Group, Inc.</t>
  </si>
  <si>
    <t>Myriad Genetics, Inc.</t>
  </si>
  <si>
    <t>8point3 Energy Partners LP</t>
  </si>
  <si>
    <t>Dr. Pepper Snapple Group, Inc.</t>
  </si>
  <si>
    <t>EarthLink Holdings Corp.</t>
  </si>
  <si>
    <t>Hardinge, Inc.</t>
  </si>
  <si>
    <t>MuleSoft, Inc.</t>
  </si>
  <si>
    <t>DST Systems, Inc.</t>
  </si>
  <si>
    <t>WageWorks, Inc.</t>
  </si>
  <si>
    <t>Kindred Healthcare, Inc.</t>
  </si>
  <si>
    <t>American Finance Trust, Inc.</t>
  </si>
  <si>
    <t>Almost Family, Inc.</t>
  </si>
  <si>
    <t>Southcross Energy Partners, L.P.</t>
  </si>
  <si>
    <t>InterOil Corporation</t>
  </si>
  <si>
    <t>Stone Energy Corporation</t>
  </si>
  <si>
    <t>Gigamon, Inc.</t>
  </si>
  <si>
    <t>Ocera Therapeutics, Inc.</t>
  </si>
  <si>
    <t>IXYS Corporation</t>
  </si>
  <si>
    <t>Towers Watson &amp; Co.</t>
  </si>
  <si>
    <t>New York Western District Court</t>
  </si>
  <si>
    <t>07/27/2018</t>
  </si>
  <si>
    <t>07/24/2018</t>
  </si>
  <si>
    <t>07/26/2018</t>
  </si>
  <si>
    <t>07/16/2018</t>
  </si>
  <si>
    <t>07/17/2018</t>
  </si>
  <si>
    <t>07/19/2018</t>
  </si>
  <si>
    <t>06/22/2018</t>
  </si>
  <si>
    <t>07/10/2018</t>
  </si>
  <si>
    <t>07/11/2018</t>
  </si>
  <si>
    <t>07/09/2018</t>
  </si>
  <si>
    <t>07/05/2018</t>
  </si>
  <si>
    <t>08/31/2018</t>
  </si>
  <si>
    <t>07/13/2018</t>
  </si>
  <si>
    <t>06/04/2018</t>
  </si>
  <si>
    <t>06/26/2018</t>
  </si>
  <si>
    <t>06/27/2018</t>
  </si>
  <si>
    <t>06/21/2018</t>
  </si>
  <si>
    <t>06/09/2018</t>
  </si>
  <si>
    <t>06/19/2018</t>
  </si>
  <si>
    <t>06/18/2018</t>
  </si>
  <si>
    <t>06/12/2018</t>
  </si>
  <si>
    <t>06/13/2018</t>
  </si>
  <si>
    <t>06/11/2018</t>
  </si>
  <si>
    <t>06/08/2018</t>
  </si>
  <si>
    <t>06/05/2018</t>
  </si>
  <si>
    <t>06/07/2018</t>
  </si>
  <si>
    <t>06/01/2018</t>
  </si>
  <si>
    <t>05/31/2018</t>
  </si>
  <si>
    <t>03/22/2018</t>
  </si>
  <si>
    <t>05/25/2018</t>
  </si>
  <si>
    <t>05/23/2018</t>
  </si>
  <si>
    <t>05/21/2018</t>
  </si>
  <si>
    <t>05/20/2018</t>
  </si>
  <si>
    <t>05/16/2018</t>
  </si>
  <si>
    <t>05/17/2018</t>
  </si>
  <si>
    <t>05/11/2018</t>
  </si>
  <si>
    <t>05/08/2018</t>
  </si>
  <si>
    <t>05/10/2018</t>
  </si>
  <si>
    <t>05/07/2018</t>
  </si>
  <si>
    <t>04/24/2018</t>
  </si>
  <si>
    <t>05/02/2018</t>
  </si>
  <si>
    <t>05/03/2018</t>
  </si>
  <si>
    <t>04/25/2018</t>
  </si>
  <si>
    <t>04/27/2018</t>
  </si>
  <si>
    <t>04/23/2018</t>
  </si>
  <si>
    <t>04/20/2018</t>
  </si>
  <si>
    <t>04/18/2018</t>
  </si>
  <si>
    <t>03/31/2018</t>
  </si>
  <si>
    <t>04/05/2018</t>
  </si>
  <si>
    <t>04/06/2018</t>
  </si>
  <si>
    <t>03/19/2018</t>
  </si>
  <si>
    <t>04/03/2018</t>
  </si>
  <si>
    <t>04/04/2018</t>
  </si>
  <si>
    <t>04/09/2018</t>
  </si>
  <si>
    <t>12/06/2017</t>
  </si>
  <si>
    <t>03/30/2018</t>
  </si>
  <si>
    <t>03/28/2018</t>
  </si>
  <si>
    <t>03/29/2018</t>
  </si>
  <si>
    <t>03/20/2018</t>
  </si>
  <si>
    <t>03/16/2018</t>
  </si>
  <si>
    <t>03/14/2018</t>
  </si>
  <si>
    <t>02/20/2018</t>
  </si>
  <si>
    <t>03/12/2018</t>
  </si>
  <si>
    <t>03/09/2018</t>
  </si>
  <si>
    <t>03/07/2018</t>
  </si>
  <si>
    <t>03/08/2018</t>
  </si>
  <si>
    <t>03/05/2018</t>
  </si>
  <si>
    <t>01/01/2018</t>
  </si>
  <si>
    <t>03/02/2018</t>
  </si>
  <si>
    <t>02/26/2018</t>
  </si>
  <si>
    <t>02/23/2018</t>
  </si>
  <si>
    <t>02/24/2018</t>
  </si>
  <si>
    <t>02/21/2018</t>
  </si>
  <si>
    <t>02/17/2018</t>
  </si>
  <si>
    <t>02/14/2018</t>
  </si>
  <si>
    <t>02/08/2018</t>
  </si>
  <si>
    <t>02/13/2018</t>
  </si>
  <si>
    <t>02/10/2018</t>
  </si>
  <si>
    <t>02/09/2018</t>
  </si>
  <si>
    <t>02/06/2018</t>
  </si>
  <si>
    <t>02/05/2018</t>
  </si>
  <si>
    <t>01/29/2018</t>
  </si>
  <si>
    <t>01/18/2018</t>
  </si>
  <si>
    <t>01/19/2018</t>
  </si>
  <si>
    <t>01/16/2018</t>
  </si>
  <si>
    <t>01/17/2018</t>
  </si>
  <si>
    <t>01/12/2018</t>
  </si>
  <si>
    <t>01/09/2018</t>
  </si>
  <si>
    <t>01/11/2018</t>
  </si>
  <si>
    <t>01/23/2018</t>
  </si>
  <si>
    <t>01/02/2018</t>
  </si>
  <si>
    <t>01/03/2018</t>
  </si>
  <si>
    <t>12/28/2017</t>
  </si>
  <si>
    <t>12/21/2017</t>
  </si>
  <si>
    <t>12/07/2017</t>
  </si>
  <si>
    <t>11/20/2017</t>
  </si>
  <si>
    <t>01/25/2018</t>
  </si>
  <si>
    <t>11/29/2017</t>
  </si>
  <si>
    <t>11/03/2017</t>
  </si>
  <si>
    <t>11/22/2017</t>
  </si>
  <si>
    <t>11/21/2017</t>
  </si>
  <si>
    <t>11/28/2017</t>
  </si>
  <si>
    <t>11/09/2017</t>
  </si>
  <si>
    <t>11/15/2017</t>
  </si>
  <si>
    <t>11/16/2017</t>
  </si>
  <si>
    <t>11/08/2017</t>
  </si>
  <si>
    <t>10/31/2017</t>
  </si>
  <si>
    <t>09/25/2018</t>
  </si>
  <si>
    <t>09/24/2018</t>
  </si>
  <si>
    <t>09/17/2018</t>
  </si>
  <si>
    <t>09/10/2018</t>
  </si>
  <si>
    <t>09/07/2018</t>
  </si>
  <si>
    <t>09/04/2018</t>
  </si>
  <si>
    <t>08/27/2018</t>
  </si>
  <si>
    <t>08/21/2018</t>
  </si>
  <si>
    <t>08/20/2018</t>
  </si>
  <si>
    <t>08/17/2018</t>
  </si>
  <si>
    <t>08/13/2018</t>
  </si>
  <si>
    <t>08/10/2018</t>
  </si>
  <si>
    <t>08/07/2018</t>
  </si>
  <si>
    <t>08/06/2018</t>
  </si>
  <si>
    <t>08/03/2018</t>
  </si>
  <si>
    <t>07/31/2018</t>
  </si>
  <si>
    <t>07/30/2018</t>
  </si>
  <si>
    <t>07/23/2018</t>
  </si>
  <si>
    <t>07/20/2018</t>
  </si>
  <si>
    <t>07/06/2018</t>
  </si>
  <si>
    <t>07/02/2018</t>
  </si>
  <si>
    <t>06/29/2018</t>
  </si>
  <si>
    <t>06/25/2018</t>
  </si>
  <si>
    <t>05/29/2018</t>
  </si>
  <si>
    <t>05/15/2018</t>
  </si>
  <si>
    <t>05/14/2018</t>
  </si>
  <si>
    <t>05/04/2018</t>
  </si>
  <si>
    <t>05/01/2018</t>
  </si>
  <si>
    <t>04/16/2018</t>
  </si>
  <si>
    <t>04/11/2018</t>
  </si>
  <si>
    <t>04/10/2018</t>
  </si>
  <si>
    <t>04/02/2018</t>
  </si>
  <si>
    <t>03/23/2018</t>
  </si>
  <si>
    <t>03/13/2018</t>
  </si>
  <si>
    <t>02/12/2018</t>
  </si>
  <si>
    <t>01/30/2018</t>
  </si>
  <si>
    <t>01/26/2018</t>
  </si>
  <si>
    <t>01/22/2018</t>
  </si>
  <si>
    <t>01/08/2018</t>
  </si>
  <si>
    <t>Duck Pond Partners, LP</t>
  </si>
  <si>
    <t>Ah Kit Too</t>
  </si>
  <si>
    <t>Anthony Illos</t>
  </si>
  <si>
    <t>Robert Spock</t>
  </si>
  <si>
    <t>Laila Thompson</t>
  </si>
  <si>
    <t>Peng Zhao</t>
  </si>
  <si>
    <t>Tian Tian</t>
  </si>
  <si>
    <t>Davin Noto</t>
  </si>
  <si>
    <t>John Catalano</t>
  </si>
  <si>
    <t>Walleye Trading, LLC</t>
  </si>
  <si>
    <t>Granite Point Capital</t>
  </si>
  <si>
    <t>Simon James</t>
  </si>
  <si>
    <t>Thomas W. Luczak</t>
  </si>
  <si>
    <t>David Harper</t>
  </si>
  <si>
    <t>Marco Carnevale</t>
  </si>
  <si>
    <t>Howard E. and Susan Derdiger</t>
  </si>
  <si>
    <t>Mitchell Johnson</t>
  </si>
  <si>
    <t>Joseph Paolantonio</t>
  </si>
  <si>
    <t>Siry Investments LP</t>
  </si>
  <si>
    <t>Thomas Wood</t>
  </si>
  <si>
    <t>Northern Ireland Local Government Officers Superannuation Committee</t>
  </si>
  <si>
    <t>John Reichmann</t>
  </si>
  <si>
    <t>Malcolm Jones</t>
  </si>
  <si>
    <t>Cecilia Turner</t>
  </si>
  <si>
    <t>Turner Insurance Agency, Inc.</t>
  </si>
  <si>
    <t>Albert G. Driver, Jr.</t>
  </si>
  <si>
    <t>Annette Driver Forry</t>
  </si>
  <si>
    <t>Douglas Barber</t>
  </si>
  <si>
    <t>Randall Seymour</t>
  </si>
  <si>
    <t>Daniel Lowman</t>
  </si>
  <si>
    <t>Michael Pera</t>
  </si>
  <si>
    <t>James Danigelis</t>
  </si>
  <si>
    <t>Michael Kuebler</t>
  </si>
  <si>
    <t>Michael Nisenshal</t>
  </si>
  <si>
    <t>Raul Hurtado</t>
  </si>
  <si>
    <t>A. Parikh</t>
  </si>
  <si>
    <t>Carl Berkelhammer</t>
  </si>
  <si>
    <t>Michael A. Motto</t>
  </si>
  <si>
    <t>Yedid Lawi</t>
  </si>
  <si>
    <t>Shashi Bubna</t>
  </si>
  <si>
    <t>Gotardo A. Rodrigues</t>
  </si>
  <si>
    <t>Herbert Barrientez</t>
  </si>
  <si>
    <t>Karl Kulpack</t>
  </si>
  <si>
    <t>Lodewikus Henning</t>
  </si>
  <si>
    <t>Yaaqov Boaz</t>
  </si>
  <si>
    <t>Edward Luschei</t>
  </si>
  <si>
    <t>John Butto</t>
  </si>
  <si>
    <t>Wolfgang and Christa Petran</t>
  </si>
  <si>
    <t>Maria Zingas</t>
  </si>
  <si>
    <t>Gehad Bisharat</t>
  </si>
  <si>
    <t>Michael Noonan</t>
  </si>
  <si>
    <t>Daniel Rogers</t>
  </si>
  <si>
    <t>Edgardo Guerrini</t>
  </si>
  <si>
    <t>John P. Cotis</t>
  </si>
  <si>
    <t>Louis Buttny</t>
  </si>
  <si>
    <t>Arthur J. Rosenthal</t>
  </si>
  <si>
    <t>Jeanette A. Carr</t>
  </si>
  <si>
    <t>Rosa Family Trust</t>
  </si>
  <si>
    <t>Saisravan Bharadwaj Karri</t>
  </si>
  <si>
    <t>Christopher Kane</t>
  </si>
  <si>
    <t>Rick Kizel</t>
  </si>
  <si>
    <t>Carlos Williams</t>
  </si>
  <si>
    <t>Joseph M. Norwood</t>
  </si>
  <si>
    <t>Hampshire County Council as Administering Authority of the Hampshire County Council Pension Fund</t>
  </si>
  <si>
    <t>Construction Laborers Pension Trust for Southern California</t>
  </si>
  <si>
    <t>Electricity Supply Pension Scheme</t>
  </si>
  <si>
    <t>Sheet Metal Workers 19 Pension Fund</t>
  </si>
  <si>
    <t>Yong Ahn</t>
  </si>
  <si>
    <t>Northeast Carpenters Benefit Funds</t>
  </si>
  <si>
    <t>Edward Lea</t>
  </si>
  <si>
    <t>Dios Asset Management PTE. LTD.</t>
  </si>
  <si>
    <t>Paul Herbst</t>
  </si>
  <si>
    <t>Edward Borges</t>
  </si>
  <si>
    <t>Ali Vafai</t>
  </si>
  <si>
    <t>Public Employees Retirement Association of New Mexico</t>
  </si>
  <si>
    <t>Los Angeles Fire and Police Pensions</t>
  </si>
  <si>
    <t>Richard E. and Sandra L. Volpi Trust July 4 2012</t>
  </si>
  <si>
    <t>Richard Volpi</t>
  </si>
  <si>
    <t>Volpi Family Trust July 30 2002</t>
  </si>
  <si>
    <t>Donna Henry and James R. Henry</t>
  </si>
  <si>
    <t>Brian Oard</t>
  </si>
  <si>
    <t>Jackson Hightshoe III</t>
  </si>
  <si>
    <t>Domenico Repaci</t>
  </si>
  <si>
    <t>John Papa</t>
  </si>
  <si>
    <t>Oscar Farach</t>
  </si>
  <si>
    <t>Kissimmee Utility Authority Employees Retirement Plan</t>
  </si>
  <si>
    <t>Donald Powell</t>
  </si>
  <si>
    <t>Thomas Moore</t>
  </si>
  <si>
    <t>Timothy Herbst</t>
  </si>
  <si>
    <t>Mac Costas</t>
  </si>
  <si>
    <t>City of Cape Coral Municipal Police Officers Retirement Plan</t>
  </si>
  <si>
    <t>Seth Marinoff</t>
  </si>
  <si>
    <t>Melvyn Klein</t>
  </si>
  <si>
    <t>Ramanitharan Rajaram</t>
  </si>
  <si>
    <t>Bradley Leach</t>
  </si>
  <si>
    <t>Gatubhai Mistry</t>
  </si>
  <si>
    <t>Anh Luu</t>
  </si>
  <si>
    <t>Nancy Nga Nguyen</t>
  </si>
  <si>
    <t>Keerthipati Venkateswarlu</t>
  </si>
  <si>
    <t>Andrew Pagliara</t>
  </si>
  <si>
    <t>Harold Brooks Moss</t>
  </si>
  <si>
    <t>Zhengyu He</t>
  </si>
  <si>
    <t>Stephen R. Waite</t>
  </si>
  <si>
    <t>Friedrich Koesters</t>
  </si>
  <si>
    <t>Nicholas Emmanuel</t>
  </si>
  <si>
    <t>Andreas Litsas</t>
  </si>
  <si>
    <t>Gregory James</t>
  </si>
  <si>
    <t>Silverback Opportunistic Credit Master Fund Limited</t>
  </si>
  <si>
    <t>Plumbers Pension Fund, Local 130, U.A.</t>
  </si>
  <si>
    <t>Terrance Micek</t>
  </si>
  <si>
    <t>Wenjeng Li</t>
  </si>
  <si>
    <t>Dale Green</t>
  </si>
  <si>
    <t>Yu Dai</t>
  </si>
  <si>
    <t>Kevin Lappi</t>
  </si>
  <si>
    <t>John Lemak</t>
  </si>
  <si>
    <t>JSL Kids Partners</t>
  </si>
  <si>
    <t>Sandor Capital Master Fund</t>
  </si>
  <si>
    <t>Stephen and Ann Marie Friscia</t>
  </si>
  <si>
    <t>Stephen Friscia as Trustee of the Stephen A Friscia Jr IRA</t>
  </si>
  <si>
    <t>Charles Clark</t>
  </si>
  <si>
    <t>Daniel Wessler</t>
  </si>
  <si>
    <t>John Alberici</t>
  </si>
  <si>
    <t>Ronald Davidson</t>
  </si>
  <si>
    <t>John D. Lawson</t>
  </si>
  <si>
    <t>Nelson Baker</t>
  </si>
  <si>
    <t>Ketankumar Shah</t>
  </si>
  <si>
    <t>Alessandro Marsella</t>
  </si>
  <si>
    <t>Eric Blackwell</t>
  </si>
  <si>
    <t>Robert Kraszewski</t>
  </si>
  <si>
    <t>Thomas French, Jr.</t>
  </si>
  <si>
    <t>Town of Fairfield Employees Retirement Plan</t>
  </si>
  <si>
    <t>Town of Fairfield Police and Firemens Retirement Plan</t>
  </si>
  <si>
    <t>Patrick Mehew</t>
  </si>
  <si>
    <t>Larry Hunt</t>
  </si>
  <si>
    <t>Husam Assaf</t>
  </si>
  <si>
    <t>Isabella Bertuccio</t>
  </si>
  <si>
    <t>Jaime Benavides</t>
  </si>
  <si>
    <t>Brian J. Whitehead</t>
  </si>
  <si>
    <t>Radek Tischler</t>
  </si>
  <si>
    <t>Warren Celeste</t>
  </si>
  <si>
    <t>Trevor Mild</t>
  </si>
  <si>
    <t>Joe Cammarata</t>
  </si>
  <si>
    <t>Pedro Reyes</t>
  </si>
  <si>
    <t>Image Securities Ltd.</t>
  </si>
  <si>
    <t>Itai Jaeger</t>
  </si>
  <si>
    <t>Thomas Walsh</t>
  </si>
  <si>
    <t>Dennis Dandeles</t>
  </si>
  <si>
    <t>Helene Gryfakis</t>
  </si>
  <si>
    <t>David Kipling</t>
  </si>
  <si>
    <t>Bristol County Retirement System</t>
  </si>
  <si>
    <t>Nancy Routhier</t>
  </si>
  <si>
    <t>Mahmood Khan</t>
  </si>
  <si>
    <t>Barry Schneider</t>
  </si>
  <si>
    <t>Jeffrey Fitzgibbon</t>
  </si>
  <si>
    <t>John Jennings</t>
  </si>
  <si>
    <t>Ravi Mallur</t>
  </si>
  <si>
    <t>XiangHong Ding</t>
  </si>
  <si>
    <t>Zhenbin Chen</t>
  </si>
  <si>
    <t>Marsha Tiller</t>
  </si>
  <si>
    <t>Henrietta Ftikas</t>
  </si>
  <si>
    <t>Steamfitters Local 449 Pension Plan</t>
  </si>
  <si>
    <t>Dale Boranko</t>
  </si>
  <si>
    <t>Paul Arthur Reimer</t>
  </si>
  <si>
    <t>James Goetz</t>
  </si>
  <si>
    <t>Thomas J. Stone Trust</t>
  </si>
  <si>
    <t>Moab Partners, L.P.</t>
  </si>
  <si>
    <t>Bernard Selz Revocable Trust</t>
  </si>
  <si>
    <t>Bernard T. Selz 2008 15-Year Charitable Lead Annuity Trust</t>
  </si>
  <si>
    <t>Bernard T. Selz 2008 20-year Charitable Lead Annuity Trust</t>
  </si>
  <si>
    <t>Karnak Partners, L.P.</t>
  </si>
  <si>
    <t>Lisa Pagliaro Selz Revocable Trust</t>
  </si>
  <si>
    <t>Selz Capital LLC</t>
  </si>
  <si>
    <t>Selz Family 2011 Trust</t>
  </si>
  <si>
    <t>Charles Brendon</t>
  </si>
  <si>
    <t>Sunyo Suhaimi</t>
  </si>
  <si>
    <t>Tenzin Dorji</t>
  </si>
  <si>
    <t>Andrew Goodwin</t>
  </si>
  <si>
    <t>Charles Bouley</t>
  </si>
  <si>
    <t>Joseph Mun</t>
  </si>
  <si>
    <t>Robert Herpst</t>
  </si>
  <si>
    <t>Stephen Cornell</t>
  </si>
  <si>
    <t>Michael Bonine</t>
  </si>
  <si>
    <t>Angus Walker</t>
  </si>
  <si>
    <t>Charles F. Liddell, Sr.</t>
  </si>
  <si>
    <t>Xeuchun Li</t>
  </si>
  <si>
    <t>Richard Dearnley</t>
  </si>
  <si>
    <t>Carl Pierce</t>
  </si>
  <si>
    <t>Michael Bernstein</t>
  </si>
  <si>
    <t>William Barth</t>
  </si>
  <si>
    <t>Lisa Fedick</t>
  </si>
  <si>
    <t>Amos Bakouple</t>
  </si>
  <si>
    <t>Sam Kirkpatrick</t>
  </si>
  <si>
    <t>Robert and Patricia Lopes</t>
  </si>
  <si>
    <t>David K. Higgins</t>
  </si>
  <si>
    <t>Christopher Hawkinson</t>
  </si>
  <si>
    <t>Kathryn A. Poser</t>
  </si>
  <si>
    <t>John Taylor</t>
  </si>
  <si>
    <t>Carina Perez-Cisneros Armenteros</t>
  </si>
  <si>
    <t>Jorge Ponsa-Rabell</t>
  </si>
  <si>
    <t>Marilu Cadilla-Rebolledo</t>
  </si>
  <si>
    <t>Dolores K. Cusson</t>
  </si>
  <si>
    <t>Georgios Papadopoulos</t>
  </si>
  <si>
    <t>Jack Cox</t>
  </si>
  <si>
    <t>Kenneth Haley</t>
  </si>
  <si>
    <t>IBEW Local 640-Arizona Chapter NECA Pension Trust Fund</t>
  </si>
  <si>
    <t>Fredrick M. Betz Irrevocable Trust</t>
  </si>
  <si>
    <t>Tim Carlisle</t>
  </si>
  <si>
    <t>Robert Murray</t>
  </si>
  <si>
    <t>Mohammad A. Malik</t>
  </si>
  <si>
    <t>Karthik Reddy</t>
  </si>
  <si>
    <t>Chen Wei</t>
  </si>
  <si>
    <t>Frank J. Fish</t>
  </si>
  <si>
    <t>Jasdeep Condle</t>
  </si>
  <si>
    <t>Saverio La Francesca</t>
  </si>
  <si>
    <t>Steven Highfill</t>
  </si>
  <si>
    <t>Charles Romoff</t>
  </si>
  <si>
    <t>Chanoch Shreiber</t>
  </si>
  <si>
    <t>Randy Clark</t>
  </si>
  <si>
    <t>Ruo Fen Zhang</t>
  </si>
  <si>
    <t>Spencer Roland Bueno</t>
  </si>
  <si>
    <t>Michael Eckert</t>
  </si>
  <si>
    <t>Edwin K. Bell</t>
  </si>
  <si>
    <t>Miao Liu</t>
  </si>
  <si>
    <t>Gurbax Khaira</t>
  </si>
  <si>
    <t>Ralph Smolak</t>
  </si>
  <si>
    <t>Ravinder Parmar</t>
  </si>
  <si>
    <t>Sukhjit Khaira</t>
  </si>
  <si>
    <t>James Webb</t>
  </si>
  <si>
    <t>David Cooper</t>
  </si>
  <si>
    <t>Allen E. Davis</t>
  </si>
  <si>
    <t>Charles Matthews</t>
  </si>
  <si>
    <t>Donald Fritschie</t>
  </si>
  <si>
    <t>George McGahren</t>
  </si>
  <si>
    <t>Kevin Matzke</t>
  </si>
  <si>
    <t>Kristine Matthews</t>
  </si>
  <si>
    <t>Philip K. Uehisa</t>
  </si>
  <si>
    <t>City of St. Petersburg Police Retirement System</t>
  </si>
  <si>
    <t>David Bravman</t>
  </si>
  <si>
    <t>Oswaldo Guglielmo</t>
  </si>
  <si>
    <t>Sunil Kawatra</t>
  </si>
  <si>
    <t>William DAmbruoso</t>
  </si>
  <si>
    <t>Wolfgang Fabschuetz</t>
  </si>
  <si>
    <t>Universal-Investment-Gesellschaft mbH</t>
  </si>
  <si>
    <t>David Monk</t>
  </si>
  <si>
    <t>Michael P. Carfagna</t>
  </si>
  <si>
    <t>Bilkish Patel</t>
  </si>
  <si>
    <t>Engin Taner</t>
  </si>
  <si>
    <t>Brian Gorman</t>
  </si>
  <si>
    <t>Stationary Engineers Local 39 Pension Trust Fund</t>
  </si>
  <si>
    <t>Carlos Llantada</t>
  </si>
  <si>
    <t>Richard Storm, Jr.</t>
  </si>
  <si>
    <t>Ekhlas Ahmed</t>
  </si>
  <si>
    <t>Shaolei Qiu</t>
  </si>
  <si>
    <t>David Silver and Michelle Silver GST</t>
  </si>
  <si>
    <t>Howard Cannon</t>
  </si>
  <si>
    <t>Naresh Puri</t>
  </si>
  <si>
    <t>Nick Singh</t>
  </si>
  <si>
    <t>Zero Labs Group, LLC</t>
  </si>
  <si>
    <t>Y-GAR Capital, LLC</t>
  </si>
  <si>
    <t>Kershner Trading Group, LLC</t>
  </si>
  <si>
    <t>ACM Ltd.</t>
  </si>
  <si>
    <t>Aleksandr Gamburg</t>
  </si>
  <si>
    <t>Nikolay Drozhzhinov</t>
  </si>
  <si>
    <t>Set Capital LLC</t>
  </si>
  <si>
    <t>Stefan Jager</t>
  </si>
  <si>
    <t>Princeton Opportunistic Credit Fund L.P.</t>
  </si>
  <si>
    <t>Andrew MacEntee</t>
  </si>
  <si>
    <t>Steven Trabish</t>
  </si>
  <si>
    <t>John Smolen</t>
  </si>
  <si>
    <t>BPRINT Investments LLC</t>
  </si>
  <si>
    <t>Julio Almeida</t>
  </si>
  <si>
    <t>ARS (BVI) Holding Ltd.</t>
  </si>
  <si>
    <t>Platinum International Wealth Corp.</t>
  </si>
  <si>
    <t>Osman Kazan</t>
  </si>
  <si>
    <t>Brian Rosenberg</t>
  </si>
  <si>
    <t>Integral Capital Management SARL</t>
  </si>
  <si>
    <t>New England Carpenters Guaranteed Annuity and Pension Funds</t>
  </si>
  <si>
    <t>Oklahoma Municipal Employees Retirement Plan</t>
  </si>
  <si>
    <t>Robin Hadden</t>
  </si>
  <si>
    <t>Electrical Workers Pension Fund, Local 103, I.B.E.W.</t>
  </si>
  <si>
    <t>Kansas City Missouri Employees Retirement System</t>
  </si>
  <si>
    <t>Joseph Salkowitz</t>
  </si>
  <si>
    <t>Stuart Neiss</t>
  </si>
  <si>
    <t>City of Miami General Employees &amp; Sanitation Employees Retirement Trust</t>
  </si>
  <si>
    <t>Joshi Living Trust</t>
  </si>
  <si>
    <t>Gabelli &amp; Co. Investment Advisors, Inc.</t>
  </si>
  <si>
    <t>Gabelli Funds, LLC</t>
  </si>
  <si>
    <t>Randolph E. Wise Revocable Living Trust</t>
  </si>
  <si>
    <t>Colleges of Applied Arts and Technology Pension Plan</t>
  </si>
  <si>
    <t>Melvin Gross</t>
  </si>
  <si>
    <t>Aram Hovasapyan</t>
  </si>
  <si>
    <t>Philip Fryman</t>
  </si>
  <si>
    <t>New York City Pension Funds</t>
  </si>
  <si>
    <t>Deka International S.A. Luxembourg</t>
  </si>
  <si>
    <t>Deka Investment GmbH</t>
  </si>
  <si>
    <t>International Fund Management S.A.</t>
  </si>
  <si>
    <t>Stichting Mn Services Aandelendfonds Noord Amerika</t>
  </si>
  <si>
    <t>Stichting Bedrijfstakpensioenfonds voor de Metalektro</t>
  </si>
  <si>
    <t>Stichting Pensioenfonds Metaal en Techniek</t>
  </si>
  <si>
    <t>Cynthia Busse</t>
  </si>
  <si>
    <t>Daniel Hurlbut</t>
  </si>
  <si>
    <t>Lawrence Banker</t>
  </si>
  <si>
    <t>Marlene Hurlbut</t>
  </si>
  <si>
    <t>Dr. Vaijinath Chakote</t>
  </si>
  <si>
    <t>Greg Hrasok</t>
  </si>
  <si>
    <t>John Murphy</t>
  </si>
  <si>
    <t>James Fitzpatrick</t>
  </si>
  <si>
    <t>Kevin Brice</t>
  </si>
  <si>
    <t>Hal and Penelope Wickey</t>
  </si>
  <si>
    <t>Norman MacPhee</t>
  </si>
  <si>
    <t>Scott Nelson</t>
  </si>
  <si>
    <t>Wayne Feuerherm</t>
  </si>
  <si>
    <t>Jeffrey Larsen</t>
  </si>
  <si>
    <t>Xiya Qian</t>
  </si>
  <si>
    <t>Pao Kue</t>
  </si>
  <si>
    <t>Saroor Alam</t>
  </si>
  <si>
    <t>Ben Hughes</t>
  </si>
  <si>
    <t>Frank J. Kosarek</t>
  </si>
  <si>
    <t>Kevin Ezell</t>
  </si>
  <si>
    <t>Lawrence Handler</t>
  </si>
  <si>
    <t>Sue Hughes</t>
  </si>
  <si>
    <t>The Francis Kosarek Jr. Trust</t>
  </si>
  <si>
    <t>Simon Lee</t>
  </si>
  <si>
    <t>Vivek Singhal</t>
  </si>
  <si>
    <t>Dr. Stanley Golovac</t>
  </si>
  <si>
    <t>Wai Lau</t>
  </si>
  <si>
    <t>Ashish Rana</t>
  </si>
  <si>
    <t>Joseph J. Klapper, Jr.</t>
  </si>
  <si>
    <t>Sonia Estoesta</t>
  </si>
  <si>
    <t>Jyontindra Patel</t>
  </si>
  <si>
    <t>Purple Mountain Trust</t>
  </si>
  <si>
    <t>Cyril Associates LLC</t>
  </si>
  <si>
    <t>Joyce Soll</t>
  </si>
  <si>
    <t>Stephen Soll</t>
  </si>
  <si>
    <t>Adele J. Bark</t>
  </si>
  <si>
    <t>Christopher Lyon</t>
  </si>
  <si>
    <t>Debra Katz</t>
  </si>
  <si>
    <t>Farhan Skaikh</t>
  </si>
  <si>
    <t>Lisa Karp</t>
  </si>
  <si>
    <t>George Lehmann</t>
  </si>
  <si>
    <t>Insured Benefit Plans, Inc.</t>
  </si>
  <si>
    <t>Normane Gillmann</t>
  </si>
  <si>
    <t>Globis Capital Advisors L.L.C.</t>
  </si>
  <si>
    <t>David Andrews</t>
  </si>
  <si>
    <t>Jun Hu</t>
  </si>
  <si>
    <t>Xinglie Zheng</t>
  </si>
  <si>
    <t>Fong Lau</t>
  </si>
  <si>
    <t>Kin Sun Ho</t>
  </si>
  <si>
    <t>Xiang Cao</t>
  </si>
  <si>
    <t>Metzler Asset Management GmbH</t>
  </si>
  <si>
    <t>Felix Iapichino</t>
  </si>
  <si>
    <t>Michael Kristensen</t>
  </si>
  <si>
    <t>Joseph Badolato</t>
  </si>
  <si>
    <t>Joseph Buck</t>
  </si>
  <si>
    <t>Michael Margulis</t>
  </si>
  <si>
    <t>Neha Kansara</t>
  </si>
  <si>
    <t>Shruti Lalan</t>
  </si>
  <si>
    <t>Robert McDonald</t>
  </si>
  <si>
    <t>Gary Cook</t>
  </si>
  <si>
    <t>Herbert Johnston</t>
  </si>
  <si>
    <t>Jerome Jennings</t>
  </si>
  <si>
    <t>Lance Migues</t>
  </si>
  <si>
    <t>Corey Stafford</t>
  </si>
  <si>
    <t>Cross Country Media and Sourcing, Inc.</t>
  </si>
  <si>
    <t>Robert Tilton</t>
  </si>
  <si>
    <t>Paragon National, LP</t>
  </si>
  <si>
    <t>Lynda Godkin</t>
  </si>
  <si>
    <t>High Country Capital Management</t>
  </si>
  <si>
    <t>SRS Capital Advisors, Inc.</t>
  </si>
  <si>
    <t>Tradition Capital Management LLC</t>
  </si>
  <si>
    <t>Charles Irvine</t>
  </si>
  <si>
    <t>Donn Glander</t>
  </si>
  <si>
    <t>Gustav Swanson</t>
  </si>
  <si>
    <t>Pell Limited Liability Company</t>
  </si>
  <si>
    <t>Dr. Larry and Marilyn Cohen</t>
  </si>
  <si>
    <t>Joseph N. Wilson</t>
  </si>
  <si>
    <t>Justin and Jenny Kaufman</t>
  </si>
  <si>
    <t>James Fruge</t>
  </si>
  <si>
    <t>John W. Kapouch</t>
  </si>
  <si>
    <t>MWH Investments, LLC</t>
  </si>
  <si>
    <t>Personal CFO Solutions, LLC</t>
  </si>
  <si>
    <t>John Sodec, Jr.</t>
  </si>
  <si>
    <t>David Kim</t>
  </si>
  <si>
    <t>Francisco Dos Ramos Alvarado</t>
  </si>
  <si>
    <t>Linda Silberstein</t>
  </si>
  <si>
    <t>Robert Kennard</t>
  </si>
  <si>
    <t>Dong Kang</t>
  </si>
  <si>
    <t>Gardiner Murphy</t>
  </si>
  <si>
    <t>Sudhir Kapoor</t>
  </si>
  <si>
    <t>Qiong Shen</t>
  </si>
  <si>
    <t>Oleg Fishman</t>
  </si>
  <si>
    <t>Frank Hall</t>
  </si>
  <si>
    <t>Board of Retirement of the San Diego County Employees Retirement Association (Core Plus and Real Return accounts)</t>
  </si>
  <si>
    <t>Christopher E. Kepa</t>
  </si>
  <si>
    <t>Pompano Beach Police &amp; Firefighters Retirement System</t>
  </si>
  <si>
    <t>Mardee Stirling</t>
  </si>
  <si>
    <t>GrowthQuest Capital Inc.</t>
  </si>
  <si>
    <t>The George Leon Family Trust</t>
  </si>
  <si>
    <t>Kanti Patel</t>
  </si>
  <si>
    <t>Qiling Chen</t>
  </si>
  <si>
    <t>Thomas Weisz</t>
  </si>
  <si>
    <t>Robert MacArthur</t>
  </si>
  <si>
    <t>Leonard  Stein</t>
  </si>
  <si>
    <t>Noelle Dunphy</t>
  </si>
  <si>
    <t>Yuejun Jiang</t>
  </si>
  <si>
    <t>Tongyan Wang</t>
  </si>
  <si>
    <t>Yuyan Jia</t>
  </si>
  <si>
    <t>Hesong Sun</t>
  </si>
  <si>
    <t>Andre Moreau</t>
  </si>
  <si>
    <t>Wayne Flores</t>
  </si>
  <si>
    <t>Kutjim Begaj</t>
  </si>
  <si>
    <t>Henry Pua Ang</t>
  </si>
  <si>
    <t>Pramela Dojoy</t>
  </si>
  <si>
    <t>Thomas Eric Underwood</t>
  </si>
  <si>
    <t>Darrel Dagdigian</t>
  </si>
  <si>
    <t>Howard Clark</t>
  </si>
  <si>
    <t>Theodore Anderson</t>
  </si>
  <si>
    <t>Anush M. Parikh</t>
  </si>
  <si>
    <t>Daniel A. Doornbos</t>
  </si>
  <si>
    <t>Caroline Korn</t>
  </si>
  <si>
    <t>Wayne Matott</t>
  </si>
  <si>
    <t>Bratya SPRL</t>
  </si>
  <si>
    <t>Zev Crawley</t>
  </si>
  <si>
    <t>Construction Industry and Laborers Joint Pension Trust</t>
  </si>
  <si>
    <t>Gady Davidian</t>
  </si>
  <si>
    <t>Jonathan Davis</t>
  </si>
  <si>
    <t>Naranbold Gantulga</t>
  </si>
  <si>
    <t>Linda Lao</t>
  </si>
  <si>
    <t>City of Riviera Beach General Employees Retirement System</t>
  </si>
  <si>
    <t>Robert Bluestone</t>
  </si>
  <si>
    <t>Larry Ladd</t>
  </si>
  <si>
    <t>Julie Wiegand</t>
  </si>
  <si>
    <t>Michael Dieter Birlenbach</t>
  </si>
  <si>
    <t>Richard Mross</t>
  </si>
  <si>
    <t>Ardeshir Sidhwa</t>
  </si>
  <si>
    <t>Walter Bresnahan</t>
  </si>
  <si>
    <t>Luca Iannone</t>
  </si>
  <si>
    <t>Thomas Johnson</t>
  </si>
  <si>
    <t>Vladimir Marchenko</t>
  </si>
  <si>
    <t>Avner Davidian</t>
  </si>
  <si>
    <t>IBEW Local 353 Pension Plan</t>
  </si>
  <si>
    <t>William Manghisi</t>
  </si>
  <si>
    <t>Arad Gharagozli</t>
  </si>
  <si>
    <t>William Buckley</t>
  </si>
  <si>
    <t>Daniel E. Tavares</t>
  </si>
  <si>
    <t>Meerain Ali</t>
  </si>
  <si>
    <t>John and Ruth Hessen</t>
  </si>
  <si>
    <t>Prakash Shani and Lai Ming Shani Yit</t>
  </si>
  <si>
    <t>James Myers</t>
  </si>
  <si>
    <t>Karen Rehm</t>
  </si>
  <si>
    <t>Thomas Henry</t>
  </si>
  <si>
    <t>Melanie A. Cissone</t>
  </si>
  <si>
    <t>Daniel Aude</t>
  </si>
  <si>
    <t>Sanford B. Salzman</t>
  </si>
  <si>
    <t>Darryl Ledet</t>
  </si>
  <si>
    <t>Erik Pohl</t>
  </si>
  <si>
    <t>Stevy Dingus</t>
  </si>
  <si>
    <t>Karen Story</t>
  </si>
  <si>
    <t>William Rubenstahl</t>
  </si>
  <si>
    <t>Guodong Chen</t>
  </si>
  <si>
    <t>Hassan Yahfoufi</t>
  </si>
  <si>
    <t>Paul van Loon</t>
  </si>
  <si>
    <t>Rose Mauro</t>
  </si>
  <si>
    <t>Patrick Beland</t>
  </si>
  <si>
    <t>RSL Senior Partners LLC</t>
  </si>
  <si>
    <t>Ronald Ordway</t>
  </si>
  <si>
    <t>Andrew Singer</t>
  </si>
  <si>
    <t>Jesse L. Peterson</t>
  </si>
  <si>
    <t>Paul Jordan</t>
  </si>
  <si>
    <t>1103371 Ontario Ltd.</t>
  </si>
  <si>
    <t>Denis Taillefer</t>
  </si>
  <si>
    <t>Darwin Sutanto</t>
  </si>
  <si>
    <t>Chunlei He</t>
  </si>
  <si>
    <t>Kaib Global Fund LP</t>
  </si>
  <si>
    <t>Joel Fu</t>
  </si>
  <si>
    <t>Alan B. Hertz</t>
  </si>
  <si>
    <t>Alan Hertz Family 2012 Trust</t>
  </si>
  <si>
    <t>Graphic Communications Conference of the International Brotherhood of Teamsters National Pension Fund</t>
  </si>
  <si>
    <t>Police Retirement System of St. Louis</t>
  </si>
  <si>
    <t>Lloyd Sigman</t>
  </si>
  <si>
    <t>Brian Horn</t>
  </si>
  <si>
    <t>Joseph Baione</t>
  </si>
  <si>
    <t>John E. Golub</t>
  </si>
  <si>
    <t>Samuel P. Clarke</t>
  </si>
  <si>
    <t>William Paulus</t>
  </si>
  <si>
    <t>Jin Jiang</t>
  </si>
  <si>
    <t>El Paso Firemen &amp; Policemens Pension Fund</t>
  </si>
  <si>
    <t>Norman Heinze</t>
  </si>
  <si>
    <t>Charles Davis</t>
  </si>
  <si>
    <t>Tongyan Wang and Yuyan Jia</t>
  </si>
  <si>
    <t>Jerry Sanchez</t>
  </si>
  <si>
    <t>Peter Voulgaris</t>
  </si>
  <si>
    <t>Jeanette Jennings</t>
  </si>
  <si>
    <t>Robert Nauman</t>
  </si>
  <si>
    <t>Robert Lubran</t>
  </si>
  <si>
    <t>Local 731 I.B. of T. Private Scavenger and Garage Attendants Pension Trust Fund</t>
  </si>
  <si>
    <t>Westmoreland County Employees Retirement System</t>
  </si>
  <si>
    <t>Greater Manchester Pension Fund</t>
  </si>
  <si>
    <t>Hudson Bay Master Fund Ltd.</t>
  </si>
  <si>
    <t>The Regents of the University of California</t>
  </si>
  <si>
    <t>Geraldine Checkman</t>
  </si>
  <si>
    <t>Chi Wai Leung</t>
  </si>
  <si>
    <t>Steven Lynn Koeppel</t>
  </si>
  <si>
    <t>Susan Marie Koeppel</t>
  </si>
  <si>
    <t>Yun Cheng</t>
  </si>
  <si>
    <t>LifeWise Family Financial Security, Inc.</t>
  </si>
  <si>
    <t>Julie Serrano</t>
  </si>
  <si>
    <t>Henry Werdenberg and Lilia Werdenberg Joint Living Trust</t>
  </si>
  <si>
    <t>Lawrence Wolfe</t>
  </si>
  <si>
    <t>Phyllis Levy</t>
  </si>
  <si>
    <t>Michael Hague</t>
  </si>
  <si>
    <t>Nathan Joseph Dole</t>
  </si>
  <si>
    <t>Wayne A. Wingard</t>
  </si>
  <si>
    <t>Park Employees Annuity &amp; Benefit Fund of Chicago</t>
  </si>
  <si>
    <t>Barbara Forman</t>
  </si>
  <si>
    <t>Royce Setzer</t>
  </si>
  <si>
    <t>Hannah Rose Trust</t>
  </si>
  <si>
    <t>Cynthia Peterson</t>
  </si>
  <si>
    <t>Glenn Fausz</t>
  </si>
  <si>
    <t>Hong Jun</t>
  </si>
  <si>
    <t>Patricia Zaborowski</t>
  </si>
  <si>
    <t>Simona Vacchieri</t>
  </si>
  <si>
    <t>Michael Masterson</t>
  </si>
  <si>
    <t>Sheldon Groner</t>
  </si>
  <si>
    <t>Barry Heaney</t>
  </si>
  <si>
    <t>Mark Haness</t>
  </si>
  <si>
    <t>Lirio Fiocchi</t>
  </si>
  <si>
    <t>Omer Yuksel</t>
  </si>
  <si>
    <t>Raul Zamudio</t>
  </si>
  <si>
    <t>Satya Kunapuli</t>
  </si>
  <si>
    <t>Scott C. Hartmann</t>
  </si>
  <si>
    <t>Mauricio Racauchi</t>
  </si>
  <si>
    <t>Van Phan</t>
  </si>
  <si>
    <t>Combined Shares Held</t>
  </si>
  <si>
    <t>FIFO &amp; LIFO</t>
  </si>
  <si>
    <t>LIFO/DURA</t>
  </si>
  <si>
    <t>Glancy Prongay &amp; Murray, LLP; Holzer &amp; Holzer, LLC (local/liaison)</t>
  </si>
  <si>
    <t>Keller Lenkner LLC</t>
  </si>
  <si>
    <t>Labaton Sucharow LLP; Levi &amp; Korsinsky, LLP</t>
  </si>
  <si>
    <t>Holzer &amp; Holzer, LLC; Pomerantz LLP; Hedin Hall LLP (local/liaison)</t>
  </si>
  <si>
    <t>Spector Roseman Kodroff &amp; Willis, P.C.; Cullin O'Brien Law, P.A. (local/liaison)</t>
  </si>
  <si>
    <t>Bernstein Litowitz Berger &amp; Grossmann LLP; Saxena White P.A. (local/liaison)</t>
  </si>
  <si>
    <t>Levi &amp; Korsinsky, LLP; The Shuman Law Firm (local/liaison)</t>
  </si>
  <si>
    <t>Bernstein Liebhard LLP; Berens Law LLC (local/liaison)</t>
  </si>
  <si>
    <t>Block &amp; Leviton LLP; Pomerantz LLP; Berg Hill Greenleaf Ruscitti LLP (local/liaison)</t>
  </si>
  <si>
    <t>Ademi &amp; O'Reilly, LLP; Monteverde &amp; Associates PC; WeissLaw, LLP; Shartzer Law Firm, LLC (local/liaison)</t>
  </si>
  <si>
    <t>Robbins, Geller, Rudman &amp; Dowd, LLP; Johnson Fistel, LLP (local/liaison)</t>
  </si>
  <si>
    <t>The Rosen Law Firm, P.A.; Hall &amp; George PLLC (local/liaison)</t>
  </si>
  <si>
    <t>Glancy Prongay &amp; Murray, LLP; Christensen &amp; Jensen, P.C. (local/liaison)</t>
  </si>
  <si>
    <t>Holzer &amp; Holzer, LLC; Pomerantz LLP; Harper Law, PLC (local/liaison)</t>
  </si>
  <si>
    <t>Levi &amp; Korsinsky, LLP; DiTommaso Lubin Austermuehle, PC (local/liaison)</t>
  </si>
  <si>
    <t>Glancy Prongay &amp; Murray, LLP; Lawrence Kamin, LLC (local/liaison)</t>
  </si>
  <si>
    <t>Robbins, Geller, Rudman &amp; Dowd, LLP; Johnson Fistel, LLP (local/liaison)The Carmel Law Group (local/liaison)</t>
  </si>
  <si>
    <t>Kahn Swick &amp; Foti, LLC; Monteverde &amp; Associates PC; Ademi &amp; O'Reilly, LLP (local/liaison)Block &amp; Leviton LLP (local/liaison)</t>
  </si>
  <si>
    <t>Labaton Sucharow LLP; Spector Roseman Kodroff &amp; Willis, P.C.; Carella, Byrne, Cecchi, Olstein, Brody &amp; Agnello P.C. (local/liaison)</t>
  </si>
  <si>
    <t>Labaton Sucharow LLP; Kerr &amp; Wagstaffe LLP (local/liaison)</t>
  </si>
  <si>
    <t>Cohen Milstein Sellers &amp; Toll PLLC; Hagens Berman Sobol Shapiro LLP (local/liaison)</t>
  </si>
  <si>
    <t>Bernstein Liebhard LLP; Law Offices of Jan Meyer &amp; Associates, P.C. (local/liaison)</t>
  </si>
  <si>
    <t>Glancy Prongay &amp; Murray, LLP; Muehlbauer Law Office, Ltd. (local/liaison)</t>
  </si>
  <si>
    <t>Pomerantz LLP; The Rosen Law Firm, P.A.; Leverty &amp; Associates Law CHTD (local/liaison)</t>
  </si>
  <si>
    <t>Glancy Prongay &amp; Murray, LLP; Holley Driggs Walch Fine Wray Puzey &amp; Thompson (local/liaison)</t>
  </si>
  <si>
    <t>Pomerantz LLP; Muehlbauer Law Office, Ltd. (local/liaison)</t>
  </si>
  <si>
    <t>Bernstein Liebhard LLP; Leverty &amp; Associates Law CHTD (local/liaison)</t>
  </si>
  <si>
    <t>Robbins, Geller, Rudman &amp; Dowd, LLP; The O'Mara Law Firm, P.C. (local/liaison)</t>
  </si>
  <si>
    <t>Wolf Haldenstein Adler Freeman &amp; Herz LLP; Pitta LLP (local/liaison)</t>
  </si>
  <si>
    <t>Gainey McKenna &amp; Egleston; Green &amp; Noblin, P.C. (local/liaison)</t>
  </si>
  <si>
    <t>Bernstein Liebhard LLP; Law Office of Peter Fredman PC (local/liaison)</t>
  </si>
  <si>
    <t>Bronstein, Gewirtz &amp; Grossman, LLC; The Kehoe Law Firm</t>
  </si>
  <si>
    <t>Bernstein Liebhard LLP; Pomerantz LLP (local/liaison)</t>
  </si>
  <si>
    <t>Pomerantz LLP; Kaskela Law LLC (local/liaison)</t>
  </si>
  <si>
    <t>Levi &amp; Korsinsky, LLP; Aldrich Law Firm, Ltd. (local/liaison)</t>
  </si>
  <si>
    <t>Kahn Swick &amp; Foti, LLC; Monteverde &amp; Associates PC; Muckleroy Lunt, LLC (local/liaison)</t>
  </si>
  <si>
    <t>Bragar Eagel &amp; Squire, PC; Kirby McInerney LLP</t>
  </si>
  <si>
    <t>Levi &amp; Korsinsky, LLP; Brian Lauten, P.C. (local/liaison)</t>
  </si>
  <si>
    <t>Robbins, Geller, Rudman &amp; Dowd, LLP; Kendall Law Group, LLP (local/liaison)VanOverbeke Michaud &amp; Timmony, P.C. (local/liaison)</t>
  </si>
  <si>
    <t>Thornton Law Firm LLP</t>
  </si>
  <si>
    <t>Kahn Swick &amp; Foti, LLC; Vianale &amp; Vianale LLP (local/liaison)</t>
  </si>
  <si>
    <t>Pomerantz LLP; Hedin Hall LLP (local/liaison)</t>
  </si>
  <si>
    <t>Franklin D. Azar &amp; Associates, P.C.; Thornton Law Firm LLP</t>
  </si>
  <si>
    <t>Levi &amp; Korsinsky, LLP; Monteverde &amp; Associates PC; Karon LLC (local/liaison)</t>
  </si>
  <si>
    <t>Entwistle &amp; Cappucci LLP; Farnan, LLP (local/liaison)Scott &amp; Scott,  LLP (local/liaison)</t>
  </si>
  <si>
    <t>Bernstein Litowitz Berger &amp; Grossmann LLP; Olshan Frome Wolosky LLP (local/liaison)</t>
  </si>
  <si>
    <t>Cera LLP; Kaplan Fox &amp; Kilsheimer LLP (local/liaison)</t>
  </si>
  <si>
    <t>Robbins, Geller, Rudman &amp; Dowd, LLP; The Law Firm of David H. Conroy (local/liaison)</t>
  </si>
  <si>
    <t>Glancy Prongay &amp; Murray, LLP; Pomerantz LLP; Peters Scofield (local/liaison)</t>
  </si>
  <si>
    <t>Espada, Minana &amp; Pedrosa Law Offices, PSC; Quetglas Law Offices</t>
  </si>
  <si>
    <t>Robbins, Geller, Rudman &amp; Dowd, LLP; Carney Bates &amp; Pulliam, PLLC (local/liaison)Johnson Fistel, LLP (local/liaison)</t>
  </si>
  <si>
    <t>Federman &amp; Sherwood; The Rosen Law Firm, P.A.</t>
  </si>
  <si>
    <t>Quinn Emanuel Urquhart &amp; Sullivan, LLP; Robbins, Geller, Rudman &amp; Dowd, LLP</t>
  </si>
  <si>
    <t>Saxena White P.A.; Kaplan Fox &amp; Kilsheimer LLP (local/liaison)</t>
  </si>
  <si>
    <t>Saxena White P.A.; Robins Kaplan LLP (local/liaison)</t>
  </si>
  <si>
    <t>Abraham, Fruchter &amp; Twersky, LLP; Zimmerman Reed, PLLP (local/liaison)</t>
  </si>
  <si>
    <t>Levi &amp; Korsinsky, LLP; Abbott Law Firm (local/liaison)</t>
  </si>
  <si>
    <t>Pomerantz LLP; Peters Scofield (local/liaison)</t>
  </si>
  <si>
    <t>Bleichmar Fonti &amp; Auld LLP; The Rosen Law Firm, P.A. (local/liaison)</t>
  </si>
  <si>
    <t>Kahn Swick &amp; Foti, LLC; Fox Rothschild LLP (local/liaison)</t>
  </si>
  <si>
    <t>Glancy Prongay &amp; Murray, LLP; Pomerantz LLP; The Wolf Law Firm, LLC (local/liaison)</t>
  </si>
  <si>
    <t>Motley Rice LLC; Lite Depalma Greenberg, LLC (local/liaison)</t>
  </si>
  <si>
    <t>Hach Rose Schirripa &amp; Cheverie LLP</t>
  </si>
  <si>
    <t>Eccleston Law Offices, PC; Law Office of Christopher J. Gray, P.C.</t>
  </si>
  <si>
    <t>Gibbs Law Group LLP; Milberg Tadler Phillips Grossman LLP</t>
  </si>
  <si>
    <t>Robbins, Geller, Rudman &amp; Dowd, LLP; Leeds Brown Law, P.C. (local/liaison)</t>
  </si>
  <si>
    <t>Lowey, Dannenberg, P.C.</t>
  </si>
  <si>
    <t>Cohen Milstein Sellers &amp; Toll PLLC; Levi &amp; Korsinsky, LLP; Bronstein, Gewirtz &amp; Grossman, LLC (local/liaison)</t>
  </si>
  <si>
    <t>Saxena White P.A.; Lieff Cabraser Heimann &amp; Bernstein, LLP (local/liaison)</t>
  </si>
  <si>
    <t>Kohn, Swift &amp; Graf, P.C.; Berman Tabacco (local/liaison)</t>
  </si>
  <si>
    <t>The Rosen Law Firm, P.A.; Heffner Hurst, LLP (local/liaison)</t>
  </si>
  <si>
    <t>Entwistle &amp; Cappucci LLP; Bernstein Litowitz Berger &amp; Grossmann LLP (local/liaison)</t>
  </si>
  <si>
    <t>Labaton Sucharow LLP; The Law Office of Michael D. Smith, P.C. (local/liaison)</t>
  </si>
  <si>
    <t>Lieff Cabraser Heimann &amp; Bernstein, LLP</t>
  </si>
  <si>
    <t>Levi &amp; Korsinsky, LLP; Salas Wang LLC (local/liaison)</t>
  </si>
  <si>
    <t>Kaplan Fox &amp; Kilsheimer LLP; Shingler Lewis LLC (local/liaison)</t>
  </si>
  <si>
    <t>Robbins, Geller, Rudman &amp; Dowd, LLP; Cavanagh &amp; O'Hara (local/liaison)</t>
  </si>
  <si>
    <t>Berman Tabacco; Cohen Cooper Estep &amp; Allen (local/liaison)</t>
  </si>
  <si>
    <t>Pomerantz LLP; Law Offices of David A. Bain, LLC (local/liaison)</t>
  </si>
  <si>
    <t>Block &amp; Leviton LLP; Holzer &amp; Holzer, LLC (local/liaison)</t>
  </si>
  <si>
    <t>The Rosen Law Firm, P.A.; Aldrich Law Firm, Ltd. (local/liaison)</t>
  </si>
  <si>
    <t>Gibbs Law Group LLP; Milberg Tadler Phillips Grossman LLP; The Gough Law Firm, LLP (local/liaison)</t>
  </si>
  <si>
    <t>Kirby McInerney LLP; Glancy Prongay &amp; Murray, LLP (local/liaison)</t>
  </si>
  <si>
    <t>Glancy Prongay &amp; Murray, LLP; The Rosen Law Firm, P.A.; Steckler Gresham Cochran (local/liaison)</t>
  </si>
  <si>
    <t>Bragar Eagel &amp; Squire, PC; Sponsel Miller Greenberg PLLC (local/liaison)</t>
  </si>
  <si>
    <t>Cohen Milstein Sellers &amp; Toll PLLC; MT2 Law Group (local/liaison)</t>
  </si>
  <si>
    <t>Motley Rice LLC; Baron &amp; Bud PC (local/liaison)</t>
  </si>
  <si>
    <t>Berger &amp; Montague, P.C.; Cafferty Clobes Meriwether &amp; Sprengel LLP (local/liaison)</t>
  </si>
  <si>
    <t>Motley Rice LLC; Cohen Milstein Sellers &amp; Toll PLLC (local/liaison)</t>
  </si>
  <si>
    <t>The Rosen Law Firm, P.A.; Cohen Milstein Sellers &amp; Toll PLLC (local/liaison)</t>
  </si>
  <si>
    <t>Gibbs Law Group LLP; Milberg Tadler Phillips Grossman LLP; Wexler Wallace, LLP (local/liaison)</t>
  </si>
  <si>
    <t>Federman &amp; Sherwood; Pomerantz LLP</t>
  </si>
  <si>
    <t>Robbins, Geller, Rudman &amp; Dowd, LLP; McDowell Hetherington, LLP (local/liaison)</t>
  </si>
  <si>
    <t>The Rosen Law Firm, P.A.; Farnan, LLP (local/liaison)</t>
  </si>
  <si>
    <t>Kirby McInerney LLP; Andrews &amp; Springer, LLC (local/liaison)</t>
  </si>
  <si>
    <t>Abraham, Fruchter &amp; Twersky, LLP; Cooch &amp; Taylor, PA (local/liaison)</t>
  </si>
  <si>
    <t>Labaton Sucharow LLP; Browne George Ross LLP (local/liaison)</t>
  </si>
  <si>
    <t>Lieff Cabraser Heimann &amp; Bernstein, LLP; Saxena White P.A.</t>
  </si>
  <si>
    <t>The Rosen Law Firm, P.A.; Ben Crump Law PLLC (local/liaison)</t>
  </si>
  <si>
    <t>Kendall Law Group, LLP; Robbins, Geller, Rudman &amp; Dowd, LLP</t>
  </si>
  <si>
    <t>Faruqi &amp; Faruqi, LLP; Burke Neal PLLC (local/liaison)</t>
  </si>
  <si>
    <t>Pomerantz LLP; Andrews DeValerio LLP (local/liaison)</t>
  </si>
  <si>
    <t>Faruqi &amp; Faruqi, LLP; Matorin Law Office, LLC (local/liaison)</t>
  </si>
  <si>
    <t>Johnson Fistel, LLP</t>
  </si>
  <si>
    <t>Bernstein Liebhard LLP; Crawford, Wishnew &amp; Lang PLLC (local/liaison)</t>
  </si>
  <si>
    <t>Glancy Prongay &amp; Murray, LLP; The Rosen Law Firm, P.A.; Montgomery, McCracken, Walker &amp; Rhoads, LLP (local/liaison)</t>
  </si>
  <si>
    <t>Levi &amp; Korsinsky, LLP; Farnan, LLP (local/liaison)</t>
  </si>
  <si>
    <t>Bronstein, Gewirtz &amp; Grossman, LLC; Robbins, Geller, Rudman &amp; Dowd, LLP; Kendall Law Group, LLP (local/liaison)</t>
  </si>
  <si>
    <t>Wolf Popper LLP; U.S. Market Advisors Law Group PLLC (local/liaison)</t>
  </si>
  <si>
    <t>The Rosen Law Firm, P.A.; Law Offices of James Scott Farrin (local/liaison)</t>
  </si>
  <si>
    <t>Cohen Milstein Sellers &amp; Toll PLLC; Saxena White P.A.</t>
  </si>
  <si>
    <t>Glancy Prongay &amp; Murray, LLP; Harwood Feffer LLP (local/liaison)</t>
  </si>
  <si>
    <t>Berman Tabacco; Levi &amp; Korsinsky, LLP</t>
  </si>
  <si>
    <t>Levi &amp; Korsinsky, LLP; The Law Offices of Vincent Wong (local/liaison)</t>
  </si>
  <si>
    <t>Johnson Fistel, LLP; Robbins, Geller, Rudman &amp; Dowd, LLP</t>
  </si>
  <si>
    <t>Glancy Prongay &amp; Murray, LLP; Jack I. Zwick, Esq.</t>
  </si>
  <si>
    <t>Pomerantz LLP; Pitta LLP (local/liaison)</t>
  </si>
  <si>
    <t>Monteverde &amp; Associates PC; The Bilek Law Firm LLP (local/liaison)</t>
  </si>
  <si>
    <t>Levi &amp; Korsinsky, LLP; Berens Law LLC (local/liaison)</t>
  </si>
  <si>
    <t>Labaton Sucharow LLP; Cohen Milstein Sellers &amp; Toll PLLC (local/liaison)</t>
  </si>
  <si>
    <t>Bernstein Litowitz Berger &amp; Grossmann LLP; Law Offices of Susan R. Podolsky (local/liaison)</t>
  </si>
  <si>
    <t>Glancy Prongay &amp; Murray, LLP; Sigmon Law, PLLC (local/liaison)</t>
  </si>
  <si>
    <t>Wolf Haldenstein Adler Freeman &amp; Herz LLP; Whitfield Bryson &amp; Mason LLP (local/liaison)</t>
  </si>
  <si>
    <t>Pomerantz LLP; Schiller &amp; Schiller, P.L.L.C. (local/liaison)</t>
  </si>
  <si>
    <t>Cohen Milstein Sellers &amp; Toll PLLC; Branstetter, Stranch &amp; Jennings, PLLC (local/liaison)</t>
  </si>
  <si>
    <t>Robbins, Geller, Rudman &amp; Dowd, LLP; Barrett Johnston Martin &amp; Garrison, LLC (local/liaison)Johnson Fistel, LLP (local/liaison)</t>
  </si>
  <si>
    <t>Bleichmar Fonti &amp; Auld LLP; LeVan Law Group LLC (local/liaison)</t>
  </si>
  <si>
    <t>Levi &amp; Korsinsky, LLP; Perantinides &amp; Nolan Co., L.P.A. (local/liaison)</t>
  </si>
  <si>
    <t>Pomerantz LLP; Glancy Prongay &amp; Murray, LLP (local/liaison)</t>
  </si>
  <si>
    <t>Pomerantz LLP; The Rosen Law Firm, P.A.; Andrews DeValerio LLP (local/liaison)</t>
  </si>
  <si>
    <t>Johnson Fistel, LLP; Robbins, Geller, Rudman &amp; Dowd, LLP; McDaniel &amp; Anderson, LLP (local/liaison)</t>
  </si>
  <si>
    <t>GNCA.1</t>
  </si>
  <si>
    <t>GNCA.2.a</t>
  </si>
  <si>
    <t>GNCA.2.b</t>
  </si>
  <si>
    <t>GNCA.3.a</t>
  </si>
  <si>
    <t>GNCA.3.b</t>
  </si>
  <si>
    <t>GNCA.3.c</t>
  </si>
  <si>
    <t>GNCA.3.d</t>
  </si>
  <si>
    <t>GNCA.3.e</t>
  </si>
  <si>
    <t>NOVN.1</t>
  </si>
  <si>
    <t>VIVO.1</t>
  </si>
  <si>
    <t>OHI.1</t>
  </si>
  <si>
    <t>ACOR.1</t>
  </si>
  <si>
    <t>TVTY.1</t>
  </si>
  <si>
    <t>ALKS.1</t>
  </si>
  <si>
    <t>ARRY.1</t>
  </si>
  <si>
    <t>TCAP.1</t>
  </si>
  <si>
    <t>OHI.2</t>
  </si>
  <si>
    <t>ALKS.2</t>
  </si>
  <si>
    <t>g-ind</t>
  </si>
  <si>
    <t>OHI.3</t>
  </si>
  <si>
    <t>OHI.4.a</t>
  </si>
  <si>
    <t>OHI.4.b</t>
  </si>
  <si>
    <t>OHI.4.c</t>
  </si>
  <si>
    <t>OHI.4.d</t>
  </si>
  <si>
    <t>OHI.4.e</t>
  </si>
  <si>
    <t>OHI.5</t>
  </si>
  <si>
    <t>ARRY.2.a</t>
  </si>
  <si>
    <t>ARRY.2.b</t>
  </si>
  <si>
    <t>KATFF.1</t>
  </si>
  <si>
    <t>INCR.1</t>
  </si>
  <si>
    <t>TCAP.2.a</t>
  </si>
  <si>
    <t>TCAP.2.b</t>
  </si>
  <si>
    <t>TCAP.2.c</t>
  </si>
  <si>
    <t>TCAP.2.d</t>
  </si>
  <si>
    <t>TCAP.3</t>
  </si>
  <si>
    <t>TCAP.4</t>
  </si>
  <si>
    <t>TCAP.5.a</t>
  </si>
  <si>
    <t>TCAP.5.b</t>
  </si>
  <si>
    <t>TCAP.5.c</t>
  </si>
  <si>
    <t>OSIS.2</t>
  </si>
  <si>
    <t>AQMS.2</t>
  </si>
  <si>
    <t>INCR.2.a</t>
  </si>
  <si>
    <t>INCR.2.b</t>
  </si>
  <si>
    <t>OSIS.1</t>
  </si>
  <si>
    <t>OSIS.3</t>
  </si>
  <si>
    <t>OSIS.4</t>
  </si>
  <si>
    <t>OSIS.5.a</t>
  </si>
  <si>
    <t>OSIS.5.b</t>
  </si>
  <si>
    <t>QD.3</t>
  </si>
  <si>
    <t>QD.4</t>
  </si>
  <si>
    <t>AQMS.4</t>
  </si>
  <si>
    <t>QD.1</t>
  </si>
  <si>
    <t>AQMS.1</t>
  </si>
  <si>
    <t>TAX.1</t>
  </si>
  <si>
    <t>AQMS.3</t>
  </si>
  <si>
    <t>TAX.3</t>
  </si>
  <si>
    <t>CS.1</t>
  </si>
  <si>
    <t>QD.5</t>
  </si>
  <si>
    <t>QD.6.a</t>
  </si>
  <si>
    <t>QD.6.b</t>
  </si>
  <si>
    <t>AQMS.5.a</t>
  </si>
  <si>
    <t>AQMS.5.b</t>
  </si>
  <si>
    <t>AQMS.5.c</t>
  </si>
  <si>
    <t>TAX.2.a</t>
  </si>
  <si>
    <t>TAX.2.b</t>
  </si>
  <si>
    <t>CS.2.e</t>
  </si>
  <si>
    <t>CS.2.a</t>
  </si>
  <si>
    <t>CS.2.b</t>
  </si>
  <si>
    <t>CS.2.c</t>
  </si>
  <si>
    <t>CS.2.d</t>
  </si>
  <si>
    <t>AYI.3</t>
  </si>
  <si>
    <t>AZZ.3</t>
  </si>
  <si>
    <t>CPTA.3</t>
  </si>
  <si>
    <t>CRCW.1.a</t>
  </si>
  <si>
    <t>CRCW.1.b</t>
  </si>
  <si>
    <t>EKSO.1.b</t>
  </si>
  <si>
    <t>CPTA.1</t>
  </si>
  <si>
    <t>CPTA.2.a</t>
  </si>
  <si>
    <t>CPTA.2.b</t>
  </si>
  <si>
    <t>CPTA.2.c</t>
  </si>
  <si>
    <t>KBSTY.1</t>
  </si>
  <si>
    <t>AYI.1</t>
  </si>
  <si>
    <t>ARDM.1</t>
  </si>
  <si>
    <t>AZZ.1</t>
  </si>
  <si>
    <t>AYI.2</t>
  </si>
  <si>
    <t>AYI.4</t>
  </si>
  <si>
    <t>EKSO.1.a</t>
  </si>
  <si>
    <t>EKSO.2</t>
  </si>
  <si>
    <t>ARDM.2.a</t>
  </si>
  <si>
    <t>ARDM.2.b</t>
  </si>
  <si>
    <t>INTC.2.a</t>
  </si>
  <si>
    <t>AZZ.2</t>
  </si>
  <si>
    <t>AMC.3</t>
  </si>
  <si>
    <t>AMD.3</t>
  </si>
  <si>
    <t>HIVE.3</t>
  </si>
  <si>
    <t>INTC.1</t>
  </si>
  <si>
    <t>INTC.2.b</t>
  </si>
  <si>
    <t>AMD.2.b</t>
  </si>
  <si>
    <t>AMC.1</t>
  </si>
  <si>
    <t>YELP.2</t>
  </si>
  <si>
    <t>AMC.2</t>
  </si>
  <si>
    <t>HIVE.2</t>
  </si>
  <si>
    <t>AMD.1.a</t>
  </si>
  <si>
    <t>AMD.1.b</t>
  </si>
  <si>
    <t>AMD.1.c</t>
  </si>
  <si>
    <t>AMD.2.a</t>
  </si>
  <si>
    <t>YELP.1</t>
  </si>
  <si>
    <t>HIVE.1</t>
  </si>
  <si>
    <t>MET.4</t>
  </si>
  <si>
    <t>MET.6</t>
  </si>
  <si>
    <t>AAP.4</t>
  </si>
  <si>
    <t>AAP.2</t>
  </si>
  <si>
    <t>XNET.1.a</t>
  </si>
  <si>
    <t>XNET.1.b</t>
  </si>
  <si>
    <t>CBI.1.b</t>
  </si>
  <si>
    <t>XNET.2.a</t>
  </si>
  <si>
    <t>XNET.2.b</t>
  </si>
  <si>
    <t>XNET.3</t>
  </si>
  <si>
    <t>CBI.1.a</t>
  </si>
  <si>
    <t>MET.1</t>
  </si>
  <si>
    <t>Met.2</t>
  </si>
  <si>
    <t>MET.3</t>
  </si>
  <si>
    <t>MET.5</t>
  </si>
  <si>
    <t>AAP.1</t>
  </si>
  <si>
    <t>BLCM.1</t>
  </si>
  <si>
    <t>AAP.5</t>
  </si>
  <si>
    <t>AAP.3</t>
  </si>
  <si>
    <t>AAP.6</t>
  </si>
  <si>
    <t>BLCM.2.a</t>
  </si>
  <si>
    <t>BLCM.2.b</t>
  </si>
  <si>
    <t>BLCM.2.c</t>
  </si>
  <si>
    <t>BLCM.2.d</t>
  </si>
  <si>
    <t>BLCM.3</t>
  </si>
  <si>
    <t>JNJ.1</t>
  </si>
  <si>
    <t>JNJ.2</t>
  </si>
  <si>
    <t>JNJ.3</t>
  </si>
  <si>
    <t>SMCI.1</t>
  </si>
  <si>
    <t>SMCI.2</t>
  </si>
  <si>
    <t>BMY.2</t>
  </si>
  <si>
    <t>SMCI.3</t>
  </si>
  <si>
    <t>SMCI.4</t>
  </si>
  <si>
    <t>BMY.1.a</t>
  </si>
  <si>
    <t>BMY.1.b</t>
  </si>
  <si>
    <t>BMY.3</t>
  </si>
  <si>
    <t>BMY.4</t>
  </si>
  <si>
    <t>BMY.5.a</t>
  </si>
  <si>
    <t>BMY.5.b</t>
  </si>
  <si>
    <t>BMY.6.a</t>
  </si>
  <si>
    <t>BMY.6.b</t>
  </si>
  <si>
    <t>SGYP.1.a</t>
  </si>
  <si>
    <t>SGYP.4.a</t>
  </si>
  <si>
    <t>SGYP.1.b</t>
  </si>
  <si>
    <t>OHRP.1.b</t>
  </si>
  <si>
    <t>SGYP.1.c</t>
  </si>
  <si>
    <t>SGYP.2.a</t>
  </si>
  <si>
    <t>SGYP.2.b</t>
  </si>
  <si>
    <t>SGYP.3</t>
  </si>
  <si>
    <t>SGYP.4.b</t>
  </si>
  <si>
    <t>SGYP.4.c</t>
  </si>
  <si>
    <t>SGYP.4.d</t>
  </si>
  <si>
    <t>SGYP.5</t>
  </si>
  <si>
    <t>SGYP.6.a</t>
  </si>
  <si>
    <t>SGYP.6.b</t>
  </si>
  <si>
    <t>NQ.1.a</t>
  </si>
  <si>
    <t>NQ.1.b</t>
  </si>
  <si>
    <t>NQ.2.a</t>
  </si>
  <si>
    <t>NQ.2.b</t>
  </si>
  <si>
    <t>NQ.3</t>
  </si>
  <si>
    <t>RIOT.1</t>
  </si>
  <si>
    <t>OBLN.1</t>
  </si>
  <si>
    <t>QTM.1</t>
  </si>
  <si>
    <t>OBLN.2</t>
  </si>
  <si>
    <t>QTM.2</t>
  </si>
  <si>
    <t>RIOT.5</t>
  </si>
  <si>
    <t>RIOT.2</t>
  </si>
  <si>
    <t>RIOT.6</t>
  </si>
  <si>
    <t>OHRP.1.a</t>
  </si>
  <si>
    <t>OHRP.3.a</t>
  </si>
  <si>
    <t>OHRP.2.a</t>
  </si>
  <si>
    <t>OHRP.2.b</t>
  </si>
  <si>
    <t>OHRP.2.c</t>
  </si>
  <si>
    <t>OHRP.2.d</t>
  </si>
  <si>
    <t>OHRP.2.e</t>
  </si>
  <si>
    <t>OHRP.3.b</t>
  </si>
  <si>
    <t>QTM.3</t>
  </si>
  <si>
    <t>MDXG.1</t>
  </si>
  <si>
    <t>MDXG.4</t>
  </si>
  <si>
    <t>MDXG.3</t>
  </si>
  <si>
    <t>RIOT.3.a</t>
  </si>
  <si>
    <t>RIOT.3.b</t>
  </si>
  <si>
    <t>RIOT.3.c</t>
  </si>
  <si>
    <t>RIOT.3.d</t>
  </si>
  <si>
    <t>RIOT.3.e</t>
  </si>
  <si>
    <t>RIOT.3.f</t>
  </si>
  <si>
    <t>RIOT.4.a</t>
  </si>
  <si>
    <t>RIOT.4.b</t>
  </si>
  <si>
    <t>RIOT.4.c</t>
  </si>
  <si>
    <t>RIOT.7.a</t>
  </si>
  <si>
    <t>RIOT.7.b</t>
  </si>
  <si>
    <t>RIOT.7.c</t>
  </si>
  <si>
    <t>WYNN.1</t>
  </si>
  <si>
    <t>KRA.1</t>
  </si>
  <si>
    <t>MDXG.2</t>
  </si>
  <si>
    <t>MDXG.7</t>
  </si>
  <si>
    <t>ULTA.2</t>
  </si>
  <si>
    <t>MDXG.5.a</t>
  </si>
  <si>
    <t>MDXG.5.b</t>
  </si>
  <si>
    <t>MDXG.6.a</t>
  </si>
  <si>
    <t>MDXG.6.b</t>
  </si>
  <si>
    <t>MDXG.6.c</t>
  </si>
  <si>
    <t>ULTA.1.a</t>
  </si>
  <si>
    <t>ULTA.1.b</t>
  </si>
  <si>
    <t>ULTA.1.c</t>
  </si>
  <si>
    <t>ULTA.1.d</t>
  </si>
  <si>
    <t>ULTA.3.a</t>
  </si>
  <si>
    <t>ULTA.3.b</t>
  </si>
  <si>
    <t>ULTA.4.a</t>
  </si>
  <si>
    <t>ULTA.4.b</t>
  </si>
  <si>
    <t>AFH.1.a</t>
  </si>
  <si>
    <t>AFH.1.b</t>
  </si>
  <si>
    <t>AKRX.1</t>
  </si>
  <si>
    <t>FL.1</t>
  </si>
  <si>
    <t>AKRX.2.a</t>
  </si>
  <si>
    <t>AKRX.2.b</t>
  </si>
  <si>
    <t>AKRX.3</t>
  </si>
  <si>
    <t>HSIC.1.a</t>
  </si>
  <si>
    <t>HSIC.1.b</t>
  </si>
  <si>
    <t>HSIC.2</t>
  </si>
  <si>
    <t>FL.2</t>
  </si>
  <si>
    <t>FL.3</t>
  </si>
  <si>
    <t>FL.4</t>
  </si>
  <si>
    <t>FL.5</t>
  </si>
  <si>
    <t>BRFS.1</t>
  </si>
  <si>
    <t>BRFS.2</t>
  </si>
  <si>
    <t>BRFS.3.a</t>
  </si>
  <si>
    <t>BRFS.3.b</t>
  </si>
  <si>
    <t>BRFS.3.c</t>
  </si>
  <si>
    <t>BRFS.4.a</t>
  </si>
  <si>
    <t>BRFS.4.b</t>
  </si>
  <si>
    <t>BRFS.5</t>
  </si>
  <si>
    <t>XIV.3</t>
  </si>
  <si>
    <t>XIV.4</t>
  </si>
  <si>
    <t>XIV.7</t>
  </si>
  <si>
    <t>XIV.1.a</t>
  </si>
  <si>
    <t>XIV.2.c</t>
  </si>
  <si>
    <t>XIV.1.b</t>
  </si>
  <si>
    <t>XIV.2.a</t>
  </si>
  <si>
    <t>XIV.2.b</t>
  </si>
  <si>
    <t>XIV.2.d</t>
  </si>
  <si>
    <t>XIV.2.e</t>
  </si>
  <si>
    <t>XIV.5.a</t>
  </si>
  <si>
    <t>XIV.5.b</t>
  </si>
  <si>
    <t>XIV.5.c</t>
  </si>
  <si>
    <t>XIV.5.d</t>
  </si>
  <si>
    <t>XIV.5.e</t>
  </si>
  <si>
    <t>XIV.6</t>
  </si>
  <si>
    <t>CX.1</t>
  </si>
  <si>
    <t>CX.2</t>
  </si>
  <si>
    <t>FB.1</t>
  </si>
  <si>
    <t>GAME.1</t>
  </si>
  <si>
    <t>CX.2.a</t>
  </si>
  <si>
    <t>CX.2.b</t>
  </si>
  <si>
    <t>FB.2</t>
  </si>
  <si>
    <t>FB.3.a</t>
  </si>
  <si>
    <t>FB.3.b</t>
  </si>
  <si>
    <t>FB.3.c</t>
  </si>
  <si>
    <t>FB.4</t>
  </si>
  <si>
    <t>CELG.1</t>
  </si>
  <si>
    <t>GAME.2</t>
  </si>
  <si>
    <t>CELG.5</t>
  </si>
  <si>
    <t>CELG.2</t>
  </si>
  <si>
    <t>CELG.9</t>
  </si>
  <si>
    <t>CELG.8</t>
  </si>
  <si>
    <t>CELG.4</t>
  </si>
  <si>
    <t>CELG.3.a</t>
  </si>
  <si>
    <t>CELG.6.a</t>
  </si>
  <si>
    <t>CELG.3.b</t>
  </si>
  <si>
    <t>CELG.6.b</t>
  </si>
  <si>
    <t>CELG.3.c</t>
  </si>
  <si>
    <t>CELG.3.d</t>
  </si>
  <si>
    <t>CELG.3.e</t>
  </si>
  <si>
    <t>CELG.6.c</t>
  </si>
  <si>
    <t>CELG.6.d</t>
  </si>
  <si>
    <t>CELG.6.e</t>
  </si>
  <si>
    <t>CELG.7.a</t>
  </si>
  <si>
    <t>CELG.7.b</t>
  </si>
  <si>
    <t>PDCO.1.a</t>
  </si>
  <si>
    <t>PDCO.1.b</t>
  </si>
  <si>
    <t>PDCO.1.c</t>
  </si>
  <si>
    <t>PDCO.2</t>
  </si>
  <si>
    <t>PDCO.3.a</t>
  </si>
  <si>
    <t>PDCO.3.b</t>
  </si>
  <si>
    <t>LFIN.3</t>
  </si>
  <si>
    <t>LFIN.2</t>
  </si>
  <si>
    <t>CLNS.1</t>
  </si>
  <si>
    <t>CLNS.5</t>
  </si>
  <si>
    <t>TRUE.1</t>
  </si>
  <si>
    <t>CGIX.1</t>
  </si>
  <si>
    <t>LFIN.1</t>
  </si>
  <si>
    <t>SYNC.1</t>
  </si>
  <si>
    <t>ERIC.1</t>
  </si>
  <si>
    <t>CGIX.2</t>
  </si>
  <si>
    <t>SYNC.2</t>
  </si>
  <si>
    <t>ERIC.2</t>
  </si>
  <si>
    <t>LFIN.4</t>
  </si>
  <si>
    <t>CLNS.3</t>
  </si>
  <si>
    <t>IZEA.1.a</t>
  </si>
  <si>
    <t>IZEA.1.b</t>
  </si>
  <si>
    <t>SSPRMB.1.b</t>
  </si>
  <si>
    <t>IZEA.1.c</t>
  </si>
  <si>
    <t>LYV.1</t>
  </si>
  <si>
    <t>CLNS.2.a</t>
  </si>
  <si>
    <t>CLNS.2.b</t>
  </si>
  <si>
    <t>CLNS.2.c</t>
  </si>
  <si>
    <t>CLNS.4.a</t>
  </si>
  <si>
    <t>CLNS.4.b</t>
  </si>
  <si>
    <t>LYV.2</t>
  </si>
  <si>
    <t>SSPRMB.1.a</t>
  </si>
  <si>
    <t>GSUM.1.b</t>
  </si>
  <si>
    <t>REPH.1.b</t>
  </si>
  <si>
    <t>TAL.1.b</t>
  </si>
  <si>
    <t>FLKS.1.b</t>
  </si>
  <si>
    <t>SSPRMB.1.c</t>
  </si>
  <si>
    <t>EDGE.1</t>
  </si>
  <si>
    <t>ACET.1</t>
  </si>
  <si>
    <t>EDGE.2.a</t>
  </si>
  <si>
    <t>EDGE.2.b</t>
  </si>
  <si>
    <t>EDGE.3</t>
  </si>
  <si>
    <t>ALGT.1</t>
  </si>
  <si>
    <t>MIC.1</t>
  </si>
  <si>
    <t>ACET.2</t>
  </si>
  <si>
    <t>GSUM.4</t>
  </si>
  <si>
    <t>MIC.2</t>
  </si>
  <si>
    <t>MIC.3</t>
  </si>
  <si>
    <t>ACET.3.a</t>
  </si>
  <si>
    <t>ACET.3.b</t>
  </si>
  <si>
    <t>ACET.3.c</t>
  </si>
  <si>
    <t>ACET.3.d</t>
  </si>
  <si>
    <t>ACET.3.e</t>
  </si>
  <si>
    <t>ACET.4</t>
  </si>
  <si>
    <t>ACET.5</t>
  </si>
  <si>
    <t>GSUM.1.a</t>
  </si>
  <si>
    <t>GSUM.1.c</t>
  </si>
  <si>
    <t>GSUM.2</t>
  </si>
  <si>
    <t>GSUM.3</t>
  </si>
  <si>
    <t>GSUM.5</t>
  </si>
  <si>
    <t>MIC.4</t>
  </si>
  <si>
    <t>MIC.5</t>
  </si>
  <si>
    <t>MIC.6.a</t>
  </si>
  <si>
    <t>MIC.6.b</t>
  </si>
  <si>
    <t>MIC.6.c</t>
  </si>
  <si>
    <t>MIC.6.d</t>
  </si>
  <si>
    <t>MIC.6.e</t>
  </si>
  <si>
    <t>MIC.6.f</t>
  </si>
  <si>
    <t>MIC.6.g</t>
  </si>
  <si>
    <t>QNST.1</t>
  </si>
  <si>
    <t>MOH.1</t>
  </si>
  <si>
    <t>FLEX.1</t>
  </si>
  <si>
    <t>FLEX.3</t>
  </si>
  <si>
    <t>INWK.1</t>
  </si>
  <si>
    <t>FLEX.2</t>
  </si>
  <si>
    <t>KLIC.1</t>
  </si>
  <si>
    <t>KLIC.2</t>
  </si>
  <si>
    <t>SYMC.1</t>
  </si>
  <si>
    <t>SYMC.2</t>
  </si>
  <si>
    <t>SYMC.3</t>
  </si>
  <si>
    <t>SYMC.4</t>
  </si>
  <si>
    <t>SYMC.5</t>
  </si>
  <si>
    <t>PPG.1</t>
  </si>
  <si>
    <t>ADT.1</t>
  </si>
  <si>
    <t>PPG.2</t>
  </si>
  <si>
    <t>ADT.2</t>
  </si>
  <si>
    <t>ADT.3.a</t>
  </si>
  <si>
    <t>ADT.3.b</t>
  </si>
  <si>
    <t>ADT.4</t>
  </si>
  <si>
    <t>ADT.5.a</t>
  </si>
  <si>
    <t>ADT.5.b</t>
  </si>
  <si>
    <t>ADT.5.c</t>
  </si>
  <si>
    <t>FLR.1</t>
  </si>
  <si>
    <t>FLR.2.a</t>
  </si>
  <si>
    <t>FLR.2.b</t>
  </si>
  <si>
    <t>FLR.3</t>
  </si>
  <si>
    <t>FLR.4</t>
  </si>
  <si>
    <t>ATEN.1</t>
  </si>
  <si>
    <t>ATEN.2.a</t>
  </si>
  <si>
    <t>ATEN.2.b</t>
  </si>
  <si>
    <t>ATEN.3</t>
  </si>
  <si>
    <t>MBVX.1</t>
  </si>
  <si>
    <t>MBVX.2.a</t>
  </si>
  <si>
    <t>MBVX.2.b</t>
  </si>
  <si>
    <t>MBVX.2.c</t>
  </si>
  <si>
    <t>MBVX.3.a</t>
  </si>
  <si>
    <t>MBVX.3.b</t>
  </si>
  <si>
    <t>REPH.1.a</t>
  </si>
  <si>
    <t>REPH.1.c</t>
  </si>
  <si>
    <t>REPH.1.d</t>
  </si>
  <si>
    <t>ANW.1</t>
  </si>
  <si>
    <t>ANW.2</t>
  </si>
  <si>
    <t>ANW.5</t>
  </si>
  <si>
    <t>ANW.3</t>
  </si>
  <si>
    <t>ANW.8</t>
  </si>
  <si>
    <t>ANW.6</t>
  </si>
  <si>
    <t>ANW.7</t>
  </si>
  <si>
    <t>ANW.4</t>
  </si>
  <si>
    <t>ANW.9.a</t>
  </si>
  <si>
    <t>ANW.9.b</t>
  </si>
  <si>
    <t>ANW.9.c</t>
  </si>
  <si>
    <t>ANW.10</t>
  </si>
  <si>
    <t>CALI.2.c</t>
  </si>
  <si>
    <t>CALI.1</t>
  </si>
  <si>
    <t>REVG.4</t>
  </si>
  <si>
    <t>REVG.3</t>
  </si>
  <si>
    <t>ORA.2</t>
  </si>
  <si>
    <t>ORA.1</t>
  </si>
  <si>
    <t>CALI.2.a</t>
  </si>
  <si>
    <t>CALI.2.b</t>
  </si>
  <si>
    <t>REVG.2</t>
  </si>
  <si>
    <t>REVG.1</t>
  </si>
  <si>
    <t>REVG.5</t>
  </si>
  <si>
    <t>ORA.3</t>
  </si>
  <si>
    <t>AKER.4</t>
  </si>
  <si>
    <t>AKER.2</t>
  </si>
  <si>
    <t>PCG.3</t>
  </si>
  <si>
    <t>NWL.1</t>
  </si>
  <si>
    <t>NWL.2</t>
  </si>
  <si>
    <t>NWL.3</t>
  </si>
  <si>
    <t>SBGL.1</t>
  </si>
  <si>
    <t>VUZI.2</t>
  </si>
  <si>
    <t>ORA.4</t>
  </si>
  <si>
    <t>SWCH.1</t>
  </si>
  <si>
    <t>SWCH.2</t>
  </si>
  <si>
    <t>SWCH.3.a</t>
  </si>
  <si>
    <t>SWCH.3.b</t>
  </si>
  <si>
    <t>AKER.1</t>
  </si>
  <si>
    <t>PCG.1</t>
  </si>
  <si>
    <t>PCG.2</t>
  </si>
  <si>
    <t>AKER.3</t>
  </si>
  <si>
    <t>AKER.5</t>
  </si>
  <si>
    <t>PCG.4</t>
  </si>
  <si>
    <t>PCG.5</t>
  </si>
  <si>
    <t>PCG.6.a</t>
  </si>
  <si>
    <t>PCG.6.b</t>
  </si>
  <si>
    <t>PCG.6.c</t>
  </si>
  <si>
    <t>UNM.1</t>
  </si>
  <si>
    <t>HAIR.1</t>
  </si>
  <si>
    <t>TAL.1.a</t>
  </si>
  <si>
    <t>FLKS.1.a</t>
  </si>
  <si>
    <t>NWL.4.b</t>
  </si>
  <si>
    <t>NWL.5.b</t>
  </si>
  <si>
    <t>FLKS.2</t>
  </si>
  <si>
    <t>FLKS.3</t>
  </si>
  <si>
    <t>NWL.4.a</t>
  </si>
  <si>
    <t>NWL.5.a</t>
  </si>
  <si>
    <t>NWL.6</t>
  </si>
  <si>
    <t>GOGO.3</t>
  </si>
  <si>
    <t>COOL.1</t>
  </si>
  <si>
    <t>COOL.2</t>
  </si>
  <si>
    <t>HAIR.2</t>
  </si>
  <si>
    <t>FNKO.2</t>
  </si>
  <si>
    <t>SBGL.2</t>
  </si>
  <si>
    <t>FNKO.1</t>
  </si>
  <si>
    <t>GOGO.1</t>
  </si>
  <si>
    <t>GOGO.2.a</t>
  </si>
  <si>
    <t>GOGO.2.b</t>
  </si>
  <si>
    <t>SBGL.3.a</t>
  </si>
  <si>
    <t>SBGL.3.b</t>
  </si>
  <si>
    <t>SBGL.3.c</t>
  </si>
  <si>
    <t>SBGL.3.d</t>
  </si>
  <si>
    <t>SBGL.4.a</t>
  </si>
  <si>
    <t>SBGL.4.b</t>
  </si>
  <si>
    <t>SBGL.4.c</t>
  </si>
  <si>
    <t>GLCNF.1</t>
  </si>
  <si>
    <t>ESRX.1</t>
  </si>
  <si>
    <t>FPI.1</t>
  </si>
  <si>
    <t>FPI.2</t>
  </si>
  <si>
    <t>MD.1</t>
  </si>
  <si>
    <t>MRCY.1</t>
  </si>
  <si>
    <t>ACAD.1</t>
  </si>
  <si>
    <t>GLCNF.2</t>
  </si>
  <si>
    <t>GLCNF.3</t>
  </si>
  <si>
    <t>ACAD.2</t>
  </si>
  <si>
    <t>ACAD.3</t>
  </si>
  <si>
    <t>FPI.3.a</t>
  </si>
  <si>
    <t>FPI.3.b</t>
  </si>
  <si>
    <t>FPI.4.a</t>
  </si>
  <si>
    <t>FPI.4.b</t>
  </si>
  <si>
    <t>FPI.4.c</t>
  </si>
  <si>
    <t>MD.2.a</t>
  </si>
  <si>
    <t>MD.2.b</t>
  </si>
  <si>
    <t>ACAD.4</t>
  </si>
  <si>
    <t>ACAD.5</t>
  </si>
  <si>
    <t>ACAD.6</t>
  </si>
  <si>
    <t>ACAD.7</t>
  </si>
  <si>
    <t>ACAD.8</t>
  </si>
  <si>
    <t>PRTA.1.a</t>
  </si>
  <si>
    <t>PRTA.1.b</t>
  </si>
  <si>
    <t>ABBV.1</t>
  </si>
  <si>
    <t>VUZI.1</t>
  </si>
  <si>
    <t>MYGN.1.a</t>
  </si>
  <si>
    <t>MYGN.1.b</t>
  </si>
  <si>
    <t>CBOE</t>
  </si>
  <si>
    <t>CBOE Global Markets, Inc.</t>
  </si>
  <si>
    <t>CBOE.1</t>
  </si>
  <si>
    <t>market manipulation</t>
  </si>
  <si>
    <t>OSTK.1</t>
  </si>
  <si>
    <t>OSTK.2.a</t>
  </si>
  <si>
    <t>OSTK.2.b</t>
  </si>
  <si>
    <t>OSTK.2.c</t>
  </si>
  <si>
    <t>OSTK.2.d</t>
  </si>
  <si>
    <t>OSTK.3</t>
  </si>
  <si>
    <t>OSTK.4</t>
  </si>
  <si>
    <t>WAGE.1</t>
  </si>
  <si>
    <t>WAGE.3</t>
  </si>
  <si>
    <t>WAGE.2</t>
  </si>
  <si>
    <t>WAGE.4</t>
  </si>
  <si>
    <t>WAGE.5.a</t>
  </si>
  <si>
    <t>WAGE.5.b</t>
  </si>
  <si>
    <t>WAGE.5.c</t>
  </si>
  <si>
    <t>WAGE.6.a</t>
  </si>
  <si>
    <t>WAGE.6.b</t>
  </si>
  <si>
    <t>WAGE.7</t>
  </si>
  <si>
    <t>TV.1</t>
  </si>
  <si>
    <t>TV.2</t>
  </si>
  <si>
    <t>TV.3</t>
  </si>
  <si>
    <t>Asha and Ahmad Ullah</t>
  </si>
  <si>
    <t>UBNT.1</t>
  </si>
  <si>
    <t>John V. and Jo-Ann M. Ferris</t>
  </si>
  <si>
    <t>WYNN.2</t>
  </si>
  <si>
    <t>LJMIX.1</t>
  </si>
  <si>
    <t>LJMIX.2</t>
  </si>
  <si>
    <t>LJMIX.3</t>
  </si>
  <si>
    <t>LJMIX.4.a</t>
  </si>
  <si>
    <t>LJMIX.4.b</t>
  </si>
  <si>
    <t>LJMIX.5.a</t>
  </si>
  <si>
    <t>LJMIX.5.b</t>
  </si>
  <si>
    <t>LJMIX.5.c</t>
  </si>
  <si>
    <t>LJMIX.5.d</t>
  </si>
  <si>
    <t>LJMIX.6.a</t>
  </si>
  <si>
    <t>LJMIX.6.b</t>
  </si>
  <si>
    <t>LJMIX.6.c</t>
  </si>
  <si>
    <t>LJMIX.7.a</t>
  </si>
  <si>
    <t>LJMIX.7.b</t>
  </si>
  <si>
    <t>LJMIX.7.c</t>
  </si>
  <si>
    <t>LJMIX.7.d</t>
  </si>
  <si>
    <t>AMC.4</t>
  </si>
  <si>
    <t>17cv02186</t>
  </si>
  <si>
    <t>Miguel Granados</t>
  </si>
  <si>
    <t>Robert Rector</t>
  </si>
  <si>
    <t>HIIQ.2</t>
  </si>
  <si>
    <t>HIIQ.1</t>
  </si>
  <si>
    <t>GE.1</t>
  </si>
  <si>
    <t>GE.2</t>
  </si>
  <si>
    <t>GE.3.a</t>
  </si>
  <si>
    <t>GE.3.b</t>
  </si>
  <si>
    <t>GE.3.c</t>
  </si>
  <si>
    <t>GE.4</t>
  </si>
  <si>
    <t>GE.5.a</t>
  </si>
  <si>
    <t>GE.5.b</t>
  </si>
  <si>
    <t>GE.5.c</t>
  </si>
  <si>
    <t>not a class action</t>
  </si>
  <si>
    <t>18cv01611</t>
  </si>
  <si>
    <t>18cv01137</t>
  </si>
  <si>
    <t>BLDP.1</t>
  </si>
  <si>
    <t>BLDP.2.a</t>
  </si>
  <si>
    <t>BLDP.2.b</t>
  </si>
  <si>
    <t>BLDP.3</t>
  </si>
  <si>
    <t>TSRO.1.a</t>
  </si>
  <si>
    <t>TSRO.1.b</t>
  </si>
  <si>
    <t>TSRO.2</t>
  </si>
  <si>
    <t>TSRO.3.a</t>
  </si>
  <si>
    <t>TSRO.3.b</t>
  </si>
  <si>
    <t>TSRO.4</t>
  </si>
  <si>
    <t>TSRO.5</t>
  </si>
  <si>
    <t>TSRO.6</t>
  </si>
  <si>
    <t>Pak Cheung Hong and Siu Ling Li</t>
  </si>
  <si>
    <t>QD.2</t>
  </si>
  <si>
    <t>RYB.1.a</t>
  </si>
  <si>
    <t>RYB.1.b</t>
  </si>
  <si>
    <t>Cullin O'Brien Law, P.A.</t>
  </si>
  <si>
    <t>Kahn Swick &amp; Foti, LLC; Gunster Yoakley &amp; Stewart P.A. (local/liaison)</t>
  </si>
  <si>
    <t>Elizabeth R. Kay and Randall G. Kay</t>
  </si>
  <si>
    <t>CPST.2</t>
  </si>
  <si>
    <t>Teamsters Local 282 Trust Funds</t>
  </si>
  <si>
    <t>DDAIY.1</t>
  </si>
  <si>
    <t>DDAIY.2</t>
  </si>
  <si>
    <t>DDAIY.3</t>
  </si>
  <si>
    <t>DDAIY</t>
  </si>
  <si>
    <t>FNBCQ.2</t>
  </si>
  <si>
    <t>Trading case</t>
  </si>
  <si>
    <t>CYTR.3.f</t>
  </si>
  <si>
    <t>Menorah Mivtachim Insurance Ltd. and Menorah Mivtachim Pension and Gemel Ltd.</t>
  </si>
  <si>
    <t>Melvin Ashman</t>
  </si>
  <si>
    <t>Rick Ashman</t>
  </si>
  <si>
    <t>AGN.2.a</t>
  </si>
  <si>
    <t>AGN.2.b</t>
  </si>
  <si>
    <t>Barbara J. and William L. Wynn</t>
  </si>
  <si>
    <t>STON.5</t>
  </si>
  <si>
    <t>Genghong Zhao and Xing Wang</t>
  </si>
  <si>
    <t>OPHT.5</t>
  </si>
  <si>
    <t>James O'Toole</t>
  </si>
  <si>
    <t>Operating Engineers Trust Funds</t>
  </si>
  <si>
    <t>X.3</t>
  </si>
  <si>
    <t>VNCE.1</t>
  </si>
  <si>
    <t>PME.1</t>
  </si>
  <si>
    <t>PME.2</t>
  </si>
  <si>
    <t>Net Out of Pocket Loss</t>
  </si>
  <si>
    <t>DRYS.2</t>
  </si>
  <si>
    <t>DRYS.3.a</t>
  </si>
  <si>
    <t>DRYS.3.b</t>
  </si>
  <si>
    <t>DRYS.6</t>
  </si>
  <si>
    <t>DRYS.7.a</t>
  </si>
  <si>
    <t>DRYS.7.b</t>
  </si>
  <si>
    <t>DRYS.7.c</t>
  </si>
  <si>
    <t>DRYS.8</t>
  </si>
  <si>
    <t>DRYS.9.d</t>
  </si>
  <si>
    <t>DRYS.9.e</t>
  </si>
  <si>
    <t>DRYS.10.a</t>
  </si>
  <si>
    <t>DRYS.10.b</t>
  </si>
  <si>
    <t>DRYS.10.c</t>
  </si>
  <si>
    <t>ICPI.1.a</t>
  </si>
  <si>
    <t>Sam and Julia Ann Snyder</t>
  </si>
  <si>
    <t>ZG.1.a</t>
  </si>
  <si>
    <t>ZG.1.b</t>
  </si>
  <si>
    <t>ZG.1.c</t>
  </si>
  <si>
    <t>FTR.3.a</t>
  </si>
  <si>
    <t>FTR.3.b</t>
  </si>
  <si>
    <t>FTR.6</t>
  </si>
  <si>
    <t>FTR.9</t>
  </si>
  <si>
    <t>FTR.10.a</t>
  </si>
  <si>
    <t>FTR.10.b</t>
  </si>
  <si>
    <t>FTR.10.c</t>
  </si>
  <si>
    <t>FTR.10.d</t>
  </si>
  <si>
    <t>FTR.10.e</t>
  </si>
  <si>
    <t>BHP</t>
  </si>
  <si>
    <t>BHP.1</t>
  </si>
  <si>
    <t>BHP.2</t>
  </si>
  <si>
    <t>BHP.3</t>
  </si>
  <si>
    <t>BHP.4</t>
  </si>
  <si>
    <t>BHP.5.a</t>
  </si>
  <si>
    <t>BHP.5.b</t>
  </si>
  <si>
    <t>BHP.6.a</t>
  </si>
  <si>
    <t>BHP.6.b</t>
  </si>
  <si>
    <t>BHP.7</t>
  </si>
  <si>
    <t>CMG1</t>
  </si>
  <si>
    <t>CMG2</t>
  </si>
  <si>
    <t>CMG1.1</t>
  </si>
  <si>
    <t>CMG1.2.a</t>
  </si>
  <si>
    <t>CMG1.2.b</t>
  </si>
  <si>
    <t>CMG1.3.a</t>
  </si>
  <si>
    <t>CMG1.3.b</t>
  </si>
  <si>
    <t>CMG1.4.a</t>
  </si>
  <si>
    <t>CMG1.4.b</t>
  </si>
  <si>
    <t>CMG1.5</t>
  </si>
  <si>
    <t>CMG2.1</t>
  </si>
  <si>
    <t>CMG2.2</t>
  </si>
  <si>
    <t>ENDP1</t>
  </si>
  <si>
    <t>ENDP1.7</t>
  </si>
  <si>
    <t>ENDP1.6</t>
  </si>
  <si>
    <t>ENDP1.5.b</t>
  </si>
  <si>
    <t>ENDP1.5.a</t>
  </si>
  <si>
    <t>ENDP1.4</t>
  </si>
  <si>
    <t>ENDP1.3</t>
  </si>
  <si>
    <t>ENDP1.2</t>
  </si>
  <si>
    <t>ENDP1.1.b</t>
  </si>
  <si>
    <t>ENDP1.1.a</t>
  </si>
  <si>
    <t>ENDP2</t>
  </si>
  <si>
    <t>ENDP2.5</t>
  </si>
  <si>
    <t>ENDP2.4</t>
  </si>
  <si>
    <t>ENDP2.3.b</t>
  </si>
  <si>
    <t>ENDP2.3.a</t>
  </si>
  <si>
    <t>ENDP2.2b</t>
  </si>
  <si>
    <t>ENDP2.2.c</t>
  </si>
  <si>
    <t>ENDP2.2.a</t>
  </si>
  <si>
    <t>ENDP2.1</t>
  </si>
  <si>
    <t>ENDP3.1.a</t>
  </si>
  <si>
    <t>ENDP3.1.b</t>
  </si>
  <si>
    <t>ENDP3.2</t>
  </si>
  <si>
    <t>ENDP3</t>
  </si>
  <si>
    <t>ESPR1</t>
  </si>
  <si>
    <t>ESPR2</t>
  </si>
  <si>
    <t>FB1</t>
  </si>
  <si>
    <t>FB2</t>
  </si>
  <si>
    <t>GPRO1</t>
  </si>
  <si>
    <t>GPRO2</t>
  </si>
  <si>
    <t>16cv06654</t>
  </si>
  <si>
    <t>09/19/2016 - 11/08/2016</t>
  </si>
  <si>
    <t>GPRO3</t>
  </si>
  <si>
    <t>GPRO1.1</t>
  </si>
  <si>
    <t>GPRO1.2.a</t>
  </si>
  <si>
    <t>GPRO1.2.b</t>
  </si>
  <si>
    <t>GPRO1.2.c</t>
  </si>
  <si>
    <t>GPRO1.2.d</t>
  </si>
  <si>
    <t>GPRO1.2.e</t>
  </si>
  <si>
    <t>GPRO1.2.f</t>
  </si>
  <si>
    <t>GPRO1.2.g</t>
  </si>
  <si>
    <t>GPRO1.3</t>
  </si>
  <si>
    <t>GPRO1.4</t>
  </si>
  <si>
    <t>GPRO1.5.a</t>
  </si>
  <si>
    <t>GPRO1.5.b</t>
  </si>
  <si>
    <t>GPRO1.5.c</t>
  </si>
  <si>
    <t>GPRO1.5.d</t>
  </si>
  <si>
    <t>GPRO1.5.e</t>
  </si>
  <si>
    <t>GPRO1.6.a</t>
  </si>
  <si>
    <t>GPRO1.6.b</t>
  </si>
  <si>
    <t>GPRO1.6.c</t>
  </si>
  <si>
    <t>GPRO1.6.d</t>
  </si>
  <si>
    <t>GPRO1.7</t>
  </si>
  <si>
    <t>GPRO1.8</t>
  </si>
  <si>
    <t>GPRO2.1</t>
  </si>
  <si>
    <t>GPRO2.2</t>
  </si>
  <si>
    <t>GPRO2.3</t>
  </si>
  <si>
    <t>GPRO2.4</t>
  </si>
  <si>
    <t>GPRO2.5.a</t>
  </si>
  <si>
    <t>GPRO2.5.b</t>
  </si>
  <si>
    <t>GPRO2.5.c</t>
  </si>
  <si>
    <t>GPRO2.5.d</t>
  </si>
  <si>
    <t>GPRO3.1</t>
  </si>
  <si>
    <t>GPRO3.2.a</t>
  </si>
  <si>
    <t>GPRO3.2.b</t>
  </si>
  <si>
    <t>GPRO3.3</t>
  </si>
  <si>
    <t>GPRO3.4.a</t>
  </si>
  <si>
    <t>GPRO3.4.b</t>
  </si>
  <si>
    <t>GPRO3.5</t>
  </si>
  <si>
    <t>GPRO3.6</t>
  </si>
  <si>
    <t>GPRO3.7</t>
  </si>
  <si>
    <t>LCI1</t>
  </si>
  <si>
    <t>LCI2</t>
  </si>
  <si>
    <t>LCI1.1.a</t>
  </si>
  <si>
    <t>LCI1.1.b</t>
  </si>
  <si>
    <t>LCI1.1.c</t>
  </si>
  <si>
    <t>LCI1.1.d</t>
  </si>
  <si>
    <t>LCI1.1.e</t>
  </si>
  <si>
    <t>LCI1.2</t>
  </si>
  <si>
    <t>LCI1.3.a</t>
  </si>
  <si>
    <t>LCI1.3.b</t>
  </si>
  <si>
    <t>LCI1.4</t>
  </si>
  <si>
    <t>LCI1.5.a</t>
  </si>
  <si>
    <t>LCI1.5.b</t>
  </si>
  <si>
    <t>LCI1.5.c</t>
  </si>
  <si>
    <t>LCI1.5.d</t>
  </si>
  <si>
    <t>LCI1.6</t>
  </si>
  <si>
    <t>LCI1.7</t>
  </si>
  <si>
    <t>AAOI1</t>
  </si>
  <si>
    <t>AAOI2</t>
  </si>
  <si>
    <t>AAOI1.1.a</t>
  </si>
  <si>
    <t>AAOI1.1.b</t>
  </si>
  <si>
    <t>AAOI1.1.c</t>
  </si>
  <si>
    <t>AAOI1.1.d</t>
  </si>
  <si>
    <t>AAOI1.1.e</t>
  </si>
  <si>
    <t>AAOI1.2</t>
  </si>
  <si>
    <t>AAOI1.3</t>
  </si>
  <si>
    <t>AAOI1.4</t>
  </si>
  <si>
    <t>AAOI1.5</t>
  </si>
  <si>
    <t>LC1</t>
  </si>
  <si>
    <t>LC2</t>
  </si>
  <si>
    <t>LC1.7</t>
  </si>
  <si>
    <t>LC1.1</t>
  </si>
  <si>
    <t>LC1.2</t>
  </si>
  <si>
    <t>LC1.3</t>
  </si>
  <si>
    <t>LC1.4</t>
  </si>
  <si>
    <t>LC1.5.a</t>
  </si>
  <si>
    <t>LC1.5.b</t>
  </si>
  <si>
    <t>LC1.5.c</t>
  </si>
  <si>
    <t>LC1.6</t>
  </si>
  <si>
    <t>LC2.1</t>
  </si>
  <si>
    <t>LC2.2.a</t>
  </si>
  <si>
    <t>LC2.2.b</t>
  </si>
  <si>
    <t>LC2.3</t>
  </si>
  <si>
    <t>MNKD1</t>
  </si>
  <si>
    <t>MNKD2</t>
  </si>
  <si>
    <t>MNKD1.1</t>
  </si>
  <si>
    <t>MNKD1.2</t>
  </si>
  <si>
    <t>MNKD2.1</t>
  </si>
  <si>
    <t>NAVI1</t>
  </si>
  <si>
    <t>NAVI2</t>
  </si>
  <si>
    <t>NAVI1.4</t>
  </si>
  <si>
    <t>NAVI1.1.a</t>
  </si>
  <si>
    <t>NAVI1.1.b</t>
  </si>
  <si>
    <t>NAVI1.1.c</t>
  </si>
  <si>
    <t>NAVI1.2.a</t>
  </si>
  <si>
    <t>NAVI1.2.b</t>
  </si>
  <si>
    <t>NAVI1.2.c</t>
  </si>
  <si>
    <t>NAVI1.2.d</t>
  </si>
  <si>
    <t>NAVI1.3</t>
  </si>
  <si>
    <t>NAVI2.1</t>
  </si>
  <si>
    <t>NAVI2.2.a</t>
  </si>
  <si>
    <t>NAVI2.2.b</t>
  </si>
  <si>
    <t>dismissed prior to LP appointment</t>
  </si>
  <si>
    <t>OVAS1</t>
  </si>
  <si>
    <t>OVAS2</t>
  </si>
  <si>
    <t>OVAS1.1</t>
  </si>
  <si>
    <t>OVAS1.2</t>
  </si>
  <si>
    <t>OVAS2.1</t>
  </si>
  <si>
    <t>PYPL1</t>
  </si>
  <si>
    <t>PYPL2</t>
  </si>
  <si>
    <t>PYPL2.1</t>
  </si>
  <si>
    <t>PYPL2.2</t>
  </si>
  <si>
    <t>PYPL1.1.a</t>
  </si>
  <si>
    <t>PYPL1.1.b</t>
  </si>
  <si>
    <t>PYPL1.2</t>
  </si>
  <si>
    <t>PM1</t>
  </si>
  <si>
    <t>PM2</t>
  </si>
  <si>
    <t>PM1.1</t>
  </si>
  <si>
    <t>PM1.2</t>
  </si>
  <si>
    <t>PM1.3</t>
  </si>
  <si>
    <t>17cv00121</t>
  </si>
  <si>
    <t>02/01/2012 - 01/20/2017</t>
  </si>
  <si>
    <t>Bernstein Litowitz Berger &amp; Grossman LLP; Motley Rice LLC</t>
  </si>
  <si>
    <t>QCOM1</t>
  </si>
  <si>
    <t>QCOM2</t>
  </si>
  <si>
    <t>QCOM3</t>
  </si>
  <si>
    <t>QCOM1.2</t>
  </si>
  <si>
    <t>QCOM1.1</t>
  </si>
  <si>
    <t>QCOM2.1.a</t>
  </si>
  <si>
    <t>QCOM2.1.b</t>
  </si>
  <si>
    <t>QCOM2.2</t>
  </si>
  <si>
    <t>QCOM2.3.a</t>
  </si>
  <si>
    <t>QCOM2.3.b</t>
  </si>
  <si>
    <t>QCOM2.3.c</t>
  </si>
  <si>
    <t>QCOM2.4</t>
  </si>
  <si>
    <t>QCOM3.1</t>
  </si>
  <si>
    <t>QCOM3.2</t>
  </si>
  <si>
    <t>QCOM3.3</t>
  </si>
  <si>
    <t>QCOM3.4.a</t>
  </si>
  <si>
    <t>QCOM3.4.b</t>
  </si>
  <si>
    <t>RIO1</t>
  </si>
  <si>
    <t>RIO2</t>
  </si>
  <si>
    <t>RIO1.1</t>
  </si>
  <si>
    <t>RMTI1</t>
  </si>
  <si>
    <t>RMTI2</t>
  </si>
  <si>
    <t>RMTI2.1</t>
  </si>
  <si>
    <t>RMTI2.2</t>
  </si>
  <si>
    <t>RMTI2.3</t>
  </si>
  <si>
    <t>RMTI2.4</t>
  </si>
  <si>
    <t>RMTI1.1</t>
  </si>
  <si>
    <t>RMTI1.2.a</t>
  </si>
  <si>
    <t>RMTI1.2.b</t>
  </si>
  <si>
    <t>TSLA1</t>
  </si>
  <si>
    <t>TSLA2</t>
  </si>
  <si>
    <t>TSLA1.1</t>
  </si>
  <si>
    <t>TEVA1</t>
  </si>
  <si>
    <t>TEVA2</t>
  </si>
  <si>
    <t>TEVA2.1</t>
  </si>
  <si>
    <t>TEVA2.2.a</t>
  </si>
  <si>
    <t>TEVA2.2.b</t>
  </si>
  <si>
    <t>TEVA2.2.c</t>
  </si>
  <si>
    <t>TEVA2.2.d</t>
  </si>
  <si>
    <t>TEVA2.2.e</t>
  </si>
  <si>
    <t>TEVA2.2.f</t>
  </si>
  <si>
    <t>TEVA2.3.a</t>
  </si>
  <si>
    <t>TEVA2.3.b</t>
  </si>
  <si>
    <t>TEVA2.4</t>
  </si>
  <si>
    <t>TEVA2.5</t>
  </si>
  <si>
    <t>TEVA2.6.a</t>
  </si>
  <si>
    <t>TEVA2.6.b</t>
  </si>
  <si>
    <t>TEVA2.7</t>
  </si>
  <si>
    <t>TEVA1.1</t>
  </si>
  <si>
    <t>TEVA1.2.a</t>
  </si>
  <si>
    <t>TEVA1.2.b</t>
  </si>
  <si>
    <t>TEVA1.2.c</t>
  </si>
  <si>
    <t>TEVA1.3</t>
  </si>
  <si>
    <t>TEVA1.4.a</t>
  </si>
  <si>
    <t>TEVA1.4.b</t>
  </si>
  <si>
    <t>TEVA1.4.c</t>
  </si>
  <si>
    <t>TEVA1.5</t>
  </si>
  <si>
    <t>TGTX1</t>
  </si>
  <si>
    <t>TGTX2</t>
  </si>
  <si>
    <t>TGTX1.1.a</t>
  </si>
  <si>
    <t>TGTX1.1.b</t>
  </si>
  <si>
    <t>WFC1</t>
  </si>
  <si>
    <t>WFC2</t>
  </si>
  <si>
    <t>WFC2.1</t>
  </si>
  <si>
    <t>WFC2.2</t>
  </si>
  <si>
    <t>WFC2.3</t>
  </si>
  <si>
    <t>WFC1.1</t>
  </si>
  <si>
    <t>WFC1.2</t>
  </si>
  <si>
    <t>WFC1.3.a</t>
  </si>
  <si>
    <t>WFC1.3.b</t>
  </si>
  <si>
    <t>WFC1.3.c</t>
  </si>
  <si>
    <t>WFC1.3.d</t>
  </si>
  <si>
    <t>WFC1.3.e</t>
  </si>
  <si>
    <t>WFC1.3.f</t>
  </si>
  <si>
    <t>WFC1.3.g</t>
  </si>
  <si>
    <t>WFC1.4</t>
  </si>
  <si>
    <t>Anton Colbert</t>
  </si>
  <si>
    <t>RIO2.1</t>
  </si>
  <si>
    <t>INSY1</t>
  </si>
  <si>
    <t>INSY2</t>
  </si>
  <si>
    <t>INSY1.1</t>
  </si>
  <si>
    <t>INSY1.2</t>
  </si>
  <si>
    <t>INSY1.3</t>
  </si>
  <si>
    <t>INSY2.1.a</t>
  </si>
  <si>
    <t>INSY2.1.b</t>
  </si>
  <si>
    <t>INSY2.1.c</t>
  </si>
  <si>
    <t>INSY2.1.d</t>
  </si>
  <si>
    <t>INSY2.2</t>
  </si>
  <si>
    <t>RUN1</t>
  </si>
  <si>
    <t>RUN2</t>
  </si>
  <si>
    <t>RUN1.1</t>
  </si>
  <si>
    <t>RUN1.2.a</t>
  </si>
  <si>
    <t>RUN1.2.b</t>
  </si>
  <si>
    <t>RUN1.2.c</t>
  </si>
  <si>
    <t>RUN1.2.d</t>
  </si>
  <si>
    <t>RUN2.1.a</t>
  </si>
  <si>
    <t>RUN2.1.b</t>
  </si>
  <si>
    <t>RUN2.1.c</t>
  </si>
  <si>
    <t>RUN2.1.d</t>
  </si>
  <si>
    <t>RUN2.1.e</t>
  </si>
  <si>
    <t>RUN2.2.a</t>
  </si>
  <si>
    <t>RUN2.2.b</t>
  </si>
  <si>
    <t>RUN2.3</t>
  </si>
  <si>
    <t>DB1</t>
  </si>
  <si>
    <t>DB2</t>
  </si>
  <si>
    <t>DB2.1</t>
  </si>
  <si>
    <t>DB2.2</t>
  </si>
  <si>
    <t>DB2.3</t>
  </si>
  <si>
    <t>DB1.1.a</t>
  </si>
  <si>
    <t>DB1.1.b</t>
  </si>
  <si>
    <t>DB1.1.c</t>
  </si>
  <si>
    <t>DB1.2</t>
  </si>
  <si>
    <t>DB1.3</t>
  </si>
  <si>
    <t>DB1.4</t>
  </si>
  <si>
    <t>DB1.5</t>
  </si>
  <si>
    <t>FIZZ1</t>
  </si>
  <si>
    <t>FIZZ2</t>
  </si>
  <si>
    <t>FIZZ1.1</t>
  </si>
  <si>
    <t>FIZZ2.1</t>
  </si>
  <si>
    <t>TTPH1</t>
  </si>
  <si>
    <t>TTPH2</t>
  </si>
  <si>
    <t>TTPH2.1</t>
  </si>
  <si>
    <t>TTPH2.2.a</t>
  </si>
  <si>
    <t>TTPH2.2.b</t>
  </si>
  <si>
    <t>TTPH1.1</t>
  </si>
  <si>
    <t>TTPH1.2.a</t>
  </si>
  <si>
    <t>TTPH1.2.b</t>
  </si>
  <si>
    <t>TTPH1.3</t>
  </si>
  <si>
    <t>TTPH1.4</t>
  </si>
  <si>
    <t>TTPH1.5</t>
  </si>
  <si>
    <t>SKX1</t>
  </si>
  <si>
    <t>SKX2</t>
  </si>
  <si>
    <t>NONE1</t>
  </si>
  <si>
    <t>NONE2</t>
  </si>
  <si>
    <t>NONE1.1.a</t>
  </si>
  <si>
    <t>NONE1.1.b</t>
  </si>
  <si>
    <t>NONE1.1.c</t>
  </si>
  <si>
    <t>NONE1.1.d</t>
  </si>
  <si>
    <t>NONE2.1</t>
  </si>
  <si>
    <t>NA</t>
  </si>
  <si>
    <t>Legend</t>
  </si>
  <si>
    <t>NA = Not Available, movant loss is unreported, do not use in analysis</t>
  </si>
  <si>
    <t>DC = Didn't Calculate, either movant loss is NA or case damages are marked as DC in the Data Pull Sheet</t>
  </si>
  <si>
    <t>BOFI.3</t>
  </si>
  <si>
    <t>Chris Kebler</t>
  </si>
  <si>
    <t>ACIA.6</t>
  </si>
  <si>
    <t>Johnson Fistel, LLP; Robbins, Geller, Rudman &amp; Dowd, LLP; Law Offices of Alan L. Kovacs (local/liaison)</t>
  </si>
  <si>
    <t>Kessler Topaz Meltzer &amp; Check, LLP; Seeger Weiss LLP (local/liaison)</t>
  </si>
  <si>
    <t>Kessler Topaz Meltzer &amp; Check, LLP; Johnson &amp; Weaver LLP (local/liaison)</t>
  </si>
  <si>
    <t>Kessler Topaz Meltzer &amp; Check, LLP; Labaton Sucharow LLP; Garvey Schubert Barer (local/liaison)</t>
  </si>
  <si>
    <t>Kessler Topaz Meltzer &amp; Check, LLP; Berke, Berke &amp; Berke (local/liaison)</t>
  </si>
  <si>
    <t>Kessler Topaz Meltzer &amp; Check, LLP; Labaton Sucharow LLP (local/liaison)</t>
  </si>
  <si>
    <t>Kessler Topaz Meltzer &amp; Check, LLP; Labaton Sucharow LLP; Law Offices of Susan R. Podolsky (local/liaison)</t>
  </si>
  <si>
    <t>Scott &amp; Scott, LLP; Kessler Topaz Meltzer &amp; Check, LLP (local/liaison)</t>
  </si>
  <si>
    <t>Kessler Topaz Meltzer &amp; Check, LLP; Kiesel Law LLP (local/liaison)</t>
  </si>
  <si>
    <t>Kessler Topaz Meltzer &amp; Check, LLP; Bonnett, Fairbourn, Friedman &amp; Balint, P.C. (local/liaison)</t>
  </si>
  <si>
    <t>Kessler Topaz Meltzer &amp; Check, LLP; Rosman and Germain LLP (local/liaison)</t>
  </si>
  <si>
    <t>Kessler Topaz Meltzer &amp; Check, LLP; Izard Nobel LLP (local/liaison)</t>
  </si>
  <si>
    <t>Kessler Topaz Meltzer &amp; Check, LLP; Labaton Sucharow LLP; Branstetter Stranch &amp; Jennings PLLC (local/liaison)</t>
  </si>
  <si>
    <t>Kessler Topaz Meltzer &amp; Check, LLP; Saxena White P.A.; Lieff Cabraser Heimann &amp; Bernstein, LLP (local/liaison)</t>
  </si>
  <si>
    <t>Barrack Rodos &amp; Bacine; Labaton Sucharow LLP; The Glorioso Law Firm (local/liaison)</t>
  </si>
  <si>
    <t>Scott &amp; Scott, LLP; Bonnett, Fairbourn, Friedman &amp; Balint, P.C. (local/liaison)</t>
  </si>
  <si>
    <t>Scott &amp; Scott, LLP; Hynes Keller &amp; Hernandez, LLC (local/liaison)</t>
  </si>
  <si>
    <t>Levi &amp; Korsinsky, LLP; Scott &amp; Scott, LLP</t>
  </si>
  <si>
    <t>Robbins, Geller, Rudman &amp; Dowd, LLP; Cohn, Lifland, Pearlman, Herrmann, &amp; Knopf, LLP (local/liaison)</t>
  </si>
  <si>
    <t>Levi &amp; Korsinsky, LLP; Scott &amp; Scott, LLP; Ward Black Law (local/liaison)</t>
  </si>
  <si>
    <t>Scott &amp; Scott, LLP; Quinn, Connor, Weaver, Davies &amp; Rouco LLP (local/liaison)</t>
  </si>
  <si>
    <t>Kessler Topaz Meltzer &amp; Check, LLP; The Miller Law Firm, P.C. (local/liaison)</t>
  </si>
  <si>
    <t>Kessler Topaz Meltzer &amp; Check, LLP; Bernstein Litowitz Berger &amp; Grossmann LLP (local/liaison)</t>
  </si>
  <si>
    <t>Kessler Topaz Meltzer &amp; Check, LLP; Scott &amp; Cain, Attorneys at Law (local/liaison)</t>
  </si>
  <si>
    <t>Kessler Topaz Meltzer &amp; Check, LLP; Salpeter Gitkin, LLP (local/liaison)</t>
  </si>
  <si>
    <t>Bernstein Litowitz Berger &amp; Grossmann LLP; Kessler Topaz Meltzer &amp; Check, LLP; Chestnut &amp; Cambronne (local/liaison)</t>
  </si>
  <si>
    <t>Kessler Topaz Meltzer &amp; Check, LLP; Mattingly &amp; Roselius, PLLC (local/liaison)</t>
  </si>
  <si>
    <t>Kessler Topaz Meltzer &amp; Check, LLP; Carella, Byrne, Cecchi, Olstein, Brody &amp; Agnello P.C. (local/liaison)</t>
  </si>
  <si>
    <t>Kessler Topaz Meltzer &amp; Check, LLP; James Christian, PLC (local/liaison)</t>
  </si>
  <si>
    <t>Labaton Sucharow LLP; Kessler Topaz Meltzer &amp; Check, LLP (local/liaison)</t>
  </si>
  <si>
    <t>Kessler Topaz Meltzer &amp; Check, LLP; Robbins, Geller, Rudman &amp; Dowd, LLP (local/liaison)</t>
  </si>
  <si>
    <t>Kessler Topaz Meltzer &amp; Check, LLP; Mehr, Fairbanks, &amp; Peterson Trial Lawyers, PLLC (local/liaison)</t>
  </si>
  <si>
    <t>Barrack Rodos &amp; Bacine; Murray Murphy Moul &amp; Basil, LLP (local/liaison)</t>
  </si>
  <si>
    <t>Glancy Prongay &amp; Murray, LLP; Goebel Anderson PC (local/liaison)</t>
  </si>
  <si>
    <t>Barrack Rodos &amp; Bacine; Kessler Topaz Meltzer &amp; Check, LLP; Labaton Sucharow LLP</t>
  </si>
  <si>
    <t>Kessler Topaz Meltzer &amp; Check, LLP; Labaton Sucharow LLP; Johnson &amp; Weaver LLP (local/liaison)</t>
  </si>
  <si>
    <t>Barrack Rodos &amp; Bacine; Bernstein Litowitz Berger &amp; Grossmann LLP; Climaco, Wilcox, Peca, Tarantino &amp; Garofoli Co., L.P.A. (local/liaison)</t>
  </si>
  <si>
    <t>Kessler Topaz Meltzer &amp; Check, LLP; Labaton Sucharow LLP</t>
  </si>
  <si>
    <t>Kessler Topaz Meltzer &amp; Check, LLP; Rosenthal, Monhait &amp; Goddess, P.A. (local/liaison)</t>
  </si>
  <si>
    <t>Scott &amp; Scott, LLP; Levi &amp; Korsinsky, LLP (local/liaison)</t>
  </si>
  <si>
    <t>Scott &amp; Scott, LLP; Branstetter Stranch &amp; Jennings PLLC (local/liaison)</t>
  </si>
  <si>
    <t>Glancy Prongay &amp; Murray, LLP; Scott &amp; Scott, LLP; Schnader Harrison Segal &amp; Lewis LLP (local/liaison)</t>
  </si>
  <si>
    <t>Kessler Topaz Meltzer &amp; Check, LLP; Brenner, Saltzman &amp; Wallman (local/liaison)</t>
  </si>
  <si>
    <t>Pomerantz LLP; Scott &amp; Scott, LLP</t>
  </si>
  <si>
    <t>Levi &amp; Korsinsky, LLP; Scott &amp; Scott, LLP; Block &amp; Leviton LLP (local/liaison)</t>
  </si>
  <si>
    <t>Scott &amp; Scott, LLP; Hutchings, Barsamian, Mandelcorn, LLP (local/liaison)</t>
  </si>
  <si>
    <t>Kessler Topaz Meltzer &amp; Check, LLP; Murphy Anderson PLLC (local/liaison)</t>
  </si>
  <si>
    <t>Kessler Topaz Meltzer &amp; Check, LLP; Motley Rice LLC</t>
  </si>
  <si>
    <t>Bernstein Litowitz Berger &amp; Grossmann LLP; Cohn, Lifland, Pearlman, Herrmann, &amp; Knopf, LLP (local/liaison)</t>
  </si>
  <si>
    <t>Scott &amp; Scott, LLP; Anderson &amp; Karrenberg, P.C. (local/liaison)</t>
  </si>
  <si>
    <t>Scott &amp; Scott, LLP; U.S. Market Advisors Law Group PLLC (local/liaison)</t>
  </si>
  <si>
    <t>Kessler Topaz Meltzer &amp; Check, LLP; Robbins, Geller, Rudman &amp; Dowd, LLP</t>
  </si>
  <si>
    <t>Scott &amp; Scott, LLP; Tousley Brain Stephens PLLC (local/liaison)</t>
  </si>
  <si>
    <t>Rolando Corona Podesta</t>
  </si>
  <si>
    <t>Employees Retirement System of the City of Baton Rouge and Parish of East Baton Rouge</t>
  </si>
  <si>
    <t>City of Atlanta Firefighters Pension Fund</t>
  </si>
  <si>
    <t>Lehigh County Employees Retirement Board</t>
  </si>
  <si>
    <t>Chang Mao Cai</t>
  </si>
  <si>
    <t>Ryo Nakamura</t>
  </si>
  <si>
    <t>Steamfitters Local Union No. 420 Pension Plan</t>
  </si>
  <si>
    <t>Western Washington Laborers-Employers Pension Trust Fund</t>
  </si>
  <si>
    <t>Repeat Institutional Lead Plainitff Movants by Firm (2016-2018)</t>
  </si>
  <si>
    <t>AUM</t>
  </si>
  <si>
    <t>Blank</t>
  </si>
  <si>
    <t>Total</t>
  </si>
  <si>
    <t>% Missing</t>
  </si>
  <si>
    <t>Bernstein Litowitz Berger &amp; Grossmann LLP; Kessler Topaz Meltzer &amp; Check, LLP</t>
  </si>
  <si>
    <t>Bristol-Myers Squbb Company</t>
  </si>
  <si>
    <t>Rigrodsky &amp; Long, PA</t>
  </si>
  <si>
    <t>Bernstein Litowitz Berger &amp; Grossmann LLP; Saxena White P.A</t>
  </si>
  <si>
    <t>Kessler Topaz Meltzer &amp; Check, LLP; Saxena White P.A.</t>
  </si>
  <si>
    <t>Barrack Rodos &amp; Bacine; Labaton Sucharow LLP</t>
  </si>
  <si>
    <t>Pomerantz LLP; Robbins, Geller, Rudman &amp; Dowd, LLP</t>
  </si>
  <si>
    <t>Barrack Rodos &amp; Bacine; Bernstein Litowitz Berger &amp; Grossmann LLP</t>
  </si>
  <si>
    <t>Pomerantz LLP; Saxena White P.A.</t>
  </si>
  <si>
    <t>Kirby McInerney LLP; Labaton Sucharow LLP</t>
  </si>
  <si>
    <t>Kohn, Swift &amp; Graf, P.C.</t>
  </si>
  <si>
    <t>Finkelstein &amp; Krinsk LLP; Glancy Prongay &amp; Murray, LLP</t>
  </si>
  <si>
    <t>Filing Firm</t>
  </si>
  <si>
    <t>10/09/2018</t>
  </si>
  <si>
    <t>10/01/2018</t>
  </si>
  <si>
    <t>10/04/2018</t>
  </si>
  <si>
    <t>09/28/2018</t>
  </si>
  <si>
    <t>08/24/2018</t>
  </si>
  <si>
    <t>08/02/2018</t>
  </si>
  <si>
    <t>11/14/2018</t>
  </si>
  <si>
    <t>08/09/2018</t>
  </si>
  <si>
    <t>10/26/2017</t>
  </si>
  <si>
    <t>Levi &amp; Korsinsky, LLP; The Bilek Law Firm LLP</t>
  </si>
  <si>
    <t>Kerr &amp; Wagstaffe LLP; Labaton Sucharow LLP</t>
  </si>
  <si>
    <t>Block &amp; Leviton LLP; Bronstein, Gewirtz &amp; Grossman, LLC; Finkelstein, Blankinship, Frei-Pearson &amp; Garber, LLP; Holzer &amp; Holzer, LLC; Pomerantz LLP; Robbins, Geller, Rudman &amp; Dowd, LLP</t>
  </si>
  <si>
    <t>Bronstein, Gewirtz &amp; Grossman, LLC; Levi &amp; Korsinsky, LLP; Pomerantz LLP</t>
  </si>
  <si>
    <t>Bronstein, Gewirtz &amp; Grossman, LLC; Kaufman, Coren &amp; Ress, P.C.; The Rosen Law Firm, P.A.</t>
  </si>
  <si>
    <t>09/08/2015</t>
  </si>
  <si>
    <t>Block &amp; Leviton LLP; Goldberg Law PC; Levi &amp; Korsinsky, LLP; The Rosen Law Firm, P.A.</t>
  </si>
  <si>
    <t>Browne George Ross LLP; Hagens Berman Sobol Shapiro LLP; Johnson Fistel, LLP; Kaplan Fox &amp; Kilsheimer LLP; Keller Lenkner LLC; Kerr &amp; Wagstaffe LLP; Labaton Sucharow LLP; Marc Lazo; Pomerantz LLP; Robbins, Geller, Rudman &amp; Dowd, LLP; Scott &amp; Scott,  LLP</t>
  </si>
  <si>
    <t>Andrews DeValerio LLP; Bronstein, Gewirtz &amp; Grossman, LLC; Pomerantz LLP</t>
  </si>
  <si>
    <t>Glancy Prongay &amp; Murray, LLP; Levi &amp; Korsinsky, LLP; Pomerantz LLP</t>
  </si>
  <si>
    <t>Bernstein Liebhard LLP; Pomerantz LLP</t>
  </si>
  <si>
    <t>Kessler Topaz  Meltzer &amp; Check, LLP; Robbins, Geller, Rudman &amp; Dowd, LLP</t>
  </si>
  <si>
    <t>Goldberg Law PC; Pomerantz LLP; The Rosen Law Firm, P.A.</t>
  </si>
  <si>
    <t>Block &amp; Leviton LLP; Holzer &amp; Holzer, LLC; Peters Scofield; Pomerantz LLP</t>
  </si>
  <si>
    <t>Robbins, Geller, Rudman &amp; Dowd, LLP; VanOverbeke Michaud &amp; Timmony, P.C.</t>
  </si>
  <si>
    <t>08/30/2018</t>
  </si>
  <si>
    <t>Anderson &amp; Karrenberg, P.C.; Bronstein, Gewirtz &amp; Grossman, LLC; Holzer &amp; Holzer, LLC; Peters Scofield; Pomerantz LLP; Scott &amp; Scott,  LLP</t>
  </si>
  <si>
    <t>Lifshitz &amp; Miller; Matorin Law Office, LLC</t>
  </si>
  <si>
    <t>Hutchings, Barsamian, Mandelcorn, LLP; Scott &amp; Scott,  LLP</t>
  </si>
  <si>
    <t>Bernstein Litowitz Berger &amp; Grossmann LLP; Klausner, Kaufman, Jensen &amp; Levinson</t>
  </si>
  <si>
    <t>Andrews &amp; Springer, LLC; Bernstein Litowitz Berger &amp; Grossmann LLP; Bronstein, Gewirtz &amp; Grossman, LLC; Friedlander &amp; Gorris, P.A.; Johnson &amp; Weaver LLP; Pomerantz LLP; Robbins, Geller, Rudman &amp; Dowd, LLP; Rosenthal, Monhait &amp; Goddess, P.A.</t>
  </si>
  <si>
    <t>Lite Depalma Greenberg, LLC; Pomerantz LLP; The Rosen Law Firm, P.A.</t>
  </si>
  <si>
    <t>10/06/2018</t>
  </si>
  <si>
    <t>Block &amp; Leviton LLP; Glancy Prongay &amp; Murray, LLP; Pomerantz LLP; Wolf Haldenstein Adler Freeman &amp; Herz LLP</t>
  </si>
  <si>
    <t>Fishman Haygood L.L.P.; Glancy Prongay &amp; Murray, LLP; Kirby McInerney LLP</t>
  </si>
  <si>
    <t>Glancy Prongay &amp; Murray, LLP; Holzer &amp; Holzer, LLC; Law Offices of Howard G. Smith</t>
  </si>
  <si>
    <t>Bronstein, Gewirtz &amp; Grossman, LLC; Criden &amp; Love, P.A.; Freed Kanner London &amp; Millen, LLC; Johnson Fistel, LLP; Pomerantz LLP; Robbins, Geller, Rudman &amp; Dowd, LLP; Scott &amp; Scott,  LLP</t>
  </si>
  <si>
    <t>Block &amp; Leviton LLP; Bronstein, Gewirtz &amp; Grossman, LLC; Pomerantz LLP</t>
  </si>
  <si>
    <t>Kaskela Law LLC; Pomerantz LLP</t>
  </si>
  <si>
    <t>Bonnett, Fairbourn, Friedman &amp; Balint, P.C.; Goldberg Law PC; Kessler Topaz  Meltzer &amp; Check, LLP</t>
  </si>
  <si>
    <t>Eggnatz Pascucci, P.A.; Levi &amp; Korsinsky, LLP; Stull, Stull &amp; Brody</t>
  </si>
  <si>
    <t>Gainey McKenna &amp; Egleston; Glancy Prongay &amp; Murray, LLP; Johnson &amp; Weaver LLP; Kaplan Fox &amp; Kilsheimer LLP; Law Offices of Howard G. Smith; Robbins, Geller, Rudman &amp; Dowd, LLP; Stull, Stull &amp; Brody</t>
  </si>
  <si>
    <t>Bronstein, Gewirtz &amp; Grossman, LLC; Johnson Fistel, LLP; Pomerantz LLP; Robbins, Geller, Rudman &amp; Dowd, LLP; Stull, Stull &amp; Brody; The Rosen Law Firm, P.A.</t>
  </si>
  <si>
    <t>Bronstein, Gewirtz &amp; Grossman, LLC; Glancy Prongay &amp; Murray, LLP; Grant &amp; Eisenhofer, P.A.; Kirby McInerney LLP; Labaton Sucharow LLP; Pomerantz LLP</t>
  </si>
  <si>
    <t>Hall &amp; George PLLC; The Rosen Law Firm, P.A.</t>
  </si>
  <si>
    <t>Bronstein, Gewirtz &amp; Grossman, LLC; Holzer &amp; Holzer, LLC; Pierce Bainbridge Beck Price &amp; Hecht LLP; Pomerantz LLP; Robbins, Geller, Rudman &amp; Dowd, LLP</t>
  </si>
  <si>
    <t>Levi &amp; Korsinsky, LLP; O'Kelly Ernst &amp; Joyce, LLC</t>
  </si>
  <si>
    <t>Bronstein, Gewirtz &amp; Grossman, LLC; Pomerantz LLP; The Rosen Law Firm, P.A.</t>
  </si>
  <si>
    <t>Eccleston Law Offices, PC; Gibbs Law Group LLP; Law Office of Christopher J. Gray, P.C.; Law Offices of William M. Aron; Levi &amp; Korsinsky, LLP; Milberg Tadler Phillips Grossman LLP</t>
  </si>
  <si>
    <t>Bronstein, Gewirtz &amp; Grossman, LLC; Pomerantz LLP; Steckler Gresham Cochran; The Briscoe Law Firm, PLLC; The Rosen Law Firm, P.A.</t>
  </si>
  <si>
    <t>Glancy Prongay &amp; Murray, LLP; Law Offices of Howard G. Smith; The Briscoe Law Firm, PLLC</t>
  </si>
  <si>
    <t xml:space="preserve">Levi &amp; Korsinsky, LLP </t>
  </si>
  <si>
    <t>Punzalan Law, P.C.; Benjamin Law Group</t>
  </si>
  <si>
    <t>Gardy &amp; Notis, LLP</t>
  </si>
  <si>
    <t>Glancy Blinkow &amp; Goldberg LLP</t>
  </si>
  <si>
    <t>18cv00507</t>
  </si>
  <si>
    <t>18cv00296</t>
  </si>
  <si>
    <t>GLCNF</t>
  </si>
  <si>
    <t>Institutional Movant</t>
  </si>
  <si>
    <t>CELG.10</t>
  </si>
  <si>
    <t>NA count</t>
  </si>
  <si>
    <t>18cv06790</t>
  </si>
  <si>
    <t xml:space="preserve">Bernstein Litowitz Berger &amp; Grossmann LLP; Kessler Topaz Meltzer &amp; Check, LLP; Carella, Byrne, Cecchi, Olstein, Brody &amp; Agnello P.C. (local/liaison) </t>
  </si>
  <si>
    <t>The Rosen Law Firm, P.A.; Bronstein, Gewirtz &amp; Grossman, LLC (local/liaison); Goldberg Law PC (local/liaison)</t>
  </si>
  <si>
    <t>Robbins, Geller, Rudman &amp; Dowd, LLP; Kendall Law Group, LLP (local/liaison); Koskie Minsky LLP (local/liaison)</t>
  </si>
  <si>
    <t>17cv00497</t>
  </si>
  <si>
    <t>Kessler Topaz Meltzer &amp; Check, LLP; Carella, Byrne, Cecchi, Olstein, Brody &amp; Agnello P.C. (local/liaison); Seeger Weiss LLP (local/liaison)</t>
  </si>
  <si>
    <t>Abraham, Fruchter &amp; Twersky, LLP; Kantrowitz, Goldhamer &amp; Graifman (local/liaison); VanOverbeke Michaud &amp; Timmony, P.C. (local/liaison)</t>
  </si>
  <si>
    <t xml:space="preserve">Glancy Prongay &amp; Murray, LLP; Robbins, Geller, Rudman &amp; Dowd, LLP; VanOverbeke Michaud &amp; Timmony, P.C. (local/liaison); The Miller Law Firm, P.C. (local/liaison) </t>
  </si>
  <si>
    <t>Robbins, Geller, Rudman &amp; Dowd, LLP; Brown Goldstein Levy, LLP (local/liaison); Klausner, Kaufman, Jensen &amp; Levinson (local/liaison); Rice Pugatch Robinson Storfer &amp; Cohen, PLLC (local/liaison)</t>
  </si>
  <si>
    <t xml:space="preserve">Glancy Prongay &amp; Murray, LLP; The Rosen Law Firm, P.A.; Carella, Byrne, Cecchi, Olstein, Brody &amp; Agnello P.C. (local/liaison)  </t>
  </si>
  <si>
    <t>Robbins, Geller, Rudman &amp; Dowd, LLP; Kendall Law Group, LLP (local/liaison); Law Offices of Balon B. Bradley (local/liaison)</t>
  </si>
  <si>
    <t>Federman &amp; Sherwood; Kantrowitz, Goldhamer &amp; Graifman (local/liaison)</t>
  </si>
  <si>
    <t>Pomerantz LLP; Bronstein, Gewirtz &amp; Grossman, LLC (local/liaison); Strauss Troy (local/liaison)</t>
  </si>
  <si>
    <t>CBS</t>
  </si>
  <si>
    <t>Gene R. Samit</t>
  </si>
  <si>
    <t>Howard Jacobwitz</t>
  </si>
  <si>
    <t>CBS.1</t>
  </si>
  <si>
    <t>CBS.2</t>
  </si>
  <si>
    <t>CBS.3.a</t>
  </si>
  <si>
    <t>CBS.3.b</t>
  </si>
  <si>
    <t>Manik Chanda</t>
  </si>
  <si>
    <t>CRON.1</t>
  </si>
  <si>
    <t>Pomerantz LLP; The Rosen Law Firm, P.A.; Bronstein, Gewirtz &amp; Grossman, LLC (local/liaison); Lite Depalma Greenberg, LLC (local/liaison)</t>
  </si>
  <si>
    <t xml:space="preserve">Faruqi &amp; Faruqi, LLP; Muckleroy Lunt, LLC (local/liaison) </t>
  </si>
  <si>
    <t>Richard Ina, as Trustee for The Ina Family Trust</t>
  </si>
  <si>
    <t>Berhane Andu</t>
  </si>
  <si>
    <t>Dr. Anthony Scapicchio</t>
  </si>
  <si>
    <t>Terry Rebich</t>
  </si>
  <si>
    <t>Jerry Faulkner</t>
  </si>
  <si>
    <t>Kenneth Zelden</t>
  </si>
  <si>
    <t>CVSI.1</t>
  </si>
  <si>
    <t>CVSI.2.a</t>
  </si>
  <si>
    <t>CVSI.2.b</t>
  </si>
  <si>
    <t>CVSI.2.c</t>
  </si>
  <si>
    <t>CVSI.3.a</t>
  </si>
  <si>
    <t>CVSI.3.b</t>
  </si>
  <si>
    <t>Faruqi &amp; Faruqi, LLP; Muckleroy Lunt, LLC (local/liaison)</t>
  </si>
  <si>
    <t>Block &amp; Leviton LLP; Leverty &amp; Associates Law CHTD (local/liaison)</t>
  </si>
  <si>
    <t>Charles Jordan</t>
  </si>
  <si>
    <t>David Kovacs</t>
  </si>
  <si>
    <t>Randy Siade</t>
  </si>
  <si>
    <t>FAT.1.a</t>
  </si>
  <si>
    <t>FAT.1.b</t>
  </si>
  <si>
    <t>FAT.2</t>
  </si>
  <si>
    <t>Kaskela Law LLC; The Rosen Law Firm, P.A.</t>
  </si>
  <si>
    <t>Robbins Arroyo LLP</t>
  </si>
  <si>
    <t>Yuanli He</t>
  </si>
  <si>
    <t>Maria M. Queri</t>
  </si>
  <si>
    <t>Ke Liu and Yuping Wang</t>
  </si>
  <si>
    <t>GDS.1</t>
  </si>
  <si>
    <t>GDS.2</t>
  </si>
  <si>
    <t>GDS.3</t>
  </si>
  <si>
    <t>M &amp; M Hart Living Trust</t>
  </si>
  <si>
    <t>ENT.1</t>
  </si>
  <si>
    <t>Levi &amp; Korsinsky, LLP; Bronstein, Gewirtz &amp; Grossman, LLC</t>
  </si>
  <si>
    <t xml:space="preserve">Glancy Prongay &amp; Murray, LLP; Levi &amp; Korsinsky, LLP; DiTommaso Lubin Austermuehle, PC(local/liaison) </t>
  </si>
  <si>
    <t>Amit Katiyar</t>
  </si>
  <si>
    <t>Daniel Mercer</t>
  </si>
  <si>
    <t>George Hurst</t>
  </si>
  <si>
    <t>Juan Taveras</t>
  </si>
  <si>
    <t>Marcus Washington</t>
  </si>
  <si>
    <t>HMNY.1.a</t>
  </si>
  <si>
    <t>HMNY.1.b</t>
  </si>
  <si>
    <t>HMNY.1.c</t>
  </si>
  <si>
    <t>HMNY.1.d</t>
  </si>
  <si>
    <t>HMNY.1.e</t>
  </si>
  <si>
    <t>Franklin D. Azar &amp; Associates, P.C.; Thornton Law Firm LLP; The Law Office of Christopher Mooney (local/liaison)</t>
  </si>
  <si>
    <t>Dan Kern</t>
  </si>
  <si>
    <t>David Medsen</t>
  </si>
  <si>
    <t>Gary Switzer</t>
  </si>
  <si>
    <t>Samuel Poole</t>
  </si>
  <si>
    <t>Robert Cuppucci</t>
  </si>
  <si>
    <t>HMNY.2.a</t>
  </si>
  <si>
    <t>HMNY.2.b</t>
  </si>
  <si>
    <t>HMNY.2.c</t>
  </si>
  <si>
    <t>HMNY.2.e</t>
  </si>
  <si>
    <t>HMNY.3</t>
  </si>
  <si>
    <t>HMNY.4</t>
  </si>
  <si>
    <t>HMNY.5.a</t>
  </si>
  <si>
    <t>HMNY.5.b</t>
  </si>
  <si>
    <t>HMNY.5.c</t>
  </si>
  <si>
    <t>HMNY.6.a</t>
  </si>
  <si>
    <t>HMNY.6.b</t>
  </si>
  <si>
    <t>HMNY.6.c</t>
  </si>
  <si>
    <t>HMNY.6.d</t>
  </si>
  <si>
    <t>HMNY.6.e</t>
  </si>
  <si>
    <t>HMNY.6.f</t>
  </si>
  <si>
    <t>HMNY.7.a</t>
  </si>
  <si>
    <t>HMNY.7.b</t>
  </si>
  <si>
    <t>HMNY.8</t>
  </si>
  <si>
    <t>David Weider</t>
  </si>
  <si>
    <t>Jian Chen</t>
  </si>
  <si>
    <t>Lu Ping</t>
  </si>
  <si>
    <t>Shuang Zheng</t>
  </si>
  <si>
    <t>Bridgette Dunn</t>
  </si>
  <si>
    <t>Charles D. Coffey</t>
  </si>
  <si>
    <t>Genadi Ignator</t>
  </si>
  <si>
    <t>Rawa Maadarani</t>
  </si>
  <si>
    <t>Vinay Patel</t>
  </si>
  <si>
    <t>Zeke A. Jackson</t>
  </si>
  <si>
    <t>Alan Braxton</t>
  </si>
  <si>
    <t>Jeffrey Braxton</t>
  </si>
  <si>
    <t>Louis Giordano</t>
  </si>
  <si>
    <t>Glancy Prongay &amp; Murray, LLP; Kranenburg (local/liaison); Montgomery, McCracken, Walker &amp; Rhoads, LLP (local/liaison); The Wagner Firm (local/liaison)</t>
  </si>
  <si>
    <t>Pomerantz LLP; The Rosen Law Firm, P.A.; Andrews &amp; Springer, LLC (local/liaison); Bronstein, Gewirtz &amp; Grossman, LLC (local/liaison)</t>
  </si>
  <si>
    <t>Wolf Popper LLP; Levi &amp; Korsinsky, LLP; Glancy Prongay &amp; Murray, LLP</t>
  </si>
  <si>
    <t>17cv01944</t>
  </si>
  <si>
    <t>Michael Hoeltzel</t>
  </si>
  <si>
    <t>Soe Wong</t>
  </si>
  <si>
    <t>Isaac Coriat Saltiel</t>
  </si>
  <si>
    <t>Li Tao</t>
  </si>
  <si>
    <t>Shoufeng Li</t>
  </si>
  <si>
    <t>Thomas Kleinman</t>
  </si>
  <si>
    <t>LCI2.1.a</t>
  </si>
  <si>
    <t>LCI2.1.b</t>
  </si>
  <si>
    <t>LCI2.2.a</t>
  </si>
  <si>
    <t>LCI2.2.b</t>
  </si>
  <si>
    <t>LCI2.2.c</t>
  </si>
  <si>
    <t>LCI2.2.d</t>
  </si>
  <si>
    <t>LCI2.3</t>
  </si>
  <si>
    <t>Robbins, Geller, Rudman &amp; Dowd, LLP; Kessler Topaz Meltzer &amp; Check, LLP (local/liaison)</t>
  </si>
  <si>
    <t>Pomerantz LLP; Bronstein, Gewirtz &amp; Grossman, LLC (local/liaison); Christensen Young &amp; Associates, PLLC (local/liaison); Goldberg Law PC (local/liaison)</t>
  </si>
  <si>
    <t>Pomerantz LLP; Bronstein, Gewirtz &amp; Grossman, LLC (local/liaison); Lite Depalma Greenberg, LLC (local/liaison)</t>
  </si>
  <si>
    <t>18cv01160</t>
  </si>
  <si>
    <t xml:space="preserve">Robbins, Geller, Rudman &amp; Dowd, LLP; Motley Rice LLC; Kendall Law Group, LLP (local/liaison)  </t>
  </si>
  <si>
    <t>Robbins, Geller, Rudman &amp; Dowd, LLP; Barrett Johnston Martin &amp; Garrison, LLC (local/liaison); Kranenburg (local/liaison); Law Offices of Curtis V. Trinko (local/liaison)</t>
  </si>
  <si>
    <t xml:space="preserve">Bernstein Litowitz Berger &amp; Grossmann LLP; Robbins, Geller, Rudman &amp; Dowd, LLP; Seeger Weiss LLP (local/liaison); Saxena White P.A. (local/liaison); Carella, Byrne, Cecchi, Olstein, Brody &amp; Agnello P.C. (local/liaison) </t>
  </si>
  <si>
    <t>Berger &amp; Montague, P.C.; Glancy Prongay &amp; Murray, LLP</t>
  </si>
  <si>
    <t>Pomerantz LLP; Bronstein, Gewirtz &amp; Grossman, LLC (local/liaison); Shepherd, Finkelman, Miller &amp; Shah, LLP (local/liaison)</t>
  </si>
  <si>
    <t>Robbins, Geller, Rudman &amp; Dowd, LLP; Barrett Johnston Martin &amp; Garrison, LLC (local/liaison); Sachs Waldman P.C. (local/liaison)</t>
  </si>
  <si>
    <t>16cv00783</t>
  </si>
  <si>
    <t xml:space="preserve">Glancy Prongay &amp; Murray, LLP; The Rosen Law Firm, P.A.; The Briscoe Law Firm, PLLC (local/liaison); Gresham PC (local/liaison) </t>
  </si>
  <si>
    <t>Labaton Sucharow LLP; Robbins, Geller, Rudman &amp; Dowd, LLP; Cavanagh &amp; O'Hara (local/liaison); Zimmerman Reed, PLLP (local/liaison)</t>
  </si>
  <si>
    <t>16cv00102</t>
  </si>
  <si>
    <t>Glancy Prongay &amp; Murray, LLP; Labaton Sucharow LLP; Law Offices of Howard G. Smith; Goldberg Law PC</t>
  </si>
  <si>
    <t>Glancy Prongay &amp; Murray, LLP; WeissLaw, LLP; The Shuman Law Firm (local/liaison)</t>
  </si>
  <si>
    <t>TFCIX</t>
  </si>
  <si>
    <t>TFCIX.1</t>
  </si>
  <si>
    <t>TFCIX.2.a</t>
  </si>
  <si>
    <t>TFCIX.2.b</t>
  </si>
  <si>
    <t>TFCIX.3.a</t>
  </si>
  <si>
    <t>TFCIX.3.b</t>
  </si>
  <si>
    <t>TFCIX.3.c</t>
  </si>
  <si>
    <t>TFCIX.4</t>
  </si>
  <si>
    <t>TFCIX.5.a</t>
  </si>
  <si>
    <t>TFCIX.5.b</t>
  </si>
  <si>
    <t>TFCIX.5.c</t>
  </si>
  <si>
    <t>TFCIX.5.d</t>
  </si>
  <si>
    <t>Wolf Haldenstein Adler Freeman &amp; Herz LLP; Anderson &amp; Karrenberg (local/liaison); Pitta LLP (local/liaison)</t>
  </si>
  <si>
    <t>Pomerantz LLP; The Rosen Law Firm, P.A. (local/liaison); Wehrle Law, LLC (local/liaison)</t>
  </si>
  <si>
    <t>Bernstein Litowitz Berger &amp; Grossmann LLP; Robbins, Geller, Rudman &amp; Dowd, LLP (local/liaison)</t>
  </si>
  <si>
    <t>Zion Oil &amp; Gas Inc.</t>
  </si>
  <si>
    <t>Dennis Robertson</t>
  </si>
  <si>
    <t>Melody Guy</t>
  </si>
  <si>
    <t>Riley Crumley</t>
  </si>
  <si>
    <t>Virginia Victoria Rideout</t>
  </si>
  <si>
    <t>George P. Rambo</t>
  </si>
  <si>
    <t>ZN.1.a</t>
  </si>
  <si>
    <t>ZN.1.b</t>
  </si>
  <si>
    <t>ZN.2.a</t>
  </si>
  <si>
    <t>ZN.2.b</t>
  </si>
  <si>
    <t>ZN.3</t>
  </si>
  <si>
    <t>old case/newer cases are sec. 14</t>
  </si>
  <si>
    <t>Opportunity Unique Fund Inc.</t>
  </si>
  <si>
    <t>Tempus International Fund SPC</t>
  </si>
  <si>
    <t>Andrew E. Left</t>
  </si>
  <si>
    <t>Dr. Abrar Shirazi</t>
  </si>
  <si>
    <t>PROtecto Informatikai Szolgaltato Korlatolt Felelossegu Tarsasag</t>
  </si>
  <si>
    <t>Thierry Boutin</t>
  </si>
  <si>
    <t>Vilas Capital Management, LLC</t>
  </si>
  <si>
    <t>Glen Littleton</t>
  </si>
  <si>
    <t>Bridgestone Investment Corporation Limited</t>
  </si>
  <si>
    <t>Deepak Mehta</t>
  </si>
  <si>
    <t>Esmaeil Riahi</t>
  </si>
  <si>
    <t>Jason Han</t>
  </si>
  <si>
    <t>Jiri Kulik</t>
  </si>
  <si>
    <t>Raghunath Nama</t>
  </si>
  <si>
    <t>Alvin Abrams</t>
  </si>
  <si>
    <t>Christopher Lyman</t>
  </si>
  <si>
    <t>Donald Freeland</t>
  </si>
  <si>
    <t>Rajinder Gaur</t>
  </si>
  <si>
    <t>Dany David</t>
  </si>
  <si>
    <t>James Johnson</t>
  </si>
  <si>
    <t>TSLA2.1.a</t>
  </si>
  <si>
    <t>TSLA2.1.b</t>
  </si>
  <si>
    <t>TSLA2.2.a</t>
  </si>
  <si>
    <t>TSLA2.2.b</t>
  </si>
  <si>
    <t>TSLA2.2.c</t>
  </si>
  <si>
    <t>TSLA2.2.d</t>
  </si>
  <si>
    <t>TSLA2.2.e</t>
  </si>
  <si>
    <t>TSLA2.3</t>
  </si>
  <si>
    <t>TSLA2.4</t>
  </si>
  <si>
    <t>TSLA2.5.a</t>
  </si>
  <si>
    <t>TSLA2.5.b</t>
  </si>
  <si>
    <t>TSLA2.5.c</t>
  </si>
  <si>
    <t>TSLA2.5.d</t>
  </si>
  <si>
    <t>TSLA2.5.e</t>
  </si>
  <si>
    <t>TSLA2.6.a</t>
  </si>
  <si>
    <t>TSLA2.6.b</t>
  </si>
  <si>
    <t>TSLA2.6.c</t>
  </si>
  <si>
    <t>TSLA2.6.d</t>
  </si>
  <si>
    <t>TSLA2.7</t>
  </si>
  <si>
    <t>TSLA2.8</t>
  </si>
  <si>
    <t>Keller Lenkner LLC; Labaton Sucharow LLP; Kerr &amp; Wagstaffe LLP (local/liaison)</t>
  </si>
  <si>
    <t>Bernstein Liebhard LLP; Hedin Hall LLP (local/liaison)</t>
  </si>
  <si>
    <t>Pomerantz LLP; Bernstein, Gewirtz &amp; Grossman, LLC (local/liaison)</t>
  </si>
  <si>
    <t>Entwistle &amp; Cappucci LLP; Susman Godfrey, L.L.P.</t>
  </si>
  <si>
    <t>Lieff Cabraser Heimann &amp; Bernstein, LLP; Robbins, Geller, Rudman &amp; Dowd, LLP</t>
  </si>
  <si>
    <t>TSLA2.9</t>
  </si>
  <si>
    <t>First New York Investment Advisers, LLC</t>
  </si>
  <si>
    <t>Net Loss</t>
  </si>
  <si>
    <t>Local 817 IBT Pension Fund</t>
  </si>
  <si>
    <t>CWA Local 1180 Administrative Benefits Fund</t>
  </si>
  <si>
    <t>CWA Local 1180 Members Annuity Fund</t>
  </si>
  <si>
    <t>Steven S. Fishman</t>
  </si>
  <si>
    <t>SKX2.1.a</t>
  </si>
  <si>
    <t>SKX2.1.b</t>
  </si>
  <si>
    <t>SKX2.1.c</t>
  </si>
  <si>
    <t>SKX2.2.a</t>
  </si>
  <si>
    <t>SKX2.2.b</t>
  </si>
  <si>
    <t>SKX2.2.c</t>
  </si>
  <si>
    <t>SKX2.3</t>
  </si>
  <si>
    <t>Indiana Public Retirement System</t>
  </si>
  <si>
    <t>QRTEA.1</t>
  </si>
  <si>
    <t>QRTEA.2</t>
  </si>
  <si>
    <t>Labaton Sucharow LLP; The Shuman Law Firm (local/liaison)</t>
  </si>
  <si>
    <t>does not seem to have normal LP motions</t>
  </si>
  <si>
    <t>Circuit</t>
  </si>
  <si>
    <t>Kahn Swick &amp; Foti, LLC; Robbins, Geller, Rudman &amp; Dowd, LLP; Holzer &amp; Holzer, LLC (local/liaison); The Miller Law Firm, P.C. (local/liaison)</t>
  </si>
  <si>
    <t>Kessler Topaz Meltzer &amp; Check, LLP; Bronstein, Gewirtz &amp; Grossman, LLC (local/liaison); Sachs Waldman P.C. (local/liaison)</t>
  </si>
  <si>
    <t>Pomerantz LLP; Bronstein, Gewirtz &amp; Grossman, LLC (local/liaison); The Rosen Law Firm, P.A. (local/liaison)</t>
  </si>
  <si>
    <t>Pomerantz LLP; Bronstein, Gewirtz &amp; Grossman, LLC (local/liaison); Martin &amp; Bonnett, PLLC (local/liaison)</t>
  </si>
  <si>
    <t>Pomerantz LLP; Cuneo, Gilbert &amp; LaDuca, LLP (local/liaison); Goldberg Law PC (local/liaison)</t>
  </si>
  <si>
    <t>Robbins, Geller, Rudman &amp; Dowd, LLP; Cavanagh &amp; O'Hara (local/liaison); Hutchings, Barsamian, Mandelcorn, LLP (local/liaison)</t>
  </si>
  <si>
    <t>Pomerantz LLP; The Rosen Law Firm, P.A.; Bronstein, Gewirtz &amp; Grossman, LLC (local/liaison)Goldberg Law PC (local/liaison); Lite Depalma Greenberg, LLC (local/liaison)</t>
  </si>
  <si>
    <t>Pomerantz LLP; Bronstein, Gewirtz &amp; Grossman, LLC (local/liaison); Goldberg Law PC (local/liaison)</t>
  </si>
  <si>
    <t>Pomerantz LLP; Bronstein, Gewirtz &amp; Grossman, LLC (local/liaison); Federman &amp; Sherwood (local/liaison)Goldberg Law PC (local/liaison)</t>
  </si>
  <si>
    <t>Bernstein Litowitz Berger &amp; Grossmann LLP; Kessler Topaz Meltzer &amp; Check, LLP; Keil &amp; Goodson P.A. (local/liaison); Law Offices of George L. McWilliams, P.C. (local/liaison)</t>
  </si>
  <si>
    <t>Pomerantz LLP; Bronstein, Gewirtz &amp; Grossman, LLC (local/liaison); Glancy Prongay &amp; Murray, LLP (local/liaison)</t>
  </si>
  <si>
    <t>The Rosen Law Firm, P.A.; Pomerantz LLP (local/liaison); Steckler Gresham Cochran (local/liaison)</t>
  </si>
  <si>
    <t>Pomerantz LLP; Ademi &amp; O'Reilly, LLP (local/liaison); Goldberg Law PC (local/liaison)</t>
  </si>
  <si>
    <t>The Rosen Law Firm, P.A.; Goldberg Law PC (local/liaison); Pawar Law Group (local/liaison)</t>
  </si>
  <si>
    <t>Levi &amp; Korsinsky, LLP; Bragar Eagel &amp; Squire, PC (local/liaison); Glancy Prongay &amp; Murray, LLP (local/liaison)</t>
  </si>
  <si>
    <t>SNCR.4.a</t>
  </si>
  <si>
    <t>Robbins, Geller, Rudman &amp; Dowd, LLP; Holzer &amp; Holzer, LLC (local/liaison); Johnson Fistel, LLP (local/liaison)</t>
  </si>
  <si>
    <t>Robbins, Geller, Rudman &amp; Dowd, LLP; Izard, Kindall &amp; Raabe, LLP (local/liaison); VanOverbeke Michaud &amp; Timmony, P.C. (local/liaison)</t>
  </si>
  <si>
    <t>Levi &amp; Korsinsky, LLP; S. Ranchor Harris III (local/liaison); The Rosen Law Firm, P.A. (local/liaison)</t>
  </si>
  <si>
    <t>Rigrodsky &amp; Long, PA; Kendall Law Group, LLP (local/liaison); RM Law, P.C. (local/liaison)</t>
  </si>
  <si>
    <t>Scott &amp; Scott, LLP; Criden &amp; Love, P.A. (local/liaison); Freed Kanner London &amp; Millen, LLC (local/liaison)</t>
  </si>
  <si>
    <t>Robbins, Geller, Rudman &amp; Dowd, LLP; Bottini &amp; Bottini, Inc. (local/liaison); Carella, Byrne, Cecchi, Olstein, Brody &amp; Agnello P.C. (local/liaison)</t>
  </si>
  <si>
    <t>Robbins, Geller, Rudman &amp; Dowd, LLP; Harper Law, PLC (local/liaison); Holzer &amp; Holzer, LLC (local/liaison)</t>
  </si>
  <si>
    <t>Robbins, Geller, Rudman &amp; Dowd, LLP; Christiansen &amp; Dehner, P.A. (local/liaison); The O'Mara Law Firm, P.C. (local/liaison)</t>
  </si>
  <si>
    <t>The Rosen Law Firm, P.A.; Bronstein, Gewirtz &amp; Grossman, LLC (local/liaison); Wolf Haldenstein Adler Freeman &amp; Herz LLP (local/liaison)</t>
  </si>
  <si>
    <t>x</t>
  </si>
  <si>
    <t>Nektar Therapeutics</t>
  </si>
  <si>
    <t>Honeywell International, Inc.</t>
  </si>
  <si>
    <t>China Zenix Auto International Limited</t>
  </si>
  <si>
    <t>Synchrony Financial</t>
  </si>
  <si>
    <t>India Globalization Technology</t>
  </si>
  <si>
    <t>Align Technology, Inc.</t>
  </si>
  <si>
    <t>Apogee Enterprises, Inc.</t>
  </si>
  <si>
    <t>Costco Wholesale Corporation</t>
  </si>
  <si>
    <t>Ryanair Holdings plc</t>
  </si>
  <si>
    <t>Evoqua Water Technologies Corp.</t>
  </si>
  <si>
    <t>Sonus Networks, Inc.</t>
  </si>
  <si>
    <t>Welbilt, Inc.</t>
  </si>
  <si>
    <t>Tesaro Inc.</t>
  </si>
  <si>
    <t>Snap Inc.</t>
  </si>
  <si>
    <t>McDermott International, Inc.</t>
  </si>
  <si>
    <t>Edison International</t>
  </si>
  <si>
    <t>Altice USA, Inc.</t>
  </si>
  <si>
    <t>PPDAI Group Inc.</t>
  </si>
  <si>
    <t>GreenSky, Inc.</t>
  </si>
  <si>
    <t>The Boeing Company</t>
  </si>
  <si>
    <t>Ternium S.A.</t>
  </si>
  <si>
    <t>Marriott International, Inc.</t>
  </si>
  <si>
    <t>Aphria Inc</t>
  </si>
  <si>
    <t>CURO Group Holdings Corp.</t>
  </si>
  <si>
    <t>Loma Negra Compania Industrial Argentina Sociedad Anonima</t>
  </si>
  <si>
    <t>Tenaris S.A.</t>
  </si>
  <si>
    <t>Teladoc Health, Inc.</t>
  </si>
  <si>
    <t>Nobilis Health Corp.</t>
  </si>
  <si>
    <t>XPO Logistics, Inc.</t>
  </si>
  <si>
    <t>10/19/2018</t>
  </si>
  <si>
    <t>11/01/2018</t>
  </si>
  <si>
    <t>10/29/2018</t>
  </si>
  <si>
    <t>10/24/2018</t>
  </si>
  <si>
    <t>11/02/2018</t>
  </si>
  <si>
    <t>11/08/2018</t>
  </si>
  <si>
    <t>11/19/2018</t>
  </si>
  <si>
    <t>11/26/2018</t>
  </si>
  <si>
    <t>11/27/2018</t>
  </si>
  <si>
    <t>11/13/2018</t>
  </si>
  <si>
    <t>11/29/2018</t>
  </si>
  <si>
    <t>12/05/2018</t>
  </si>
  <si>
    <t>11/16/2018</t>
  </si>
  <si>
    <t>12/13/2018</t>
  </si>
  <si>
    <t>10/31/2018</t>
  </si>
  <si>
    <t>11/05/2018</t>
  </si>
  <si>
    <t>11/06/2018</t>
  </si>
  <si>
    <t>11/09/2018</t>
  </si>
  <si>
    <t>11/28/2018</t>
  </si>
  <si>
    <t>11/30/2018</t>
  </si>
  <si>
    <t>12/10/2018</t>
  </si>
  <si>
    <t>12/12/2018</t>
  </si>
  <si>
    <t>12/14/2018</t>
  </si>
  <si>
    <t>NKTR</t>
  </si>
  <si>
    <t>18cv06607</t>
  </si>
  <si>
    <t>HON</t>
  </si>
  <si>
    <t>MAR</t>
  </si>
  <si>
    <t>18cv15536</t>
  </si>
  <si>
    <t>ZXAIY</t>
  </si>
  <si>
    <t>18cv15530</t>
  </si>
  <si>
    <t>11/11/2017 - 10/02/2018</t>
  </si>
  <si>
    <t>02/09/2018 - 10/19/2018</t>
  </si>
  <si>
    <t>10/02/2015 - 06/14/2018</t>
  </si>
  <si>
    <t>08/02/2016 - 01/30/2017</t>
  </si>
  <si>
    <t>10/21/2016 - 11/01/2018</t>
  </si>
  <si>
    <t>10/20/2016 - 06/28/2017</t>
  </si>
  <si>
    <t>10/25/2017 - 10/29/2018</t>
  </si>
  <si>
    <t>04/25/2018 - 10/24/2018</t>
  </si>
  <si>
    <t>06/28/2018 - 09/17/2018</t>
  </si>
  <si>
    <t>06/06/2018 - 10/25/2018</t>
  </si>
  <si>
    <t>05/30/2017 - 09/28/2018</t>
  </si>
  <si>
    <t>11/06/2017 - 10/30/2018</t>
  </si>
  <si>
    <t>01/08/2015 - 03/24/2015</t>
  </si>
  <si>
    <t>02/24/2017 - 11/02/2018</t>
  </si>
  <si>
    <t>11/04/2016 - 11/14/2016</t>
  </si>
  <si>
    <t>03/02/2017 - 08/10/2017</t>
  </si>
  <si>
    <t>12/18/2017 - 12/28/2017</t>
  </si>
  <si>
    <t>02/11/2014 - 11/08/2018</t>
  </si>
  <si>
    <t>01/24/2018 - 10/30/2018</t>
  </si>
  <si>
    <t>02/23/2016 - 11/12/2018</t>
  </si>
  <si>
    <t>06/18/2017 - 11/19/2018</t>
  </si>
  <si>
    <t>11/07/2017 - 11/26/2018</t>
  </si>
  <si>
    <t>05/21/2018 - 11/27/2018</t>
  </si>
  <si>
    <t>02/08/2017 - 11/13/2018</t>
  </si>
  <si>
    <t>05/01/2014 - 11/27/2018</t>
  </si>
  <si>
    <t>04/26/2017 - 11/27/2018</t>
  </si>
  <si>
    <t>11/09/2016 - 11/29/2018</t>
  </si>
  <si>
    <t>07/17/2018 - 12/04/2018</t>
  </si>
  <si>
    <t>07/31/2018 - 10/24/2018</t>
  </si>
  <si>
    <t>10/28/2017 - 12/05/2018</t>
  </si>
  <si>
    <t>12/10/2013 - 11/16/2018</t>
  </si>
  <si>
    <t>03/03/2016 - 12/05/2018</t>
  </si>
  <si>
    <t>05/08/2018 - 11/15/2018</t>
  </si>
  <si>
    <t>02/26/2014 - 12/13/2018</t>
  </si>
  <si>
    <t>SYF</t>
  </si>
  <si>
    <t>18cv01818</t>
  </si>
  <si>
    <t>Rite Aid</t>
  </si>
  <si>
    <t>18cv02118</t>
  </si>
  <si>
    <t>IGCC</t>
  </si>
  <si>
    <t>18cv06199</t>
  </si>
  <si>
    <t>ALGN</t>
  </si>
  <si>
    <t>18cv06720</t>
  </si>
  <si>
    <t>APOG</t>
  </si>
  <si>
    <t>COST</t>
  </si>
  <si>
    <t>CURO</t>
  </si>
  <si>
    <t>LOMA</t>
  </si>
  <si>
    <t>18cv03097</t>
  </si>
  <si>
    <t>ATUS</t>
  </si>
  <si>
    <t>18cv06601</t>
  </si>
  <si>
    <t>APHA</t>
  </si>
  <si>
    <t>SONS</t>
  </si>
  <si>
    <t>18cv11376</t>
  </si>
  <si>
    <t>CMCM1</t>
  </si>
  <si>
    <t>CMCM1.1</t>
  </si>
  <si>
    <t>CMCM2</t>
  </si>
  <si>
    <t>18cv11184</t>
  </si>
  <si>
    <t>18cv02662</t>
  </si>
  <si>
    <t>EIX</t>
  </si>
  <si>
    <t>18cv09690</t>
  </si>
  <si>
    <t>AQUA</t>
  </si>
  <si>
    <t>18cv10320</t>
  </si>
  <si>
    <t>FIT1</t>
  </si>
  <si>
    <t>FIT1.1</t>
  </si>
  <si>
    <t>FIT1.2.a</t>
  </si>
  <si>
    <t>FIT1.2.b</t>
  </si>
  <si>
    <t>FIT1.2.c</t>
  </si>
  <si>
    <t>FIT1.2.d</t>
  </si>
  <si>
    <t>FIT1.3</t>
  </si>
  <si>
    <t>FIT1.4.a</t>
  </si>
  <si>
    <t>FIT1.4.b</t>
  </si>
  <si>
    <t>FIT1.4.c</t>
  </si>
  <si>
    <t>FIT1.5</t>
  </si>
  <si>
    <t>FIT2</t>
  </si>
  <si>
    <t>18cv06665</t>
  </si>
  <si>
    <t>GSKY</t>
  </si>
  <si>
    <t>TS</t>
  </si>
  <si>
    <t>18cv110711</t>
  </si>
  <si>
    <t>18cv11323</t>
  </si>
  <si>
    <t>18cv06845</t>
  </si>
  <si>
    <t>MDR</t>
  </si>
  <si>
    <t>18cv04330</t>
  </si>
  <si>
    <t>18cv07537</t>
  </si>
  <si>
    <t>PPDF</t>
  </si>
  <si>
    <t>18cv06716</t>
  </si>
  <si>
    <t>RYAAY</t>
  </si>
  <si>
    <t>18cv10330</t>
  </si>
  <si>
    <t>XPO</t>
  </si>
  <si>
    <t>18cv09587</t>
  </si>
  <si>
    <t>18cv12344</t>
  </si>
  <si>
    <t>TDOC</t>
  </si>
  <si>
    <t>18cv11603</t>
  </si>
  <si>
    <t>18cv07059</t>
  </si>
  <si>
    <t>TX</t>
  </si>
  <si>
    <t>18cv06801</t>
  </si>
  <si>
    <t>18cv12352</t>
  </si>
  <si>
    <t>BA</t>
  </si>
  <si>
    <t>18cv07853</t>
  </si>
  <si>
    <t>18cv02062</t>
  </si>
  <si>
    <t>18cv04727</t>
  </si>
  <si>
    <t>WBT</t>
  </si>
  <si>
    <t>18cv03007</t>
  </si>
  <si>
    <t>Nissan Motor Co., Ltd.</t>
  </si>
  <si>
    <t>NSANY</t>
  </si>
  <si>
    <t>18cv01368</t>
  </si>
  <si>
    <t>LFIN1</t>
  </si>
  <si>
    <t>LFIN2</t>
  </si>
  <si>
    <t>18cv10635</t>
  </si>
  <si>
    <t>KapStone Paper and Packaging Corporation</t>
  </si>
  <si>
    <t>08/08/2018</t>
  </si>
  <si>
    <t>10/05/2018</t>
  </si>
  <si>
    <t>Electrical Workers Pension Trust Fund of IBEW Local Union No. 58</t>
  </si>
  <si>
    <t>Macomb County Employees Retirement System</t>
  </si>
  <si>
    <t>Monroe County Employees Retirement System</t>
  </si>
  <si>
    <t>Saxena White P.A.; Goldman &amp; Minton, P.C. (local/liaison)</t>
  </si>
  <si>
    <t>Energy XXI Gulf Coast, Inc.</t>
  </si>
  <si>
    <t>Anthony Katsune</t>
  </si>
  <si>
    <t>Foo Kwan</t>
  </si>
  <si>
    <t>Bernstein Litowitz Berger &amp; Grossmann LLP; Byrnes Keller Cromwell LLP (local/liaison)</t>
  </si>
  <si>
    <t>Mavenir, Inc. f/k/a Xura, Inc.</t>
  </si>
  <si>
    <t>10/12/2018</t>
  </si>
  <si>
    <t>Doug Van Riper</t>
  </si>
  <si>
    <t>June Little</t>
  </si>
  <si>
    <t>Larry Pollock</t>
  </si>
  <si>
    <t>Robert Daub</t>
  </si>
  <si>
    <t>10/22/2018</t>
  </si>
  <si>
    <t>Kerry Asay</t>
  </si>
  <si>
    <t>Johan Johan</t>
  </si>
  <si>
    <t>Robbins Arroyo LLP; Law Offices of Thomas G. Amon (local/liaison)</t>
  </si>
  <si>
    <t>Douglas E. Walters Revocable Trust</t>
  </si>
  <si>
    <t>Siddharth Rao</t>
  </si>
  <si>
    <t>Yoen Hung</t>
  </si>
  <si>
    <t>08/23/2018</t>
  </si>
  <si>
    <t>Saxena White P.A.; Bernstein Litowitz Berger &amp; Grossmann LLP (local/liaison)</t>
  </si>
  <si>
    <t>08/25/2018</t>
  </si>
  <si>
    <t>George Nikolaou</t>
  </si>
  <si>
    <t>Vincent Nanfito</t>
  </si>
  <si>
    <t>Ken Wong</t>
  </si>
  <si>
    <t>Virgilios Pizzeria and Wine Bar Defined Benefit Plan</t>
  </si>
  <si>
    <t>Victor Anthony Nacim</t>
  </si>
  <si>
    <t>Steven Shaffer</t>
  </si>
  <si>
    <t>David VanSpronsen</t>
  </si>
  <si>
    <t>Jon Barrett</t>
  </si>
  <si>
    <t>Monteverde &amp; Associates PC; Cooch &amp; Taylor, PA (local/liaison)</t>
  </si>
  <si>
    <t>First Connecticut Bancorp, Inc.</t>
  </si>
  <si>
    <t>08/14/2018</t>
  </si>
  <si>
    <t>Selwyn Karp</t>
  </si>
  <si>
    <t>Merrill Lynch Pierce, Fenner &amp; Smith, Inc. (Client Reserve Account)</t>
  </si>
  <si>
    <t>James Jiao</t>
  </si>
  <si>
    <t>Kazerouni Law Group, APC</t>
  </si>
  <si>
    <t>Samuel Nunez</t>
  </si>
  <si>
    <t>Aurico Gold Fund LP</t>
  </si>
  <si>
    <t>Miao Long</t>
  </si>
  <si>
    <t>LifePoint Health, Inc.</t>
  </si>
  <si>
    <t>The Arbitrage Event-Driven Fund</t>
  </si>
  <si>
    <t>Entwistle &amp; Cappucci LLP; Moirano Gorman Kenny, LLC (local/liaison)</t>
  </si>
  <si>
    <t>Water Island Merger Arbitrage Institutional Commingled Master Fund, LP</t>
  </si>
  <si>
    <t>Rangeley Capital Partners, LP</t>
  </si>
  <si>
    <t>09/11/2018</t>
  </si>
  <si>
    <t>Wolf Popper LLP; Cohn, Lifland, Pearlman, Herrmann,  &amp; Knopf,  LLP (local/liaison)</t>
  </si>
  <si>
    <t>Delaware County Employees Retirement Fund</t>
  </si>
  <si>
    <t>Pinkesh Nahar</t>
  </si>
  <si>
    <t>Ronald R. Sisseck</t>
  </si>
  <si>
    <t>Harold Weber</t>
  </si>
  <si>
    <t>Masbez LLC</t>
  </si>
  <si>
    <t>09/12/2018</t>
  </si>
  <si>
    <t>Lewis Cohen</t>
  </si>
  <si>
    <t>Robert J. Davis</t>
  </si>
  <si>
    <t>John Kleiss</t>
  </si>
  <si>
    <t>AMIDEX Funds, Inc.</t>
  </si>
  <si>
    <t>Spector Roseman &amp; Kodroff, P.C.</t>
  </si>
  <si>
    <t>Steven Weston</t>
  </si>
  <si>
    <t>Jarat Yenrudeepree</t>
  </si>
  <si>
    <t>Norman Jacobs</t>
  </si>
  <si>
    <t>Anthony T. DeRosa</t>
  </si>
  <si>
    <t>Charles Saulson</t>
  </si>
  <si>
    <t>Connie Wendt</t>
  </si>
  <si>
    <t>Richard Cardilli</t>
  </si>
  <si>
    <t>Tawei Ho</t>
  </si>
  <si>
    <t>Barbara Weiss</t>
  </si>
  <si>
    <t>Motley Rice LLC; Lowenstein Sandler, LLP (local/liaison)</t>
  </si>
  <si>
    <t>Amitim Funds</t>
  </si>
  <si>
    <t>Bernstein Litowitz Berger &amp; Grossmann LLP; Carella, Byrne, Cecchi, Olstein, Brody &amp; Agnello P.C. (local/liaison)</t>
  </si>
  <si>
    <t>Gregory Hayer</t>
  </si>
  <si>
    <t>Alumot Mutual Fund Management Company</t>
  </si>
  <si>
    <t>Provident Fund of the Employees of the Hebrew University of Jerusalem Ltd.</t>
  </si>
  <si>
    <t>Zodiac International Investment Fund Ltd.</t>
  </si>
  <si>
    <t>Donnis W. King</t>
  </si>
  <si>
    <t>Gainey McKenna &amp; Egleston; Law Office of Scott P. Egleston (local/liaison)</t>
  </si>
  <si>
    <t>Joshua Bockian</t>
  </si>
  <si>
    <t>Thaddeus Sobieski</t>
  </si>
  <si>
    <t>09/14/2018</t>
  </si>
  <si>
    <t>Ronald L. Jackson</t>
  </si>
  <si>
    <t>Bonnett, Fairbourn, Friedman &amp; Balint, P.C.; Wolf Popper LLP</t>
  </si>
  <si>
    <t>09/20/2018</t>
  </si>
  <si>
    <t>Susan S. Church</t>
  </si>
  <si>
    <t>Andrew Logie</t>
  </si>
  <si>
    <t>11/20/2018</t>
  </si>
  <si>
    <t>Motley Rice LLC; Ahdoot &amp; Wolfson, PC (local/liaison)</t>
  </si>
  <si>
    <t>Julie Hockton</t>
  </si>
  <si>
    <t>Paul Steiner</t>
  </si>
  <si>
    <t>Green Bancorp, Inc.</t>
  </si>
  <si>
    <t>09/26/2018</t>
  </si>
  <si>
    <t>Tunc Toker</t>
  </si>
  <si>
    <t>Bernstein Liebhard LLP; Berman Tabacco (local/liaison)</t>
  </si>
  <si>
    <t>Caryl Hull Leavitt</t>
  </si>
  <si>
    <t>Frederick Edwards</t>
  </si>
  <si>
    <t>The Rosen Law Firm, P.A.; The Schall Law Firm (local/liaison)</t>
  </si>
  <si>
    <t>Charles Iappini</t>
  </si>
  <si>
    <t>09/27/2018</t>
  </si>
  <si>
    <t>Bhupendra V. Shah</t>
  </si>
  <si>
    <t>Heavy &amp; General Laborers Locals 472 &amp; 172 Pension &amp; Annuity Funds</t>
  </si>
  <si>
    <t>Robbins, Geller, Rudman &amp; Dowd, LLP; Motley Rice LLC (local/liaison)</t>
  </si>
  <si>
    <t>Charles W. Clayton</t>
  </si>
  <si>
    <t>CK Holdings, LLC</t>
  </si>
  <si>
    <t>Virginia B. Clayton</t>
  </si>
  <si>
    <t>Alex Pine</t>
  </si>
  <si>
    <t>James Benhart</t>
  </si>
  <si>
    <t>Simon Tse</t>
  </si>
  <si>
    <t>Ian DePalmer</t>
  </si>
  <si>
    <t>Randy Markway</t>
  </si>
  <si>
    <t>Robert Sinko</t>
  </si>
  <si>
    <t>Steve Harvey</t>
  </si>
  <si>
    <t>Jean Olivier</t>
  </si>
  <si>
    <t>Isador Gabel</t>
  </si>
  <si>
    <t>Mark A. Couvillion</t>
  </si>
  <si>
    <t>Steve Heitz</t>
  </si>
  <si>
    <t>Dae C. Paek</t>
  </si>
  <si>
    <t>Kevin Joo Hoon Koo</t>
  </si>
  <si>
    <t>Monica Paek</t>
  </si>
  <si>
    <t>Peter Oh</t>
  </si>
  <si>
    <t>Sam Koo</t>
  </si>
  <si>
    <t>Ronaldo Borgogni</t>
  </si>
  <si>
    <t>Robert Bernstein</t>
  </si>
  <si>
    <t>Susman Godfrey, L.L.P.</t>
  </si>
  <si>
    <t>Stanley Nugit</t>
  </si>
  <si>
    <t>Mark Naglich</t>
  </si>
  <si>
    <t>David Pokoik</t>
  </si>
  <si>
    <t>Xiaoming Liang</t>
  </si>
  <si>
    <t>Rigo Caudill</t>
  </si>
  <si>
    <t>Bragar Eagel &amp; Squire, PC; The Bilek Law Firm LLP (local/liaison)</t>
  </si>
  <si>
    <t>12/03/2018</t>
  </si>
  <si>
    <t>Wolf Haldenstein Adler Freeman &amp; Herz LLP; Bramlett Law Offices (local/liaison)</t>
  </si>
  <si>
    <t>Chicago Laborers Pension Fund</t>
  </si>
  <si>
    <t>Howard Gottlieb</t>
  </si>
  <si>
    <t>Eva and Harold Baron</t>
  </si>
  <si>
    <t>Richard Tunick</t>
  </si>
  <si>
    <t>Abraham, Fruchter &amp; Twersky, LLP; The Paskowitz Law Firm, P.C. (local/liaison)</t>
  </si>
  <si>
    <t>Daniel Pearce</t>
  </si>
  <si>
    <t>Glancy Prongay &amp; Murray, LLP; The Schall Law Firm (local/liaison)</t>
  </si>
  <si>
    <t>Michael Pinnere</t>
  </si>
  <si>
    <t>Levi &amp; Korsinsky, LLP; Thornton Law Firm LLP</t>
  </si>
  <si>
    <t>Hawaii Laborers Pension plan</t>
  </si>
  <si>
    <t>International Union of Operating Engineers, Local No. 793, Members Pension Benefit Trust of Ontario</t>
  </si>
  <si>
    <t>Alan B. Miller</t>
  </si>
  <si>
    <t>Nick Abruscato</t>
  </si>
  <si>
    <t>Steve Kyte</t>
  </si>
  <si>
    <t>James Taylor</t>
  </si>
  <si>
    <t>Janita Holgate</t>
  </si>
  <si>
    <t>Linda M. Rich</t>
  </si>
  <si>
    <t>Minako Caddeo</t>
  </si>
  <si>
    <t>10/08/2018</t>
  </si>
  <si>
    <t>12/07/2018</t>
  </si>
  <si>
    <t>Anand Kishore Gaddamu</t>
  </si>
  <si>
    <t>Phillip Zhou</t>
  </si>
  <si>
    <t>Stanley Slavsky</t>
  </si>
  <si>
    <t>Senomyx, Inc.</t>
  </si>
  <si>
    <t>The Dun &amp; Bradstreet Corporation</t>
  </si>
  <si>
    <t>10/11/2018</t>
  </si>
  <si>
    <t>Lanphie Ping</t>
  </si>
  <si>
    <t>David A. Lewein</t>
  </si>
  <si>
    <t>Johnson Fistel, LLP; Robbins, Geller, Rudman &amp; Dowd, LLP; Kessler Topaz  Meltzer &amp; Check, LLP (local/liaison)</t>
  </si>
  <si>
    <t>Harish Madadi</t>
  </si>
  <si>
    <t>Bragar Eagel &amp; Squire, PC; Hynes Keller &amp; Hernandez, LLC (local/liaison)</t>
  </si>
  <si>
    <t>James Abbatello</t>
  </si>
  <si>
    <t>Lonnie Hendrix</t>
  </si>
  <si>
    <t>Mounif Fawaz</t>
  </si>
  <si>
    <t>Yasser Refaat</t>
  </si>
  <si>
    <t>Albert Koch</t>
  </si>
  <si>
    <t>Christopher Beyers</t>
  </si>
  <si>
    <t>Kevin Walsh</t>
  </si>
  <si>
    <t>Peter Palmer</t>
  </si>
  <si>
    <t>Whittier Pierce</t>
  </si>
  <si>
    <t>Huseyin Erenoglu</t>
  </si>
  <si>
    <t>Dennis Slater</t>
  </si>
  <si>
    <t>Jeffrey Burke</t>
  </si>
  <si>
    <t>Paul Phillips</t>
  </si>
  <si>
    <t>Ronald G. Bishop</t>
  </si>
  <si>
    <t>Ganesh Kasilingam</t>
  </si>
  <si>
    <t>Robbins Arroyo LLP; Robbins, Geller, Rudman &amp; Dowd, LLP</t>
  </si>
  <si>
    <t>Daphine Campbell</t>
  </si>
  <si>
    <t>Paragon Fund Management LLC</t>
  </si>
  <si>
    <t>Edward John Jelovic</t>
  </si>
  <si>
    <t>Jenny Doctor</t>
  </si>
  <si>
    <t>Michael Alicastro</t>
  </si>
  <si>
    <t>Theodoros Vaskopulos</t>
  </si>
  <si>
    <t>Richard R. Costa UDT, Richard R. Costa as Trustee</t>
  </si>
  <si>
    <t>The Navigators Group, Inc.</t>
  </si>
  <si>
    <t>10/15/2018</t>
  </si>
  <si>
    <t>NLSN.1</t>
  </si>
  <si>
    <t>SBGI.1</t>
  </si>
  <si>
    <t>ORCL.1</t>
  </si>
  <si>
    <t>PI.1</t>
  </si>
  <si>
    <t>LOGM.1</t>
  </si>
  <si>
    <t>PDD.1</t>
  </si>
  <si>
    <t>NLSN.2.a</t>
  </si>
  <si>
    <t>NLSN.2.b</t>
  </si>
  <si>
    <t>NLSN.2.c</t>
  </si>
  <si>
    <t>NLSN.3</t>
  </si>
  <si>
    <t>NLSN.4</t>
  </si>
  <si>
    <t>Robbins, Geller, Rudman &amp; Dowd, LLP; Sachs Waldman P.C. (local/liaison); VanOverbeke Michaud &amp; Timmony, P.C. (local/liaison)</t>
  </si>
  <si>
    <t>The Rosen Law Firm, P.A.; Bronstein, Gewirtz &amp; Grossman, LLC (local/liaison); Hall &amp; George PLLC (local/liaison)</t>
  </si>
  <si>
    <t>Robbins, Geller, Rudman &amp; Dowd, LLP; Hagens Berman Sobol Shapiro LLP (local/liaison); Holzer &amp; Holzer, LLC (local/liaison)</t>
  </si>
  <si>
    <t>Monteverde &amp; Associates PC; Gainey McKenna &amp; Egleston (local/liaison); Goldman &amp; Minton, P.C. (local/liaison)</t>
  </si>
  <si>
    <t>Pomerantz LLP; Bronstein, Gewirtz &amp; Grossman, LLC (local/liaison); Brower Piven (local/liaison)</t>
  </si>
  <si>
    <t>Kessler Topaz Meltzer &amp; Check, LLP; Ajamie LLP (local/liaison)</t>
  </si>
  <si>
    <t>Block &amp; Leviton LLP; Kaskela Law LLC (local/liaison); Kaufman, Coren &amp; Ress, P.C. (local/liaison); Pomerantz LLP (local/liaison)</t>
  </si>
  <si>
    <t>SGBI.2.a</t>
  </si>
  <si>
    <t>SGBI.2.b</t>
  </si>
  <si>
    <t>PI.2</t>
  </si>
  <si>
    <t>LOGM.2</t>
  </si>
  <si>
    <t>PDD.2</t>
  </si>
  <si>
    <t>PI.3</t>
  </si>
  <si>
    <t>PDD.3</t>
  </si>
  <si>
    <t>AMPE.3</t>
  </si>
  <si>
    <t>AMPE.2</t>
  </si>
  <si>
    <t>LOGM.3.a</t>
  </si>
  <si>
    <t>LOGM.3.b</t>
  </si>
  <si>
    <t>PDD.4.a</t>
  </si>
  <si>
    <t>PDD.4.b</t>
  </si>
  <si>
    <t>NVRO.1</t>
  </si>
  <si>
    <t>AMPE.1</t>
  </si>
  <si>
    <t>AMPE.6</t>
  </si>
  <si>
    <t>AMPE.4</t>
  </si>
  <si>
    <t>AMPE.5</t>
  </si>
  <si>
    <t>PZZA.1</t>
  </si>
  <si>
    <t>PZZA.2</t>
  </si>
  <si>
    <t>PZZA.3</t>
  </si>
  <si>
    <t>PM2.1</t>
  </si>
  <si>
    <t>PM2.2</t>
  </si>
  <si>
    <t>PM2.3</t>
  </si>
  <si>
    <t>seeking to recover a risk premium</t>
  </si>
  <si>
    <t>Pretium Resources, Inc.</t>
  </si>
  <si>
    <t>PVG.1</t>
  </si>
  <si>
    <t>FANH.1</t>
  </si>
  <si>
    <t>USAT.1</t>
  </si>
  <si>
    <t>TRCO.1.a</t>
  </si>
  <si>
    <t>TRCO.1.b</t>
  </si>
  <si>
    <t>TRCO.1.c</t>
  </si>
  <si>
    <t>TRCO.2</t>
  </si>
  <si>
    <t>USAT.2</t>
  </si>
  <si>
    <t>OPK.2</t>
  </si>
  <si>
    <t>USAT.3</t>
  </si>
  <si>
    <t>OPK.3</t>
  </si>
  <si>
    <t>USAT.4</t>
  </si>
  <si>
    <t>OPK.8</t>
  </si>
  <si>
    <t>OPK.9</t>
  </si>
  <si>
    <t>USAT.5.a</t>
  </si>
  <si>
    <t>USAT.5.b</t>
  </si>
  <si>
    <t>OPK.1.a</t>
  </si>
  <si>
    <t>OPK.1.b</t>
  </si>
  <si>
    <t>OPK.4.a</t>
  </si>
  <si>
    <t>OPK.4.b</t>
  </si>
  <si>
    <t>OPK.5</t>
  </si>
  <si>
    <t>OPK.6</t>
  </si>
  <si>
    <t>OPK.7.a</t>
  </si>
  <si>
    <t>OPK.7.b</t>
  </si>
  <si>
    <t>OPK.7.c</t>
  </si>
  <si>
    <t>OPK.7.d</t>
  </si>
  <si>
    <t>OPK.7.e</t>
  </si>
  <si>
    <t>OPK.10.a</t>
  </si>
  <si>
    <t>OPK.10.b</t>
  </si>
  <si>
    <t>OPK.11.a</t>
  </si>
  <si>
    <t>OPK.11.b</t>
  </si>
  <si>
    <t>OPK.11.c</t>
  </si>
  <si>
    <t>OPK.12.a</t>
  </si>
  <si>
    <t>OPK.12.b</t>
  </si>
  <si>
    <t>OPK.12.c</t>
  </si>
  <si>
    <t>Weston Family Partnership, LLP</t>
  </si>
  <si>
    <t>MCHP.1</t>
  </si>
  <si>
    <t>COCP.2</t>
  </si>
  <si>
    <t>COCP.1</t>
  </si>
  <si>
    <t>ABBV.3</t>
  </si>
  <si>
    <t>GOOG</t>
  </si>
  <si>
    <t>ABBV.2</t>
  </si>
  <si>
    <t>ALNY.2</t>
  </si>
  <si>
    <t>CPB.2</t>
  </si>
  <si>
    <t>ABBV.4</t>
  </si>
  <si>
    <t>ABBV.5</t>
  </si>
  <si>
    <t>ALNY.1</t>
  </si>
  <si>
    <t>ALNY.4</t>
  </si>
  <si>
    <t>CPB.1</t>
  </si>
  <si>
    <t>ABBV.6</t>
  </si>
  <si>
    <t>CHGG.1</t>
  </si>
  <si>
    <t>HAS.1</t>
  </si>
  <si>
    <t>ALNY.3</t>
  </si>
  <si>
    <t>CPB.3.a</t>
  </si>
  <si>
    <t>CPB.3.b</t>
  </si>
  <si>
    <t>CPB.3.c</t>
  </si>
  <si>
    <t>MGTI.1.a</t>
  </si>
  <si>
    <t>MGTI.1.b</t>
  </si>
  <si>
    <t>MGTI.1.c</t>
  </si>
  <si>
    <t>MGTI.2.a</t>
  </si>
  <si>
    <t>MGTI.2.b</t>
  </si>
  <si>
    <t>MGTI.2.c</t>
  </si>
  <si>
    <t>MGTI.2.d</t>
  </si>
  <si>
    <t>MGTI.3</t>
  </si>
  <si>
    <t>MGTI.4.a</t>
  </si>
  <si>
    <t>MGTI.4.b</t>
  </si>
  <si>
    <t>MGTI.5</t>
  </si>
  <si>
    <t>MGTI.6.a</t>
  </si>
  <si>
    <t>MGTI.6.b</t>
  </si>
  <si>
    <t>MGTI.6.c</t>
  </si>
  <si>
    <t>MGTI.6.d</t>
  </si>
  <si>
    <t>MGTI.6.e</t>
  </si>
  <si>
    <t>AAOI2.1</t>
  </si>
  <si>
    <t>AAOI2.2.a</t>
  </si>
  <si>
    <t>AAOI2.2.b</t>
  </si>
  <si>
    <t>AAOI2.3</t>
  </si>
  <si>
    <t>ACHC.2.b</t>
  </si>
  <si>
    <t>AAOI2.4.a</t>
  </si>
  <si>
    <t>AAOI2.4.b</t>
  </si>
  <si>
    <t>AAOI2.5</t>
  </si>
  <si>
    <t>ACHC.1.a</t>
  </si>
  <si>
    <t>ACHC.1.b</t>
  </si>
  <si>
    <t>ACHC.1.c</t>
  </si>
  <si>
    <t>ACHC.2.a</t>
  </si>
  <si>
    <t>TGTX2.1</t>
  </si>
  <si>
    <t>TGTX2.2</t>
  </si>
  <si>
    <t>TGTX2.3</t>
  </si>
  <si>
    <t>TGTX2.6</t>
  </si>
  <si>
    <t>ADNT.3</t>
  </si>
  <si>
    <t>ADNT.2</t>
  </si>
  <si>
    <t>TGTX2.4</t>
  </si>
  <si>
    <t>TGTX2.5</t>
  </si>
  <si>
    <t>ADNT.1</t>
  </si>
  <si>
    <t>NXTTF.1.a</t>
  </si>
  <si>
    <t>NXTTF.1.b</t>
  </si>
  <si>
    <t>NXTTF.1.c</t>
  </si>
  <si>
    <t>NXTTF.2</t>
  </si>
  <si>
    <t>NXTTF.3.a</t>
  </si>
  <si>
    <t>NXTTF.3.b</t>
  </si>
  <si>
    <t>NXTTF.3.c</t>
  </si>
  <si>
    <t>HTHT.1</t>
  </si>
  <si>
    <t>HTHT.2</t>
  </si>
  <si>
    <t>TRVN.2</t>
  </si>
  <si>
    <t>HTHT.3</t>
  </si>
  <si>
    <t>TRVN.1</t>
  </si>
  <si>
    <t>TRVN.5</t>
  </si>
  <si>
    <t>TRVN.3.a</t>
  </si>
  <si>
    <t>TRVN.3.b</t>
  </si>
  <si>
    <t>TRVN.3.e</t>
  </si>
  <si>
    <t>TRVN.3.c</t>
  </si>
  <si>
    <t>TRVN.3.d</t>
  </si>
  <si>
    <t>TRVN.4.a</t>
  </si>
  <si>
    <t>TRVN.4.b</t>
  </si>
  <si>
    <t>TRVN.4.c</t>
  </si>
  <si>
    <t>TRVN.4.d</t>
  </si>
  <si>
    <t>TRVN.4.e</t>
  </si>
  <si>
    <t>SFIX.3</t>
  </si>
  <si>
    <t>GOOG.1</t>
  </si>
  <si>
    <t>SFIX.1.a</t>
  </si>
  <si>
    <t>SFIX.1.b</t>
  </si>
  <si>
    <t>SFIX.1.c</t>
  </si>
  <si>
    <t>SFIX.2</t>
  </si>
  <si>
    <t>SFIX.4.a</t>
  </si>
  <si>
    <t>SFIX.4.b</t>
  </si>
  <si>
    <t>SFIX.5.a</t>
  </si>
  <si>
    <t>SFIX.5.b</t>
  </si>
  <si>
    <t>SFIX.5.c</t>
  </si>
  <si>
    <t>GOOG.2</t>
  </si>
  <si>
    <t>GOOG.3</t>
  </si>
  <si>
    <t>GOOG.4</t>
  </si>
  <si>
    <t>HLTH1</t>
  </si>
  <si>
    <t>HLTH1.1</t>
  </si>
  <si>
    <t>HLTH2</t>
  </si>
  <si>
    <t>MGI1</t>
  </si>
  <si>
    <t>MGI2</t>
  </si>
  <si>
    <t>Motley Rice LLC; Bernstein Litowitz Berger &amp; Grossmann LLP</t>
  </si>
  <si>
    <t>Levi &amp; Korsinsky, LLP; Breskin Johnson &amp; Townsend PLLC</t>
  </si>
  <si>
    <t>Levi &amp; Korsinsky, LLP; Reinhardt Wendorf &amp; Blanchfield</t>
  </si>
  <si>
    <t>Robbins, Geller, Rudman &amp; Dowd, LLP; Kaufman, Coren &amp; Ress, P.C.</t>
  </si>
  <si>
    <t>Holzer &amp; Holzer, LLC; Pomerantz LLP</t>
  </si>
  <si>
    <t>Pomerantz LLP; Andrews DeValerio LLP</t>
  </si>
  <si>
    <t>Pomerantz LLP; Hedin Hall LLP; Kaskela Law LLC</t>
  </si>
  <si>
    <t>Glancy Prongay &amp; Murray, LLP; Law Offices of Howard G. Smith; Kendall Law Group, LLP</t>
  </si>
  <si>
    <t>Keller Lenkner LLC; Rex A. Sharp P.A.</t>
  </si>
  <si>
    <t>Levi &amp; Korsinsky, LLP; Cullin O'Brien Law, P.A.</t>
  </si>
  <si>
    <t xml:space="preserve">Robbins, Geller, Rudman &amp; Dowd, LLP; Pomerantz LLP; Kendall Law Group, LLP (local/liaison); The Briscoe Law Firm, PLLC (local/liaison) </t>
  </si>
  <si>
    <t>Lit. Status</t>
  </si>
  <si>
    <t>NOVN.2</t>
  </si>
  <si>
    <t>Erste Asset Management GmbH</t>
  </si>
  <si>
    <t>Memphis Light, Gas &amp; Water Division Retirement and Pension System</t>
  </si>
  <si>
    <t>Gjergi Malci</t>
  </si>
  <si>
    <t>Mariana Malci</t>
  </si>
  <si>
    <t>CWH.1</t>
  </si>
  <si>
    <t>CWH.2.a</t>
  </si>
  <si>
    <t>CWH.2.b</t>
  </si>
  <si>
    <t>CWH.3</t>
  </si>
  <si>
    <t>CWH.4.a</t>
  </si>
  <si>
    <t>CWH.4.b</t>
  </si>
  <si>
    <t>Kessler Topaz Meltzer &amp; Check, LLP; Esbrook Law LLC (local/liaison)</t>
  </si>
  <si>
    <t>Glancy Prongay &amp; Murray, LLP; Lawrence Kamin, LLC (local/liaison); The Schall Law Firm (local/liaison)</t>
  </si>
  <si>
    <t>bluebird bio, Inc.</t>
  </si>
  <si>
    <t>BLUE</t>
  </si>
  <si>
    <t>18cv12556</t>
  </si>
  <si>
    <t>12/11/2017 - 11/29/2018</t>
  </si>
  <si>
    <t>Bronstein, Gewirtz &amp; Grossman, LLC; Pomerantz LLP; Andrews DeValerio LLP</t>
  </si>
  <si>
    <t>Lead Plaintiff</t>
  </si>
  <si>
    <t>Alessandro Marsella, Eric Blackwell</t>
  </si>
  <si>
    <t>City of Atlanta Firefighters Pension Fund, City of Atlanta Police Officers Pension Fund</t>
  </si>
  <si>
    <t>William Graves, Brooke Krysiak</t>
  </si>
  <si>
    <t>Rod Schlosser, Mike Oldham</t>
  </si>
  <si>
    <t>Arkansas Teacher Retirement System, Alameda County Employees Retirement Association</t>
  </si>
  <si>
    <t>Gabelli &amp; Co. Investment Advisors, Inc., Gabelli Funds, LLC</t>
  </si>
  <si>
    <t>Dima Alghazzy, Shamcy Alghazzy</t>
  </si>
  <si>
    <t>Carpenters Annuity Trust Fund for Northern California, Carpenters Pension Trust Fund for Northern California</t>
  </si>
  <si>
    <t>Glazer Capital Management, LP, Glazer Offshore Fund, LTD, Highmark Limited, Glazer Enhanced Fund L.P., Glazer Enhanced Offshore Fund, Ltd.</t>
  </si>
  <si>
    <t>ABX.4</t>
  </si>
  <si>
    <t>ABX.3</t>
  </si>
  <si>
    <t>Erste-Sparinvest Kapitalanlagegesellschaft m.b.H., Public Employees Retirement System of Idaho</t>
  </si>
  <si>
    <t>Darrel Dagdigian, Howard Clark</t>
  </si>
  <si>
    <t>Michael Malcolm, Daniel Ciccarelli, Michael Desantis, Thomas Bendheim, Anthony Shenk</t>
  </si>
  <si>
    <t>LP Damages</t>
  </si>
  <si>
    <t>Robbins, Geller, Rudman &amp; Dowd</t>
  </si>
  <si>
    <t>New England Carpenters Pension Fund, New England Carpenters Guaranteed Annuity Fund</t>
  </si>
  <si>
    <t>Cristina Davis, Sanzhar Khussainov, Stephen Waugh, Susan Finkel</t>
  </si>
  <si>
    <t>1103371 Ontario Ltd., Denis Taillefer, Plymouth County Retirement System</t>
  </si>
  <si>
    <t>Erol M. Rudman, Rudman Partners LP</t>
  </si>
  <si>
    <t>Iron Workers Local 40 361 &amp; 417 Union Security Funds, Iron Workers Locals 580 Joint Funds, Janet Sullivan</t>
  </si>
  <si>
    <t>Arindam Banerjee, Jogesh Harjai</t>
  </si>
  <si>
    <t>Andrew Song, Michael Neuberger, Bahram Salehian, James Carmack</t>
  </si>
  <si>
    <t>David Thomas Jones, John Taylor Jones, Rex and Roberta Living Trust ua December 6, 1990</t>
  </si>
  <si>
    <t>Satish Doshi, Erick Grimm</t>
  </si>
  <si>
    <t>City of Birmingham Firemens and Policemens Supplemental Pension System, City of Birmingham Retirement and Relief System</t>
  </si>
  <si>
    <t>Metzler Investment GmbH, Erste-Sparinvest Kapitalanlagegesellschaft m.b.H.</t>
  </si>
  <si>
    <t>Arkansas Public Employees Retirement System, Louisiana Sheriffs Pension and Relief Fund</t>
  </si>
  <si>
    <t>Westchester Putnam Counties Heavy &amp; Highway Laborers Local 60 Benefit Funds, Teamsters Local 456 Annuity Fund, City of Birmingham Retirement and Relief System</t>
  </si>
  <si>
    <t>Andrew Pagliara, Harold Brooks Moss, Zhengyu He</t>
  </si>
  <si>
    <t>William Tran, Adrian Ybarra</t>
  </si>
  <si>
    <t>Charles Craig Janies, Robert F. Colwell, Jr.</t>
  </si>
  <si>
    <t>Adrian Parker, Anthony Sallustro, Joe Traylor, William Dubois, Yajun Zhai</t>
  </si>
  <si>
    <t xml:space="preserve">Benjamin Webb, Gang Chen, Minh Nguyen, Timothy Heath, Umang Khetarpal </t>
  </si>
  <si>
    <t>Richard Grace, Ken Warner</t>
  </si>
  <si>
    <t>Greater Pennsylvania Carpenters Pension Fund, Arkansas Teacher Retirement System</t>
  </si>
  <si>
    <t>Falcon Capital Management, Laurent Sberro, Wetherby International, Inc.</t>
  </si>
  <si>
    <t>Juan Gamboa, Correy Hemingway</t>
  </si>
  <si>
    <t>Arkin Communications LTD, M.Arkin (1999) LTD</t>
  </si>
  <si>
    <t>Construction Laborers Pension Trust of Greater St. Louis, Metzler Investment GmbH</t>
  </si>
  <si>
    <t>Michael Schwabe, Jaideep Khanna</t>
  </si>
  <si>
    <t>City of Birmingham Retirement and Relief System, Teamsters Local 456 Annuity Fund, Teamsters Local 456 Pension Fund, Teamsters Local 710 Pension Fund, Westchester Putnam Counties Heavy &amp; Highway Laborers Local 60 Benefit Funds</t>
  </si>
  <si>
    <t>DAFNA LifeScience Select, LP, DAFNA LifeScience, LP</t>
  </si>
  <si>
    <t xml:space="preserve">City of Miami Fire Fighters and Police Officers Retirement Trust, Norfolk County Retirement System, Wayne County Employees Retirement System </t>
  </si>
  <si>
    <t>Burcin Ekser, Gianfilippo Mogavero, Steven Gerber</t>
  </si>
  <si>
    <t>Aurelio Scarpatetti, Duy Vu, Manuele Scarpatetti, Mark Madrack</t>
  </si>
  <si>
    <t>Iron Workers Local 40 361 &amp; 417 Union Security Funds, Iron Workers Locals 580 Joint Funds</t>
  </si>
  <si>
    <t>Michael Gregory, Mindy Frost, Yeshan Jagroo</t>
  </si>
  <si>
    <t>Fire and Police Retiree Health Care Fund, San Antonio, Proxima Capital Master Fund, Ltd., San Antonio Fire &amp; Police Pension Fund, The Arbitrage Fund</t>
  </si>
  <si>
    <t>Chayn Mousa, Kamal Kheridden, Konrad Wottge, Mary Jane Silvey, Robert Luke</t>
  </si>
  <si>
    <t>Joseph Terranova, Mark Baldwin</t>
  </si>
  <si>
    <t>Peace Officers Annuity and Benefit Fund of Georgia, Jacksonville Police &amp; Fire Pension Fund</t>
  </si>
  <si>
    <t>City of Sunrise Police Officers Retirement Plan, City of Cape Coral Municipal Firefighters Retirement Plan</t>
  </si>
  <si>
    <t>Amos Bakouple, Sam Kirkpatrick</t>
  </si>
  <si>
    <t>Amy Chan, Shunfeng Cheng, Steven Wade</t>
  </si>
  <si>
    <t>Kyle Kobold, Abdul Rahiman, Joseph Spizzirri</t>
  </si>
  <si>
    <t>Blake Bauer, Guarang Patel, Brent Kawamura</t>
  </si>
  <si>
    <t xml:space="preserve">John and Ruth Hessen, Prakash Shani and Lai Ming Shani Yit </t>
  </si>
  <si>
    <t>Steamfitters Industry Security Benefit Fund, Steamfitters Industry Pension Fund</t>
  </si>
  <si>
    <t>Longview Firemens Relief &amp; Retirement Fund, Employees Retirement System of the City of Providence</t>
  </si>
  <si>
    <t>Strahinja Ivosevic, Fred Eisner</t>
  </si>
  <si>
    <t>Walter J. Minett, Ronald E. Wallace</t>
  </si>
  <si>
    <t>Aurelio Scarpatetti, Manuele Scarpatetti</t>
  </si>
  <si>
    <t>Laborers Pension Trust Fund for Northern California, LIUNA National (Industrial) Pension Fund, LIUNA Staff &amp; Affiliates Pension Fund</t>
  </si>
  <si>
    <t>James Emerson, November Family Trust DD 551983, Power Holding Corporation, The William T. Higgs Trust</t>
  </si>
  <si>
    <t>Charles Jordan, David Kovacs</t>
  </si>
  <si>
    <t>Daniel Anshen, Jung Passow</t>
  </si>
  <si>
    <t>Carl Palazzolo, Albert Ferrandi</t>
  </si>
  <si>
    <t>Douglas Barnard, Keith B. White, Thomas Weeks</t>
  </si>
  <si>
    <t>Joel Brenner as Trustee for the Joel Brenner MPP Plan &amp; Trust, Joel Brenner, Kevin Gaberlavage, Lazy Dogs Partnership LLLP, Susan Batai</t>
  </si>
  <si>
    <t>Mark Cunningham, Viet Tran, Jesse M. Koth and Kelley Koth, Timothy Flynn</t>
  </si>
  <si>
    <t>John Blair, Marc F. Mahoney</t>
  </si>
  <si>
    <t>Cecilia Turner, Turner Insurance Agency, Inc.</t>
  </si>
  <si>
    <t>Arkansas Teacher Retirement System, Carlos Lagomarsino</t>
  </si>
  <si>
    <t>James Huisman, Brooks Lieske, Joseph Selinger, Shawn Kracht, Dan Grunfeld</t>
  </si>
  <si>
    <t>Ann Hellings 2016 Trust, Brian A. Hellings</t>
  </si>
  <si>
    <t>Michael Hamblett, Robert Shavelle</t>
  </si>
  <si>
    <t>Kreling &amp; Company I401K Plan, Matthew Kreling, Sharyn McGowan, Ricardo Salinas</t>
  </si>
  <si>
    <t>GLBR.7.a</t>
  </si>
  <si>
    <t>Shipco Transport, Inc., 683 Capital Partners, L.P.</t>
  </si>
  <si>
    <t>Lirio Fiocchi, Omer Yuksel, Raul Zamudio, Satya Kunapuli, Scott C. Hartmann</t>
  </si>
  <si>
    <t>Julie Wiegand, Michael Dieter Birlenbach</t>
  </si>
  <si>
    <t>Etienne Balon, Xiao Ming Zhou</t>
  </si>
  <si>
    <t>City of Birmingham Retirement and Relief System, Societe Generale Securities Services GmbH</t>
  </si>
  <si>
    <t>City of Hollywood Police Officers Retirement System, City Pension Fund for Firefighters and Police Officers In The City of Miami Beach, Pembroke Pines Fire and Police Pension Fund</t>
  </si>
  <si>
    <t>Amit Katiyar, Daniel Mercer, George Hurst, Juan Taveras, Marcus Washington</t>
  </si>
  <si>
    <t>David Conine, Mary Danahar</t>
  </si>
  <si>
    <t>Locals 302 and 612 of the International Union of Operating Engineers-Employers Construction Industry Retirement Trust, Carpenters Pension Trust Fund for Northern California</t>
  </si>
  <si>
    <t>El Paso Firemen &amp; Policemens Pension Fund, San Antonio Fire &amp; Police Pension Fund</t>
  </si>
  <si>
    <t>Carl Bayney, Jianmin Huang, Russel Bleiler, Ashok Chainani</t>
  </si>
  <si>
    <t>Sam and Julia Ann Snyder, David Ducharme</t>
  </si>
  <si>
    <t>IRS.1</t>
  </si>
  <si>
    <t>Larry Milton, Wendy Beer</t>
  </si>
  <si>
    <t>Jasdeep Condle, Saverio La Francesca, Steven Highfill</t>
  </si>
  <si>
    <t>Abuhena M. Saifulislam, Bhaskar R. Gudlavenkatasiva, Zeke Ingram, Kaniz Fatema</t>
  </si>
  <si>
    <t>Abraham Kiswani, Tim Karth</t>
  </si>
  <si>
    <t>Steamfitters Local 449 Pension Fund, International Brotherhood of Electrical Workers Local Union 38 Pension Fund</t>
  </si>
  <si>
    <t>XiangHong Ding, Zhenbin Chen</t>
  </si>
  <si>
    <t>Michael Hoeltzel, Soe Wong</t>
  </si>
  <si>
    <t>Yvonne Cohen, Dale Blanch</t>
  </si>
  <si>
    <t>Carlo Caroti, Keith Kolish</t>
  </si>
  <si>
    <t>Larry Pollock, Robert Daub</t>
  </si>
  <si>
    <t>DPC Partners, Ltd., Quantum Partners, Ltd, John William Burke</t>
  </si>
  <si>
    <t>Mark Beadle, Babulal Tarapara</t>
  </si>
  <si>
    <t>John Lemak, JSL Kids Partners, Sandor Capital Master Fund</t>
  </si>
  <si>
    <t>MFGP.1</t>
  </si>
  <si>
    <t>Christopher R. Vorrath, Gabriel R. Hull, Kenneth Gaynor, Marcia Goldberg</t>
  </si>
  <si>
    <t>Richard Scalfani, Tracey Angiuoli</t>
  </si>
  <si>
    <t>Mary McCloskey, Craig Kneller</t>
  </si>
  <si>
    <t>David K. Higgins, Ethan Silverman</t>
  </si>
  <si>
    <t>Socorro Trujillo, Zhimin He</t>
  </si>
  <si>
    <t>Cristos Thanos, Stephania Niziolek</t>
  </si>
  <si>
    <t>Lord Abbett Bond Debenture Fund, Inc., Lord Abbett Investment Trust - Lord Abbett High Yield Fund, Lord Abbett Equity Trust - Lord Abbett Calibrated Mid Cap Value Fund, Lord Abbett Affiliated Fund, Inc.</t>
  </si>
  <si>
    <t>Jason Montblanc, Jesse Wayne Pritchard</t>
  </si>
  <si>
    <t>Southeastern Pennsylvania Transportation Authority Consolidated Pension Plan, Michael Fontaine</t>
  </si>
  <si>
    <t>Brayton Li, Donald Hu</t>
  </si>
  <si>
    <t>Richard Miller, Matthew Atkinson</t>
  </si>
  <si>
    <t>Dean Allen Shinners, Michael Pfeiffer, Denis Marc Audet, Jason Vargas</t>
  </si>
  <si>
    <t>William Slater, Enrico Vaccaro, F. Gregory Deneen</t>
  </si>
  <si>
    <t>Daniel Hovasse, Leon Kurdziel, Jr.</t>
  </si>
  <si>
    <t>George Lehmann, Insured Benefit Plans, Inc.</t>
  </si>
  <si>
    <t>Kenneth Rubenfeld, Radovan Rasa, Stephen Wise</t>
  </si>
  <si>
    <t>Oklahoma Firefighters Pension and Retirement System, AMF Pensionsforsakring AB</t>
  </si>
  <si>
    <t>Robert Kezer, Frank Rowe Michels</t>
  </si>
  <si>
    <t>Michelle Gold, Paul Marchese</t>
  </si>
  <si>
    <t>Joseph Bessent, Eric Pearson, John Corbitt</t>
  </si>
  <si>
    <t>Daniel Johnson, Jason Fessler, Rock Hall</t>
  </si>
  <si>
    <t>Robert E. Cook, as trustee of The Robert E. Cook and Paula J. Brooks Living Trust, Royal Wulff Ventures, LLC</t>
  </si>
  <si>
    <t>Atudot Pension Fund for Employees and Independents Ltd., Clal Pension &amp; Provident Fund Ltd., Meitav DS Provident Funds and Pension Ltd., Clal Insurance Ltd., Migdal Insurance Company Ltd., Migdal Makefet Pension and Provident Funds Ltd.</t>
  </si>
  <si>
    <t>Granite Point Capital, Simon James</t>
  </si>
  <si>
    <t>Manuel Martin, Sharon Finger</t>
  </si>
  <si>
    <t>Mark Allen, Salvatore Rappa, Moeed Azam</t>
  </si>
  <si>
    <t>Metzler Investment GmbH, Sjunde AP-Fonden</t>
  </si>
  <si>
    <t>Alan B. Hertz, Alan Hertz Family 2012 Trust</t>
  </si>
  <si>
    <t>Sheng Wang, Liying Donchez, Joseph Buscema</t>
  </si>
  <si>
    <t>Arkansas Teacher Retirement System, Public School Teachers Pension &amp; Retirement Fund of Chicago</t>
  </si>
  <si>
    <t>RHHBY.1</t>
  </si>
  <si>
    <t>Hershel Smilovich, Martin Smilovich</t>
  </si>
  <si>
    <t>Local 295 IBT Employer Group Pension Trust Fund, Michigan Carpenters Pension Fund</t>
  </si>
  <si>
    <t>Chang Mao Cai, Tongyan Wang and Yuyan Jia</t>
  </si>
  <si>
    <t>Stichting Blue Sky Active Large Cap Equity USA Fund, Stichting Blue Sky Global Equity Active Low Volatility Fund, West Virginia Investment Management Board</t>
  </si>
  <si>
    <t>SCOR.6</t>
  </si>
  <si>
    <t>Employees Retirement System of the City of Baton Rouge and Parish of East Baton Rouge, Fresno County Employees Retirement Association</t>
  </si>
  <si>
    <t>Pinnacle Opportunities Fund, LP, Red Oak Fund, LP, The Red Oak Institutional Founders Long Fund, The Red Oak Long Fund LP</t>
  </si>
  <si>
    <t>Chester County Employees Retirement Fund, Local 272 Labor-Management Pension Fund, Local 817 IBT Pension Fund</t>
  </si>
  <si>
    <t>Robert W. Richards, Claudio Mantovani</t>
  </si>
  <si>
    <t>Michael Bestwick, Mark Hawkins</t>
  </si>
  <si>
    <t>James Nguyen, Jason Martinez, Kevin Korbaylo, Padraig McGowan, Ricardo Manes</t>
  </si>
  <si>
    <t>Kulwant Johal, Matthew McGee</t>
  </si>
  <si>
    <t>Arkansas Teacher Retirement System, Mississippi Public Employees Retirement System</t>
  </si>
  <si>
    <t>Daljit Singh, Adam Ludlow, Kenneth Walsh</t>
  </si>
  <si>
    <t>Royal Estate Management, LLC, Peter Fan, Fremont Hotel, Inc.</t>
  </si>
  <si>
    <t>Edward Lea, Dios Asset Management PTE. LTD.</t>
  </si>
  <si>
    <t>Roland L. Willis, Adela Bai, Robert H. Anthony</t>
  </si>
  <si>
    <t>Jerome Spindler, Clemens Schlettwein</t>
  </si>
  <si>
    <t>Suprabha Bhat, Thomas McCall</t>
  </si>
  <si>
    <t>Ilia Delio, Masoud Samee</t>
  </si>
  <si>
    <t>Allan Ramirez, Sameh M. Yamany, David Burns, Steven Krems</t>
  </si>
  <si>
    <t>Amardeep Sidhu, Joel Sofer, Moshe Onel</t>
  </si>
  <si>
    <t>The Arbitrage Event-Driven Fund, The Arbitrage Fund, Water Island Merger Arbitrage Institutional Commingled Master Fund, LP</t>
  </si>
  <si>
    <t>North Underhill Cemetery Association, Underhill Cemetery Association, Samir Patel, Randall Clark</t>
  </si>
  <si>
    <t>Stichting Blue Sky Active Large Cap Equity USA Fund, Stichting Blue Sky Global Equity Active Low Volatility Fund, Employees Retirement System of the State of Hawaii</t>
  </si>
  <si>
    <t xml:space="preserve">Ametren L.P., Theodore Zwicker </t>
  </si>
  <si>
    <t xml:space="preserve">Chris Kebler, Hui Zhang, WKW Partners Fund I, LP </t>
  </si>
  <si>
    <t xml:space="preserve">Brenda Johnston, Kerry Johnston, Phillip H. Rhodes, Jr., Shem Properties Inc. </t>
  </si>
  <si>
    <t xml:space="preserve">Sjunde AP-Fonden, Union Asset Management Holding AG </t>
  </si>
  <si>
    <t xml:space="preserve">David S. Kim, Dung Thi Kim Le, Johnny R. Morgan, Stephen Lomax, Steven A. Payne, The Hoey Family Trust UA DTD 082292, The Hoey Trust UA DTD 11191993 </t>
  </si>
  <si>
    <t xml:space="preserve">Employers-Teamsters Local 175 &amp; 505 Pension Trust Fund Plan, Uniformed Sanitationmens Association Local 831 Compensation Accrual Fund </t>
  </si>
  <si>
    <t xml:space="preserve">David Grigsby, Joseph Shepard </t>
  </si>
  <si>
    <t xml:space="preserve">Amalgamated Bank, as Trustee for the LongView Collective Investment Fund, Fire &amp; Police Pension Association of Colorado, Union Asset Management Holding AG </t>
  </si>
  <si>
    <t xml:space="preserve">Carlos Llantada, Richard Storm, Jr., Stationary Engineers Local 39 Pension Trust Fund </t>
  </si>
  <si>
    <t xml:space="preserve">David Zimmerman, Employees Retirement System of the Government of the Virgin Islands, William Kitsonas </t>
  </si>
  <si>
    <t xml:space="preserve">Anthony Pipitone, Donald B. Cork </t>
  </si>
  <si>
    <t xml:space="preserve">Amalgamated Bank, as Trustee for the LongView Collective Investment Fund, Mississippi Public Employees Retirement System </t>
  </si>
  <si>
    <t>Daniel Rogers, Maria Zingas</t>
  </si>
  <si>
    <t>Town of Fairfield Employees Retirement Plan, Town of Fairfield Police and Firemens Retirement Plan, Wayne County Employees Retirement System</t>
  </si>
  <si>
    <t>Central Laborers Pension Fund, Oakland County Employees Retirement System and Voluntary Employees Benefit Association, Plymouth County Retirement System</t>
  </si>
  <si>
    <t xml:space="preserve">Angelika G. Johnson, Douglas Kirk Ingoldsby, Douglas Rosen, Robert Wortman </t>
  </si>
  <si>
    <t xml:space="preserve">Rosewood Funeral Home, Salamon Gimpel </t>
  </si>
  <si>
    <t xml:space="preserve">Debra Folk, Earle Folk, Eugene Almendinger, Jeffrey Berkowitz, Maryann Lovelidge, Tom Lovelidge, William H. Tod </t>
  </si>
  <si>
    <t xml:space="preserve">Arthur Kaye IRA FCC as Custodian DTD 6-8-00, Hayden Leason </t>
  </si>
  <si>
    <t xml:space="preserve">Dennis Dandeles, Thomas Walsh </t>
  </si>
  <si>
    <t xml:space="preserve">Gary Vatter, Gerald W. Klein </t>
  </si>
  <si>
    <t>Jason Breunig, Rotem Cohen</t>
  </si>
  <si>
    <t>Dr. Larry and Marilyn Cohen, Joseph N. Wilson, Justin and Jenny Kaufman, SRS Capital Advisors, Inc., Tradition Capital Management LLC</t>
  </si>
  <si>
    <t>Christopher Hawkinson, Kathryn A. Poser</t>
  </si>
  <si>
    <t>Erste-Sparinvest Kapitalanlagegesellschaft m.b.H., Oklahoma Law Enforcement Retirement System</t>
  </si>
  <si>
    <t>KBC Asset Management NV, Labourers Pension Fund of Central and Eastern Canada</t>
  </si>
  <si>
    <t>Danny T. Nguyen, Song Suh</t>
  </si>
  <si>
    <t xml:space="preserve">Dan Kleinerman, Meitav DS Provident Funds and Pension Ltd., Menora Mivtachim Insurance Ltd., Menora Mivtachim Pension and Gemel Ltd., The Phoenix Insurance Company, Ltd. </t>
  </si>
  <si>
    <t>Manh Dao, Wang Juan</t>
  </si>
  <si>
    <t>Post-Motion Change</t>
  </si>
  <si>
    <t>Kavita Mehta, Khaled Ramadan, Oleg Tkalych, William L. Stephens</t>
  </si>
  <si>
    <t>Boston Retirement System, Central States Southeast and Southwest Areas Pension Fund, Employees Pension Plan of the City of Clearwater, Lehigh County Employees Retirement Board, Oklahoma Firefighters Pension and Retirement System</t>
  </si>
  <si>
    <t>Mukesh Patel, Stephen Watson</t>
  </si>
  <si>
    <t xml:space="preserve">Central Laborers Pension Fund, Gwinnett County Public Employees Retirement System, Pembroke Pines Fire and Police Pension Fund, Plymouth County Retirement System </t>
  </si>
  <si>
    <t xml:space="preserve">Barry A. Smith, ODS Capital LLC, Sunil Shah </t>
  </si>
  <si>
    <t xml:space="preserve">Dmitriy Chatskiy, Douglas Benkowski, Earl McCrary </t>
  </si>
  <si>
    <t xml:space="preserve">Duck Pond Partners, LP, Robert Spock </t>
  </si>
  <si>
    <t xml:space="preserve">Ali B. Zanjani, Gregory and Lillian Lennox Family Trust, Murray Hoffman, Teresa Nicastro </t>
  </si>
  <si>
    <t xml:space="preserve">Alice Twomey, Dmitri Karpov, Joseph McIntire, Ricky Elmore, William McCormick </t>
  </si>
  <si>
    <t>Ali Alkhateeb, Casey Minnick, Craig Taffel, Dimitrios Daniil, Yisroel Lieber</t>
  </si>
  <si>
    <t>Newvana Ventures Limited, Plymouth County Retirement System</t>
  </si>
  <si>
    <t>Richard Berkowitz, Stephen Graham</t>
  </si>
  <si>
    <t>Cross Country Media and Sourcing, Inc., Joseph Badolato, Joseph Buck, Michael Margulis, Robert Tilton</t>
  </si>
  <si>
    <t>Cynthia A. Parmelee, Kelly Baxley</t>
  </si>
  <si>
    <t>Boston Retirement System, Hong-Luu Nguyen, John Nguyen, Si Nguyen, Si Tan Nguyen Trust</t>
  </si>
  <si>
    <t xml:space="preserve">Don Pritchard, Gordon Gamm </t>
  </si>
  <si>
    <t>Total Damages</t>
  </si>
  <si>
    <t>% of Total Damages</t>
  </si>
  <si>
    <t>Type (Ind, Ins, G-Ind, G-Ins, G-Mix)</t>
  </si>
  <si>
    <t>Teamsters Local 456 Annuity Fund, Teamsters Local 456 Pension Fund</t>
  </si>
  <si>
    <t>Cynthia Busse, Daniel Hurlbut, Lawrence Banker, Marlene Hurlbut</t>
  </si>
  <si>
    <t>Richard Carrazza, Richard Farino</t>
  </si>
  <si>
    <t>Donald Bellafiore, Robert Abric</t>
  </si>
  <si>
    <t>Marjorie B. Oswald, Margaret K. Peterson</t>
  </si>
  <si>
    <t>Orange County Employees Retirement System, Alameda County Employees Retirement Association</t>
  </si>
  <si>
    <t>Daniel E. Onishuk, Jr., Mohammed Kayyal, Richard Schubert</t>
  </si>
  <si>
    <t>Employees Retirement System of the Government of the Virgin Islands, Mississippi Public Employees Retirement System, Public Employees Retirement Association of New Mexico</t>
  </si>
  <si>
    <t>Raymond Mentor, Christopher Ikeocha, Brian Gabrich</t>
  </si>
  <si>
    <t>Eduardo Fiallos, Vinoth Ravi, Kamil Kirio</t>
  </si>
  <si>
    <t>ACM Ltd., Aleksandr Gamburg, Nikolay Drozhzhinov, Set Capital LLC, Stefan Jager</t>
  </si>
  <si>
    <t>Tongyan Wang, Yuyan Jia</t>
  </si>
  <si>
    <t>Sutton View Patners LP, Ben Maher</t>
  </si>
  <si>
    <t>Peggy Dern, Shun Wah So</t>
  </si>
  <si>
    <t>Eric Levy, Matt Brierley, Rajesh M. Shah</t>
  </si>
  <si>
    <t>Jo Ann Offutt, Johanna Choy, Raymond Harris</t>
  </si>
  <si>
    <t>Raymond Cook, Dyson Capital Management Ltd.</t>
  </si>
  <si>
    <t>Dennis Robertson, Melody Guy</t>
  </si>
  <si>
    <t>Ivan Wong 2015 Charitable Remainder Unitrust UA September 22, 2015, The Wong 2015 Charitable Remainder Trust, UA September 11, 2015</t>
  </si>
  <si>
    <t xml:space="preserve">Glancy Prongay &amp; Murray, LLP; Robbins, Geller, Rudman &amp; Dowd, LLP; Block &amp; Leviton LLP (local/liaison) </t>
  </si>
  <si>
    <t>CMGE.5</t>
  </si>
  <si>
    <t>CMGE.1</t>
  </si>
  <si>
    <t>Bucket A</t>
  </si>
  <si>
    <t>Largest Loss</t>
  </si>
  <si>
    <t>Bucket B</t>
  </si>
  <si>
    <t>Bucket C</t>
  </si>
  <si>
    <t>Bucket D</t>
  </si>
  <si>
    <t>Bucket E</t>
  </si>
  <si>
    <t>Bucket F</t>
  </si>
  <si>
    <t>Second Largest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</si>
</sst>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0"/>
    <numFmt numFmtId="165" formatCode="&quot;$&quot;#,##0.00"/>
    <numFmt numFmtId="166" formatCode="mm/dd/yyyy"/>
    <numFmt numFmtId="167" formatCode="_(&quot;$&quot;* #,##0_);_(&quot;$&quot;* \(#,##0\);_(&quot;$&quot;* &quot;-&quot;??_);_(@_)"/>
    <numFmt numFmtId="168" formatCode="[$$-409]#,##0_);\([$$-409]#,##0\)"/>
  </numFmts>
  <fonts count="30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Times New Roman"/>
      <family val="1"/>
    </font>
    <font>
      <b/>
      <sz val="11"/>
      <color rgb="FF000000"/>
      <name val="Times New Roman"/>
      <family val="1"/>
    </font>
    <font>
      <b/>
      <sz val="11"/>
      <color theme="1"/>
      <name val="Times New Roman"/>
      <family val="1"/>
    </font>
    <font>
      <sz val="11"/>
      <name val="Times New Roman"/>
      <family val="1"/>
    </font>
    <font>
      <sz val="12"/>
      <color theme="1"/>
      <name val="Times New Roman"/>
      <family val="1"/>
    </font>
    <font>
      <b/>
      <sz val="11"/>
      <name val="Times New Roman"/>
      <family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Times New Roman"/>
      <family val="1"/>
    </font>
    <font>
      <b/>
      <sz val="12"/>
      <color theme="0"/>
      <name val="Times New Roman"/>
      <family val="1"/>
    </font>
  </fonts>
  <fills count="4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</fills>
  <borders count="2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45">
    <xf numFmtId="0" fontId="0" fillId="0" borderId="0"/>
    <xf numFmtId="43" fontId="8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2" applyNumberFormat="0" applyFill="0" applyAlignment="0" applyProtection="0"/>
    <xf numFmtId="0" fontId="15" fillId="0" borderId="3" applyNumberFormat="0" applyFill="0" applyAlignment="0" applyProtection="0"/>
    <xf numFmtId="0" fontId="16" fillId="0" borderId="4" applyNumberFormat="0" applyFill="0" applyAlignment="0" applyProtection="0"/>
    <xf numFmtId="0" fontId="16" fillId="0" borderId="0" applyNumberFormat="0" applyFill="0" applyBorder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20" fillId="10" borderId="5" applyNumberFormat="0" applyAlignment="0" applyProtection="0"/>
    <xf numFmtId="0" fontId="21" fillId="11" borderId="6" applyNumberFormat="0" applyAlignment="0" applyProtection="0"/>
    <xf numFmtId="0" fontId="22" fillId="11" borderId="5" applyNumberFormat="0" applyAlignment="0" applyProtection="0"/>
    <xf numFmtId="0" fontId="23" fillId="0" borderId="7" applyNumberFormat="0" applyFill="0" applyAlignment="0" applyProtection="0"/>
    <xf numFmtId="0" fontId="24" fillId="12" borderId="8" applyNumberFormat="0" applyAlignment="0" applyProtection="0"/>
    <xf numFmtId="0" fontId="25" fillId="0" borderId="0" applyNumberFormat="0" applyFill="0" applyBorder="0" applyAlignment="0" applyProtection="0"/>
    <xf numFmtId="0" fontId="8" fillId="13" borderId="9" applyNumberFormat="0" applyFont="0" applyAlignment="0" applyProtection="0"/>
    <xf numFmtId="0" fontId="26" fillId="0" borderId="0" applyNumberFormat="0" applyFill="0" applyBorder="0" applyAlignment="0" applyProtection="0"/>
    <xf numFmtId="0" fontId="12" fillId="0" borderId="10" applyNumberFormat="0" applyFill="0" applyAlignment="0" applyProtection="0"/>
    <xf numFmtId="0" fontId="27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27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1" borderId="0" applyNumberFormat="0" applyBorder="0" applyAlignment="0" applyProtection="0"/>
    <xf numFmtId="0" fontId="27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27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27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3" borderId="0" applyNumberFormat="0" applyBorder="0" applyAlignment="0" applyProtection="0"/>
    <xf numFmtId="0" fontId="27" fillId="34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37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</cellStyleXfs>
  <cellXfs count="427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left"/>
    </xf>
    <xf numFmtId="0" fontId="2" fillId="0" borderId="0" xfId="0" applyFont="1" applyBorder="1" applyAlignment="1">
      <alignment vertical="top"/>
    </xf>
    <xf numFmtId="0" fontId="2" fillId="0" borderId="0" xfId="0" applyFont="1" applyBorder="1" applyAlignment="1">
      <alignment horizontal="center" vertical="top"/>
    </xf>
    <xf numFmtId="0" fontId="2" fillId="0" borderId="0" xfId="0" applyFont="1" applyBorder="1" applyAlignment="1">
      <alignment vertical="top" wrapText="1"/>
    </xf>
    <xf numFmtId="1" fontId="2" fillId="0" borderId="0" xfId="0" applyNumberFormat="1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vertical="top" wrapText="1"/>
    </xf>
    <xf numFmtId="1" fontId="2" fillId="0" borderId="1" xfId="0" applyNumberFormat="1" applyFont="1" applyFill="1" applyBorder="1" applyAlignment="1">
      <alignment horizontal="center" vertical="top"/>
    </xf>
    <xf numFmtId="6" fontId="2" fillId="0" borderId="1" xfId="0" applyNumberFormat="1" applyFont="1" applyBorder="1" applyAlignment="1">
      <alignment horizontal="center" vertical="top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Fill="1" applyBorder="1" applyAlignment="1">
      <alignment vertical="top"/>
    </xf>
    <xf numFmtId="14" fontId="2" fillId="0" borderId="1" xfId="0" applyNumberFormat="1" applyFont="1" applyFill="1" applyBorder="1" applyAlignment="1">
      <alignment horizontal="center" vertical="top"/>
    </xf>
    <xf numFmtId="0" fontId="2" fillId="0" borderId="1" xfId="0" applyFont="1" applyFill="1" applyBorder="1" applyAlignment="1">
      <alignment horizontal="center" vertical="top"/>
    </xf>
    <xf numFmtId="0" fontId="2" fillId="0" borderId="1" xfId="0" applyFont="1" applyFill="1" applyBorder="1" applyAlignment="1">
      <alignment vertical="top" wrapText="1"/>
    </xf>
    <xf numFmtId="6" fontId="2" fillId="0" borderId="1" xfId="0" applyNumberFormat="1" applyFont="1" applyFill="1" applyBorder="1" applyAlignment="1">
      <alignment horizontal="center" vertical="top"/>
    </xf>
    <xf numFmtId="0" fontId="2" fillId="0" borderId="1" xfId="0" applyFont="1" applyFill="1" applyBorder="1" applyAlignment="1">
      <alignment horizontal="left" vertical="top" wrapText="1"/>
    </xf>
    <xf numFmtId="0" fontId="5" fillId="0" borderId="1" xfId="0" applyFont="1" applyBorder="1" applyAlignment="1">
      <alignment horizontal="center" vertical="top"/>
    </xf>
    <xf numFmtId="0" fontId="2" fillId="0" borderId="0" xfId="0" applyFont="1" applyAlignment="1">
      <alignment vertical="top"/>
    </xf>
    <xf numFmtId="6" fontId="5" fillId="0" borderId="1" xfId="0" applyNumberFormat="1" applyFont="1" applyBorder="1" applyAlignment="1">
      <alignment horizontal="center" vertical="top"/>
    </xf>
    <xf numFmtId="0" fontId="5" fillId="0" borderId="1" xfId="0" applyFont="1" applyBorder="1" applyAlignment="1">
      <alignment vertical="top" wrapText="1"/>
    </xf>
    <xf numFmtId="0" fontId="7" fillId="0" borderId="1" xfId="0" applyFont="1" applyBorder="1" applyAlignment="1">
      <alignment horizontal="center" vertical="top"/>
    </xf>
    <xf numFmtId="0" fontId="4" fillId="0" borderId="1" xfId="0" applyFont="1" applyBorder="1" applyAlignment="1">
      <alignment horizontal="center" vertical="top"/>
    </xf>
    <xf numFmtId="0" fontId="4" fillId="0" borderId="1" xfId="0" applyFont="1" applyFill="1" applyBorder="1" applyAlignment="1">
      <alignment horizontal="center" vertical="top"/>
    </xf>
    <xf numFmtId="0" fontId="4" fillId="0" borderId="1" xfId="0" applyFont="1" applyBorder="1" applyAlignment="1">
      <alignment horizontal="center" vertical="top" wrapText="1"/>
    </xf>
    <xf numFmtId="1" fontId="4" fillId="0" borderId="1" xfId="0" applyNumberFormat="1" applyFont="1" applyFill="1" applyBorder="1" applyAlignment="1">
      <alignment horizontal="center" vertical="top"/>
    </xf>
    <xf numFmtId="0" fontId="9" fillId="0" borderId="0" xfId="0" applyFont="1" applyAlignment="1">
      <alignment horizontal="center"/>
    </xf>
    <xf numFmtId="0" fontId="9" fillId="0" borderId="0" xfId="0" applyFont="1"/>
    <xf numFmtId="0" fontId="9" fillId="0" borderId="0" xfId="0" applyFont="1" applyAlignment="1">
      <alignment wrapText="1"/>
    </xf>
    <xf numFmtId="4" fontId="9" fillId="0" borderId="0" xfId="0" applyNumberFormat="1" applyFont="1" applyAlignment="1">
      <alignment horizontal="center"/>
    </xf>
    <xf numFmtId="164" fontId="9" fillId="0" borderId="0" xfId="0" applyNumberFormat="1" applyFont="1" applyAlignment="1">
      <alignment horizontal="center"/>
    </xf>
    <xf numFmtId="0" fontId="8" fillId="0" borderId="0" xfId="0" applyFont="1" applyAlignment="1">
      <alignment wrapText="1"/>
    </xf>
    <xf numFmtId="0" fontId="8" fillId="3" borderId="0" xfId="0" applyFont="1" applyFill="1" applyAlignment="1">
      <alignment horizontal="left"/>
    </xf>
    <xf numFmtId="0" fontId="8" fillId="3" borderId="0" xfId="0" applyFont="1" applyFill="1" applyAlignment="1">
      <alignment horizontal="center"/>
    </xf>
    <xf numFmtId="4" fontId="8" fillId="3" borderId="0" xfId="0" applyNumberFormat="1" applyFont="1" applyFill="1" applyAlignment="1">
      <alignment horizontal="center"/>
    </xf>
    <xf numFmtId="164" fontId="8" fillId="3" borderId="0" xfId="0" applyNumberFormat="1" applyFont="1" applyFill="1" applyAlignment="1">
      <alignment horizontal="center"/>
    </xf>
    <xf numFmtId="0" fontId="8" fillId="3" borderId="0" xfId="0" applyFont="1" applyFill="1" applyAlignment="1">
      <alignment wrapText="1"/>
    </xf>
    <xf numFmtId="0" fontId="8" fillId="2" borderId="0" xfId="0" applyFont="1" applyFill="1" applyAlignment="1">
      <alignment horizontal="left"/>
    </xf>
    <xf numFmtId="0" fontId="8" fillId="2" borderId="0" xfId="0" applyFont="1" applyFill="1"/>
    <xf numFmtId="0" fontId="8" fillId="2" borderId="0" xfId="0" applyFont="1" applyFill="1" applyAlignment="1">
      <alignment horizontal="left" wrapText="1"/>
    </xf>
    <xf numFmtId="0" fontId="8" fillId="2" borderId="0" xfId="0" applyFont="1" applyFill="1" applyAlignment="1">
      <alignment horizontal="center"/>
    </xf>
    <xf numFmtId="4" fontId="8" fillId="2" borderId="0" xfId="0" applyNumberFormat="1" applyFont="1" applyFill="1" applyAlignment="1">
      <alignment horizontal="center"/>
    </xf>
    <xf numFmtId="164" fontId="8" fillId="2" borderId="0" xfId="0" applyNumberFormat="1" applyFont="1" applyFill="1" applyAlignment="1">
      <alignment horizontal="center"/>
    </xf>
    <xf numFmtId="0" fontId="8" fillId="2" borderId="0" xfId="0" applyFont="1" applyFill="1" applyAlignment="1">
      <alignment wrapText="1"/>
    </xf>
    <xf numFmtId="0" fontId="0" fillId="2" borderId="0" xfId="0" applyFont="1" applyFill="1"/>
    <xf numFmtId="43" fontId="0" fillId="0" borderId="0" xfId="1" applyFont="1" applyAlignment="1">
      <alignment horizontal="center"/>
    </xf>
    <xf numFmtId="4" fontId="8" fillId="3" borderId="0" xfId="0" applyNumberFormat="1" applyFont="1" applyFill="1" applyAlignment="1">
      <alignment horizontal="right"/>
    </xf>
    <xf numFmtId="4" fontId="8" fillId="2" borderId="0" xfId="0" applyNumberFormat="1" applyFont="1" applyFill="1" applyAlignment="1">
      <alignment horizontal="right"/>
    </xf>
    <xf numFmtId="4" fontId="9" fillId="0" borderId="0" xfId="0" applyNumberFormat="1" applyFont="1"/>
    <xf numFmtId="0" fontId="3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left" vertical="top"/>
    </xf>
    <xf numFmtId="3" fontId="2" fillId="0" borderId="1" xfId="0" applyNumberFormat="1" applyFont="1" applyBorder="1" applyAlignment="1">
      <alignment horizontal="center" vertical="top"/>
    </xf>
    <xf numFmtId="0" fontId="2" fillId="0" borderId="1" xfId="0" applyFont="1" applyFill="1" applyBorder="1" applyAlignment="1">
      <alignment horizontal="left" vertical="top"/>
    </xf>
    <xf numFmtId="3" fontId="2" fillId="2" borderId="1" xfId="0" applyNumberFormat="1" applyFont="1" applyFill="1" applyBorder="1" applyAlignment="1">
      <alignment horizontal="center" vertical="top"/>
    </xf>
    <xf numFmtId="0" fontId="2" fillId="4" borderId="1" xfId="0" applyFont="1" applyFill="1" applyBorder="1" applyAlignment="1">
      <alignment horizontal="left" vertical="top"/>
    </xf>
    <xf numFmtId="0" fontId="0" fillId="0" borderId="0" xfId="0" applyAlignment="1"/>
    <xf numFmtId="3" fontId="4" fillId="0" borderId="1" xfId="0" applyNumberFormat="1" applyFont="1" applyBorder="1" applyAlignment="1">
      <alignment horizontal="center" vertical="top"/>
    </xf>
    <xf numFmtId="0" fontId="0" fillId="2" borderId="0" xfId="0" applyFill="1" applyAlignment="1">
      <alignment horizontal="left"/>
    </xf>
    <xf numFmtId="0" fontId="12" fillId="0" borderId="0" xfId="0" applyFont="1" applyAlignment="1">
      <alignment horizontal="center"/>
    </xf>
    <xf numFmtId="0" fontId="0" fillId="0" borderId="0" xfId="0" pivotButton="1"/>
    <xf numFmtId="0" fontId="3" fillId="0" borderId="1" xfId="0" applyFont="1" applyBorder="1" applyAlignment="1">
      <alignment horizontal="center" wrapText="1"/>
    </xf>
    <xf numFmtId="0" fontId="4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left"/>
    </xf>
    <xf numFmtId="4" fontId="2" fillId="0" borderId="1" xfId="0" applyNumberFormat="1" applyFont="1" applyBorder="1" applyAlignment="1">
      <alignment horizontal="right"/>
    </xf>
    <xf numFmtId="0" fontId="2" fillId="0" borderId="1" xfId="0" applyFont="1" applyBorder="1" applyAlignment="1">
      <alignment horizontal="center"/>
    </xf>
    <xf numFmtId="4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wrapText="1"/>
    </xf>
    <xf numFmtId="4" fontId="2" fillId="2" borderId="1" xfId="0" applyNumberFormat="1" applyFont="1" applyFill="1" applyBorder="1" applyAlignment="1">
      <alignment horizontal="right"/>
    </xf>
    <xf numFmtId="0" fontId="0" fillId="0" borderId="1" xfId="0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0" fillId="5" borderId="1" xfId="0" applyFill="1" applyBorder="1" applyAlignment="1">
      <alignment horizontal="right"/>
    </xf>
    <xf numFmtId="0" fontId="9" fillId="5" borderId="1" xfId="0" applyFont="1" applyFill="1" applyBorder="1"/>
    <xf numFmtId="0" fontId="0" fillId="0" borderId="1" xfId="0" applyNumberFormat="1" applyFill="1" applyBorder="1" applyAlignment="1">
      <alignment horizontal="right"/>
    </xf>
    <xf numFmtId="4" fontId="0" fillId="0" borderId="1" xfId="0" applyNumberFormat="1" applyFill="1" applyBorder="1" applyAlignment="1">
      <alignment horizontal="right"/>
    </xf>
    <xf numFmtId="0" fontId="9" fillId="0" borderId="1" xfId="0" applyFont="1" applyFill="1" applyBorder="1" applyAlignment="1">
      <alignment horizontal="center"/>
    </xf>
    <xf numFmtId="0" fontId="9" fillId="5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0" fontId="0" fillId="6" borderId="1" xfId="0" applyFill="1" applyBorder="1" applyAlignment="1">
      <alignment horizontal="right"/>
    </xf>
    <xf numFmtId="0" fontId="9" fillId="6" borderId="1" xfId="0" applyFont="1" applyFill="1" applyBorder="1"/>
    <xf numFmtId="0" fontId="2" fillId="0" borderId="0" xfId="0" applyFont="1" applyFill="1" applyBorder="1" applyAlignment="1">
      <alignment vertical="top"/>
    </xf>
    <xf numFmtId="0" fontId="2" fillId="0" borderId="0" xfId="0" applyFont="1" applyFill="1" applyBorder="1" applyAlignment="1">
      <alignment horizontal="center" vertical="top"/>
    </xf>
    <xf numFmtId="0" fontId="2" fillId="2" borderId="0" xfId="0" applyFont="1" applyFill="1" applyBorder="1" applyAlignment="1">
      <alignment vertical="top"/>
    </xf>
    <xf numFmtId="3" fontId="2" fillId="0" borderId="1" xfId="0" applyNumberFormat="1" applyFont="1" applyFill="1" applyBorder="1" applyAlignment="1">
      <alignment horizontal="center" vertical="top" wrapText="1"/>
    </xf>
    <xf numFmtId="3" fontId="2" fillId="0" borderId="1" xfId="0" quotePrefix="1" applyNumberFormat="1" applyFont="1" applyFill="1" applyBorder="1" applyAlignment="1">
      <alignment horizontal="center" vertical="top" wrapText="1"/>
    </xf>
    <xf numFmtId="0" fontId="2" fillId="0" borderId="0" xfId="0" applyFont="1" applyFill="1" applyAlignment="1">
      <alignment vertical="top"/>
    </xf>
    <xf numFmtId="0" fontId="2" fillId="0" borderId="1" xfId="0" applyFont="1" applyFill="1" applyBorder="1" applyAlignment="1">
      <alignment vertical="top" wrapText="1"/>
    </xf>
    <xf numFmtId="0" fontId="2" fillId="38" borderId="0" xfId="0" applyFont="1" applyFill="1" applyBorder="1" applyAlignment="1">
      <alignment vertical="top"/>
    </xf>
    <xf numFmtId="0" fontId="0" fillId="0" borderId="1" xfId="0" applyFont="1" applyBorder="1" applyAlignment="1">
      <alignment wrapText="1"/>
    </xf>
    <xf numFmtId="165" fontId="0" fillId="0" borderId="1" xfId="0" applyNumberFormat="1" applyFill="1" applyBorder="1" applyAlignment="1">
      <alignment horizontal="right"/>
    </xf>
    <xf numFmtId="10" fontId="9" fillId="0" borderId="0" xfId="43" applyNumberFormat="1" applyFont="1" applyAlignment="1">
      <alignment horizontal="center"/>
    </xf>
    <xf numFmtId="10" fontId="2" fillId="0" borderId="1" xfId="43" applyNumberFormat="1" applyFont="1" applyBorder="1" applyAlignment="1">
      <alignment horizontal="center"/>
    </xf>
    <xf numFmtId="4" fontId="0" fillId="0" borderId="13" xfId="0" applyNumberFormat="1" applyFill="1" applyBorder="1" applyAlignment="1">
      <alignment horizontal="right"/>
    </xf>
    <xf numFmtId="10" fontId="2" fillId="0" borderId="13" xfId="43" applyNumberFormat="1" applyFont="1" applyBorder="1" applyAlignment="1">
      <alignment horizontal="center"/>
    </xf>
    <xf numFmtId="4" fontId="0" fillId="0" borderId="14" xfId="0" applyNumberFormat="1" applyFill="1" applyBorder="1" applyAlignment="1">
      <alignment horizontal="right"/>
    </xf>
    <xf numFmtId="4" fontId="0" fillId="0" borderId="15" xfId="0" applyNumberFormat="1" applyFill="1" applyBorder="1" applyAlignment="1">
      <alignment horizontal="right"/>
    </xf>
    <xf numFmtId="10" fontId="2" fillId="0" borderId="15" xfId="43" applyNumberFormat="1" applyFont="1" applyBorder="1" applyAlignment="1">
      <alignment horizontal="center"/>
    </xf>
    <xf numFmtId="4" fontId="0" fillId="0" borderId="16" xfId="0" applyNumberFormat="1" applyFill="1" applyBorder="1" applyAlignment="1">
      <alignment horizontal="right"/>
    </xf>
    <xf numFmtId="10" fontId="2" fillId="0" borderId="16" xfId="43" applyNumberFormat="1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4" fontId="9" fillId="0" borderId="0" xfId="0" applyNumberFormat="1" applyFont="1" applyFill="1" applyBorder="1" applyAlignment="1">
      <alignment horizontal="center"/>
    </xf>
    <xf numFmtId="164" fontId="9" fillId="0" borderId="0" xfId="0" applyNumberFormat="1" applyFont="1" applyFill="1" applyBorder="1" applyAlignment="1">
      <alignment horizontal="center"/>
    </xf>
    <xf numFmtId="0" fontId="9" fillId="0" borderId="0" xfId="0" applyFont="1" applyFill="1" applyBorder="1" applyAlignment="1">
      <alignment wrapText="1"/>
    </xf>
    <xf numFmtId="0" fontId="9" fillId="0" borderId="0" xfId="0" applyFont="1" applyFill="1" applyBorder="1"/>
    <xf numFmtId="10" fontId="2" fillId="0" borderId="21" xfId="43" applyNumberFormat="1" applyFont="1" applyBorder="1" applyAlignment="1">
      <alignment horizontal="center"/>
    </xf>
    <xf numFmtId="4" fontId="0" fillId="0" borderId="21" xfId="0" applyNumberFormat="1" applyFill="1" applyBorder="1" applyAlignment="1">
      <alignment horizontal="right"/>
    </xf>
    <xf numFmtId="165" fontId="0" fillId="0" borderId="13" xfId="0" applyNumberFormat="1" applyFill="1" applyBorder="1" applyAlignment="1">
      <alignment horizontal="right"/>
    </xf>
    <xf numFmtId="165" fontId="0" fillId="0" borderId="15" xfId="0" applyNumberFormat="1" applyFill="1" applyBorder="1" applyAlignment="1">
      <alignment horizontal="right"/>
    </xf>
    <xf numFmtId="0" fontId="0" fillId="0" borderId="16" xfId="0" applyNumberFormat="1" applyFill="1" applyBorder="1" applyAlignment="1">
      <alignment horizontal="right"/>
    </xf>
    <xf numFmtId="0" fontId="0" fillId="0" borderId="15" xfId="0" applyNumberFormat="1" applyFill="1" applyBorder="1" applyAlignment="1">
      <alignment horizontal="right"/>
    </xf>
    <xf numFmtId="0" fontId="8" fillId="0" borderId="0" xfId="0" applyFont="1" applyFill="1" applyBorder="1" applyAlignment="1">
      <alignment wrapText="1"/>
    </xf>
    <xf numFmtId="4" fontId="8" fillId="0" borderId="0" xfId="0" applyNumberFormat="1" applyFont="1" applyFill="1" applyBorder="1" applyAlignment="1">
      <alignment horizontal="center"/>
    </xf>
    <xf numFmtId="164" fontId="8" fillId="0" borderId="0" xfId="0" applyNumberFormat="1" applyFont="1" applyFill="1" applyBorder="1" applyAlignment="1">
      <alignment horizontal="center"/>
    </xf>
    <xf numFmtId="0" fontId="8" fillId="0" borderId="0" xfId="0" applyFont="1" applyFill="1" applyBorder="1" applyAlignment="1">
      <alignment horizontal="left" wrapText="1"/>
    </xf>
    <xf numFmtId="0" fontId="9" fillId="0" borderId="24" xfId="0" applyFont="1" applyFill="1" applyBorder="1" applyAlignment="1">
      <alignment horizontal="center"/>
    </xf>
    <xf numFmtId="0" fontId="9" fillId="0" borderId="24" xfId="0" applyFont="1" applyFill="1" applyBorder="1"/>
    <xf numFmtId="0" fontId="0" fillId="0" borderId="13" xfId="0" applyFill="1" applyBorder="1" applyAlignment="1">
      <alignment horizontal="left"/>
    </xf>
    <xf numFmtId="0" fontId="0" fillId="0" borderId="15" xfId="0" applyFill="1" applyBorder="1" applyAlignment="1">
      <alignment horizontal="left"/>
    </xf>
    <xf numFmtId="0" fontId="0" fillId="0" borderId="21" xfId="0" applyFill="1" applyBorder="1" applyAlignment="1">
      <alignment horizontal="left"/>
    </xf>
    <xf numFmtId="4" fontId="0" fillId="0" borderId="21" xfId="0" applyNumberFormat="1" applyFill="1" applyBorder="1" applyAlignment="1">
      <alignment horizontal="left"/>
    </xf>
    <xf numFmtId="0" fontId="0" fillId="0" borderId="16" xfId="0" applyFill="1" applyBorder="1" applyAlignment="1">
      <alignment horizontal="left"/>
    </xf>
    <xf numFmtId="4" fontId="0" fillId="0" borderId="16" xfId="0" applyNumberFormat="1" applyFill="1" applyBorder="1" applyAlignment="1">
      <alignment horizontal="left"/>
    </xf>
    <xf numFmtId="0" fontId="0" fillId="5" borderId="16" xfId="0" applyFill="1" applyBorder="1" applyAlignment="1">
      <alignment horizontal="left"/>
    </xf>
    <xf numFmtId="0" fontId="2" fillId="0" borderId="13" xfId="0" applyFont="1" applyBorder="1" applyAlignment="1">
      <alignment horizontal="left"/>
    </xf>
    <xf numFmtId="4" fontId="2" fillId="0" borderId="13" xfId="0" applyNumberFormat="1" applyFont="1" applyBorder="1" applyAlignment="1">
      <alignment horizontal="right"/>
    </xf>
    <xf numFmtId="0" fontId="2" fillId="0" borderId="13" xfId="0" applyFont="1" applyBorder="1" applyAlignment="1">
      <alignment horizontal="center"/>
    </xf>
    <xf numFmtId="4" fontId="2" fillId="0" borderId="13" xfId="0" applyNumberFormat="1" applyFont="1" applyBorder="1" applyAlignment="1">
      <alignment horizontal="center"/>
    </xf>
    <xf numFmtId="0" fontId="2" fillId="0" borderId="15" xfId="0" applyFont="1" applyBorder="1" applyAlignment="1">
      <alignment horizontal="left"/>
    </xf>
    <xf numFmtId="0" fontId="2" fillId="0" borderId="15" xfId="0" applyFont="1" applyBorder="1" applyAlignment="1">
      <alignment horizontal="center"/>
    </xf>
    <xf numFmtId="4" fontId="2" fillId="0" borderId="15" xfId="0" applyNumberFormat="1" applyFont="1" applyBorder="1" applyAlignment="1">
      <alignment horizontal="center"/>
    </xf>
    <xf numFmtId="4" fontId="2" fillId="2" borderId="13" xfId="0" applyNumberFormat="1" applyFont="1" applyFill="1" applyBorder="1" applyAlignment="1">
      <alignment horizontal="right"/>
    </xf>
    <xf numFmtId="4" fontId="2" fillId="2" borderId="15" xfId="0" applyNumberFormat="1" applyFont="1" applyFill="1" applyBorder="1" applyAlignment="1">
      <alignment horizontal="right"/>
    </xf>
    <xf numFmtId="0" fontId="2" fillId="0" borderId="16" xfId="0" applyFont="1" applyBorder="1" applyAlignment="1">
      <alignment horizontal="left"/>
    </xf>
    <xf numFmtId="4" fontId="2" fillId="2" borderId="16" xfId="0" applyNumberFormat="1" applyFont="1" applyFill="1" applyBorder="1" applyAlignment="1">
      <alignment horizontal="right"/>
    </xf>
    <xf numFmtId="0" fontId="2" fillId="0" borderId="16" xfId="0" applyFont="1" applyBorder="1" applyAlignment="1">
      <alignment horizontal="center"/>
    </xf>
    <xf numFmtId="4" fontId="2" fillId="0" borderId="16" xfId="0" applyNumberFormat="1" applyFont="1" applyBorder="1" applyAlignment="1">
      <alignment horizontal="center"/>
    </xf>
    <xf numFmtId="0" fontId="2" fillId="0" borderId="13" xfId="0" applyFont="1" applyFill="1" applyBorder="1" applyAlignment="1">
      <alignment horizontal="center"/>
    </xf>
    <xf numFmtId="4" fontId="2" fillId="0" borderId="13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right"/>
    </xf>
    <xf numFmtId="0" fontId="9" fillId="0" borderId="13" xfId="0" applyFont="1" applyFill="1" applyBorder="1" applyAlignment="1">
      <alignment horizontal="center"/>
    </xf>
    <xf numFmtId="0" fontId="9" fillId="0" borderId="15" xfId="0" applyFont="1" applyFill="1" applyBorder="1" applyAlignment="1">
      <alignment horizontal="center"/>
    </xf>
    <xf numFmtId="4" fontId="9" fillId="0" borderId="15" xfId="0" applyNumberFormat="1" applyFont="1" applyFill="1" applyBorder="1" applyAlignment="1">
      <alignment horizontal="center"/>
    </xf>
    <xf numFmtId="10" fontId="2" fillId="0" borderId="15" xfId="43" applyNumberFormat="1" applyFont="1" applyFill="1" applyBorder="1" applyAlignment="1">
      <alignment horizontal="center"/>
    </xf>
    <xf numFmtId="10" fontId="2" fillId="0" borderId="1" xfId="43" applyNumberFormat="1" applyFont="1" applyFill="1" applyBorder="1" applyAlignment="1">
      <alignment horizontal="center"/>
    </xf>
    <xf numFmtId="4" fontId="9" fillId="0" borderId="1" xfId="0" applyNumberFormat="1" applyFont="1" applyFill="1" applyBorder="1" applyAlignment="1">
      <alignment horizontal="center"/>
    </xf>
    <xf numFmtId="10" fontId="2" fillId="0" borderId="13" xfId="43" applyNumberFormat="1" applyFont="1" applyFill="1" applyBorder="1" applyAlignment="1">
      <alignment horizontal="center"/>
    </xf>
    <xf numFmtId="4" fontId="9" fillId="0" borderId="13" xfId="0" applyNumberFormat="1" applyFont="1" applyFill="1" applyBorder="1" applyAlignment="1">
      <alignment horizontal="center"/>
    </xf>
    <xf numFmtId="0" fontId="9" fillId="0" borderId="16" xfId="0" applyFont="1" applyFill="1" applyBorder="1" applyAlignment="1">
      <alignment horizontal="center"/>
    </xf>
    <xf numFmtId="4" fontId="9" fillId="0" borderId="16" xfId="0" applyNumberFormat="1" applyFont="1" applyFill="1" applyBorder="1" applyAlignment="1">
      <alignment horizontal="center"/>
    </xf>
    <xf numFmtId="10" fontId="2" fillId="0" borderId="16" xfId="43" applyNumberFormat="1" applyFont="1" applyFill="1" applyBorder="1" applyAlignment="1">
      <alignment horizontal="center"/>
    </xf>
    <xf numFmtId="0" fontId="0" fillId="0" borderId="0" xfId="0" applyFill="1" applyBorder="1" applyAlignment="1">
      <alignment wrapText="1"/>
    </xf>
    <xf numFmtId="0" fontId="4" fillId="0" borderId="1" xfId="0" applyFont="1" applyFill="1" applyBorder="1" applyAlignment="1">
      <alignment horizontal="center" vertical="top" wrapText="1"/>
    </xf>
    <xf numFmtId="165" fontId="0" fillId="0" borderId="16" xfId="0" applyNumberFormat="1" applyFill="1" applyBorder="1" applyAlignment="1">
      <alignment horizontal="right"/>
    </xf>
    <xf numFmtId="165" fontId="0" fillId="0" borderId="21" xfId="0" applyNumberFormat="1" applyFill="1" applyBorder="1" applyAlignment="1">
      <alignment horizontal="right"/>
    </xf>
    <xf numFmtId="0" fontId="9" fillId="0" borderId="21" xfId="0" applyFont="1" applyFill="1" applyBorder="1" applyAlignment="1">
      <alignment horizontal="center"/>
    </xf>
    <xf numFmtId="4" fontId="9" fillId="0" borderId="21" xfId="0" applyNumberFormat="1" applyFont="1" applyFill="1" applyBorder="1" applyAlignment="1">
      <alignment horizontal="center"/>
    </xf>
    <xf numFmtId="10" fontId="2" fillId="0" borderId="21" xfId="43" applyNumberFormat="1" applyFont="1" applyFill="1" applyBorder="1" applyAlignment="1">
      <alignment horizontal="center"/>
    </xf>
    <xf numFmtId="1" fontId="4" fillId="0" borderId="1" xfId="0" applyNumberFormat="1" applyFont="1" applyFill="1" applyBorder="1" applyAlignment="1">
      <alignment horizontal="center" vertical="top" wrapText="1"/>
    </xf>
    <xf numFmtId="0" fontId="2" fillId="0" borderId="0" xfId="0" applyFont="1" applyFill="1" applyAlignment="1">
      <alignment vertical="top" wrapText="1"/>
    </xf>
    <xf numFmtId="0" fontId="2" fillId="0" borderId="0" xfId="0" applyFont="1" applyAlignment="1">
      <alignment vertical="top" wrapText="1"/>
    </xf>
    <xf numFmtId="6" fontId="2" fillId="0" borderId="1" xfId="0" applyNumberFormat="1" applyFont="1" applyFill="1" applyBorder="1" applyAlignment="1">
      <alignment horizontal="center" vertical="top" wrapText="1"/>
    </xf>
    <xf numFmtId="0" fontId="2" fillId="0" borderId="1" xfId="0" applyFont="1" applyFill="1" applyBorder="1" applyAlignment="1">
      <alignment horizontal="center" vertical="top" wrapText="1"/>
    </xf>
    <xf numFmtId="14" fontId="2" fillId="0" borderId="1" xfId="0" applyNumberFormat="1" applyFont="1" applyFill="1" applyBorder="1" applyAlignment="1">
      <alignment horizontal="center" vertical="top" wrapText="1"/>
    </xf>
    <xf numFmtId="1" fontId="2" fillId="0" borderId="1" xfId="0" applyNumberFormat="1" applyFont="1" applyFill="1" applyBorder="1" applyAlignment="1">
      <alignment horizontal="center" vertical="top" wrapText="1"/>
    </xf>
    <xf numFmtId="0" fontId="3" fillId="0" borderId="11" xfId="0" applyFont="1" applyFill="1" applyBorder="1" applyAlignment="1">
      <alignment horizontal="center" vertical="top"/>
    </xf>
    <xf numFmtId="0" fontId="3" fillId="0" borderId="1" xfId="0" applyFont="1" applyFill="1" applyBorder="1" applyAlignment="1">
      <alignment horizontal="center" vertical="top"/>
    </xf>
    <xf numFmtId="0" fontId="2" fillId="0" borderId="11" xfId="0" applyFont="1" applyFill="1" applyBorder="1" applyAlignment="1">
      <alignment horizontal="left" vertical="top"/>
    </xf>
    <xf numFmtId="3" fontId="2" fillId="0" borderId="1" xfId="0" applyNumberFormat="1" applyFont="1" applyFill="1" applyBorder="1" applyAlignment="1">
      <alignment horizontal="center" vertical="top"/>
    </xf>
    <xf numFmtId="0" fontId="0" fillId="0" borderId="0" xfId="0" applyFill="1" applyAlignment="1"/>
    <xf numFmtId="3" fontId="2" fillId="0" borderId="1" xfId="0" quotePrefix="1" applyNumberFormat="1" applyFont="1" applyFill="1" applyBorder="1" applyAlignment="1">
      <alignment horizontal="center" vertical="top"/>
    </xf>
    <xf numFmtId="0" fontId="9" fillId="0" borderId="16" xfId="0" applyFont="1" applyFill="1" applyBorder="1" applyAlignment="1"/>
    <xf numFmtId="0" fontId="0" fillId="0" borderId="16" xfId="0" applyFont="1" applyFill="1" applyBorder="1" applyAlignment="1"/>
    <xf numFmtId="0" fontId="9" fillId="0" borderId="13" xfId="0" applyFont="1" applyFill="1" applyBorder="1" applyAlignment="1"/>
    <xf numFmtId="0" fontId="0" fillId="0" borderId="13" xfId="0" applyFont="1" applyFill="1" applyBorder="1" applyAlignment="1"/>
    <xf numFmtId="0" fontId="9" fillId="0" borderId="1" xfId="0" applyFont="1" applyFill="1" applyBorder="1" applyAlignment="1"/>
    <xf numFmtId="0" fontId="0" fillId="0" borderId="1" xfId="0" applyFont="1" applyFill="1" applyBorder="1" applyAlignment="1"/>
    <xf numFmtId="0" fontId="9" fillId="0" borderId="15" xfId="0" applyFont="1" applyFill="1" applyBorder="1" applyAlignment="1"/>
    <xf numFmtId="0" fontId="0" fillId="0" borderId="15" xfId="0" applyFont="1" applyFill="1" applyBorder="1" applyAlignment="1"/>
    <xf numFmtId="0" fontId="9" fillId="0" borderId="21" xfId="0" applyFont="1" applyFill="1" applyBorder="1" applyAlignment="1"/>
    <xf numFmtId="0" fontId="0" fillId="0" borderId="21" xfId="0" applyFont="1" applyFill="1" applyBorder="1" applyAlignment="1"/>
    <xf numFmtId="166" fontId="2" fillId="0" borderId="1" xfId="0" applyNumberFormat="1" applyFont="1" applyBorder="1" applyAlignment="1">
      <alignment horizontal="left"/>
    </xf>
    <xf numFmtId="166" fontId="2" fillId="0" borderId="15" xfId="0" applyNumberFormat="1" applyFont="1" applyBorder="1" applyAlignment="1">
      <alignment horizontal="left"/>
    </xf>
    <xf numFmtId="166" fontId="2" fillId="0" borderId="13" xfId="0" applyNumberFormat="1" applyFont="1" applyBorder="1" applyAlignment="1">
      <alignment horizontal="left"/>
    </xf>
    <xf numFmtId="166" fontId="2" fillId="0" borderId="16" xfId="0" applyNumberFormat="1" applyFont="1" applyBorder="1" applyAlignment="1">
      <alignment horizontal="left"/>
    </xf>
    <xf numFmtId="166" fontId="0" fillId="0" borderId="16" xfId="0" applyNumberFormat="1" applyFill="1" applyBorder="1" applyAlignment="1">
      <alignment horizontal="left"/>
    </xf>
    <xf numFmtId="166" fontId="0" fillId="5" borderId="16" xfId="0" applyNumberFormat="1" applyFill="1" applyBorder="1" applyAlignment="1">
      <alignment horizontal="left"/>
    </xf>
    <xf numFmtId="166" fontId="0" fillId="0" borderId="21" xfId="0" applyNumberFormat="1" applyFill="1" applyBorder="1" applyAlignment="1">
      <alignment horizontal="left"/>
    </xf>
    <xf numFmtId="166" fontId="9" fillId="0" borderId="0" xfId="0" applyNumberFormat="1" applyFont="1"/>
    <xf numFmtId="4" fontId="2" fillId="0" borderId="1" xfId="0" applyNumberFormat="1" applyFont="1" applyFill="1" applyBorder="1" applyAlignment="1">
      <alignment horizontal="right"/>
    </xf>
    <xf numFmtId="4" fontId="2" fillId="0" borderId="13" xfId="0" applyNumberFormat="1" applyFont="1" applyFill="1" applyBorder="1" applyAlignment="1">
      <alignment horizontal="right"/>
    </xf>
    <xf numFmtId="4" fontId="2" fillId="0" borderId="15" xfId="0" applyNumberFormat="1" applyFont="1" applyFill="1" applyBorder="1" applyAlignment="1">
      <alignment horizontal="right"/>
    </xf>
    <xf numFmtId="0" fontId="2" fillId="0" borderId="1" xfId="0" applyFont="1" applyFill="1" applyBorder="1" applyAlignment="1">
      <alignment horizontal="left"/>
    </xf>
    <xf numFmtId="166" fontId="2" fillId="0" borderId="1" xfId="0" applyNumberFormat="1" applyFont="1" applyFill="1" applyBorder="1" applyAlignment="1">
      <alignment horizontal="left"/>
    </xf>
    <xf numFmtId="0" fontId="2" fillId="0" borderId="1" xfId="0" applyFont="1" applyFill="1" applyBorder="1" applyAlignment="1">
      <alignment horizontal="center"/>
    </xf>
    <xf numFmtId="4" fontId="2" fillId="0" borderId="1" xfId="0" applyNumberFormat="1" applyFont="1" applyFill="1" applyBorder="1" applyAlignment="1">
      <alignment horizontal="center"/>
    </xf>
    <xf numFmtId="0" fontId="0" fillId="0" borderId="14" xfId="0" applyFill="1" applyBorder="1" applyAlignment="1">
      <alignment horizontal="left"/>
    </xf>
    <xf numFmtId="0" fontId="9" fillId="0" borderId="14" xfId="0" applyFont="1" applyFill="1" applyBorder="1" applyAlignment="1">
      <alignment horizontal="center"/>
    </xf>
    <xf numFmtId="4" fontId="9" fillId="0" borderId="14" xfId="0" applyNumberFormat="1" applyFont="1" applyFill="1" applyBorder="1" applyAlignment="1">
      <alignment horizontal="center"/>
    </xf>
    <xf numFmtId="10" fontId="2" fillId="0" borderId="14" xfId="43" applyNumberFormat="1" applyFont="1" applyFill="1" applyBorder="1" applyAlignment="1">
      <alignment horizontal="center"/>
    </xf>
    <xf numFmtId="0" fontId="2" fillId="0" borderId="16" xfId="0" applyFont="1" applyFill="1" applyBorder="1" applyAlignment="1">
      <alignment horizontal="left"/>
    </xf>
    <xf numFmtId="166" fontId="2" fillId="0" borderId="16" xfId="0" applyNumberFormat="1" applyFont="1" applyFill="1" applyBorder="1" applyAlignment="1">
      <alignment horizontal="left"/>
    </xf>
    <xf numFmtId="4" fontId="2" fillId="0" borderId="16" xfId="0" applyNumberFormat="1" applyFont="1" applyFill="1" applyBorder="1" applyAlignment="1">
      <alignment horizontal="right"/>
    </xf>
    <xf numFmtId="0" fontId="2" fillId="0" borderId="16" xfId="0" applyFont="1" applyFill="1" applyBorder="1" applyAlignment="1">
      <alignment horizontal="center"/>
    </xf>
    <xf numFmtId="4" fontId="2" fillId="0" borderId="16" xfId="0" applyNumberFormat="1" applyFont="1" applyFill="1" applyBorder="1" applyAlignment="1">
      <alignment horizontal="center"/>
    </xf>
    <xf numFmtId="0" fontId="2" fillId="0" borderId="13" xfId="0" applyFont="1" applyFill="1" applyBorder="1" applyAlignment="1">
      <alignment horizontal="left"/>
    </xf>
    <xf numFmtId="166" fontId="2" fillId="0" borderId="13" xfId="0" applyNumberFormat="1" applyFont="1" applyFill="1" applyBorder="1" applyAlignment="1">
      <alignment horizontal="left"/>
    </xf>
    <xf numFmtId="0" fontId="2" fillId="0" borderId="15" xfId="0" applyFont="1" applyFill="1" applyBorder="1" applyAlignment="1">
      <alignment horizontal="left"/>
    </xf>
    <xf numFmtId="166" fontId="2" fillId="0" borderId="15" xfId="0" applyNumberFormat="1" applyFont="1" applyFill="1" applyBorder="1" applyAlignment="1">
      <alignment horizontal="left"/>
    </xf>
    <xf numFmtId="0" fontId="2" fillId="0" borderId="15" xfId="0" applyFont="1" applyFill="1" applyBorder="1" applyAlignment="1">
      <alignment horizontal="center"/>
    </xf>
    <xf numFmtId="4" fontId="2" fillId="0" borderId="15" xfId="0" applyNumberFormat="1" applyFont="1" applyFill="1" applyBorder="1" applyAlignment="1">
      <alignment horizontal="center"/>
    </xf>
    <xf numFmtId="0" fontId="9" fillId="0" borderId="20" xfId="0" applyFont="1" applyFill="1" applyBorder="1" applyAlignment="1"/>
    <xf numFmtId="0" fontId="9" fillId="0" borderId="24" xfId="0" applyFont="1" applyFill="1" applyBorder="1" applyAlignment="1"/>
    <xf numFmtId="0" fontId="9" fillId="0" borderId="0" xfId="0" applyFont="1" applyFill="1" applyBorder="1" applyAlignment="1"/>
    <xf numFmtId="0" fontId="9" fillId="0" borderId="23" xfId="0" applyFont="1" applyFill="1" applyBorder="1" applyAlignment="1"/>
    <xf numFmtId="0" fontId="9" fillId="0" borderId="17" xfId="0" applyFont="1" applyFill="1" applyBorder="1" applyAlignment="1"/>
    <xf numFmtId="0" fontId="9" fillId="0" borderId="19" xfId="0" applyFont="1" applyFill="1" applyBorder="1" applyAlignment="1"/>
    <xf numFmtId="0" fontId="9" fillId="2" borderId="24" xfId="0" applyFont="1" applyFill="1" applyBorder="1" applyAlignment="1"/>
    <xf numFmtId="0" fontId="9" fillId="2" borderId="0" xfId="0" applyFont="1" applyFill="1" applyBorder="1" applyAlignment="1"/>
    <xf numFmtId="0" fontId="9" fillId="0" borderId="22" xfId="0" applyFont="1" applyFill="1" applyBorder="1" applyAlignment="1"/>
    <xf numFmtId="0" fontId="9" fillId="0" borderId="14" xfId="0" applyFont="1" applyFill="1" applyBorder="1" applyAlignment="1"/>
    <xf numFmtId="0" fontId="0" fillId="0" borderId="14" xfId="0" applyFont="1" applyFill="1" applyBorder="1" applyAlignment="1"/>
    <xf numFmtId="0" fontId="9" fillId="0" borderId="18" xfId="0" applyFont="1" applyFill="1" applyBorder="1" applyAlignment="1"/>
    <xf numFmtId="0" fontId="2" fillId="0" borderId="16" xfId="0" applyFont="1" applyFill="1" applyBorder="1" applyAlignment="1"/>
    <xf numFmtId="0" fontId="2" fillId="0" borderId="20" xfId="0" applyFont="1" applyFill="1" applyBorder="1" applyAlignment="1"/>
    <xf numFmtId="0" fontId="2" fillId="0" borderId="13" xfId="0" applyFont="1" applyFill="1" applyBorder="1" applyAlignment="1"/>
    <xf numFmtId="0" fontId="2" fillId="0" borderId="23" xfId="0" applyFont="1" applyFill="1" applyBorder="1" applyAlignment="1"/>
    <xf numFmtId="0" fontId="2" fillId="0" borderId="1" xfId="0" applyFont="1" applyFill="1" applyBorder="1" applyAlignment="1"/>
    <xf numFmtId="0" fontId="2" fillId="0" borderId="17" xfId="0" applyFont="1" applyFill="1" applyBorder="1" applyAlignment="1"/>
    <xf numFmtId="0" fontId="2" fillId="0" borderId="15" xfId="0" applyFont="1" applyFill="1" applyBorder="1" applyAlignment="1"/>
    <xf numFmtId="0" fontId="2" fillId="0" borderId="19" xfId="0" applyFont="1" applyFill="1" applyBorder="1" applyAlignment="1"/>
    <xf numFmtId="0" fontId="2" fillId="0" borderId="13" xfId="0" applyFont="1" applyBorder="1" applyAlignment="1"/>
    <xf numFmtId="0" fontId="2" fillId="0" borderId="23" xfId="0" applyFont="1" applyBorder="1" applyAlignment="1"/>
    <xf numFmtId="0" fontId="2" fillId="0" borderId="15" xfId="0" applyFont="1" applyBorder="1" applyAlignment="1"/>
    <xf numFmtId="0" fontId="2" fillId="0" borderId="19" xfId="0" applyFont="1" applyBorder="1" applyAlignment="1"/>
    <xf numFmtId="0" fontId="2" fillId="0" borderId="16" xfId="0" applyFont="1" applyBorder="1" applyAlignment="1"/>
    <xf numFmtId="0" fontId="2" fillId="0" borderId="20" xfId="0" applyFont="1" applyBorder="1" applyAlignment="1"/>
    <xf numFmtId="6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  <xf numFmtId="0" fontId="5" fillId="0" borderId="1" xfId="0" applyFont="1" applyFill="1" applyBorder="1" applyAlignment="1">
      <alignment horizontal="center" vertical="top" wrapText="1"/>
    </xf>
    <xf numFmtId="6" fontId="5" fillId="0" borderId="1" xfId="0" applyNumberFormat="1" applyFont="1" applyBorder="1" applyAlignment="1">
      <alignment horizontal="center" vertical="top" wrapText="1"/>
    </xf>
    <xf numFmtId="0" fontId="2" fillId="39" borderId="13" xfId="0" applyFont="1" applyFill="1" applyBorder="1" applyAlignment="1">
      <alignment horizontal="left"/>
    </xf>
    <xf numFmtId="166" fontId="2" fillId="39" borderId="13" xfId="0" applyNumberFormat="1" applyFont="1" applyFill="1" applyBorder="1" applyAlignment="1">
      <alignment horizontal="left"/>
    </xf>
    <xf numFmtId="4" fontId="2" fillId="39" borderId="13" xfId="0" applyNumberFormat="1" applyFont="1" applyFill="1" applyBorder="1" applyAlignment="1">
      <alignment horizontal="right"/>
    </xf>
    <xf numFmtId="0" fontId="2" fillId="39" borderId="13" xfId="0" applyFont="1" applyFill="1" applyBorder="1" applyAlignment="1">
      <alignment horizontal="center"/>
    </xf>
    <xf numFmtId="4" fontId="2" fillId="39" borderId="13" xfId="0" applyNumberFormat="1" applyFont="1" applyFill="1" applyBorder="1" applyAlignment="1">
      <alignment horizontal="center"/>
    </xf>
    <xf numFmtId="10" fontId="2" fillId="39" borderId="13" xfId="43" applyNumberFormat="1" applyFont="1" applyFill="1" applyBorder="1" applyAlignment="1">
      <alignment horizontal="center"/>
    </xf>
    <xf numFmtId="0" fontId="2" fillId="39" borderId="1" xfId="0" applyFont="1" applyFill="1" applyBorder="1" applyAlignment="1">
      <alignment horizontal="left"/>
    </xf>
    <xf numFmtId="166" fontId="2" fillId="39" borderId="1" xfId="0" applyNumberFormat="1" applyFont="1" applyFill="1" applyBorder="1" applyAlignment="1">
      <alignment horizontal="left"/>
    </xf>
    <xf numFmtId="4" fontId="2" fillId="39" borderId="1" xfId="0" applyNumberFormat="1" applyFont="1" applyFill="1" applyBorder="1" applyAlignment="1">
      <alignment horizontal="right"/>
    </xf>
    <xf numFmtId="0" fontId="2" fillId="39" borderId="1" xfId="0" applyFont="1" applyFill="1" applyBorder="1" applyAlignment="1">
      <alignment horizontal="center"/>
    </xf>
    <xf numFmtId="4" fontId="2" fillId="39" borderId="1" xfId="0" applyNumberFormat="1" applyFont="1" applyFill="1" applyBorder="1" applyAlignment="1">
      <alignment horizontal="center"/>
    </xf>
    <xf numFmtId="10" fontId="2" fillId="39" borderId="1" xfId="43" applyNumberFormat="1" applyFont="1" applyFill="1" applyBorder="1" applyAlignment="1">
      <alignment horizontal="center"/>
    </xf>
    <xf numFmtId="0" fontId="2" fillId="39" borderId="15" xfId="0" applyFont="1" applyFill="1" applyBorder="1" applyAlignment="1">
      <alignment horizontal="left"/>
    </xf>
    <xf numFmtId="166" fontId="2" fillId="39" borderId="15" xfId="0" applyNumberFormat="1" applyFont="1" applyFill="1" applyBorder="1" applyAlignment="1">
      <alignment horizontal="left"/>
    </xf>
    <xf numFmtId="4" fontId="2" fillId="39" borderId="15" xfId="0" applyNumberFormat="1" applyFont="1" applyFill="1" applyBorder="1" applyAlignment="1">
      <alignment horizontal="right"/>
    </xf>
    <xf numFmtId="0" fontId="2" fillId="39" borderId="15" xfId="0" applyFont="1" applyFill="1" applyBorder="1" applyAlignment="1">
      <alignment horizontal="center"/>
    </xf>
    <xf numFmtId="4" fontId="2" fillId="39" borderId="15" xfId="0" applyNumberFormat="1" applyFont="1" applyFill="1" applyBorder="1" applyAlignment="1">
      <alignment horizontal="center"/>
    </xf>
    <xf numFmtId="10" fontId="2" fillId="39" borderId="15" xfId="43" applyNumberFormat="1" applyFont="1" applyFill="1" applyBorder="1" applyAlignment="1">
      <alignment horizontal="center"/>
    </xf>
    <xf numFmtId="0" fontId="2" fillId="39" borderId="13" xfId="0" applyFont="1" applyFill="1" applyBorder="1" applyAlignment="1"/>
    <xf numFmtId="0" fontId="2" fillId="39" borderId="23" xfId="0" applyFont="1" applyFill="1" applyBorder="1" applyAlignment="1"/>
    <xf numFmtId="0" fontId="9" fillId="39" borderId="24" xfId="0" applyFont="1" applyFill="1" applyBorder="1" applyAlignment="1"/>
    <xf numFmtId="0" fontId="9" fillId="39" borderId="0" xfId="0" applyFont="1" applyFill="1" applyBorder="1" applyAlignment="1"/>
    <xf numFmtId="0" fontId="2" fillId="39" borderId="1" xfId="0" applyFont="1" applyFill="1" applyBorder="1" applyAlignment="1"/>
    <xf numFmtId="0" fontId="2" fillId="39" borderId="17" xfId="0" applyFont="1" applyFill="1" applyBorder="1" applyAlignment="1"/>
    <xf numFmtId="0" fontId="2" fillId="39" borderId="15" xfId="0" applyFont="1" applyFill="1" applyBorder="1" applyAlignment="1"/>
    <xf numFmtId="0" fontId="2" fillId="39" borderId="19" xfId="0" applyFont="1" applyFill="1" applyBorder="1" applyAlignment="1"/>
    <xf numFmtId="0" fontId="2" fillId="0" borderId="1" xfId="0" applyFont="1" applyBorder="1" applyAlignment="1"/>
    <xf numFmtId="0" fontId="2" fillId="0" borderId="17" xfId="0" applyFont="1" applyBorder="1" applyAlignment="1"/>
    <xf numFmtId="0" fontId="0" fillId="0" borderId="0" xfId="0" applyFont="1" applyFill="1" applyBorder="1" applyAlignment="1"/>
    <xf numFmtId="0" fontId="2" fillId="0" borderId="1" xfId="0" applyFont="1" applyBorder="1" applyAlignment="1">
      <alignment vertical="top"/>
    </xf>
    <xf numFmtId="14" fontId="2" fillId="0" borderId="1" xfId="0" applyNumberFormat="1" applyFont="1" applyBorder="1" applyAlignment="1">
      <alignment horizontal="center" vertical="top"/>
    </xf>
    <xf numFmtId="0" fontId="2" fillId="0" borderId="22" xfId="0" applyFont="1" applyFill="1" applyBorder="1" applyAlignment="1"/>
    <xf numFmtId="0" fontId="2" fillId="0" borderId="12" xfId="0" applyFont="1" applyFill="1" applyBorder="1" applyAlignment="1">
      <alignment horizontal="left" vertical="top" wrapText="1"/>
    </xf>
    <xf numFmtId="6" fontId="2" fillId="0" borderId="12" xfId="0" applyNumberFormat="1" applyFont="1" applyFill="1" applyBorder="1" applyAlignment="1">
      <alignment horizontal="center" vertical="top" wrapText="1"/>
    </xf>
    <xf numFmtId="0" fontId="2" fillId="0" borderId="12" xfId="0" applyFont="1" applyFill="1" applyBorder="1" applyAlignment="1">
      <alignment horizontal="center" vertical="top" wrapText="1"/>
    </xf>
    <xf numFmtId="3" fontId="2" fillId="0" borderId="12" xfId="0" applyNumberFormat="1" applyFont="1" applyFill="1" applyBorder="1" applyAlignment="1">
      <alignment horizontal="center" vertical="top" wrapText="1"/>
    </xf>
    <xf numFmtId="1" fontId="2" fillId="0" borderId="1" xfId="0" applyNumberFormat="1" applyFont="1" applyBorder="1" applyAlignment="1">
      <alignment horizontal="center" vertical="top"/>
    </xf>
    <xf numFmtId="0" fontId="5" fillId="0" borderId="0" xfId="0" applyFont="1" applyAlignment="1">
      <alignment vertical="top" wrapText="1"/>
    </xf>
    <xf numFmtId="1" fontId="5" fillId="0" borderId="1" xfId="0" applyNumberFormat="1" applyFont="1" applyFill="1" applyBorder="1" applyAlignment="1">
      <alignment horizontal="center" vertical="top" wrapText="1"/>
    </xf>
    <xf numFmtId="3" fontId="5" fillId="0" borderId="1" xfId="0" applyNumberFormat="1" applyFont="1" applyFill="1" applyBorder="1" applyAlignment="1">
      <alignment horizontal="center" vertical="top" wrapText="1"/>
    </xf>
    <xf numFmtId="0" fontId="5" fillId="0" borderId="0" xfId="0" applyFont="1" applyFill="1" applyAlignment="1">
      <alignment vertical="top"/>
    </xf>
    <xf numFmtId="0" fontId="5" fillId="0" borderId="1" xfId="0" applyFont="1" applyFill="1" applyBorder="1" applyAlignment="1">
      <alignment horizontal="left" vertical="top" wrapText="1"/>
    </xf>
    <xf numFmtId="0" fontId="3" fillId="0" borderId="1" xfId="0" applyFont="1" applyFill="1" applyBorder="1" applyAlignment="1">
      <alignment horizontal="center" wrapText="1"/>
    </xf>
    <xf numFmtId="0" fontId="9" fillId="0" borderId="0" xfId="0" applyFont="1" applyFill="1" applyAlignment="1">
      <alignment wrapText="1"/>
    </xf>
    <xf numFmtId="0" fontId="2" fillId="0" borderId="26" xfId="0" applyFont="1" applyFill="1" applyBorder="1" applyAlignment="1">
      <alignment horizontal="left" vertical="top" wrapText="1"/>
    </xf>
    <xf numFmtId="0" fontId="6" fillId="0" borderId="0" xfId="0" applyFont="1"/>
    <xf numFmtId="0" fontId="29" fillId="40" borderId="1" xfId="0" applyFont="1" applyFill="1" applyBorder="1" applyAlignment="1">
      <alignment horizontal="center" vertical="top" wrapText="1"/>
    </xf>
    <xf numFmtId="4" fontId="29" fillId="40" borderId="17" xfId="0" applyNumberFormat="1" applyFont="1" applyFill="1" applyBorder="1" applyAlignment="1">
      <alignment horizontal="right" vertical="top" wrapText="1"/>
    </xf>
    <xf numFmtId="0" fontId="28" fillId="0" borderId="0" xfId="0" applyFont="1" applyBorder="1" applyAlignment="1">
      <alignment horizontal="center"/>
    </xf>
    <xf numFmtId="0" fontId="6" fillId="0" borderId="1" xfId="0" applyFont="1" applyFill="1" applyBorder="1" applyAlignment="1">
      <alignment vertical="top" wrapText="1"/>
    </xf>
    <xf numFmtId="167" fontId="6" fillId="0" borderId="1" xfId="0" applyNumberFormat="1" applyFont="1" applyBorder="1" applyAlignment="1">
      <alignment horizontal="right" vertical="top" wrapText="1"/>
    </xf>
    <xf numFmtId="0" fontId="6" fillId="0" borderId="1" xfId="0" applyFont="1" applyBorder="1" applyAlignment="1">
      <alignment vertical="top" wrapText="1"/>
    </xf>
    <xf numFmtId="165" fontId="6" fillId="0" borderId="1" xfId="0" applyNumberFormat="1" applyFont="1" applyBorder="1" applyAlignment="1">
      <alignment horizontal="right" vertical="top" wrapText="1"/>
    </xf>
    <xf numFmtId="0" fontId="28" fillId="0" borderId="1" xfId="0" applyFont="1" applyBorder="1" applyAlignment="1">
      <alignment horizontal="center"/>
    </xf>
    <xf numFmtId="0" fontId="6" fillId="0" borderId="0" xfId="0" applyFont="1" applyBorder="1"/>
    <xf numFmtId="0" fontId="6" fillId="0" borderId="1" xfId="0" applyFont="1" applyBorder="1" applyAlignment="1">
      <alignment horizontal="right" vertical="top" wrapText="1"/>
    </xf>
    <xf numFmtId="0" fontId="6" fillId="0" borderId="1" xfId="0" applyFont="1" applyBorder="1"/>
    <xf numFmtId="10" fontId="6" fillId="0" borderId="1" xfId="43" applyNumberFormat="1" applyFont="1" applyBorder="1"/>
    <xf numFmtId="0" fontId="6" fillId="41" borderId="1" xfId="0" applyFont="1" applyFill="1" applyBorder="1" applyAlignment="1">
      <alignment vertical="top" wrapText="1"/>
    </xf>
    <xf numFmtId="0" fontId="6" fillId="41" borderId="1" xfId="0" applyFont="1" applyFill="1" applyBorder="1" applyAlignment="1">
      <alignment horizontal="right" vertical="top" wrapText="1"/>
    </xf>
    <xf numFmtId="165" fontId="6" fillId="41" borderId="1" xfId="0" applyNumberFormat="1" applyFont="1" applyFill="1" applyBorder="1" applyAlignment="1">
      <alignment horizontal="right" vertical="top" wrapText="1"/>
    </xf>
    <xf numFmtId="167" fontId="6" fillId="0" borderId="1" xfId="0" applyNumberFormat="1" applyFont="1" applyFill="1" applyBorder="1" applyAlignment="1">
      <alignment horizontal="right" vertical="top" wrapText="1"/>
    </xf>
    <xf numFmtId="0" fontId="6" fillId="2" borderId="1" xfId="0" applyFont="1" applyFill="1" applyBorder="1" applyAlignment="1">
      <alignment vertical="top" wrapText="1"/>
    </xf>
    <xf numFmtId="167" fontId="6" fillId="0" borderId="1" xfId="44" applyNumberFormat="1" applyFont="1" applyBorder="1" applyAlignment="1">
      <alignment horizontal="right" vertical="top" wrapText="1"/>
    </xf>
    <xf numFmtId="0" fontId="6" fillId="0" borderId="0" xfId="0" applyFont="1" applyAlignment="1">
      <alignment wrapText="1"/>
    </xf>
    <xf numFmtId="167" fontId="6" fillId="0" borderId="1" xfId="44" applyNumberFormat="1" applyFont="1" applyFill="1" applyBorder="1" applyAlignment="1">
      <alignment horizontal="right" vertical="top" wrapText="1"/>
    </xf>
    <xf numFmtId="44" fontId="6" fillId="0" borderId="1" xfId="44" applyFont="1" applyFill="1" applyBorder="1" applyAlignment="1">
      <alignment horizontal="right" vertical="top" wrapText="1"/>
    </xf>
    <xf numFmtId="0" fontId="6" fillId="0" borderId="1" xfId="0" applyFont="1" applyFill="1" applyBorder="1" applyAlignment="1">
      <alignment horizontal="right" vertical="top" wrapText="1"/>
    </xf>
    <xf numFmtId="0" fontId="6" fillId="42" borderId="1" xfId="0" applyFont="1" applyFill="1" applyBorder="1" applyAlignment="1">
      <alignment horizontal="right" vertical="top" wrapText="1"/>
    </xf>
    <xf numFmtId="167" fontId="6" fillId="42" borderId="1" xfId="44" applyNumberFormat="1" applyFont="1" applyFill="1" applyBorder="1" applyAlignment="1">
      <alignment horizontal="right" vertical="top" wrapText="1"/>
    </xf>
    <xf numFmtId="0" fontId="6" fillId="0" borderId="0" xfId="0" applyFont="1" applyAlignment="1">
      <alignment horizontal="right" vertical="top" wrapText="1"/>
    </xf>
    <xf numFmtId="165" fontId="6" fillId="0" borderId="1" xfId="0" applyNumberFormat="1" applyFont="1" applyFill="1" applyBorder="1" applyAlignment="1">
      <alignment horizontal="right" vertical="top" wrapText="1"/>
    </xf>
    <xf numFmtId="4" fontId="6" fillId="0" borderId="0" xfId="0" applyNumberFormat="1" applyFont="1" applyAlignment="1">
      <alignment horizontal="right"/>
    </xf>
    <xf numFmtId="0" fontId="2" fillId="0" borderId="25" xfId="0" applyFont="1" applyFill="1" applyBorder="1" applyAlignment="1">
      <alignment vertical="top" wrapText="1"/>
    </xf>
    <xf numFmtId="0" fontId="2" fillId="0" borderId="0" xfId="0" applyFont="1" applyFill="1" applyBorder="1" applyAlignment="1">
      <alignment horizontal="left" vertical="top" wrapText="1"/>
    </xf>
    <xf numFmtId="0" fontId="2" fillId="43" borderId="0" xfId="0" applyFont="1" applyFill="1" applyAlignment="1">
      <alignment vertical="top"/>
    </xf>
    <xf numFmtId="0" fontId="2" fillId="43" borderId="0" xfId="0" applyFont="1" applyFill="1" applyBorder="1" applyAlignment="1">
      <alignment vertical="top"/>
    </xf>
    <xf numFmtId="0" fontId="0" fillId="39" borderId="0" xfId="0" applyFont="1" applyFill="1" applyBorder="1" applyAlignment="1"/>
    <xf numFmtId="0" fontId="0" fillId="5" borderId="16" xfId="0" applyFont="1" applyFill="1" applyBorder="1" applyAlignment="1"/>
    <xf numFmtId="0" fontId="2" fillId="43" borderId="1" xfId="0" applyFont="1" applyFill="1" applyBorder="1" applyAlignment="1">
      <alignment horizontal="left" vertical="top"/>
    </xf>
    <xf numFmtId="6" fontId="2" fillId="43" borderId="1" xfId="0" applyNumberFormat="1" applyFont="1" applyFill="1" applyBorder="1" applyAlignment="1">
      <alignment horizontal="center" vertical="top"/>
    </xf>
    <xf numFmtId="1" fontId="2" fillId="43" borderId="1" xfId="0" applyNumberFormat="1" applyFont="1" applyFill="1" applyBorder="1" applyAlignment="1">
      <alignment horizontal="center" vertical="top"/>
    </xf>
    <xf numFmtId="0" fontId="2" fillId="43" borderId="1" xfId="0" applyFont="1" applyFill="1" applyBorder="1" applyAlignment="1">
      <alignment horizontal="center" vertical="top"/>
    </xf>
    <xf numFmtId="0" fontId="2" fillId="43" borderId="1" xfId="0" applyFont="1" applyFill="1" applyBorder="1" applyAlignment="1">
      <alignment vertical="top"/>
    </xf>
    <xf numFmtId="3" fontId="2" fillId="43" borderId="1" xfId="0" applyNumberFormat="1" applyFont="1" applyFill="1" applyBorder="1" applyAlignment="1">
      <alignment horizontal="center" vertical="top"/>
    </xf>
    <xf numFmtId="14" fontId="2" fillId="43" borderId="1" xfId="0" applyNumberFormat="1" applyFont="1" applyFill="1" applyBorder="1" applyAlignment="1">
      <alignment horizontal="center" vertical="top"/>
    </xf>
    <xf numFmtId="0" fontId="2" fillId="0" borderId="0" xfId="0" applyFont="1" applyBorder="1" applyAlignment="1">
      <alignment horizontal="left" vertical="top"/>
    </xf>
    <xf numFmtId="0" fontId="8" fillId="0" borderId="24" xfId="0" applyFont="1" applyFill="1" applyBorder="1" applyAlignment="1"/>
    <xf numFmtId="0" fontId="2" fillId="0" borderId="0" xfId="0" applyFont="1" applyFill="1" applyBorder="1" applyAlignment="1">
      <alignment vertical="top" wrapText="1"/>
    </xf>
    <xf numFmtId="0" fontId="28" fillId="0" borderId="1" xfId="0" applyFont="1" applyBorder="1" applyAlignment="1">
      <alignment horizontal="center" vertical="top"/>
    </xf>
    <xf numFmtId="168" fontId="6" fillId="0" borderId="1" xfId="0" applyNumberFormat="1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28" fillId="0" borderId="1" xfId="0" applyFont="1" applyBorder="1" applyAlignment="1">
      <alignment horizontal="left" vertical="top"/>
    </xf>
    <xf numFmtId="0" fontId="0" fillId="0" borderId="0" xfId="0" applyAlignment="1">
      <alignment horizontal="left" vertical="top"/>
    </xf>
    <xf numFmtId="0" fontId="6" fillId="0" borderId="0" xfId="0" applyFont="1" applyAlignment="1">
      <alignment horizontal="left" vertical="top"/>
    </xf>
    <xf numFmtId="168" fontId="6" fillId="0" borderId="1" xfId="0" applyNumberFormat="1" applyFont="1" applyFill="1" applyBorder="1" applyAlignment="1">
      <alignment horizontal="center" vertical="top"/>
    </xf>
    <xf numFmtId="0" fontId="6" fillId="0" borderId="0" xfId="0" applyFont="1" applyFill="1"/>
    <xf numFmtId="0" fontId="4" fillId="0" borderId="1" xfId="0" applyFont="1" applyFill="1" applyBorder="1" applyAlignment="1">
      <alignment horizontal="center" wrapText="1"/>
    </xf>
    <xf numFmtId="0" fontId="28" fillId="0" borderId="0" xfId="0" applyFont="1" applyBorder="1" applyAlignment="1">
      <alignment horizontal="center" vertical="top"/>
    </xf>
    <xf numFmtId="168" fontId="6" fillId="0" borderId="0" xfId="0" applyNumberFormat="1" applyFont="1" applyBorder="1" applyAlignment="1">
      <alignment horizontal="center" vertical="top"/>
    </xf>
    <xf numFmtId="168" fontId="6" fillId="0" borderId="0" xfId="0" applyNumberFormat="1" applyFont="1" applyFill="1" applyBorder="1" applyAlignment="1">
      <alignment horizontal="center" vertical="top"/>
    </xf>
    <xf numFmtId="10" fontId="6" fillId="0" borderId="0" xfId="43" applyNumberFormat="1" applyFont="1"/>
    <xf numFmtId="0" fontId="2" fillId="2" borderId="0" xfId="0" applyFont="1" applyFill="1" applyAlignment="1">
      <alignment vertical="top"/>
    </xf>
    <xf numFmtId="166" fontId="2" fillId="0" borderId="1" xfId="0" applyNumberFormat="1" applyFont="1" applyBorder="1" applyAlignment="1">
      <alignment horizontal="left" vertical="top"/>
    </xf>
    <xf numFmtId="4" fontId="2" fillId="0" borderId="1" xfId="0" applyNumberFormat="1" applyFont="1" applyFill="1" applyBorder="1" applyAlignment="1">
      <alignment horizontal="right" vertical="top"/>
    </xf>
    <xf numFmtId="4" fontId="2" fillId="0" borderId="1" xfId="0" applyNumberFormat="1" applyFont="1" applyBorder="1" applyAlignment="1">
      <alignment horizontal="center" vertical="top"/>
    </xf>
    <xf numFmtId="10" fontId="2" fillId="0" borderId="1" xfId="43" applyNumberFormat="1" applyFont="1" applyBorder="1" applyAlignment="1">
      <alignment horizontal="center" vertical="top"/>
    </xf>
    <xf numFmtId="166" fontId="2" fillId="0" borderId="1" xfId="0" applyNumberFormat="1" applyFont="1" applyFill="1" applyBorder="1" applyAlignment="1">
      <alignment horizontal="left" vertical="top"/>
    </xf>
    <xf numFmtId="4" fontId="2" fillId="0" borderId="1" xfId="0" applyNumberFormat="1" applyFont="1" applyFill="1" applyBorder="1" applyAlignment="1">
      <alignment horizontal="center" vertical="top"/>
    </xf>
    <xf numFmtId="4" fontId="2" fillId="0" borderId="1" xfId="0" applyNumberFormat="1" applyFont="1" applyBorder="1" applyAlignment="1">
      <alignment horizontal="right" vertical="top"/>
    </xf>
    <xf numFmtId="4" fontId="2" fillId="0" borderId="1" xfId="0" applyNumberFormat="1" applyFont="1" applyFill="1" applyBorder="1" applyAlignment="1">
      <alignment horizontal="right" vertical="top" wrapText="1"/>
    </xf>
    <xf numFmtId="4" fontId="2" fillId="0" borderId="1" xfId="1" applyNumberFormat="1" applyFont="1" applyFill="1" applyBorder="1" applyAlignment="1">
      <alignment horizontal="right" vertical="top"/>
    </xf>
    <xf numFmtId="4" fontId="5" fillId="0" borderId="1" xfId="0" applyNumberFormat="1" applyFont="1" applyFill="1" applyBorder="1" applyAlignment="1">
      <alignment horizontal="right" vertical="top"/>
    </xf>
    <xf numFmtId="4" fontId="5" fillId="0" borderId="1" xfId="0" applyNumberFormat="1" applyFont="1" applyFill="1" applyBorder="1" applyAlignment="1">
      <alignment vertical="top"/>
    </xf>
    <xf numFmtId="0" fontId="5" fillId="0" borderId="1" xfId="0" applyFont="1" applyFill="1" applyBorder="1" applyAlignment="1">
      <alignment vertical="top" wrapText="1"/>
    </xf>
    <xf numFmtId="0" fontId="2" fillId="0" borderId="13" xfId="0" applyFont="1" applyFill="1" applyBorder="1" applyAlignment="1">
      <alignment horizontal="left" vertical="top" wrapText="1"/>
    </xf>
    <xf numFmtId="0" fontId="5" fillId="0" borderId="1" xfId="0" applyFont="1" applyFill="1" applyBorder="1" applyAlignment="1">
      <alignment horizontal="left" vertical="top"/>
    </xf>
    <xf numFmtId="0" fontId="2" fillId="0" borderId="0" xfId="0" applyFont="1" applyFill="1" applyAlignment="1"/>
    <xf numFmtId="6" fontId="5" fillId="0" borderId="1" xfId="0" applyNumberFormat="1" applyFont="1" applyFill="1" applyBorder="1" applyAlignment="1">
      <alignment horizontal="center" vertical="top" wrapText="1"/>
    </xf>
    <xf numFmtId="14" fontId="5" fillId="0" borderId="1" xfId="0" applyNumberFormat="1" applyFont="1" applyFill="1" applyBorder="1" applyAlignment="1">
      <alignment horizontal="center" vertical="top" wrapText="1"/>
    </xf>
    <xf numFmtId="0" fontId="2" fillId="0" borderId="12" xfId="0" applyFont="1" applyFill="1" applyBorder="1" applyAlignment="1">
      <alignment vertical="top" wrapText="1"/>
    </xf>
    <xf numFmtId="0" fontId="5" fillId="0" borderId="0" xfId="0" applyFont="1" applyFill="1" applyBorder="1" applyAlignment="1">
      <alignment vertical="top"/>
    </xf>
    <xf numFmtId="0" fontId="0" fillId="0" borderId="0" xfId="0" applyFill="1" applyAlignment="1">
      <alignment horizontal="center" vertical="top"/>
    </xf>
    <xf numFmtId="0" fontId="2" fillId="0" borderId="17" xfId="0" applyFont="1" applyFill="1" applyBorder="1" applyAlignment="1">
      <alignment vertical="top" wrapText="1"/>
    </xf>
    <xf numFmtId="0" fontId="2" fillId="0" borderId="13" xfId="0" applyFont="1" applyFill="1" applyBorder="1" applyAlignment="1">
      <alignment horizontal="left" vertical="top"/>
    </xf>
    <xf numFmtId="166" fontId="2" fillId="0" borderId="13" xfId="0" applyNumberFormat="1" applyFont="1" applyFill="1" applyBorder="1" applyAlignment="1">
      <alignment horizontal="left" vertical="top"/>
    </xf>
    <xf numFmtId="4" fontId="2" fillId="0" borderId="13" xfId="0" applyNumberFormat="1" applyFont="1" applyFill="1" applyBorder="1" applyAlignment="1">
      <alignment horizontal="right" vertical="top"/>
    </xf>
    <xf numFmtId="0" fontId="2" fillId="0" borderId="13" xfId="0" applyFont="1" applyFill="1" applyBorder="1" applyAlignment="1">
      <alignment horizontal="center" vertical="top"/>
    </xf>
    <xf numFmtId="4" fontId="2" fillId="0" borderId="13" xfId="0" applyNumberFormat="1" applyFont="1" applyFill="1" applyBorder="1" applyAlignment="1">
      <alignment horizontal="center" vertical="top"/>
    </xf>
    <xf numFmtId="0" fontId="2" fillId="0" borderId="13" xfId="0" applyFont="1" applyFill="1" applyBorder="1" applyAlignment="1">
      <alignment vertical="top"/>
    </xf>
    <xf numFmtId="0" fontId="2" fillId="45" borderId="1" xfId="0" applyFont="1" applyFill="1" applyBorder="1" applyAlignment="1">
      <alignment horizontal="left" vertical="top"/>
    </xf>
    <xf numFmtId="1" fontId="6" fillId="0" borderId="1" xfId="0" applyNumberFormat="1" applyFont="1" applyFill="1" applyBorder="1" applyAlignment="1">
      <alignment horizontal="center" vertical="top"/>
    </xf>
    <xf numFmtId="0" fontId="2" fillId="39" borderId="0" xfId="0" applyFont="1" applyFill="1" applyAlignment="1">
      <alignment vertical="top"/>
    </xf>
    <xf numFmtId="0" fontId="2" fillId="2" borderId="1" xfId="0" applyFont="1" applyFill="1" applyBorder="1" applyAlignment="1">
      <alignment horizontal="left" vertical="top"/>
    </xf>
    <xf numFmtId="6" fontId="2" fillId="2" borderId="1" xfId="0" applyNumberFormat="1" applyFont="1" applyFill="1" applyBorder="1" applyAlignment="1">
      <alignment horizontal="center" vertical="top"/>
    </xf>
    <xf numFmtId="0" fontId="2" fillId="2" borderId="1" xfId="0" applyFont="1" applyFill="1" applyBorder="1" applyAlignment="1">
      <alignment vertical="top"/>
    </xf>
    <xf numFmtId="0" fontId="2" fillId="2" borderId="1" xfId="0" applyFont="1" applyFill="1" applyBorder="1" applyAlignment="1">
      <alignment horizontal="center" vertical="top"/>
    </xf>
    <xf numFmtId="14" fontId="2" fillId="2" borderId="1" xfId="0" applyNumberFormat="1" applyFont="1" applyFill="1" applyBorder="1" applyAlignment="1">
      <alignment horizontal="center" vertical="top"/>
    </xf>
    <xf numFmtId="0" fontId="2" fillId="0" borderId="17" xfId="0" applyFont="1" applyBorder="1" applyAlignment="1">
      <alignment vertical="top"/>
    </xf>
    <xf numFmtId="0" fontId="9" fillId="0" borderId="0" xfId="0" applyFont="1" applyAlignment="1"/>
    <xf numFmtId="0" fontId="2" fillId="39" borderId="0" xfId="0" applyFont="1" applyFill="1" applyBorder="1" applyAlignment="1">
      <alignment vertical="top"/>
    </xf>
    <xf numFmtId="0" fontId="4" fillId="0" borderId="17" xfId="0" applyFont="1" applyFill="1" applyBorder="1" applyAlignment="1">
      <alignment horizontal="center" wrapText="1"/>
    </xf>
    <xf numFmtId="0" fontId="2" fillId="0" borderId="17" xfId="0" applyFont="1" applyFill="1" applyBorder="1" applyAlignment="1">
      <alignment vertical="top"/>
    </xf>
    <xf numFmtId="166" fontId="2" fillId="0" borderId="1" xfId="0" applyNumberFormat="1" applyFont="1" applyFill="1" applyBorder="1" applyAlignment="1">
      <alignment horizontal="center" vertical="top" wrapText="1"/>
    </xf>
    <xf numFmtId="166" fontId="5" fillId="0" borderId="1" xfId="0" applyNumberFormat="1" applyFont="1" applyFill="1" applyBorder="1" applyAlignment="1">
      <alignment horizontal="center" vertical="top" wrapText="1"/>
    </xf>
    <xf numFmtId="166" fontId="2" fillId="0" borderId="1" xfId="0" applyNumberFormat="1" applyFont="1" applyBorder="1" applyAlignment="1">
      <alignment horizontal="center" vertical="top" wrapText="1"/>
    </xf>
    <xf numFmtId="166" fontId="5" fillId="0" borderId="1" xfId="0" applyNumberFormat="1" applyFont="1" applyBorder="1" applyAlignment="1">
      <alignment horizontal="center" vertical="top" wrapText="1"/>
    </xf>
    <xf numFmtId="166" fontId="2" fillId="0" borderId="12" xfId="0" applyNumberFormat="1" applyFont="1" applyFill="1" applyBorder="1" applyAlignment="1">
      <alignment horizontal="center" vertical="top" wrapText="1"/>
    </xf>
    <xf numFmtId="4" fontId="2" fillId="0" borderId="1" xfId="0" applyNumberFormat="1" applyFont="1" applyFill="1" applyBorder="1" applyAlignment="1">
      <alignment vertical="top" wrapText="1"/>
    </xf>
    <xf numFmtId="4" fontId="2" fillId="0" borderId="1" xfId="0" applyNumberFormat="1" applyFont="1" applyFill="1" applyBorder="1" applyAlignment="1">
      <alignment horizontal="center" vertical="top" wrapText="1"/>
    </xf>
    <xf numFmtId="4" fontId="2" fillId="0" borderId="1" xfId="0" applyNumberFormat="1" applyFont="1" applyBorder="1" applyAlignment="1">
      <alignment horizontal="center" vertical="top" wrapText="1"/>
    </xf>
    <xf numFmtId="4" fontId="5" fillId="0" borderId="1" xfId="0" applyNumberFormat="1" applyFont="1" applyFill="1" applyBorder="1" applyAlignment="1">
      <alignment horizontal="center" vertical="top" wrapText="1"/>
    </xf>
    <xf numFmtId="4" fontId="2" fillId="44" borderId="12" xfId="0" applyNumberFormat="1" applyFont="1" applyFill="1" applyBorder="1" applyAlignment="1">
      <alignment horizontal="center" vertical="top" wrapText="1"/>
    </xf>
    <xf numFmtId="4" fontId="2" fillId="0" borderId="0" xfId="0" applyNumberFormat="1" applyFont="1" applyBorder="1" applyAlignment="1">
      <alignment horizontal="center" vertical="top" wrapText="1"/>
    </xf>
    <xf numFmtId="10" fontId="2" fillId="0" borderId="1" xfId="0" applyNumberFormat="1" applyFont="1" applyFill="1" applyBorder="1" applyAlignment="1">
      <alignment horizontal="center" vertical="top" wrapText="1"/>
    </xf>
    <xf numFmtId="10" fontId="2" fillId="0" borderId="1" xfId="0" applyNumberFormat="1" applyFont="1" applyBorder="1" applyAlignment="1">
      <alignment horizontal="center" vertical="top" wrapText="1"/>
    </xf>
    <xf numFmtId="10" fontId="2" fillId="0" borderId="1" xfId="0" applyNumberFormat="1" applyFont="1" applyBorder="1" applyAlignment="1">
      <alignment horizontal="center" vertical="top"/>
    </xf>
    <xf numFmtId="10" fontId="2" fillId="0" borderId="1" xfId="0" applyNumberFormat="1" applyFont="1" applyFill="1" applyBorder="1" applyAlignment="1">
      <alignment horizontal="center" vertical="top"/>
    </xf>
    <xf numFmtId="10" fontId="5" fillId="0" borderId="1" xfId="0" applyNumberFormat="1" applyFont="1" applyFill="1" applyBorder="1" applyAlignment="1">
      <alignment horizontal="center" vertical="top" wrapText="1"/>
    </xf>
    <xf numFmtId="10" fontId="2" fillId="0" borderId="0" xfId="0" applyNumberFormat="1" applyFont="1" applyBorder="1" applyAlignment="1">
      <alignment horizontal="center" vertical="top" wrapText="1"/>
    </xf>
    <xf numFmtId="0" fontId="2" fillId="0" borderId="0" xfId="0" applyFont="1" applyBorder="1" applyAlignment="1">
      <alignment horizontal="left" vertical="top" wrapText="1"/>
    </xf>
    <xf numFmtId="4" fontId="2" fillId="0" borderId="12" xfId="0" applyNumberFormat="1" applyFont="1" applyFill="1" applyBorder="1" applyAlignment="1">
      <alignment vertical="top" wrapText="1"/>
    </xf>
    <xf numFmtId="10" fontId="2" fillId="0" borderId="1" xfId="43" applyNumberFormat="1" applyFont="1" applyFill="1" applyBorder="1" applyAlignment="1">
      <alignment horizontal="center" vertical="top"/>
    </xf>
    <xf numFmtId="0" fontId="0" fillId="0" borderId="0" xfId="0" applyFill="1"/>
    <xf numFmtId="0" fontId="0" fillId="0" borderId="1" xfId="0" applyBorder="1"/>
    <xf numFmtId="0" fontId="12" fillId="0" borderId="1" xfId="0" applyFont="1" applyBorder="1"/>
    <xf numFmtId="0" fontId="12" fillId="0" borderId="0" xfId="0" applyFont="1"/>
    <xf numFmtId="0" fontId="4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166" fontId="3" fillId="0" borderId="1" xfId="0" applyNumberFormat="1" applyFont="1" applyFill="1" applyBorder="1" applyAlignment="1">
      <alignment horizontal="center"/>
    </xf>
    <xf numFmtId="4" fontId="3" fillId="0" borderId="1" xfId="0" applyNumberFormat="1" applyFont="1" applyFill="1" applyBorder="1" applyAlignment="1">
      <alignment horizontal="center"/>
    </xf>
    <xf numFmtId="164" fontId="3" fillId="0" borderId="1" xfId="0" applyNumberFormat="1" applyFont="1" applyFill="1" applyBorder="1" applyAlignment="1">
      <alignment horizontal="center"/>
    </xf>
    <xf numFmtId="4" fontId="2" fillId="0" borderId="1" xfId="1" applyNumberFormat="1" applyFont="1" applyFill="1" applyBorder="1" applyAlignment="1">
      <alignment horizontal="center" vertical="top"/>
    </xf>
    <xf numFmtId="4" fontId="2" fillId="0" borderId="1" xfId="0" applyNumberFormat="1" applyFont="1" applyFill="1" applyBorder="1" applyAlignment="1">
      <alignment vertical="top"/>
    </xf>
    <xf numFmtId="0" fontId="28" fillId="0" borderId="17" xfId="0" applyFont="1" applyBorder="1" applyAlignment="1">
      <alignment horizontal="center" wrapText="1"/>
    </xf>
    <xf numFmtId="0" fontId="28" fillId="0" borderId="27" xfId="0" applyFont="1" applyBorder="1" applyAlignment="1">
      <alignment horizontal="center" wrapText="1"/>
    </xf>
    <xf numFmtId="0" fontId="28" fillId="0" borderId="11" xfId="0" applyFont="1" applyBorder="1" applyAlignment="1">
      <alignment horizontal="center" wrapText="1"/>
    </xf>
    <xf numFmtId="0" fontId="0" fillId="0" borderId="0" xfId="0" applyAlignment="1">
      <alignment horizontal="center"/>
    </xf>
  </cellXfs>
  <cellStyles count="45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Currency" xfId="44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3" builtinId="5"/>
    <cellStyle name="Title" xfId="2" builtinId="15" customBuiltin="1"/>
    <cellStyle name="Total" xfId="18" builtinId="25" customBuiltin="1"/>
    <cellStyle name="Warning Text" xfId="15" builtinId="11" customBuiltin="1"/>
  </cellStyles>
  <dxfs count="1427"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Verteris%20Data%20Pulls/2018.09.30%20-%20Updated%20Report/Copy%20of%20New_Actions_01-01-2016_11-29-201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Verteris%20Data%20Pulls/Verteris%20as%20of%202017.12.31/LeadCounselAppointments_1-1-2015_12-31-2017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Verteris%20Data%20Pulls/2018.09.30%20-%20Updated%20Report/LeadCounselAppointments_1-1-2018_9-30-20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"/>
      <sheetName val="VLOOKUP NO DUPS"/>
    </sheetNames>
    <sheetDataSet>
      <sheetData sheetId="0"/>
      <sheetData sheetId="1">
        <row r="1">
          <cell r="A1" t="str">
            <v>A10 Networks, Inc.</v>
          </cell>
          <cell r="B1" t="str">
            <v>03/22/2018</v>
          </cell>
          <cell r="C1" t="str">
            <v>The Rosen Law Firm, P.A.</v>
          </cell>
        </row>
        <row r="2">
          <cell r="A2" t="str">
            <v>Aaron's Inc.</v>
          </cell>
          <cell r="B2" t="str">
            <v>06/16/2017</v>
          </cell>
          <cell r="C2" t="str">
            <v>Bernstein Litowitz Berger &amp; Grossmann LLP; Caplan Cobb LLP</v>
          </cell>
        </row>
        <row r="3">
          <cell r="A3" t="str">
            <v>Ability, Inc.</v>
          </cell>
          <cell r="B3" t="str">
            <v>05/25/2016</v>
          </cell>
          <cell r="C3" t="str">
            <v>Glancy Prongay &amp; Murray, LLP; Robbins, Geller, Rudman &amp; Dowd, LLP</v>
          </cell>
        </row>
        <row r="4">
          <cell r="A4" t="str">
            <v>Acacia Communications, Inc.</v>
          </cell>
          <cell r="B4" t="str">
            <v>08/14/2017</v>
          </cell>
          <cell r="C4" t="str">
            <v>Abraham, Fruchter &amp; Twersky, LLP; Block &amp; Leviton LLP; Glancy Prongay &amp; Murray, LLP; Hutchings, Barsamian, Mandelcorn, LLP; Johnson Fistel, LLP; Law Office of Alan L. Kovacs; Pomerantz LLP; Robbins, Geller, Rudman &amp; Dowd, LLP; Shapiro Haber &amp; Urmy LLP</v>
          </cell>
        </row>
        <row r="5">
          <cell r="A5" t="str">
            <v>Aceto Corporation</v>
          </cell>
          <cell r="B5" t="str">
            <v>04/24/2018</v>
          </cell>
          <cell r="C5" t="str">
            <v>Levi &amp; Korsinsky, LLP</v>
          </cell>
        </row>
        <row r="6">
          <cell r="A6" t="str">
            <v>Acorda Therapeutics, Inc.</v>
          </cell>
          <cell r="B6" t="str">
            <v>11/17/2017</v>
          </cell>
          <cell r="C6" t="str">
            <v>Pomerantz LLP</v>
          </cell>
        </row>
        <row r="7">
          <cell r="A7" t="str">
            <v>Acuity Brands Inc.</v>
          </cell>
          <cell r="B7" t="str">
            <v>01/03/2018</v>
          </cell>
          <cell r="C7" t="str">
            <v>Rosenthal, Monhait &amp; Goddess, P.A.</v>
          </cell>
        </row>
        <row r="8">
          <cell r="A8" t="str">
            <v>Adeptus Health, Inc.</v>
          </cell>
          <cell r="B8" t="str">
            <v>10/27/2016</v>
          </cell>
          <cell r="C8" t="str">
            <v>Bronstein, Gewirtz &amp; Grossman, LLC; Pomerantz LLP; Robbins, Geller, Rudman &amp; Dowd, LLP; Saxena White P.A.; Shorty C. Barrett; The Briscoe Law Firm, PLLC; The Rosen Law Firm, P.A.; Ward, Smith &amp; Hill, PLLC</v>
          </cell>
        </row>
        <row r="9">
          <cell r="A9" t="str">
            <v>Adient plc</v>
          </cell>
          <cell r="B9" t="str">
            <v>10/04/2018</v>
          </cell>
          <cell r="C9" t="str">
            <v>Hagens Berman Sobol Shapiro LLP; Robbins, Geller, Rudman &amp; Dowd, LLP</v>
          </cell>
        </row>
        <row r="10">
          <cell r="A10" t="str">
            <v>ADT Inc.</v>
          </cell>
          <cell r="B10" t="str">
            <v>05/21/2018</v>
          </cell>
          <cell r="C10" t="str">
            <v>Hedin Hall LLP; Pomerantz LLP</v>
          </cell>
        </row>
        <row r="11">
          <cell r="A11" t="str">
            <v>Advance Auto Parts, Inc.</v>
          </cell>
          <cell r="B11" t="str">
            <v>02/06/2018</v>
          </cell>
          <cell r="C11" t="str">
            <v>The Rosen Law Firm, P.A.</v>
          </cell>
        </row>
        <row r="12">
          <cell r="A12" t="str">
            <v>Advanced Micro Devices, Inc.</v>
          </cell>
          <cell r="B12" t="str">
            <v>01/16/2018</v>
          </cell>
          <cell r="C12" t="str">
            <v>Bronstein, Gewirtz &amp; Grossman, LLC; Pomerantz LLP</v>
          </cell>
        </row>
        <row r="13">
          <cell r="A13" t="str">
            <v>AECOM</v>
          </cell>
          <cell r="B13" t="str">
            <v>09/01/2016</v>
          </cell>
          <cell r="C13" t="str">
            <v>Pomerantz LLP</v>
          </cell>
        </row>
        <row r="14">
          <cell r="A14" t="str">
            <v>Aegean Marine Petroleum Network Inc.</v>
          </cell>
          <cell r="B14" t="str">
            <v>06/05/2018</v>
          </cell>
          <cell r="C14" t="str">
            <v>Levi &amp; Korsinsky, LLP; Pomerantz LLP</v>
          </cell>
        </row>
        <row r="15">
          <cell r="A15" t="str">
            <v>Aerohive Networks, Inc.</v>
          </cell>
          <cell r="B15" t="str">
            <v>01/19/2018</v>
          </cell>
          <cell r="C15" t="str">
            <v>Bronstein, Gewirtz &amp; Grossman, LLC; Levi &amp; Korsinsky, LLP; Pomerantz LLP; The Rosen Law Firm, P.A.</v>
          </cell>
        </row>
        <row r="16">
          <cell r="A16" t="str">
            <v>Aerojet Rocketdyne Holdings, Inc.</v>
          </cell>
          <cell r="B16" t="str">
            <v>02/11/2016</v>
          </cell>
          <cell r="C16" t="str">
            <v>The Rosen Law Firm, P.A.</v>
          </cell>
        </row>
        <row r="17">
          <cell r="A17" t="str">
            <v>Aetna Inc.</v>
          </cell>
          <cell r="B17" t="str">
            <v>02/03/2017</v>
          </cell>
          <cell r="C17" t="str">
            <v>Levi &amp; Korsinsky, LLP</v>
          </cell>
        </row>
        <row r="18">
          <cell r="A18" t="str">
            <v>Aflac Incorporated</v>
          </cell>
          <cell r="B18" t="str">
            <v>02/09/2018</v>
          </cell>
          <cell r="C18" t="str">
            <v>Law Offices of David A. Bain, LLC; Levi &amp; Korsinsky, LLP</v>
          </cell>
        </row>
        <row r="19">
          <cell r="A19" t="str">
            <v>Agile Therapeutics Inc.</v>
          </cell>
          <cell r="B19" t="str">
            <v>01/06/2017</v>
          </cell>
          <cell r="C19" t="str">
            <v>Carella, Byrne, Cecchi, Olstein, Brody &amp; Agnello P.C.; Glancy Prongay &amp; Murray, LLP; Goldberg Law PC; Law Offices of Howard G. Smith; Lite Depalma Greenberg, LLC; Pomerantz LLP</v>
          </cell>
        </row>
        <row r="20">
          <cell r="A20" t="str">
            <v>Agria Corporation</v>
          </cell>
          <cell r="B20" t="str">
            <v>11/09/2016</v>
          </cell>
          <cell r="C20" t="str">
            <v>The Rosen Law Firm, P.A.</v>
          </cell>
        </row>
        <row r="21">
          <cell r="A21" t="str">
            <v>Aixtron SE</v>
          </cell>
          <cell r="B21" t="str">
            <v>01/04/2016</v>
          </cell>
          <cell r="C21" t="str">
            <v>Glancy Prongay &amp; Murray, LLP; Law Offices of Howard G. Smith</v>
          </cell>
        </row>
        <row r="22">
          <cell r="A22" t="str">
            <v>Akari Therapeutics, Plc</v>
          </cell>
          <cell r="B22" t="str">
            <v>05/12/2017</v>
          </cell>
          <cell r="C22" t="str">
            <v>Glancy Prongay &amp; Murray, LLP; Holzer &amp; Holzer, LLC; Pomerantz LLP</v>
          </cell>
        </row>
        <row r="23">
          <cell r="A23" t="str">
            <v>Akers Biosciences, Inc.</v>
          </cell>
          <cell r="B23" t="str">
            <v>06/13/2018</v>
          </cell>
          <cell r="C23" t="str">
            <v>Bronstein, Gewirtz &amp; Grossman, LLC; Lite Depalma Greenberg, LLC; Pomerantz LLP; The Rosen Law Firm, P.A.</v>
          </cell>
        </row>
        <row r="24">
          <cell r="A24" t="str">
            <v>Akorn, Inc.</v>
          </cell>
          <cell r="B24" t="str">
            <v>03/08/2018</v>
          </cell>
          <cell r="C24" t="str">
            <v>Heffner Hurst, LLP; The Rosen Law Firm, P.A.</v>
          </cell>
        </row>
        <row r="25">
          <cell r="A25" t="str">
            <v>Alcobra, Ltd.</v>
          </cell>
          <cell r="B25" t="str">
            <v>02/17/2017</v>
          </cell>
          <cell r="C25" t="str">
            <v>Lifshitz &amp; Miller</v>
          </cell>
        </row>
        <row r="26">
          <cell r="A26" t="str">
            <v>Alere Inc.</v>
          </cell>
          <cell r="B26" t="str">
            <v>04/21/2016</v>
          </cell>
          <cell r="C26" t="str">
            <v>Block &amp; Leviton LLP; Glancy Prongay &amp; Murray, LLP; Pomerantz LLP</v>
          </cell>
        </row>
        <row r="27">
          <cell r="A27" t="str">
            <v>Alexion Pharmaceuticals, Inc.</v>
          </cell>
          <cell r="B27" t="str">
            <v>11/17/2016</v>
          </cell>
          <cell r="C27" t="str">
            <v>Pomerantz LLP</v>
          </cell>
        </row>
        <row r="28">
          <cell r="A28" t="str">
            <v>Alkermes plc</v>
          </cell>
          <cell r="B28" t="str">
            <v>11/22/2017</v>
          </cell>
          <cell r="C28" t="str">
            <v>Bronstein, Gewirtz &amp; Grossman, LLC; Pomerantz LLP</v>
          </cell>
        </row>
        <row r="29">
          <cell r="A29" t="str">
            <v>Allegiant Travel Company</v>
          </cell>
          <cell r="B29" t="str">
            <v>04/24/2018</v>
          </cell>
          <cell r="C29" t="str">
            <v>The Rosen Law Firm, P.A.</v>
          </cell>
        </row>
        <row r="30">
          <cell r="A30" t="str">
            <v>Allergan, PLC</v>
          </cell>
          <cell r="B30" t="str">
            <v>12/22/2016</v>
          </cell>
          <cell r="C30">
            <v>0</v>
          </cell>
        </row>
        <row r="31">
          <cell r="A31" t="str">
            <v>Alliance MMA, Inc.</v>
          </cell>
          <cell r="B31" t="str">
            <v>04/17/2017</v>
          </cell>
          <cell r="C31" t="str">
            <v>The Rosen Law Firm, P.A.</v>
          </cell>
        </row>
        <row r="32">
          <cell r="A32" t="str">
            <v>Alnylam Pharmaceuticals, Inc.</v>
          </cell>
          <cell r="B32" t="str">
            <v>09/26/2018</v>
          </cell>
          <cell r="C32" t="str">
            <v>Pomerantz LLP</v>
          </cell>
        </row>
        <row r="33">
          <cell r="A33" t="str">
            <v>Alphabet, Inc.</v>
          </cell>
          <cell r="B33" t="str">
            <v>10/11/2018</v>
          </cell>
          <cell r="C33" t="str">
            <v>The Rosen Law Firm, P.A.</v>
          </cell>
        </row>
        <row r="34">
          <cell r="A34" t="str">
            <v>Amaya, Inc.</v>
          </cell>
          <cell r="B34" t="str">
            <v>03/25/2016</v>
          </cell>
          <cell r="C34" t="str">
            <v>Glancy Prongay &amp; Murray, LLP</v>
          </cell>
        </row>
        <row r="35">
          <cell r="A35" t="str">
            <v>Ambac Financial Group, Inc.</v>
          </cell>
          <cell r="B35" t="str">
            <v>06/28/2016</v>
          </cell>
          <cell r="C35" t="str">
            <v>Levi &amp; Korsinsky, LLP</v>
          </cell>
        </row>
        <row r="36">
          <cell r="A36" t="str">
            <v>AMC Entertainment Holdings, Inc.</v>
          </cell>
          <cell r="B36" t="str">
            <v>01/12/2018</v>
          </cell>
          <cell r="C36" t="str">
            <v>Bronstein, Gewirtz &amp; Grossman, LLC; Pomerantz LLP; Robbins, Geller, Rudman &amp; Dowd, LLP</v>
          </cell>
        </row>
        <row r="37">
          <cell r="A37" t="str">
            <v>American Renal Associates Holdings, Inc.</v>
          </cell>
          <cell r="B37" t="str">
            <v>08/31/2016</v>
          </cell>
          <cell r="C37" t="str">
            <v>Goldberg Law PC; Pomerantz LLP</v>
          </cell>
        </row>
        <row r="38">
          <cell r="A38" t="str">
            <v>Ampio Pharmaceuticals, Inc.</v>
          </cell>
          <cell r="B38" t="str">
            <v>08/25/2018</v>
          </cell>
          <cell r="C38" t="str">
            <v>The Rosen Law Firm, P.A.</v>
          </cell>
        </row>
        <row r="39">
          <cell r="A39" t="str">
            <v>AmTrust Financial Services, Inc.</v>
          </cell>
          <cell r="B39" t="str">
            <v>03/01/2017</v>
          </cell>
          <cell r="C39" t="str">
            <v>Block &amp; Leviton LLP; Bronstein, Gewirtz &amp; Grossman, LLC; Gainey McKenna &amp; Egleston; Gardy &amp; Notis, LLP; Pomerantz LLP; Roy Jacobs &amp; Associates; The Paskowitz Law Firm, P.C.</v>
          </cell>
        </row>
        <row r="40">
          <cell r="A40" t="str">
            <v>Amyris, Inc.</v>
          </cell>
          <cell r="B40" t="str">
            <v>04/20/2017</v>
          </cell>
          <cell r="C40" t="str">
            <v>The Rosen Law Firm, P.A.</v>
          </cell>
        </row>
        <row r="41">
          <cell r="A41" t="str">
            <v>Anadarko Petroleum Corporation</v>
          </cell>
          <cell r="B41" t="str">
            <v>05/03/2017</v>
          </cell>
          <cell r="C41" t="str">
            <v>Bronstein, Gewirtz &amp; Grossman, LLC; Pomerantz LLP; The Briscoe Law Firm, PLLC</v>
          </cell>
        </row>
        <row r="42">
          <cell r="A42" t="str">
            <v>Antares Pharma, Inc.</v>
          </cell>
          <cell r="B42" t="str">
            <v>10/23/2017</v>
          </cell>
          <cell r="C42" t="str">
            <v>Lite Depalma Greenberg, LLC; Pomerantz LLP</v>
          </cell>
        </row>
        <row r="43">
          <cell r="A43" t="str">
            <v>Anthera Pharmaceuticals, Inc.</v>
          </cell>
          <cell r="B43" t="str">
            <v>02/13/2017</v>
          </cell>
          <cell r="C43" t="str">
            <v>Levi &amp; Korsinsky, LLP</v>
          </cell>
        </row>
        <row r="44">
          <cell r="A44" t="str">
            <v>Apollo Education Group Incorporated</v>
          </cell>
          <cell r="B44" t="str">
            <v>03/14/2016</v>
          </cell>
          <cell r="C44" t="str">
            <v>Holzer &amp; Holzer, LLC; Robbins, Geller, Rudman &amp; Dowd, LLP; Zimmerman Reed, PLLP</v>
          </cell>
        </row>
        <row r="45">
          <cell r="A45" t="str">
            <v>Aqua Metals, Inc.</v>
          </cell>
          <cell r="B45" t="str">
            <v>12/15/2017</v>
          </cell>
          <cell r="C45" t="str">
            <v>Bronstein, Gewirtz &amp; Grossman, LLC; Glancy Prongay &amp; Murray, LLP; Levi &amp; Korsinsky, LLP; Pomerantz LLP</v>
          </cell>
        </row>
        <row r="46">
          <cell r="A46" t="str">
            <v>Aradigm Corporation</v>
          </cell>
          <cell r="B46" t="str">
            <v>01/11/2018</v>
          </cell>
          <cell r="C46" t="str">
            <v>Bronstein, Gewirtz &amp; Grossman, LLC; Pomerantz LLP</v>
          </cell>
        </row>
        <row r="47">
          <cell r="A47" t="str">
            <v>Aratana Therapeutics, Inc.</v>
          </cell>
          <cell r="B47" t="str">
            <v>02/06/2017</v>
          </cell>
          <cell r="C47" t="str">
            <v>Levi &amp; Korsinsky, LLP; Pomerantz LLP</v>
          </cell>
        </row>
        <row r="48">
          <cell r="A48" t="str">
            <v>Arconic, Inc.</v>
          </cell>
          <cell r="B48" t="str">
            <v>08/11/2017</v>
          </cell>
          <cell r="C48" t="str">
            <v>Carlson Lynch Sweet Kilpela &amp; Carpenter, LLP; Law Office Of Alfred G. Yates, Jr. PC; Law Offices of Curtis V. Trinko; Robbins, Geller, Rudman &amp; Dowd, LLP; The Rosen Law Firm, P.A.</v>
          </cell>
        </row>
        <row r="49">
          <cell r="A49" t="str">
            <v>Argos Therapeutics Inc.</v>
          </cell>
          <cell r="B49" t="str">
            <v>03/14/2017</v>
          </cell>
          <cell r="C49" t="str">
            <v>Levi &amp; Korsinsky, LLP; Ward Black Law</v>
          </cell>
        </row>
        <row r="50">
          <cell r="A50" t="str">
            <v>Array Biopharma, Inc.</v>
          </cell>
          <cell r="B50" t="str">
            <v>11/20/2017</v>
          </cell>
          <cell r="C50" t="str">
            <v>Berens Law LLC; Bronstein, Gewirtz &amp; Grossman, LLC; Levi &amp; Korsinsky, LLP; Pomerantz LLP</v>
          </cell>
        </row>
        <row r="51">
          <cell r="A51" t="str">
            <v>Arrowhead Pharmaceuticals, Inc.</v>
          </cell>
          <cell r="B51" t="str">
            <v>11/15/2016</v>
          </cell>
          <cell r="C51" t="str">
            <v>Pomerantz LLP; Stull, Stull &amp; Brody</v>
          </cell>
        </row>
        <row r="52">
          <cell r="A52" t="str">
            <v>Asanko Gold Inc.</v>
          </cell>
          <cell r="B52" t="str">
            <v>05/31/2017</v>
          </cell>
          <cell r="C52" t="str">
            <v>The Rosen Law Firm, P.A.</v>
          </cell>
        </row>
        <row r="53">
          <cell r="A53" t="str">
            <v>Atlas Financial Holdings, Inc.</v>
          </cell>
          <cell r="B53" t="str">
            <v>03/05/2018</v>
          </cell>
          <cell r="C53" t="str">
            <v>Glancy Prongay &amp; Murray, LLP; Lawrence Kamin, LLC</v>
          </cell>
        </row>
        <row r="54">
          <cell r="A54" t="str">
            <v>Avid Technology, Inc.</v>
          </cell>
          <cell r="B54" t="str">
            <v>11/21/2016</v>
          </cell>
          <cell r="C54" t="str">
            <v>Johnson &amp; Weaver LLP</v>
          </cell>
        </row>
        <row r="55">
          <cell r="A55" t="str">
            <v>Avinger, Inc.</v>
          </cell>
          <cell r="B55" t="str">
            <v>05/22/2017</v>
          </cell>
          <cell r="C55" t="str">
            <v>Bottini &amp; Bottini, Inc.</v>
          </cell>
        </row>
        <row r="56">
          <cell r="A56" t="str">
            <v>Axiom Holdings, Inc.</v>
          </cell>
          <cell r="B56" t="str">
            <v>06/22/2017</v>
          </cell>
          <cell r="C56" t="str">
            <v>Bronstein, Gewirtz &amp; Grossman, LLC; Pomerantz LLP</v>
          </cell>
        </row>
        <row r="57">
          <cell r="A57" t="str">
            <v>AZZ, Inc.</v>
          </cell>
          <cell r="B57" t="str">
            <v>01/11/2018</v>
          </cell>
          <cell r="C57" t="str">
            <v>Block &amp; Leviton LLP; Kendall Law Group, LLP</v>
          </cell>
        </row>
        <row r="58">
          <cell r="A58" t="str">
            <v>B Communications Ltd.</v>
          </cell>
          <cell r="B58" t="str">
            <v>06/29/2017</v>
          </cell>
          <cell r="C58" t="str">
            <v>Bronstein, Gewirtz &amp; Grossman, LLC; Pomerantz LLP</v>
          </cell>
        </row>
        <row r="59">
          <cell r="A59" t="str">
            <v>Babcock &amp; Wilcox Enterprises, Inc.</v>
          </cell>
          <cell r="B59" t="str">
            <v>03/03/2017</v>
          </cell>
          <cell r="C59" t="str">
            <v>Holzer &amp; Holzer, LLC; McDaniel &amp; Anderson, LLP; Robbins, Geller, Rudman &amp; Dowd, LLP</v>
          </cell>
        </row>
        <row r="60">
          <cell r="A60" t="str">
            <v>Ballard Power Systems, Inc.</v>
          </cell>
          <cell r="B60" t="str">
            <v>01/27/2018</v>
          </cell>
          <cell r="C60" t="str">
            <v>The Rosen Law Firm, P.A.</v>
          </cell>
        </row>
        <row r="61">
          <cell r="A61" t="str">
            <v>Banc of California, Inc.</v>
          </cell>
          <cell r="B61" t="str">
            <v>01/23/2017</v>
          </cell>
          <cell r="C61" t="str">
            <v>Glancy Prongay &amp; Murray, LLP; Johnson &amp; Weaver LLP; Robbins, Geller, Rudman &amp; Dowd, LLP</v>
          </cell>
        </row>
        <row r="62">
          <cell r="A62" t="str">
            <v>Banco Bradesco S.A.</v>
          </cell>
          <cell r="B62" t="str">
            <v>06/03/2016</v>
          </cell>
          <cell r="C62" t="str">
            <v>The Rosen Law Firm, P.A.</v>
          </cell>
        </row>
        <row r="63">
          <cell r="A63" t="str">
            <v>Bank OZK</v>
          </cell>
          <cell r="B63" t="str">
            <v>10/26/2018</v>
          </cell>
          <cell r="C63" t="str">
            <v>Glancy Prongay &amp; Murray, LLP; Owings Law Firm</v>
          </cell>
        </row>
        <row r="64">
          <cell r="A64" t="str">
            <v>Banro Corporation</v>
          </cell>
          <cell r="B64" t="str">
            <v>03/05/2018</v>
          </cell>
          <cell r="C64" t="str">
            <v>Kalberer LLP</v>
          </cell>
        </row>
        <row r="65">
          <cell r="A65" t="str">
            <v>Barrick Gold Corporation</v>
          </cell>
          <cell r="B65" t="str">
            <v>05/10/2017</v>
          </cell>
          <cell r="C65" t="str">
            <v>Glancy Prongay &amp; Murray, LLP; Pomerantz LLP</v>
          </cell>
        </row>
        <row r="66">
          <cell r="A66" t="str">
            <v>Bellicum Pharmaceuticals, Inc.</v>
          </cell>
          <cell r="B66" t="str">
            <v>02/06/2018</v>
          </cell>
          <cell r="C66" t="str">
            <v>Bronstein, Gewirtz &amp; Grossman, LLC; Johnson Fistel, LLP; McDowell Hetherington, LLP; Pomerantz LLP; Robbins, Geller, Rudman &amp; Dowd, LLP; The Briscoe Law Firm, PLLC</v>
          </cell>
        </row>
        <row r="67">
          <cell r="A67" t="str">
            <v>BHP Billiton Limited / BHP Billiton Plc</v>
          </cell>
          <cell r="B67" t="str">
            <v>02/24/2016</v>
          </cell>
          <cell r="C67" t="str">
            <v>Bronstein, Gewirtz &amp; Grossman, LLC; Pomerantz LLP; Robbins, Geller, Rudman &amp; Dowd, LLP; VanOverbeke Michaud &amp; Timmony, P.C.</v>
          </cell>
        </row>
        <row r="68">
          <cell r="A68" t="str">
            <v>BioAmber Inc.</v>
          </cell>
          <cell r="B68" t="str">
            <v>03/18/2017</v>
          </cell>
          <cell r="C68" t="str">
            <v>The Rosen Law Firm, P.A.</v>
          </cell>
        </row>
        <row r="69">
          <cell r="A69" t="str">
            <v>Biogen, Inc.</v>
          </cell>
          <cell r="B69" t="str">
            <v>10/20/2016</v>
          </cell>
          <cell r="C69" t="str">
            <v>Labaton Sucharow LLP; Thornton Law Firm LLP</v>
          </cell>
        </row>
        <row r="70">
          <cell r="A70" t="str">
            <v>Blue Apron Holdings, Inc.</v>
          </cell>
          <cell r="B70" t="str">
            <v>08/17/2017</v>
          </cell>
          <cell r="C70" t="str">
            <v>Bottini &amp; Bottini, Inc.; Levi &amp; Korsinsky, LLP; Wolf Haldenstein Adler Freeman &amp; Herz LLP</v>
          </cell>
        </row>
        <row r="71">
          <cell r="A71" t="str">
            <v>BofI Holding, Inc.</v>
          </cell>
          <cell r="B71" t="str">
            <v>04/03/2017</v>
          </cell>
          <cell r="C71" t="str">
            <v>Pomerantz LLP</v>
          </cell>
        </row>
        <row r="72">
          <cell r="A72" t="str">
            <v>Booz Allen Hamilton Holding Corporation</v>
          </cell>
          <cell r="B72" t="str">
            <v>06/19/2017</v>
          </cell>
          <cell r="C72" t="str">
            <v>Cohen Milstein Sellers &amp; Toll PLLC; Pomerantz LLP</v>
          </cell>
        </row>
        <row r="73">
          <cell r="A73" t="str">
            <v>BRF S.A.</v>
          </cell>
          <cell r="B73" t="str">
            <v>03/12/2018</v>
          </cell>
          <cell r="C73" t="str">
            <v>Pomerantz LLP</v>
          </cell>
        </row>
        <row r="74">
          <cell r="A74" t="str">
            <v>Bristol-Myers Squibb Company</v>
          </cell>
          <cell r="B74" t="str">
            <v>02/09/2018</v>
          </cell>
          <cell r="C74" t="str">
            <v>Glancy Prongay &amp; Murray, LLP; Law Offices of Howard G. Smith</v>
          </cell>
        </row>
        <row r="75">
          <cell r="A75" t="str">
            <v>Brixmor Property Group, Inc.</v>
          </cell>
          <cell r="B75" t="str">
            <v>03/31/2016</v>
          </cell>
          <cell r="C75" t="str">
            <v>Law Offices of Curtis V. Trinko; Saxena White P.A.</v>
          </cell>
        </row>
        <row r="76">
          <cell r="A76" t="str">
            <v>BT Group PLC</v>
          </cell>
          <cell r="B76" t="str">
            <v>01/25/2017</v>
          </cell>
          <cell r="C76" t="str">
            <v>Pomerantz LLP</v>
          </cell>
        </row>
        <row r="77">
          <cell r="A77" t="str">
            <v>Campbell Soup Company</v>
          </cell>
          <cell r="B77" t="str">
            <v>09/28/2018</v>
          </cell>
          <cell r="C77" t="str">
            <v>Carella, Byrne, Cecchi, Olstein, Brody &amp; Agnello P.C.; Kessler Topaz  Meltzer &amp; Check, LLP</v>
          </cell>
        </row>
        <row r="78">
          <cell r="A78" t="str">
            <v>Camping World Holdings, Inc.</v>
          </cell>
          <cell r="B78" t="str">
            <v>10/19/2018</v>
          </cell>
          <cell r="C78" t="str">
            <v>Johnson Fistel, LLP; Robbins, Geller, Rudman &amp; Dowd, LLP</v>
          </cell>
        </row>
        <row r="79">
          <cell r="A79" t="str">
            <v>Cancer Genetics, Inc.</v>
          </cell>
          <cell r="B79" t="str">
            <v>04/05/2018</v>
          </cell>
          <cell r="C79" t="str">
            <v>Bronstein, Gewirtz &amp; Grossman, LLC; Lite Depalma Greenberg, LLC; Pomerantz LLP; The Rosen Law Firm, P.A.</v>
          </cell>
        </row>
        <row r="80">
          <cell r="A80" t="str">
            <v>Capitala Finance Corp.</v>
          </cell>
          <cell r="B80" t="str">
            <v>12/28/2017</v>
          </cell>
          <cell r="C80" t="str">
            <v>The Rosen Law Firm, P.A.</v>
          </cell>
        </row>
        <row r="81">
          <cell r="A81" t="str">
            <v>Cardiovascular Systems, Inc.</v>
          </cell>
          <cell r="B81" t="str">
            <v>02/12/2016</v>
          </cell>
          <cell r="C81" t="str">
            <v>The Rosen Law Firm, P.A.</v>
          </cell>
        </row>
        <row r="82">
          <cell r="A82" t="str">
            <v>Catalyst Hedged Futures Fund</v>
          </cell>
          <cell r="B82" t="str">
            <v>04/28/2017</v>
          </cell>
          <cell r="C82" t="str">
            <v>Johnson &amp; Weaver LLP; Robbins, Geller, Rudman &amp; Dowd, LLP</v>
          </cell>
        </row>
        <row r="83">
          <cell r="A83" t="str">
            <v>Caterpillar, Inc.</v>
          </cell>
          <cell r="B83" t="str">
            <v>03/03/2017</v>
          </cell>
          <cell r="C83" t="str">
            <v>Pomerantz LLP</v>
          </cell>
        </row>
        <row r="84">
          <cell r="A84" t="str">
            <v>CBL &amp; Associates Properties, Inc.</v>
          </cell>
          <cell r="B84" t="str">
            <v>05/27/2016</v>
          </cell>
          <cell r="C84" t="str">
            <v>Block &amp; Leviton LLP; Bramlett Law Offices; Pomerantz LLP; Robbins, Geller, Rudman &amp; Dowd, LLP</v>
          </cell>
        </row>
        <row r="85">
          <cell r="A85" t="str">
            <v>CBS Corporation</v>
          </cell>
          <cell r="B85" t="str">
            <v>08/27/2018</v>
          </cell>
          <cell r="C85" t="str">
            <v>Johnson Fistel, LLP; Pomerantz LLP; Robbins, Geller, Rudman &amp; Dowd, LLP</v>
          </cell>
        </row>
        <row r="86">
          <cell r="A86" t="str">
            <v>Celadon Group, Inc.</v>
          </cell>
          <cell r="B86" t="str">
            <v>04/19/2017</v>
          </cell>
          <cell r="C86" t="str">
            <v>Block &amp; Leviton LLP; Gardy &amp; Notis, LLP</v>
          </cell>
        </row>
        <row r="87">
          <cell r="A87" t="str">
            <v>Celgene Corporation</v>
          </cell>
          <cell r="B87" t="str">
            <v>03/29/2018</v>
          </cell>
          <cell r="C87" t="str">
            <v>Carella, Byrne, Cecchi, Olstein, Brody &amp; Agnello P.C.; Kessler Topaz  Meltzer &amp; Check, LLP; Robbins, Geller, Rudman &amp; Dowd, LLP; Seeger Weiss LLP; VanOverbeke Michaud &amp; Timmony, P.C.</v>
          </cell>
        </row>
        <row r="88">
          <cell r="A88" t="str">
            <v>Cemex, S.A.B. de C.V.</v>
          </cell>
          <cell r="B88" t="str">
            <v>03/16/2018</v>
          </cell>
          <cell r="C88" t="str">
            <v>Bronstein, Gewirtz &amp; Grossman, LLC; Pomerantz LLP</v>
          </cell>
        </row>
        <row r="89">
          <cell r="A89" t="str">
            <v>Cempra, Inc.</v>
          </cell>
          <cell r="B89" t="str">
            <v>11/04/2016</v>
          </cell>
          <cell r="C89" t="str">
            <v>Goldberg Law PC; Johnson &amp; Weaver LLP; Levi &amp; Korsinsky, LLP; McDaniel &amp; Anderson, LLP; Pomerantz LLP; Robbins, Geller, Rudman &amp; Dowd, LLP; Schiller &amp; Schiller, P.L.L.C.; Ward Black Law</v>
          </cell>
        </row>
        <row r="90">
          <cell r="A90" t="str">
            <v>Cemtrex, Inc.</v>
          </cell>
          <cell r="B90" t="str">
            <v>02/24/2017</v>
          </cell>
          <cell r="C90" t="str">
            <v>Glancy Prongay &amp; Murray, LLP; RM Law, P.C.; Saxena White P.A.; The Rosen Law Firm, P.A.</v>
          </cell>
        </row>
        <row r="91">
          <cell r="A91" t="str">
            <v>Centene Corporation</v>
          </cell>
          <cell r="B91" t="str">
            <v>11/14/2016</v>
          </cell>
          <cell r="C91" t="str">
            <v>Glancy Prongay &amp; Murray, LLP</v>
          </cell>
        </row>
        <row r="92">
          <cell r="A92" t="str">
            <v>Charles Schwab &amp; Co., Inc.</v>
          </cell>
          <cell r="B92" t="str">
            <v>07/13/2016</v>
          </cell>
          <cell r="C92" t="str">
            <v>Levi &amp; Korsinsky, LLP</v>
          </cell>
        </row>
        <row r="93">
          <cell r="A93" t="str">
            <v>Cheetah Mobile Inc.</v>
          </cell>
          <cell r="B93" t="str">
            <v>11/08/2017</v>
          </cell>
          <cell r="C93" t="str">
            <v>The Rosen Law Firm, P.A.</v>
          </cell>
        </row>
        <row r="94">
          <cell r="A94" t="str">
            <v>Chegg, Inc.</v>
          </cell>
          <cell r="B94" t="str">
            <v>09/27/2018</v>
          </cell>
          <cell r="C94" t="str">
            <v>Glancy Prongay &amp; Murray, LLP</v>
          </cell>
        </row>
        <row r="95">
          <cell r="A95" t="str">
            <v>Chesapeake Energy Corporation</v>
          </cell>
          <cell r="B95" t="str">
            <v>10/04/2016</v>
          </cell>
          <cell r="C95" t="str">
            <v>Federman &amp; Sherwood; Pomerantz LLP</v>
          </cell>
        </row>
        <row r="96">
          <cell r="A96" t="str">
            <v>Chiasma, Inc.</v>
          </cell>
          <cell r="B96" t="str">
            <v>06/10/2016</v>
          </cell>
          <cell r="C96" t="str">
            <v>Block &amp; Leviton LLP; Bronstein, Gewirtz &amp; Grossman, LLC; Pomerantz LLP</v>
          </cell>
        </row>
        <row r="97">
          <cell r="A97" t="str">
            <v>Chicago Bridge &amp; Iron Company N.V.</v>
          </cell>
          <cell r="B97" t="str">
            <v>03/02/2017</v>
          </cell>
          <cell r="C97" t="str">
            <v>Levi &amp; Korsinsky, LLP; Robbins, Geller, Rudman &amp; Dowd, LLP; VanOverbeke Michaud &amp; Timmony, P.C.</v>
          </cell>
        </row>
        <row r="98">
          <cell r="A98" t="str">
            <v>China Auto Logistics Inc.</v>
          </cell>
          <cell r="B98" t="str">
            <v>06/05/2018</v>
          </cell>
          <cell r="C98" t="str">
            <v>The Rosen Law Firm, P.A.</v>
          </cell>
        </row>
        <row r="99">
          <cell r="A99" t="str">
            <v>Cigna Corporation</v>
          </cell>
          <cell r="B99" t="str">
            <v>02/04/2016</v>
          </cell>
          <cell r="C99" t="str">
            <v>Pomerantz LLP</v>
          </cell>
        </row>
        <row r="100">
          <cell r="A100" t="str">
            <v>Citizens Financial Group, Inc.</v>
          </cell>
          <cell r="B100" t="str">
            <v>04/25/2017</v>
          </cell>
          <cell r="C100" t="str">
            <v>Glancy Prongay &amp; Murray, LLP; Pomerantz LLP</v>
          </cell>
        </row>
        <row r="101">
          <cell r="A101" t="str">
            <v>Citizens, Inc.</v>
          </cell>
          <cell r="B101" t="str">
            <v>03/16/2017</v>
          </cell>
          <cell r="C101" t="str">
            <v>The Rosen Law Firm, P.A.</v>
          </cell>
        </row>
        <row r="102">
          <cell r="A102" t="str">
            <v>Cnova N.V.</v>
          </cell>
          <cell r="B102" t="str">
            <v>01/20/2016</v>
          </cell>
          <cell r="C102" t="str">
            <v>Glancy Prongay &amp; Murray, LLP; Law Offices of Howard G. Smith; Pomerantz LLP</v>
          </cell>
        </row>
        <row r="103">
          <cell r="A103" t="str">
            <v>Cocrystal Pharma, Inc. f/k/a/ BioZone Pharmaceuticals, Inc.</v>
          </cell>
          <cell r="B103" t="str">
            <v>09/20/2018</v>
          </cell>
          <cell r="C103" t="str">
            <v>The Rosen Law Firm, P.A.</v>
          </cell>
        </row>
        <row r="104">
          <cell r="A104" t="str">
            <v>Code Rebel Corporation</v>
          </cell>
          <cell r="B104" t="str">
            <v>05/10/2016</v>
          </cell>
          <cell r="C104" t="str">
            <v>The Rosen Law Firm, P.A.</v>
          </cell>
        </row>
        <row r="105">
          <cell r="A105" t="str">
            <v>Cognizant Technology Solutions Corporation</v>
          </cell>
          <cell r="B105" t="str">
            <v>10/05/2016</v>
          </cell>
          <cell r="C105" t="str">
            <v>Brodsky &amp; Smith, LLC; Gardy &amp; Notis, LLP; Strauss Troy; The Rosen Law Firm, P.A.</v>
          </cell>
        </row>
        <row r="106">
          <cell r="A106" t="str">
            <v>Colony NorthStar, Inc.</v>
          </cell>
          <cell r="B106" t="str">
            <v>04/06/2018</v>
          </cell>
          <cell r="C106" t="str">
            <v>Glancy Prongay &amp; Murray, LLP; Pomerantz LLP; Scott &amp; Scott,  LLP; The Rosen Law Firm, P.A.</v>
          </cell>
        </row>
        <row r="107">
          <cell r="A107" t="str">
            <v>comScore, Inc.</v>
          </cell>
          <cell r="B107" t="str">
            <v>03/10/2016</v>
          </cell>
          <cell r="C107" t="str">
            <v>Glancy Prongay &amp; Murray, LLP</v>
          </cell>
        </row>
        <row r="108">
          <cell r="A108" t="str">
            <v>Concordia International Corp.</v>
          </cell>
          <cell r="B108" t="str">
            <v>08/15/2016</v>
          </cell>
          <cell r="C108" t="str">
            <v>Glancy Prongay &amp; Murray, LLP; Goldberg Law PC; Pomerantz LLP</v>
          </cell>
        </row>
        <row r="109">
          <cell r="A109" t="str">
            <v>Corrections Corporation of America</v>
          </cell>
          <cell r="B109" t="str">
            <v>08/23/2016</v>
          </cell>
          <cell r="C109" t="str">
            <v>Bramlett Law Offices; Goldberg Law PC; Pomerantz LLP</v>
          </cell>
        </row>
        <row r="110">
          <cell r="A110" t="str">
            <v>CPI Card Group Inc.</v>
          </cell>
          <cell r="B110" t="str">
            <v>06/15/2016</v>
          </cell>
          <cell r="C110" t="str">
            <v>Holzer &amp; Holzer, LLC; Johnson &amp; Weaver LLP; Robbins, Geller, Rudman &amp; Dowd, LLP</v>
          </cell>
        </row>
        <row r="111">
          <cell r="A111" t="str">
            <v>Credit Suisse Group AG</v>
          </cell>
          <cell r="B111" t="str">
            <v>12/22/2017</v>
          </cell>
          <cell r="C111" t="str">
            <v>Glancy Prongay &amp; Murray, LLP; Saxena White P.A.</v>
          </cell>
        </row>
        <row r="112">
          <cell r="A112" t="str">
            <v>Cresud Sociedad Anonima Comercial, Inmobiliaria, Financiera y Agropecuaria</v>
          </cell>
          <cell r="B112" t="str">
            <v>04/29/2016</v>
          </cell>
          <cell r="C112" t="str">
            <v>The Rosen Law Firm, P.A.</v>
          </cell>
        </row>
        <row r="113">
          <cell r="A113" t="str">
            <v>Cronos Group, Inc.</v>
          </cell>
          <cell r="B113" t="str">
            <v>09/04/2018</v>
          </cell>
          <cell r="C113" t="str">
            <v>Glancy Prongay &amp; Murray, LLP; Law Offices of Howard G. Smith</v>
          </cell>
        </row>
        <row r="114">
          <cell r="A114" t="str">
            <v>CTI BioPharma Corp.</v>
          </cell>
          <cell r="B114" t="str">
            <v>02/10/2016</v>
          </cell>
          <cell r="C114" t="str">
            <v>Glancy Prongay &amp; Murray, LLP</v>
          </cell>
        </row>
        <row r="115">
          <cell r="A115" t="str">
            <v>CV Sciences, Inc.</v>
          </cell>
          <cell r="B115" t="str">
            <v>08/24/2018</v>
          </cell>
          <cell r="C115" t="str">
            <v>Block &amp; Leviton LLP; Bronstein, Gewirtz &amp; Grossman, LLC; Leverty &amp; Associates Law CHTD; Muehlbauer Law Office, Ltd.; Pomerantz LLP</v>
          </cell>
        </row>
        <row r="116">
          <cell r="A116" t="str">
            <v>CytRx Corporation</v>
          </cell>
          <cell r="B116" t="str">
            <v>07/25/2016</v>
          </cell>
          <cell r="C116" t="str">
            <v>Glancy Prongay &amp; Murray, LLP; Pomerantz LLP</v>
          </cell>
        </row>
        <row r="117">
          <cell r="A117" t="str">
            <v>Daimler AG</v>
          </cell>
          <cell r="B117" t="str">
            <v>04/29/2016</v>
          </cell>
          <cell r="C117" t="str">
            <v>Bronstein, Gewirtz &amp; Grossman, LLC; Pomerantz LLP; The Rosen Law Firm, P.A.</v>
          </cell>
        </row>
        <row r="118">
          <cell r="A118" t="str">
            <v>Dakota Plains Holdings, Inc.</v>
          </cell>
          <cell r="B118" t="str">
            <v>12/16/2016</v>
          </cell>
          <cell r="C118" t="str">
            <v>The Rosen Law Firm, P.A.</v>
          </cell>
        </row>
        <row r="119">
          <cell r="A119" t="str">
            <v>DaVita Inc.</v>
          </cell>
          <cell r="B119" t="str">
            <v>02/01/2017</v>
          </cell>
          <cell r="C119" t="str">
            <v>Saxena White P.A.; The Shuman Law Firm</v>
          </cell>
        </row>
        <row r="120">
          <cell r="A120" t="str">
            <v>Desarrolladora Homex S.A.B. de C.V.</v>
          </cell>
          <cell r="B120" t="str">
            <v>03/14/2017</v>
          </cell>
          <cell r="C120" t="str">
            <v>The Rosen Law Firm, P.A.</v>
          </cell>
        </row>
        <row r="121">
          <cell r="A121" t="str">
            <v>Deutsche Bank AG</v>
          </cell>
          <cell r="B121" t="str">
            <v>05/10/2016</v>
          </cell>
          <cell r="C121" t="str">
            <v>Bronstein, Gewirtz &amp; Grossman, LLC; Pomerantz LLP; The Rosen Law Firm, P.A.</v>
          </cell>
        </row>
        <row r="122">
          <cell r="A122" t="str">
            <v>DeVry Education Group, Inc.</v>
          </cell>
          <cell r="B122" t="str">
            <v>05/13/2016</v>
          </cell>
          <cell r="C122" t="str">
            <v>Saxena White P.A.</v>
          </cell>
        </row>
        <row r="123">
          <cell r="A123" t="str">
            <v>Diana Containerships Inc.</v>
          </cell>
          <cell r="B123" t="str">
            <v>10/23/2017</v>
          </cell>
          <cell r="C123" t="str">
            <v>Bronstein, Gewirtz &amp; Grossman, LLC; Pomerantz LLP; Robbins, Geller, Rudman &amp; Dowd, LLP</v>
          </cell>
        </row>
        <row r="124">
          <cell r="A124" t="str">
            <v>Dick's Sporting Goods, Inc.</v>
          </cell>
          <cell r="B124" t="str">
            <v>05/16/2017</v>
          </cell>
          <cell r="C124" t="str">
            <v>Pomerantz LLP</v>
          </cell>
        </row>
        <row r="125">
          <cell r="A125" t="str">
            <v>Diplomat Pharmacy, Inc.</v>
          </cell>
          <cell r="B125" t="str">
            <v>11/10/2016</v>
          </cell>
          <cell r="C125" t="str">
            <v>Glancy Prongay &amp; Murray, LLP; The Miller Law Firm, P.C.</v>
          </cell>
        </row>
        <row r="126">
          <cell r="A126" t="str">
            <v>Dollar General Corporation</v>
          </cell>
          <cell r="B126" t="str">
            <v>01/18/2017</v>
          </cell>
          <cell r="C126" t="str">
            <v>Berke, Berke &amp; Berke; Bramlett Law Offices; Bronstein, Gewirtz &amp; Grossman, LLC; Holifield, Janich, Rachal &amp; Associates, PLLC; Kessler Topaz  Meltzer &amp; Check, LLP; Levi &amp; Korsinsky, LLP; Pomerantz LLP</v>
          </cell>
        </row>
        <row r="127">
          <cell r="A127" t="str">
            <v>Dr. Reddys Laboratories Limited</v>
          </cell>
          <cell r="B127" t="str">
            <v>08/25/2017</v>
          </cell>
          <cell r="C127" t="str">
            <v>The Rosen Law Firm, P.A.</v>
          </cell>
        </row>
        <row r="128">
          <cell r="A128" t="str">
            <v>Dryships Inc.</v>
          </cell>
          <cell r="B128" t="str">
            <v>08/02/2017</v>
          </cell>
          <cell r="C128" t="str">
            <v>Abraham, Fruchter &amp; Twersky, LLP; Robbins, Geller, Rudman &amp; Dowd, LLP</v>
          </cell>
        </row>
        <row r="129">
          <cell r="A129" t="str">
            <v>DS Healthcare Group Inc.</v>
          </cell>
          <cell r="B129" t="str">
            <v>03/29/2016</v>
          </cell>
          <cell r="C129" t="str">
            <v>Glancy Prongay &amp; Murray, LLP; Saxena White P.A.; The Rosen Law Firm, P.A.</v>
          </cell>
        </row>
        <row r="130">
          <cell r="A130" t="str">
            <v>Dycom Industries, Inc.</v>
          </cell>
          <cell r="B130" t="str">
            <v>10/25/2018</v>
          </cell>
          <cell r="C130" t="str">
            <v>Levi &amp; Korsinsky, LLP</v>
          </cell>
        </row>
        <row r="131">
          <cell r="A131" t="str">
            <v>Dynavax Technologies Corporation</v>
          </cell>
          <cell r="B131" t="str">
            <v>11/18/2016</v>
          </cell>
          <cell r="C131" t="str">
            <v>Bronstein, Gewirtz &amp; Grossman, LLC; Levi &amp; Korsinsky, LLP; Pomerantz LLP; Shepherd, Finkelman, Miller &amp; Shah, LLP</v>
          </cell>
        </row>
        <row r="132">
          <cell r="A132" t="str">
            <v>E Trade Financial Corporation</v>
          </cell>
          <cell r="B132" t="str">
            <v>07/22/2016</v>
          </cell>
          <cell r="C132" t="str">
            <v>Levi &amp; Korsinsky, LLP</v>
          </cell>
        </row>
        <row r="133">
          <cell r="A133" t="str">
            <v>Eagle Pharmaceuticals, Inc.</v>
          </cell>
          <cell r="B133" t="str">
            <v>05/31/2016</v>
          </cell>
          <cell r="C133" t="str">
            <v>Bronstein, Gewirtz &amp; Grossman, LLC; Kirby McInerney LLP; Pomerantz LLP</v>
          </cell>
        </row>
        <row r="134">
          <cell r="A134" t="str">
            <v>Eaton Corporation PLC</v>
          </cell>
          <cell r="B134" t="str">
            <v>07/22/2016</v>
          </cell>
          <cell r="C134" t="str">
            <v>Bronstein, Gewirtz &amp; Grossman, LLC; Labaton Sucharow LLP; Pomerantz LLP</v>
          </cell>
        </row>
        <row r="135">
          <cell r="A135" t="str">
            <v>Eco Science Solutions, Inc.</v>
          </cell>
          <cell r="B135" t="str">
            <v>05/24/2017</v>
          </cell>
          <cell r="C135" t="str">
            <v>Carella, Byrne, Cecchi, Olstein, Brody &amp; Agnello P.C.; Glancy Prongay &amp; Murray, LLP; Lite Depalma Greenberg, LLC; Pomerantz LLP; The Rosen Law Firm, P.A.</v>
          </cell>
        </row>
        <row r="136">
          <cell r="A136" t="str">
            <v>Edge Therapeutics, Inc.</v>
          </cell>
          <cell r="B136" t="str">
            <v>04/23/2018</v>
          </cell>
          <cell r="C136" t="str">
            <v>Carella, Byrne, Cecchi, Olstein, Brody &amp; Agnello P.C.; Glancy Prongay &amp; Murray, LLP</v>
          </cell>
        </row>
        <row r="137">
          <cell r="A137" t="str">
            <v>Egalet Corporation</v>
          </cell>
          <cell r="B137" t="str">
            <v>01/27/2017</v>
          </cell>
          <cell r="C137" t="str">
            <v>Brodsky &amp; Smith, LLC; Levi &amp; Korsinsky, LLP; O'Kelly Ernst &amp; Joyce, LLC; Pomerantz LLP</v>
          </cell>
        </row>
        <row r="138">
          <cell r="A138" t="str">
            <v>Ekso Bionics Holdings, Inc.</v>
          </cell>
          <cell r="B138" t="str">
            <v>01/02/2018</v>
          </cell>
          <cell r="C138" t="str">
            <v>Bronstein, Gewirtz &amp; Grossman, LLC; Pomerantz LLP; The Rosen Law Firm, P.A.</v>
          </cell>
        </row>
        <row r="139">
          <cell r="A139" t="str">
            <v>Electronics for Imaging, Inc.</v>
          </cell>
          <cell r="B139" t="str">
            <v>08/10/2017</v>
          </cell>
          <cell r="C139" t="str">
            <v>The Rosen Law Firm, P.A.</v>
          </cell>
        </row>
        <row r="140">
          <cell r="A140" t="str">
            <v>Embraer S.A.</v>
          </cell>
          <cell r="B140" t="str">
            <v>08/08/2016</v>
          </cell>
          <cell r="C140" t="str">
            <v>Goldberg Law PC; Pomerantz LLP</v>
          </cell>
        </row>
        <row r="141">
          <cell r="A141" t="str">
            <v>Emergent Biosolutions, Inc.</v>
          </cell>
          <cell r="B141" t="str">
            <v>07/19/2016</v>
          </cell>
          <cell r="C141" t="str">
            <v>Brown Goldstein Levy, LLP; Holzer &amp; Holzer, LLC; Robbins, Geller, Rudman &amp; Dowd, LLP</v>
          </cell>
        </row>
        <row r="142">
          <cell r="A142" t="str">
            <v>Endologix, Inc.</v>
          </cell>
          <cell r="B142" t="str">
            <v>01/03/2017</v>
          </cell>
          <cell r="C142" t="str">
            <v>Bronstein, Gewirtz &amp; Grossman, LLC; Pomerantz LLP; The Rosen Law Firm, P.A.</v>
          </cell>
        </row>
        <row r="143">
          <cell r="A143" t="str">
            <v>Envision Healthcare Corporation</v>
          </cell>
          <cell r="B143" t="str">
            <v>08/04/2017</v>
          </cell>
          <cell r="C143" t="str">
            <v>Bramlett Law Offices; Cavanagh &amp; O'Hara; Gilbert McWherter Scott &amp; Bobbitt PLC; Lieff Cabraser Heimann &amp; Bernstein, LLP; Pomerantz LLP; Saxena White P.A.</v>
          </cell>
        </row>
        <row r="144">
          <cell r="A144" t="str">
            <v>Equifax Inc.</v>
          </cell>
          <cell r="B144" t="str">
            <v>09/08/2017</v>
          </cell>
          <cell r="C144" t="str">
            <v>Law Offices of David A. Bain, LLC; Levi &amp; Korsinsky, LLP; Pomerantz LLP</v>
          </cell>
        </row>
        <row r="145">
          <cell r="A145" t="str">
            <v>Express Scripts Holding Company</v>
          </cell>
          <cell r="B145" t="str">
            <v>05/04/2016</v>
          </cell>
          <cell r="C145" t="str">
            <v>Bernstein Litowitz Berger &amp; Grossmann LLP</v>
          </cell>
        </row>
        <row r="146">
          <cell r="A146" t="str">
            <v>Exxon Mobil Corporation</v>
          </cell>
          <cell r="B146" t="str">
            <v>11/07/2016</v>
          </cell>
          <cell r="C146" t="str">
            <v>Abraham, Fruchter &amp; Twersky, LLP; Kendall Law Group, LLP; Law Offices of Balon B. Bradley; Robbins, Geller, Rudman &amp; Dowd, LLP</v>
          </cell>
        </row>
        <row r="147">
          <cell r="A147" t="str">
            <v>Fanhua, Inc.</v>
          </cell>
          <cell r="B147" t="str">
            <v>09/07/2018</v>
          </cell>
          <cell r="C147" t="str">
            <v>Pomerantz LLP</v>
          </cell>
        </row>
        <row r="148">
          <cell r="A148" t="str">
            <v>Farmland Partners Inc.</v>
          </cell>
          <cell r="B148" t="str">
            <v>08/17/2018</v>
          </cell>
          <cell r="C148" t="str">
            <v>Berens Law LLC</v>
          </cell>
        </row>
        <row r="149">
          <cell r="A149" t="str">
            <v>FAT Brands, Inc.</v>
          </cell>
          <cell r="B149" t="str">
            <v>08/24/2018</v>
          </cell>
          <cell r="C149" t="str">
            <v>Kaskela Law LLC; The Rosen Law Firm, P.A.</v>
          </cell>
        </row>
        <row r="150">
          <cell r="A150" t="str">
            <v>Fenix Parts, Inc.</v>
          </cell>
          <cell r="B150" t="str">
            <v>01/12/2017</v>
          </cell>
          <cell r="C150" t="str">
            <v>The Rosen Law Firm, P.A.</v>
          </cell>
        </row>
        <row r="151">
          <cell r="A151" t="str">
            <v>Ferrellgas Partners, L.P.</v>
          </cell>
          <cell r="B151" t="str">
            <v>10/06/2016</v>
          </cell>
          <cell r="C151" t="str">
            <v>Glancy Prongay &amp; Murray, LLP; Kahn Swick &amp; Foti, LLC; The Rosen Law Firm, P.A.</v>
          </cell>
        </row>
        <row r="152">
          <cell r="A152" t="str">
            <v>Fiat Chrysler Automobiles N.V.</v>
          </cell>
          <cell r="B152" t="str">
            <v>07/29/2016</v>
          </cell>
          <cell r="C152" t="str">
            <v>Cafferty Clobes Meriwether &amp; Sprengel LLP; Glancy Prongay &amp; Murray, LLP; Kessler Topaz  Meltzer &amp; Check, LLP; The Miller Law Firm, P.C.</v>
          </cell>
        </row>
        <row r="153">
          <cell r="A153" t="str">
            <v>Fifth Street Asset Management</v>
          </cell>
          <cell r="B153" t="str">
            <v>01/07/2016</v>
          </cell>
          <cell r="C153" t="str">
            <v>Diserio Martin O'Connor &amp; Castiglioni LLC; Holzer &amp; Holzer, LLC</v>
          </cell>
        </row>
        <row r="154">
          <cell r="A154" t="str">
            <v>First NBC Bank Holding Company</v>
          </cell>
          <cell r="B154" t="str">
            <v>05/05/2016</v>
          </cell>
          <cell r="C154" t="str">
            <v>Johnson &amp; Weaver LLP; Lemmon Law Firm; Robbins, Geller, Rudman &amp; Dowd, LLP</v>
          </cell>
        </row>
        <row r="155">
          <cell r="A155" t="str">
            <v>FleetCor Technologies, Inc.</v>
          </cell>
          <cell r="B155" t="str">
            <v>06/15/2017</v>
          </cell>
          <cell r="C155" t="str">
            <v>Bernstein Litowitz Berger &amp; Grossmann LLP; Bondurant Mixson &amp; Elmore, LLP</v>
          </cell>
        </row>
        <row r="156">
          <cell r="A156" t="str">
            <v>Flex Ltd.</v>
          </cell>
          <cell r="B156" t="str">
            <v>05/08/2018</v>
          </cell>
          <cell r="C156" t="str">
            <v>Glancy Prongay &amp; Murray, LLP; Law Offices of Howard G. Smith</v>
          </cell>
        </row>
        <row r="157">
          <cell r="A157" t="str">
            <v>Flex Pharma, Inc.</v>
          </cell>
          <cell r="B157" t="str">
            <v>06/19/2018</v>
          </cell>
          <cell r="C157" t="str">
            <v>Bronstein, Gewirtz &amp; Grossman, LLC; Pomerantz LLP</v>
          </cell>
        </row>
        <row r="158">
          <cell r="A158" t="str">
            <v>Flowers Foods, Inc.</v>
          </cell>
          <cell r="B158" t="str">
            <v>08/12/2016</v>
          </cell>
          <cell r="C158" t="str">
            <v>Goldberg Law PC; Pomerantz LLP</v>
          </cell>
        </row>
        <row r="159">
          <cell r="A159" t="str">
            <v>Fluor Corporation</v>
          </cell>
          <cell r="B159" t="str">
            <v>05/25/2018</v>
          </cell>
          <cell r="C159" t="str">
            <v>Brian Lauten, P.C.; Levi &amp; Korsinsky, LLP</v>
          </cell>
        </row>
        <row r="160">
          <cell r="A160" t="str">
            <v>FLY Leasing Limited</v>
          </cell>
          <cell r="B160" t="str">
            <v>03/25/2016</v>
          </cell>
          <cell r="C160" t="str">
            <v>Goldberg Law PC; Pomerantz LLP</v>
          </cell>
        </row>
        <row r="161">
          <cell r="A161" t="str">
            <v>Foot Locker, Inc.</v>
          </cell>
          <cell r="B161" t="str">
            <v>03/09/2018</v>
          </cell>
          <cell r="C161" t="str">
            <v>Robbins, Geller, Rudman &amp; Dowd, LLP; VanOverbeke Michaud &amp; Timmony, P.C.</v>
          </cell>
        </row>
        <row r="162">
          <cell r="A162" t="str">
            <v>Ford Motor Company</v>
          </cell>
          <cell r="B162" t="str">
            <v>10/30/2017</v>
          </cell>
          <cell r="C162" t="str">
            <v>Bronstein, Gewirtz &amp; Grossman, LLC; Pomerantz LLP</v>
          </cell>
        </row>
        <row r="163">
          <cell r="A163" t="str">
            <v>Forterra, Inc.</v>
          </cell>
          <cell r="B163" t="str">
            <v>08/14/2017</v>
          </cell>
          <cell r="C163" t="str">
            <v>Bronstein, Gewirtz &amp; Grossman, LLC; Glancy Prongay &amp; Murray, LLP; Holzer &amp; Holzer, LLC; Law Offices of Howard G. Smith; Pomerantz LLP; Robbins, Geller, Rudman &amp; Dowd, LLP</v>
          </cell>
        </row>
        <row r="164">
          <cell r="A164" t="str">
            <v>Foundation Medicine, Inc.</v>
          </cell>
          <cell r="B164" t="str">
            <v>07/28/2017</v>
          </cell>
          <cell r="C164" t="str">
            <v>Hutchings, Barsamian, Mandelcorn, LLP; Levi &amp; Korsinsky, LLP; Robbins, Geller, Rudman &amp; Dowd, LLP</v>
          </cell>
        </row>
        <row r="165">
          <cell r="A165" t="str">
            <v>Freeport-McMoran Incorporated</v>
          </cell>
          <cell r="B165" t="str">
            <v>01/26/2016</v>
          </cell>
          <cell r="C165" t="str">
            <v>Martin &amp; Bonnett, PLLC; Pomerantz LLP</v>
          </cell>
        </row>
        <row r="166">
          <cell r="A166" t="str">
            <v>Freshpet, Inc.</v>
          </cell>
          <cell r="B166" t="str">
            <v>04/21/2016</v>
          </cell>
          <cell r="C166" t="str">
            <v>Carella, Byrne, Cecchi, Olstein, Brody &amp; Agnello P.C.; Johnson &amp; Weaver LLP; Robbins, Geller, Rudman &amp; Dowd, LLP</v>
          </cell>
        </row>
        <row r="167">
          <cell r="A167" t="str">
            <v>Frontier Communications Corporation</v>
          </cell>
          <cell r="B167" t="str">
            <v>09/26/2017</v>
          </cell>
          <cell r="C167" t="str">
            <v>Bernstein Litowitz Berger &amp; Grossmann LLP; Bronstein, Gewirtz &amp; Grossman, LLC; Glancy Prongay &amp; Murray, LLP; Law Offices of Howard G. Smith; Levi &amp; Korsinsky, LLP; Motley Rice LLC; Pomerantz LLP</v>
          </cell>
        </row>
        <row r="168">
          <cell r="A168" t="str">
            <v>FTD Companies, Inc.</v>
          </cell>
          <cell r="B168" t="str">
            <v>03/20/2017</v>
          </cell>
          <cell r="C168" t="str">
            <v>Goldberg Law PC; Pomerantz LLP</v>
          </cell>
        </row>
        <row r="169">
          <cell r="A169" t="str">
            <v>Fusion Pharm, Inc.</v>
          </cell>
          <cell r="B169" t="str">
            <v>02/17/2017</v>
          </cell>
          <cell r="C169" t="str">
            <v>Lifshitz &amp; Miller</v>
          </cell>
        </row>
        <row r="170">
          <cell r="A170" t="str">
            <v>FXCM, Inc.</v>
          </cell>
          <cell r="B170" t="str">
            <v>02/07/2017</v>
          </cell>
          <cell r="C170" t="str">
            <v>Bronstein, Gewirtz &amp; Grossman, LLC; Levi &amp; Korsinsky, LLP; Pomerantz LLP; The Rosen Law Firm, P.A.</v>
          </cell>
        </row>
        <row r="171">
          <cell r="A171" t="str">
            <v>G. Willi-Food International Ltd.</v>
          </cell>
          <cell r="B171" t="str">
            <v>02/29/2016</v>
          </cell>
          <cell r="C171" t="str">
            <v>The Rosen Law Firm, P.A.</v>
          </cell>
        </row>
        <row r="172">
          <cell r="A172" t="str">
            <v>Galena Biopharma, Inc.</v>
          </cell>
          <cell r="B172" t="str">
            <v>02/13/2017</v>
          </cell>
          <cell r="C172" t="str">
            <v>Carella, Byrne, Cecchi, Olstein, Brody &amp; Agnello P.C.; Glancy Prongay &amp; Murray, LLP; The Rosen Law Firm, P.A.</v>
          </cell>
        </row>
        <row r="173">
          <cell r="A173" t="str">
            <v>GAW Miners, LLC / ZenMiner LLC</v>
          </cell>
          <cell r="B173" t="str">
            <v>06/15/2016</v>
          </cell>
          <cell r="C173" t="str">
            <v>Izard Nobel LLP; Susman Godfrey, L.L.P.</v>
          </cell>
        </row>
        <row r="174">
          <cell r="A174" t="str">
            <v>GDS Holdings Limited</v>
          </cell>
          <cell r="B174" t="str">
            <v>08/02/2018</v>
          </cell>
          <cell r="C174" t="str">
            <v>Steckler Gresham Cochran; The Rosen Law Firm, P.A.</v>
          </cell>
        </row>
        <row r="175">
          <cell r="A175" t="str">
            <v>General Cable Corporation</v>
          </cell>
          <cell r="B175" t="str">
            <v>01/05/2017</v>
          </cell>
          <cell r="C175" t="str">
            <v>Pomerantz LLP</v>
          </cell>
        </row>
        <row r="176">
          <cell r="A176" t="str">
            <v>General Motors Company</v>
          </cell>
          <cell r="B176" t="str">
            <v>07/05/2017</v>
          </cell>
          <cell r="C176" t="str">
            <v>Bronstein, Gewirtz &amp; Grossman, LLC; Pomerantz LLP; The Rosen Law Firm, P.A.; Weitz &amp; Luxenberg, P.C.</v>
          </cell>
        </row>
        <row r="177">
          <cell r="A177" t="str">
            <v>Genocea Biosciences, Inc.</v>
          </cell>
          <cell r="B177" t="str">
            <v>10/31/2017</v>
          </cell>
          <cell r="C177" t="str">
            <v>Andrews DeValerio LLP; Block &amp; Leviton LLP; Bronstein, Gewirtz &amp; Grossman, LLC; Levi &amp; Korsinsky, LLP; Pomerantz LLP; Scott &amp; Scott,  LLP</v>
          </cell>
        </row>
        <row r="178">
          <cell r="A178" t="str">
            <v>Gerdau S.A.</v>
          </cell>
          <cell r="B178" t="str">
            <v>05/26/2016</v>
          </cell>
          <cell r="C178" t="str">
            <v>Pomerantz LLP</v>
          </cell>
        </row>
        <row r="179">
          <cell r="A179" t="str">
            <v>Gigamon Inc.</v>
          </cell>
          <cell r="B179" t="str">
            <v>01/27/2017</v>
          </cell>
          <cell r="C179" t="str">
            <v>Glancy Prongay &amp; Murray, LLP</v>
          </cell>
        </row>
        <row r="180">
          <cell r="A180" t="str">
            <v>Glencore plc</v>
          </cell>
          <cell r="B180" t="str">
            <v>07/09/2018</v>
          </cell>
          <cell r="C180" t="str">
            <v>The Rosen Law Firm, P.A.</v>
          </cell>
        </row>
        <row r="181">
          <cell r="A181" t="str">
            <v>Global Digital Solutions, Inc.</v>
          </cell>
          <cell r="B181" t="str">
            <v>08/24/2016</v>
          </cell>
          <cell r="C181" t="str">
            <v>The Rosen Law Firm, P.A.</v>
          </cell>
        </row>
        <row r="182">
          <cell r="A182" t="str">
            <v>Global Eagle Entertainment Inc.</v>
          </cell>
          <cell r="B182" t="str">
            <v>02/23/2017</v>
          </cell>
          <cell r="C182" t="str">
            <v>Bronstein, Gewirtz &amp; Grossman, LLC; Pomerantz LLP</v>
          </cell>
        </row>
        <row r="183">
          <cell r="A183" t="str">
            <v>GlobalSCAPE, Inc.</v>
          </cell>
          <cell r="B183" t="str">
            <v>08/09/2017</v>
          </cell>
          <cell r="C183" t="str">
            <v>Block &amp; Leviton LLP; Kendall Law Group, LLP</v>
          </cell>
        </row>
        <row r="184">
          <cell r="A184" t="str">
            <v>Goldcorp, Inc.</v>
          </cell>
          <cell r="B184" t="str">
            <v>08/25/2016</v>
          </cell>
          <cell r="C184" t="str">
            <v>The Rosen Law Firm, P.A.</v>
          </cell>
        </row>
        <row r="185">
          <cell r="A185" t="str">
            <v>Grana y Montero S.A.A.</v>
          </cell>
          <cell r="B185" t="str">
            <v>02/27/2017</v>
          </cell>
          <cell r="C185" t="str">
            <v>Law Offices of Curtis V. Trinko; Robbins, Geller, Rudman &amp; Dowd, LLP; The Rosen Law Firm, P.A.</v>
          </cell>
        </row>
        <row r="186">
          <cell r="A186" t="str">
            <v>Gridsum Holding Inc.</v>
          </cell>
          <cell r="B186" t="str">
            <v>04/25/2018</v>
          </cell>
          <cell r="C186" t="str">
            <v>Gainey McKenna &amp; Egleston; Pomerantz LLP</v>
          </cell>
        </row>
        <row r="187">
          <cell r="A187" t="str">
            <v>GW Pharmaceuticals PLC</v>
          </cell>
          <cell r="B187" t="str">
            <v>01/21/2016</v>
          </cell>
          <cell r="C187" t="str">
            <v>Bronstein, Gewirtz &amp; Grossman, LLC; Pomerantz LLP</v>
          </cell>
        </row>
        <row r="188">
          <cell r="A188" t="str">
            <v>Hasbro, Inc.</v>
          </cell>
          <cell r="B188" t="str">
            <v>09/28/2018</v>
          </cell>
          <cell r="C188" t="str">
            <v>Motley Rice LLC; Robbins, Geller, Rudman &amp; Dowd, LLP; VanOverbeke Michaud &amp; Timmony, P.C.</v>
          </cell>
        </row>
        <row r="189">
          <cell r="A189" t="str">
            <v>HCP, Inc.</v>
          </cell>
          <cell r="B189" t="str">
            <v>05/09/2016</v>
          </cell>
          <cell r="C189" t="str">
            <v>Bernstein Litowitz Berger &amp; Grossmann LLP; Climaco, Wilcox, Peca, Tarantino &amp; Garofoli Co., L.P.A.</v>
          </cell>
        </row>
        <row r="190">
          <cell r="A190" t="str">
            <v>HD Supply Holdings, Inc.</v>
          </cell>
          <cell r="B190" t="str">
            <v>07/11/2017</v>
          </cell>
          <cell r="C190" t="str">
            <v>Bronstein, Gewirtz &amp; Grossman, LLC; Klausner, Kaufman, Jensen &amp; Levinson; Law Offices of David A. Bain, LLC; Pomerantz LLP; Saxena White P.A.</v>
          </cell>
        </row>
        <row r="191">
          <cell r="A191" t="str">
            <v>Health Insurance Innovations, Inc.</v>
          </cell>
          <cell r="B191" t="str">
            <v>09/11/2017</v>
          </cell>
          <cell r="C191" t="str">
            <v>The Rosen Law Firm, P.A.</v>
          </cell>
        </row>
        <row r="192">
          <cell r="A192" t="str">
            <v>HeartWare International, Inc.</v>
          </cell>
          <cell r="B192" t="str">
            <v>01/22/2016</v>
          </cell>
          <cell r="C192" t="str">
            <v>Bernstein Litowitz Berger &amp; Grossmann LLP</v>
          </cell>
        </row>
        <row r="193">
          <cell r="A193" t="str">
            <v>Henry Schein, Inc.</v>
          </cell>
          <cell r="B193" t="str">
            <v>03/07/2018</v>
          </cell>
          <cell r="C193" t="str">
            <v>The Rosen Law Firm, P.A.</v>
          </cell>
        </row>
        <row r="194">
          <cell r="A194" t="str">
            <v>HMS Holdings Corp.</v>
          </cell>
          <cell r="B194" t="str">
            <v>03/03/2017</v>
          </cell>
          <cell r="C194" t="str">
            <v>The Rosen Law Firm, P.A.</v>
          </cell>
        </row>
        <row r="195">
          <cell r="A195" t="str">
            <v>Hongli Clean Energy Technologies Corporation</v>
          </cell>
          <cell r="B195" t="str">
            <v>05/08/2017</v>
          </cell>
          <cell r="C195" t="str">
            <v>Lifshitz &amp; Miller; The Rosen Law Firm, P.A.</v>
          </cell>
        </row>
        <row r="196">
          <cell r="A196" t="str">
            <v>Horizon Pharma PLC</v>
          </cell>
          <cell r="B196" t="str">
            <v>03/08/2016</v>
          </cell>
          <cell r="C196" t="str">
            <v>Levi &amp; Korsinsky, LLP; Pomerantz LLP</v>
          </cell>
        </row>
        <row r="197">
          <cell r="A197" t="str">
            <v>Horsehead Holding Corporation</v>
          </cell>
          <cell r="B197" t="str">
            <v>04/22/2016</v>
          </cell>
          <cell r="C197" t="str">
            <v>Andrews &amp; Springer, LLC; Bronstein, Gewirtz &amp; Grossman, LLC; Pomerantz LLP; Robbins, Geller, Rudman &amp; Dowd, LLP</v>
          </cell>
        </row>
        <row r="198">
          <cell r="A198" t="str">
            <v>Hortonworks, Inc.</v>
          </cell>
          <cell r="B198" t="str">
            <v>02/29/2016</v>
          </cell>
          <cell r="C198" t="str">
            <v>Pomerantz LLP</v>
          </cell>
        </row>
        <row r="199">
          <cell r="A199" t="str">
            <v>Huazhu Group Ltd.</v>
          </cell>
          <cell r="B199" t="str">
            <v>10/08/2018</v>
          </cell>
          <cell r="C199" t="str">
            <v>Glancy Prongay &amp; Murray, LLP; Law Offices of Howard G. Smith</v>
          </cell>
        </row>
        <row r="200">
          <cell r="A200" t="str">
            <v>Illumina Inc.</v>
          </cell>
          <cell r="B200" t="str">
            <v>12/16/2016</v>
          </cell>
          <cell r="C200" t="str">
            <v>Glancy Prongay &amp; Murray, LLP; Law Offices of Howard G. Smith; Pomerantz LLP</v>
          </cell>
        </row>
        <row r="201">
          <cell r="A201" t="str">
            <v>ImmunoCellular Therapeutics Ltd.</v>
          </cell>
          <cell r="B201" t="str">
            <v>05/01/2017</v>
          </cell>
          <cell r="C201" t="str">
            <v>Glancy Prongay &amp; Murray, LLP; Wolf Popper LLP</v>
          </cell>
        </row>
        <row r="202">
          <cell r="A202" t="str">
            <v>Immunomedics, Inc.</v>
          </cell>
          <cell r="B202" t="str">
            <v>06/09/2016</v>
          </cell>
          <cell r="C202" t="str">
            <v>Block &amp; Leviton LLP; Gardy &amp; Notis, LLP; Lite Depalma Greenberg, LLC; Pomerantz LLP</v>
          </cell>
        </row>
        <row r="203">
          <cell r="A203" t="str">
            <v>Impax Laboratories, Inc.</v>
          </cell>
          <cell r="B203" t="str">
            <v>11/10/2016</v>
          </cell>
          <cell r="C203" t="str">
            <v>The Rosen Law Firm, P.A.</v>
          </cell>
        </row>
        <row r="204">
          <cell r="A204" t="str">
            <v>Impinj, Inc.</v>
          </cell>
          <cell r="B204" t="str">
            <v>08/27/2018</v>
          </cell>
          <cell r="C204" t="str">
            <v>Hagens Berman Sobol Shapiro LLP; Holzer &amp; Holzer, LLC; Robbins, Geller, Rudman &amp; Dowd, LLP</v>
          </cell>
        </row>
        <row r="205">
          <cell r="A205" t="str">
            <v>Imprivata, Inc.</v>
          </cell>
          <cell r="B205" t="str">
            <v>02/02/2016</v>
          </cell>
          <cell r="C205" t="str">
            <v>Law Office of Alan L. Kovacs; Robbins, Geller, Rudman &amp; Dowd, LLP</v>
          </cell>
        </row>
        <row r="206">
          <cell r="A206" t="str">
            <v>INC Research Holdings, Inc.</v>
          </cell>
          <cell r="B206" t="str">
            <v>12/01/2017</v>
          </cell>
          <cell r="C206" t="str">
            <v>Glancy Prongay &amp; Murray, LLP; Holzer &amp; Holzer, LLC</v>
          </cell>
        </row>
        <row r="207">
          <cell r="A207" t="str">
            <v>InfuSystem Holdings, Inc.</v>
          </cell>
          <cell r="B207" t="str">
            <v>11/08/2016</v>
          </cell>
          <cell r="C207" t="str">
            <v>The Rosen Law Firm, P.A.</v>
          </cell>
        </row>
        <row r="208">
          <cell r="A208" t="str">
            <v>InnerWorkings, Inc.</v>
          </cell>
          <cell r="B208" t="str">
            <v>05/10/2018</v>
          </cell>
          <cell r="C208" t="str">
            <v>The Rosen Law Firm, P.A.</v>
          </cell>
        </row>
        <row r="209">
          <cell r="A209" t="str">
            <v>Innocoll Holdings Public Limited Company</v>
          </cell>
          <cell r="B209" t="str">
            <v>01/24/2017</v>
          </cell>
          <cell r="C209" t="str">
            <v>Brodsky &amp; Smith, LLC; Bronstein, Gewirtz &amp; Grossman, LLC; Pomerantz LLP; The Rosen Law Firm, P.A.</v>
          </cell>
        </row>
        <row r="210">
          <cell r="A210" t="str">
            <v>Inotek Pharmaceuticals Corporation</v>
          </cell>
          <cell r="B210" t="str">
            <v>01/06/2017</v>
          </cell>
          <cell r="C210" t="str">
            <v>Levi &amp; Korsinsky, LLP</v>
          </cell>
        </row>
        <row r="211">
          <cell r="A211" t="str">
            <v>Inovalon Holdings, Inc.</v>
          </cell>
          <cell r="B211" t="str">
            <v>06/24/2016</v>
          </cell>
          <cell r="C211" t="str">
            <v>Bronstein, Gewirtz &amp; Grossman, LLC; Johnson &amp; Weaver LLP; Pomerantz LLP; Robbins, Geller, Rudman &amp; Dowd, LLP</v>
          </cell>
        </row>
        <row r="212">
          <cell r="A212" t="str">
            <v>Insmed Incorporated</v>
          </cell>
          <cell r="B212" t="str">
            <v>07/15/2016</v>
          </cell>
          <cell r="C212" t="str">
            <v>Bronstein, Gewirtz &amp; Grossman, LLC; Lite Depalma Greenberg, LLC; Pomerantz LLP</v>
          </cell>
        </row>
        <row r="213">
          <cell r="A213" t="str">
            <v>Insys Therapeutics Incorporated</v>
          </cell>
          <cell r="B213" t="str">
            <v>02/02/2016</v>
          </cell>
          <cell r="C213" t="str">
            <v>Bonnett, Fairbourn, Friedman &amp; Balint, P.C.; Goldberg Law PC; Kessler Topaz  Meltzer &amp; Check, LLP</v>
          </cell>
        </row>
        <row r="214">
          <cell r="A214" t="str">
            <v>IntelliPharmaCeutics International, Inc.</v>
          </cell>
          <cell r="B214" t="str">
            <v>07/28/2017</v>
          </cell>
          <cell r="C214" t="str">
            <v>Bronstein, Gewirtz &amp; Grossman, LLC; Kahn Swick &amp; Foti, LLC; Levi &amp; Korsinsky, LLP; Pomerantz LLP</v>
          </cell>
        </row>
        <row r="215">
          <cell r="A215" t="str">
            <v>Intercept Pharmaceuticals, Inc.</v>
          </cell>
          <cell r="B215" t="str">
            <v>09/27/2017</v>
          </cell>
          <cell r="C215" t="str">
            <v>Pomerantz LLP</v>
          </cell>
        </row>
        <row r="216">
          <cell r="A216" t="str">
            <v>Intra-Cellular Therapies, Inc</v>
          </cell>
          <cell r="B216" t="str">
            <v>05/12/2017</v>
          </cell>
          <cell r="C216" t="str">
            <v>Pomerantz LLP; The Rosen Law Firm, P.A.</v>
          </cell>
        </row>
        <row r="217">
          <cell r="A217" t="str">
            <v>Intrexon Corporation</v>
          </cell>
          <cell r="B217" t="str">
            <v>05/03/2016</v>
          </cell>
          <cell r="C217" t="str">
            <v>Bronstein, Gewirtz &amp; Grossman, LLC; Pomerantz LLP; The Rosen Law Firm, P.A.</v>
          </cell>
        </row>
        <row r="218">
          <cell r="A218" t="str">
            <v>Inventure Foods Incorporated</v>
          </cell>
          <cell r="B218" t="str">
            <v>03/28/2017</v>
          </cell>
          <cell r="C218" t="str">
            <v>Glancy Prongay &amp; Murray, LLP; Martin &amp; Bonnett, PLLC; Pomerantz LLP; Tiffany &amp; Bosco, PA</v>
          </cell>
        </row>
        <row r="219">
          <cell r="A219" t="str">
            <v>Invuity, Inc.</v>
          </cell>
          <cell r="B219" t="str">
            <v>02/27/2017</v>
          </cell>
          <cell r="C219" t="str">
            <v>Glancy Prongay &amp; Murray, LLP; Holzer &amp; Holzer, LLC</v>
          </cell>
        </row>
        <row r="220">
          <cell r="A220" t="str">
            <v>J. Jill, Inc.</v>
          </cell>
          <cell r="B220" t="str">
            <v>10/13/2017</v>
          </cell>
          <cell r="C220" t="str">
            <v>Block &amp; Leviton LLP; Hutchings, Barsamian, Mandelcorn, LLP; Johnson Fistel, LLP; Kaplan Fox &amp; Kilsheimer LLP; Pomerantz LLP; Robbins, Geller, Rudman &amp; Dowd, LLP; Shapiro Haber &amp; Urmy LLP</v>
          </cell>
        </row>
        <row r="221">
          <cell r="A221" t="str">
            <v>Jianpu Technology Inc.</v>
          </cell>
          <cell r="B221" t="str">
            <v>10/25/2018</v>
          </cell>
          <cell r="C221" t="str">
            <v>Abraham, Fruchter &amp; Twersky, LLP; Robbins, Geller, Rudman &amp; Dowd, LLP</v>
          </cell>
        </row>
        <row r="222">
          <cell r="A222" t="str">
            <v>Johnson and Johnson</v>
          </cell>
          <cell r="B222" t="str">
            <v>02/08/2018</v>
          </cell>
          <cell r="C222" t="str">
            <v>Ben Crump Law PLLC; The Rosen Law Firm, P.A.</v>
          </cell>
        </row>
        <row r="223">
          <cell r="A223" t="str">
            <v>Juno Therapeutics, Inc.</v>
          </cell>
          <cell r="B223" t="str">
            <v>07/12/2016</v>
          </cell>
          <cell r="C223" t="str">
            <v>Badgley Mullins Turner PLLC; Block &amp; Leviton LLP; Glancy Prongay &amp; Murray, LLP; Law Offices of Clifford A. Cantor, P.C; Pomerantz LLP; Tousley Brain Stephens PLLC</v>
          </cell>
        </row>
        <row r="224">
          <cell r="A224" t="str">
            <v>K12 Inc.</v>
          </cell>
          <cell r="B224" t="str">
            <v>07/20/2016</v>
          </cell>
          <cell r="C224" t="str">
            <v>Bragar Eagel &amp; Squire, PC; Glancy Prongay &amp; Murray, LLP; The Wagner Firm</v>
          </cell>
        </row>
        <row r="225">
          <cell r="A225" t="str">
            <v>Kandi Technologies Group, Inc.</v>
          </cell>
          <cell r="B225" t="str">
            <v>03/16/2017</v>
          </cell>
          <cell r="C225" t="str">
            <v>Bronstein, Gewirtz &amp; Grossman, LLC; Gainey McKenna &amp; Egleston; Pomerantz LLP</v>
          </cell>
        </row>
        <row r="226">
          <cell r="A226" t="str">
            <v>Katanga Mining Limited</v>
          </cell>
          <cell r="B226" t="str">
            <v>11/29/2017</v>
          </cell>
          <cell r="C226" t="str">
            <v>The Rosen Law Firm, P.A.</v>
          </cell>
        </row>
        <row r="227">
          <cell r="A227" t="str">
            <v>KBR, Inc.</v>
          </cell>
          <cell r="B227" t="str">
            <v>05/03/2017</v>
          </cell>
          <cell r="C227" t="str">
            <v>Pomerantz LLP; The Briscoe Law Firm, PLLC</v>
          </cell>
        </row>
        <row r="228">
          <cell r="A228" t="str">
            <v>Keryx Biopharmaceuticals, Inc.</v>
          </cell>
          <cell r="B228" t="str">
            <v>08/02/2016</v>
          </cell>
          <cell r="C228" t="str">
            <v>Glancy Prongay &amp; Murray, LLP</v>
          </cell>
        </row>
        <row r="229">
          <cell r="A229" t="str">
            <v>Kitov Pharmaceuticals Holdings Ltd.</v>
          </cell>
          <cell r="B229" t="str">
            <v>02/07/2017</v>
          </cell>
          <cell r="C229" t="str">
            <v>Goldberg Law PC; Pomerantz LLP</v>
          </cell>
        </row>
        <row r="230">
          <cell r="A230" t="str">
            <v>KLX, Inc.</v>
          </cell>
          <cell r="B230" t="str">
            <v>01/06/2016</v>
          </cell>
          <cell r="C230" t="str">
            <v>Cullin O'Brien Law, P.A.; Levi &amp; Korsinsky, LLP</v>
          </cell>
        </row>
        <row r="231">
          <cell r="A231" t="str">
            <v>Kobe Steel, Ltd.</v>
          </cell>
          <cell r="B231" t="str">
            <v>12/26/2017</v>
          </cell>
          <cell r="C231" t="str">
            <v>U.S. Market Advisors Law Group PLLC; Wolf Popper LLP</v>
          </cell>
        </row>
        <row r="232">
          <cell r="A232" t="str">
            <v>Kraton Corporation</v>
          </cell>
          <cell r="B232" t="str">
            <v>02/26/2018</v>
          </cell>
          <cell r="C232" t="str">
            <v>Steckler Gresham Cochran; The Rosen Law Firm, P.A.</v>
          </cell>
        </row>
        <row r="233">
          <cell r="A233" t="str">
            <v>Kulicke and Soffa Industries, Inc.</v>
          </cell>
          <cell r="B233" t="str">
            <v>05/11/2018</v>
          </cell>
          <cell r="C233" t="str">
            <v>The Rosen Law Firm, P.A.</v>
          </cell>
        </row>
        <row r="234">
          <cell r="A234" t="str">
            <v>La Quinta Holdings Inc.</v>
          </cell>
          <cell r="B234" t="str">
            <v>04/25/2016</v>
          </cell>
          <cell r="C234" t="str">
            <v>Robbins, Geller, Rudman &amp; Dowd, LLP</v>
          </cell>
        </row>
        <row r="235">
          <cell r="A235" t="str">
            <v>Lexmark International, Inc.</v>
          </cell>
          <cell r="B235" t="str">
            <v>07/20/2017</v>
          </cell>
          <cell r="C235" t="str">
            <v>Labaton Sucharow LLP</v>
          </cell>
        </row>
        <row r="236">
          <cell r="A236" t="str">
            <v>Liberty Tax, Inc.</v>
          </cell>
          <cell r="B236" t="str">
            <v>12/15/2017</v>
          </cell>
          <cell r="C236" t="str">
            <v>Glancy Prongay &amp; Murray, LLP; Holzer &amp; Holzer, LLC; The Rosen Law Firm, P.A.</v>
          </cell>
        </row>
        <row r="237">
          <cell r="A237" t="str">
            <v>LifeVantage Corporation</v>
          </cell>
          <cell r="B237" t="str">
            <v>09/15/2016</v>
          </cell>
          <cell r="C237" t="str">
            <v>Goldberg Law PC; Pomerantz LLP</v>
          </cell>
        </row>
        <row r="238">
          <cell r="A238" t="str">
            <v>Ligand Pharmaceuticals Incorporated</v>
          </cell>
          <cell r="B238" t="str">
            <v>11/17/2016</v>
          </cell>
          <cell r="C238" t="str">
            <v>The Rosen Law Firm, P.A.</v>
          </cell>
        </row>
        <row r="239">
          <cell r="A239" t="str">
            <v>Linkwell Corporation</v>
          </cell>
          <cell r="B239" t="str">
            <v>10/24/2016</v>
          </cell>
          <cell r="C239" t="str">
            <v>Fischler &amp; Friedman, P.A.; Wolf Haldenstein Adler Freeman &amp; Herz LLP</v>
          </cell>
        </row>
        <row r="240">
          <cell r="A240" t="str">
            <v>Lion Biotechnologies, Inc.</v>
          </cell>
          <cell r="B240" t="str">
            <v>04/14/2017</v>
          </cell>
          <cell r="C240" t="str">
            <v>The Rosen Law Firm, P.A.</v>
          </cell>
        </row>
        <row r="241">
          <cell r="A241" t="str">
            <v>Lipocine Incorporated</v>
          </cell>
          <cell r="B241" t="str">
            <v>07/01/2016</v>
          </cell>
          <cell r="C241" t="str">
            <v>Lite Depalma Greenberg, LLC; Pomerantz LLP; The Rosen Law Firm, P.A.</v>
          </cell>
        </row>
        <row r="242">
          <cell r="A242" t="str">
            <v>Live Nation Entertainment, Inc.</v>
          </cell>
          <cell r="B242" t="str">
            <v>04/18/2018</v>
          </cell>
          <cell r="C242" t="str">
            <v>Glancy Prongay &amp; Murray, LLP; Holzer &amp; Holzer, LLC</v>
          </cell>
        </row>
        <row r="243">
          <cell r="A243" t="str">
            <v>Live Ventures Incorporated</v>
          </cell>
          <cell r="B243" t="str">
            <v>05/05/2017</v>
          </cell>
          <cell r="C243" t="str">
            <v>Aldrich Law Firm, Ltd.; Lifshitz &amp; Miller</v>
          </cell>
        </row>
        <row r="244">
          <cell r="A244" t="str">
            <v>LogMeIn, Inc.</v>
          </cell>
          <cell r="B244" t="str">
            <v>08/20/2018</v>
          </cell>
          <cell r="C244" t="str">
            <v>The Rosen Law Firm, P.A.</v>
          </cell>
        </row>
        <row r="245">
          <cell r="A245" t="str">
            <v>Longfin Corp.</v>
          </cell>
          <cell r="B245" t="str">
            <v>11/14/2018</v>
          </cell>
          <cell r="C245" t="str">
            <v>Glancy Prongay &amp; Murray, LLP</v>
          </cell>
        </row>
        <row r="246">
          <cell r="A246" t="str">
            <v>LPL Financial Holdings Inc.</v>
          </cell>
          <cell r="B246" t="str">
            <v>03/22/2016</v>
          </cell>
          <cell r="C246" t="str">
            <v>Robbins, Geller, Rudman &amp; Dowd, LLP; VanOverbeke Michaud &amp; Timmony, P.C.</v>
          </cell>
        </row>
        <row r="247">
          <cell r="A247" t="str">
            <v>Macquarie Infrastructure Corporation</v>
          </cell>
          <cell r="B247" t="str">
            <v>04/23/2018</v>
          </cell>
          <cell r="C247" t="str">
            <v>Bernstein Litowitz Berger &amp; Grossmann LLP</v>
          </cell>
        </row>
        <row r="248">
          <cell r="A248" t="str">
            <v>magicJack Vocaltec Ltd.</v>
          </cell>
          <cell r="B248" t="str">
            <v>03/11/2016</v>
          </cell>
          <cell r="C248" t="str">
            <v>Levi &amp; Korsinsky, LLP</v>
          </cell>
        </row>
        <row r="249">
          <cell r="A249" t="str">
            <v>Mallinckrodt PLC</v>
          </cell>
          <cell r="B249" t="str">
            <v>01/23/2017</v>
          </cell>
          <cell r="C249" t="str">
            <v>Cohen Milstein Sellers &amp; Toll PLLC; Finkelstein Thompson LLP; Kahn Swick &amp; Foti, LLC; Kessler Topaz  Meltzer &amp; Check, LLP; Levi &amp; Korsinsky, LLP; Michael Weitzner Attorney at Law; Saxena White P.A.</v>
          </cell>
        </row>
        <row r="250">
          <cell r="A250" t="str">
            <v>Match Group, Inc.</v>
          </cell>
          <cell r="B250" t="str">
            <v>02/26/2016</v>
          </cell>
          <cell r="C250" t="str">
            <v>Bronstein, Gewirtz &amp; Grossman, LLC; Gainey McKenna &amp; Egleston; Lackey Hershman, LLP; Pomerantz LLP; The Briscoe Law Firm, PLLC</v>
          </cell>
        </row>
        <row r="251">
          <cell r="A251" t="str">
            <v>Mattel, Inc.</v>
          </cell>
          <cell r="B251" t="str">
            <v>06/27/2017</v>
          </cell>
          <cell r="C251" t="str">
            <v>Bronstein, Gewirtz &amp; Grossman, LLC; Pomerantz LLP; Robbins, Geller, Rudman &amp; Dowd, LLP; VanOverbeke Michaud &amp; Timmony, P.C.</v>
          </cell>
        </row>
        <row r="252">
          <cell r="A252" t="str">
            <v>Maximus, Inc.</v>
          </cell>
          <cell r="B252" t="str">
            <v>08/04/2017</v>
          </cell>
          <cell r="C252" t="str">
            <v>Labaton Sucharow LLP; Law Offices of Susan R. Podolsky</v>
          </cell>
        </row>
        <row r="253">
          <cell r="A253" t="str">
            <v>Mazor Robotics Ltd.</v>
          </cell>
          <cell r="B253" t="str">
            <v>06/09/2017</v>
          </cell>
          <cell r="C253" t="str">
            <v>Bronstein, Gewirtz &amp; Grossman, LLC; Glancy Prongay &amp; Murray, LLP; Pomerantz LLP</v>
          </cell>
        </row>
        <row r="254">
          <cell r="A254" t="str">
            <v>McKesson Corporation</v>
          </cell>
          <cell r="B254" t="str">
            <v>10/25/2018</v>
          </cell>
          <cell r="C254" t="str">
            <v>Bleichmar Fonti &amp; Auld LLP</v>
          </cell>
        </row>
        <row r="255">
          <cell r="A255" t="str">
            <v>Mednax, Inc.</v>
          </cell>
          <cell r="B255" t="str">
            <v>07/10/2018</v>
          </cell>
          <cell r="C255" t="str">
            <v>Bernstein Litowitz Berger &amp; Grossmann LLP; Klausner, Kaufman, Jensen &amp; Levinson</v>
          </cell>
        </row>
        <row r="256">
          <cell r="A256" t="str">
            <v>Mentor Graphics Corporation</v>
          </cell>
          <cell r="B256" t="str">
            <v>03/18/2016</v>
          </cell>
          <cell r="C256" t="str">
            <v>Holzer &amp; Holzer, LLC; Robbins, Geller, Rudman &amp; Dowd, LLP; Stoll Stoll Berne Lokting &amp; Schlachter P.C.</v>
          </cell>
        </row>
        <row r="257">
          <cell r="A257" t="str">
            <v>Mercury Systems, Inc.</v>
          </cell>
          <cell r="B257" t="str">
            <v>07/10/2018</v>
          </cell>
          <cell r="C257" t="str">
            <v>Levi &amp; Korsinsky, LLP</v>
          </cell>
        </row>
        <row r="258">
          <cell r="A258" t="str">
            <v>Meridian Bioscience, Inc.</v>
          </cell>
          <cell r="B258" t="str">
            <v>11/15/2017</v>
          </cell>
          <cell r="C258" t="str">
            <v>Levi &amp; Korsinsky, LLP; Perantinides &amp; Nolan Co., L.P.A.</v>
          </cell>
        </row>
        <row r="259">
          <cell r="A259" t="str">
            <v>MetLife, Inc.</v>
          </cell>
          <cell r="B259" t="str">
            <v>02/05/2018</v>
          </cell>
          <cell r="C259" t="str">
            <v>The Rosen Law Firm, P.A.</v>
          </cell>
        </row>
        <row r="260">
          <cell r="A260" t="str">
            <v>Micro Focus International plc</v>
          </cell>
          <cell r="B260" t="str">
            <v>05/23/2018</v>
          </cell>
          <cell r="C260" t="str">
            <v>The Rosen Law Firm, P.A.</v>
          </cell>
        </row>
        <row r="261">
          <cell r="A261" t="str">
            <v>Microchip Technology Incorporated</v>
          </cell>
          <cell r="B261" t="str">
            <v>09/14/2018</v>
          </cell>
          <cell r="C261" t="str">
            <v>Bonnett, Fairbourn, Friedman &amp; Balint, P.C.; Wolf Popper LLP</v>
          </cell>
        </row>
        <row r="262">
          <cell r="A262" t="str">
            <v>Miller Energy Resources, Inc.</v>
          </cell>
          <cell r="B262" t="str">
            <v>03/15/2016</v>
          </cell>
          <cell r="C262" t="str">
            <v>Gordon Ball PLLC</v>
          </cell>
        </row>
        <row r="263">
          <cell r="A263" t="str">
            <v>MiMedx Group, Inc.</v>
          </cell>
          <cell r="B263" t="str">
            <v>02/23/2018</v>
          </cell>
          <cell r="C263" t="str">
            <v>Block &amp; Leviton LLP; Holzer &amp; Holzer, LLC</v>
          </cell>
        </row>
        <row r="264">
          <cell r="A264" t="str">
            <v>Misonix, Inc.</v>
          </cell>
          <cell r="B264" t="str">
            <v>09/19/2016</v>
          </cell>
          <cell r="C264" t="str">
            <v>The Rosen Law Firm, P.A.</v>
          </cell>
        </row>
        <row r="265">
          <cell r="A265" t="str">
            <v>Molina Healthcare, Inc.</v>
          </cell>
          <cell r="B265" t="str">
            <v>04/27/2018</v>
          </cell>
          <cell r="C265" t="str">
            <v>Glancy Prongay &amp; Murray, LLP; Labaton Sucharow LLP</v>
          </cell>
        </row>
        <row r="266">
          <cell r="A266" t="str">
            <v>Monaker Group, Inc.</v>
          </cell>
          <cell r="B266" t="str">
            <v>12/09/2016</v>
          </cell>
          <cell r="C266" t="str">
            <v>Crabtree &amp; Auslander</v>
          </cell>
        </row>
        <row r="267">
          <cell r="A267" t="str">
            <v>Mylan, N.V.</v>
          </cell>
          <cell r="B267" t="str">
            <v>10/11/2016</v>
          </cell>
          <cell r="C267" t="str">
            <v>Pomerantz LLP; The Rosen Law Firm, P.A.</v>
          </cell>
        </row>
        <row r="268">
          <cell r="A268" t="str">
            <v>Myriad Genetics, Inc.</v>
          </cell>
          <cell r="B268" t="str">
            <v>04/20/2018</v>
          </cell>
          <cell r="C268" t="str">
            <v>Peters Scofield; Pomerantz LLP</v>
          </cell>
        </row>
        <row r="269">
          <cell r="A269" t="str">
            <v>NantHealth, Inc.</v>
          </cell>
          <cell r="B269" t="str">
            <v>03/07/2017</v>
          </cell>
          <cell r="C269" t="str">
            <v>Glancy Prongay &amp; Murray, LLP; Goldberg Law PC; Levi &amp; Korsinsky, LLP; Pomerantz LLP</v>
          </cell>
        </row>
        <row r="270">
          <cell r="A270" t="str">
            <v>NantKwest, Inc.</v>
          </cell>
          <cell r="B270" t="str">
            <v>03/22/2016</v>
          </cell>
          <cell r="C270" t="str">
            <v>Bottini &amp; Bottini, Inc.; Bragar Eagel &amp; Squire, PC; Bronstein, Gewirtz &amp; Grossman, LLC; Glancy Prongay &amp; Murray, LLP; Goldberg Law PC; Pomerantz LLP; Robbins, Geller, Rudman &amp; Dowd, LLP; Stull, Stull &amp; Brody</v>
          </cell>
        </row>
        <row r="271">
          <cell r="A271" t="str">
            <v>National Beverage Corporation</v>
          </cell>
          <cell r="B271" t="str">
            <v>10/06/2016</v>
          </cell>
          <cell r="C271" t="str">
            <v>The Rosen Law Firm, P.A.</v>
          </cell>
        </row>
        <row r="272">
          <cell r="A272" t="str">
            <v>Natural Health Trends Corporation</v>
          </cell>
          <cell r="B272" t="str">
            <v>01/12/2016</v>
          </cell>
          <cell r="C272" t="str">
            <v>Pomerantz LLP; The Rosen Law Firm, P.A.</v>
          </cell>
        </row>
        <row r="273">
          <cell r="A273" t="str">
            <v>Natus Medical Incorporated</v>
          </cell>
          <cell r="B273" t="str">
            <v>01/30/2017</v>
          </cell>
          <cell r="C273" t="str">
            <v>Johnson &amp; Weaver LLP; Robbins, Geller, Rudman &amp; Dowd, LLP</v>
          </cell>
        </row>
        <row r="274">
          <cell r="A274" t="str">
            <v>Neovasc Inc.</v>
          </cell>
          <cell r="B274" t="str">
            <v>06/06/2016</v>
          </cell>
          <cell r="C274" t="str">
            <v>Saxena White P.A.</v>
          </cell>
        </row>
        <row r="275">
          <cell r="A275" t="str">
            <v>Netflix, Inc.</v>
          </cell>
          <cell r="B275" t="str">
            <v>03/01/2017</v>
          </cell>
          <cell r="C275" t="str">
            <v>Finkelstein &amp; Krinsk LLP; Kahn Swick &amp; Foti, LLC</v>
          </cell>
        </row>
        <row r="276">
          <cell r="A276" t="str">
            <v>Neurotrope, Inc.</v>
          </cell>
          <cell r="B276" t="str">
            <v>05/17/2017</v>
          </cell>
          <cell r="C276" t="str">
            <v>Bronstein, Gewirtz &amp; Grossman, LLC; Levi &amp; Korsinsky, LLP; Pomerantz LLP</v>
          </cell>
        </row>
        <row r="277">
          <cell r="A277" t="str">
            <v>Nevro Corporation</v>
          </cell>
          <cell r="B277" t="str">
            <v>08/23/2018</v>
          </cell>
          <cell r="C277" t="str">
            <v>Saxena White P.A.</v>
          </cell>
        </row>
        <row r="278">
          <cell r="A278" t="str">
            <v>New Oriental Education</v>
          </cell>
          <cell r="B278" t="str">
            <v>12/15/2016</v>
          </cell>
          <cell r="C278" t="str">
            <v>The Rosen Law Firm, P.A.</v>
          </cell>
        </row>
        <row r="279">
          <cell r="A279" t="str">
            <v>Newell Brands, Inc.</v>
          </cell>
          <cell r="B279" t="str">
            <v>06/21/2018</v>
          </cell>
          <cell r="C279" t="str">
            <v>Bronstein, Gewirtz &amp; Grossman, LLC; Carella, Byrne, Cecchi, Olstein, Brody &amp; Agnello P.C.; Lite Depalma Greenberg, LLC; Pomerantz LLP; Robbins, Geller, Rudman &amp; Dowd, LLP</v>
          </cell>
        </row>
        <row r="280">
          <cell r="A280" t="str">
            <v>NewLink Genetics Corporation</v>
          </cell>
          <cell r="B280" t="str">
            <v>05/12/2016</v>
          </cell>
          <cell r="C280" t="str">
            <v>Bronstein, Gewirtz &amp; Grossman, LLC; Pomerantz LLP</v>
          </cell>
        </row>
        <row r="281">
          <cell r="A281" t="str">
            <v>Nielsen Holdings PLC</v>
          </cell>
          <cell r="B281" t="str">
            <v>08/08/2018</v>
          </cell>
          <cell r="C281" t="str">
            <v>Robbins, Geller, Rudman &amp; Dowd, LLP</v>
          </cell>
        </row>
        <row r="282">
          <cell r="A282" t="str">
            <v>Nobilis Health Corporation</v>
          </cell>
          <cell r="B282" t="str">
            <v>01/19/2016</v>
          </cell>
          <cell r="C282" t="str">
            <v>Pomerantz LLP; The Briscoe Law Firm, PLLC</v>
          </cell>
        </row>
        <row r="283">
          <cell r="A283" t="str">
            <v>Northern Dynasty Minerals Ltd.</v>
          </cell>
          <cell r="B283" t="str">
            <v>02/15/2017</v>
          </cell>
          <cell r="C283" t="str">
            <v>The Rosen Law Firm, P.A.</v>
          </cell>
        </row>
        <row r="284">
          <cell r="A284" t="str">
            <v>Northern Oil and Gas, Inc.</v>
          </cell>
          <cell r="B284" t="str">
            <v>08/18/2016</v>
          </cell>
          <cell r="C284" t="str">
            <v>Bronstein, Gewirtz &amp; Grossman, LLC; Pomerantz LLP</v>
          </cell>
        </row>
        <row r="285">
          <cell r="A285" t="str">
            <v>Novan, Inc.</v>
          </cell>
          <cell r="B285" t="str">
            <v>11/03/2017</v>
          </cell>
          <cell r="C285" t="str">
            <v>Bronstein, Gewirtz &amp; Grossman, LLC; Holzer &amp; Holzer, LLC; Johnson Fistel, LLP; McDaniel &amp; Anderson, LLP; Pomerantz LLP; Robbins, Geller, Rudman &amp; Dowd, LLP; Schiller &amp; Schiller, P.L.L.C.</v>
          </cell>
        </row>
        <row r="286">
          <cell r="A286" t="str">
            <v>Novo Nordisk A/S</v>
          </cell>
          <cell r="B286" t="str">
            <v>01/11/2017</v>
          </cell>
          <cell r="C286" t="str">
            <v>Levi &amp; Korsinsky, LLP; Lite Depalma Greenberg, LLC; Pomerantz LLP</v>
          </cell>
        </row>
        <row r="287">
          <cell r="A287" t="str">
            <v>NQ Mobile, Inc.</v>
          </cell>
          <cell r="B287" t="str">
            <v>02/10/2018</v>
          </cell>
          <cell r="C287" t="str">
            <v>Steckler Gresham Cochran; The Rosen Law Firm, P.A.</v>
          </cell>
        </row>
        <row r="288">
          <cell r="A288" t="str">
            <v>Obalon Therapeutics, Inc.</v>
          </cell>
          <cell r="B288" t="str">
            <v>02/14/2018</v>
          </cell>
          <cell r="C288" t="str">
            <v>Glancy Prongay &amp; Murray, LLP; Pomerantz LLP</v>
          </cell>
        </row>
        <row r="289">
          <cell r="A289" t="str">
            <v>Ocular Therapeutix, Inc.</v>
          </cell>
          <cell r="B289" t="str">
            <v>07/07/2017</v>
          </cell>
          <cell r="C289" t="str">
            <v>Levi &amp; Korsinsky, LLP; Lite Depalma Greenberg, LLC; Pomerantz LLP; The Rosen Law Firm, P.A.</v>
          </cell>
        </row>
        <row r="290">
          <cell r="A290" t="str">
            <v>Ocwen Financial Corporation</v>
          </cell>
          <cell r="B290" t="str">
            <v>04/21/2017</v>
          </cell>
          <cell r="C290" t="str">
            <v>Desmond Law Firm, P.C.; Glancy Prongay &amp; Murray, LLP; Pomerantz LLP; Shepherd, Finkelman, Miller &amp; Shah, LLP</v>
          </cell>
        </row>
        <row r="291">
          <cell r="A291" t="str">
            <v>Ohr Pharmaceutical, Inc.</v>
          </cell>
          <cell r="B291" t="str">
            <v>02/14/2018</v>
          </cell>
          <cell r="C291" t="str">
            <v>Levi &amp; Korsinsky, LLP</v>
          </cell>
        </row>
        <row r="292">
          <cell r="A292" t="str">
            <v>Omega Healthcare Investors, Inc.</v>
          </cell>
          <cell r="B292" t="str">
            <v>11/16/2017</v>
          </cell>
          <cell r="C292" t="str">
            <v>Glancy Prongay &amp; Murray, LLP; Pomerantz LLP</v>
          </cell>
        </row>
        <row r="293">
          <cell r="A293" t="str">
            <v>Omega Protein Corporation</v>
          </cell>
          <cell r="B293" t="str">
            <v>04/05/2017</v>
          </cell>
          <cell r="C293" t="str">
            <v>Goldberg Law PC; Pomerantz LLP; The Rosen Law Firm, P.A.</v>
          </cell>
        </row>
        <row r="294">
          <cell r="A294" t="str">
            <v>OneMain Holdings, Inc.</v>
          </cell>
          <cell r="B294" t="str">
            <v>01/17/2017</v>
          </cell>
          <cell r="C294" t="str">
            <v>Lifshitz &amp; Miller; Parr Richey Obremskey Frandsen &amp; Patterson LLP</v>
          </cell>
        </row>
        <row r="295">
          <cell r="A295" t="str">
            <v>Ophthotech Corporation</v>
          </cell>
          <cell r="B295" t="str">
            <v>01/11/2017</v>
          </cell>
          <cell r="C295" t="str">
            <v>Levi &amp; Korsinsky, LLP</v>
          </cell>
        </row>
        <row r="296">
          <cell r="A296" t="str">
            <v>Opko Health, Inc.</v>
          </cell>
          <cell r="B296" t="str">
            <v>09/12/2018</v>
          </cell>
          <cell r="C296" t="str">
            <v>The Rosen Law Firm, P.A.</v>
          </cell>
        </row>
        <row r="297">
          <cell r="A297" t="str">
            <v>Opus Bank</v>
          </cell>
          <cell r="B297" t="str">
            <v>10/26/2016</v>
          </cell>
          <cell r="C297" t="str">
            <v>Glancy Prongay &amp; Murray, LLP</v>
          </cell>
        </row>
        <row r="298">
          <cell r="A298" t="str">
            <v>Ormat Technologies, Inc.</v>
          </cell>
          <cell r="B298" t="str">
            <v>06/11/2018</v>
          </cell>
          <cell r="C298" t="str">
            <v>Bernstein Liebhard LLP; Leverty &amp; Associates Law CHTD</v>
          </cell>
        </row>
        <row r="299">
          <cell r="A299" t="str">
            <v>OSI Systems, Inc.</v>
          </cell>
          <cell r="B299" t="str">
            <v>12/07/2017</v>
          </cell>
          <cell r="C299" t="str">
            <v>Bronstein, Gewirtz &amp; Grossman, LLC; Glancy Prongay &amp; Murray, LLP; Kaplan Fox &amp; Kilsheimer LLP; Pomerantz LLP; Saxena White P.A.</v>
          </cell>
        </row>
        <row r="300">
          <cell r="A300" t="str">
            <v>Patriot National, Inc.</v>
          </cell>
          <cell r="B300" t="str">
            <v>03/14/2017</v>
          </cell>
          <cell r="C300" t="str">
            <v>Glancy Prongay &amp; Murray, LLP; Safirstein Metcalf LLP; The Grant Law Firm PLLC</v>
          </cell>
        </row>
        <row r="301">
          <cell r="A301" t="str">
            <v>Pattern Energy Group, Inc.</v>
          </cell>
          <cell r="B301" t="str">
            <v>11/11/2016</v>
          </cell>
          <cell r="C301" t="str">
            <v>Goldberg Law PC; Pomerantz LLP</v>
          </cell>
        </row>
        <row r="302">
          <cell r="A302" t="str">
            <v>Patterson Companies, Inc.</v>
          </cell>
          <cell r="B302" t="str">
            <v>03/28/2018</v>
          </cell>
          <cell r="C302" t="str">
            <v>Robins Kaplan LLP; Saxena White P.A.</v>
          </cell>
        </row>
        <row r="303">
          <cell r="A303" t="str">
            <v>PCM, Inc.</v>
          </cell>
          <cell r="B303" t="str">
            <v>05/03/2017</v>
          </cell>
          <cell r="C303" t="str">
            <v>The Rosen Law Firm, P.A.</v>
          </cell>
        </row>
        <row r="304">
          <cell r="A304" t="str">
            <v>Pearson plc</v>
          </cell>
          <cell r="B304" t="str">
            <v>02/24/2017</v>
          </cell>
          <cell r="C304" t="str">
            <v>Levi &amp; Korsinsky, LLP</v>
          </cell>
        </row>
        <row r="305">
          <cell r="A305" t="str">
            <v>Performance Sports Group Ltd.</v>
          </cell>
          <cell r="B305" t="str">
            <v>03/18/2016</v>
          </cell>
          <cell r="C305" t="str">
            <v>The Rosen Law Firm, P.A.</v>
          </cell>
        </row>
        <row r="306">
          <cell r="A306" t="str">
            <v>Perrigo Company plc</v>
          </cell>
          <cell r="B306" t="str">
            <v>05/18/2016</v>
          </cell>
          <cell r="C306" t="str">
            <v>Bernstein Litowitz Berger &amp; Grossmann LLP; Kantrowitz, Goldhamer &amp; Graifman; Lowenstein Sandler, LLP; Safirstein Metcalf LLP</v>
          </cell>
        </row>
        <row r="307">
          <cell r="A307" t="str">
            <v>PetMed Express, Inc.</v>
          </cell>
          <cell r="B307" t="str">
            <v>08/25/2017</v>
          </cell>
          <cell r="C307" t="str">
            <v>Bronstein, Gewirtz &amp; Grossman, LLC; Desmond Law Firm, P.C.; Glancy Prongay &amp; Murray, LLP; Pomerantz LLP; Shepherd, Finkelman, Miller &amp; Shah, LLP</v>
          </cell>
        </row>
        <row r="308">
          <cell r="A308" t="str">
            <v>PG&amp;E Corporation</v>
          </cell>
          <cell r="B308" t="str">
            <v>06/12/2018</v>
          </cell>
          <cell r="C308" t="str">
            <v>Levi &amp; Korsinsky, LLP; Pomerantz LLP</v>
          </cell>
        </row>
        <row r="309">
          <cell r="A309" t="str">
            <v>Pilgrim's Pride Corporation</v>
          </cell>
          <cell r="B309" t="str">
            <v>10/20/2016</v>
          </cell>
          <cell r="C309" t="str">
            <v>Goldberg Law PC; Pomerantz LLP</v>
          </cell>
        </row>
        <row r="310">
          <cell r="A310" t="str">
            <v>Pinduoduo Inc.</v>
          </cell>
          <cell r="B310" t="str">
            <v>08/21/2018</v>
          </cell>
          <cell r="C310" t="str">
            <v>Pomerantz LLP</v>
          </cell>
        </row>
        <row r="311">
          <cell r="A311" t="str">
            <v>Pingtan Marine Enterprise Ltd.</v>
          </cell>
          <cell r="B311" t="str">
            <v>06/23/2017</v>
          </cell>
          <cell r="C311" t="str">
            <v>The Rosen Law Firm, P.A.</v>
          </cell>
        </row>
        <row r="312">
          <cell r="A312" t="str">
            <v>PixarBio Corporation fka BMP Holdings, Inc.</v>
          </cell>
          <cell r="B312" t="str">
            <v>01/25/2017</v>
          </cell>
          <cell r="C312" t="str">
            <v>The Rosen Law Firm, P.A.</v>
          </cell>
        </row>
        <row r="313">
          <cell r="A313" t="str">
            <v>PJT Partners Inc.</v>
          </cell>
          <cell r="B313" t="str">
            <v>04/15/2016</v>
          </cell>
          <cell r="C313" t="str">
            <v>Bronstein, Gewirtz &amp; Grossman, LLC; Pomerantz LLP</v>
          </cell>
        </row>
        <row r="314">
          <cell r="A314" t="str">
            <v>Platform Specialty Products Corporation</v>
          </cell>
          <cell r="B314" t="str">
            <v>03/30/2016</v>
          </cell>
          <cell r="C314" t="str">
            <v>Goldberg Law PC; Pomerantz LLP</v>
          </cell>
        </row>
        <row r="315">
          <cell r="A315" t="str">
            <v>Platinum Pari-Mutuel Holdings, Inc.</v>
          </cell>
          <cell r="B315" t="str">
            <v>03/03/2017</v>
          </cell>
          <cell r="C315" t="str">
            <v>The Rosen Law Firm, P.A.</v>
          </cell>
        </row>
        <row r="316">
          <cell r="A316" t="str">
            <v>Polaris Industries, Inc.</v>
          </cell>
          <cell r="B316" t="str">
            <v>09/16/2016</v>
          </cell>
          <cell r="C316" t="str">
            <v>Glancy Prongay &amp; Murray, LLP; Law Offices of Howard G. Smith; Pomerantz LLP; Zimmerman Reed, PLLP</v>
          </cell>
        </row>
        <row r="317">
          <cell r="A317" t="str">
            <v>Power Solutions International, Inc.</v>
          </cell>
          <cell r="B317" t="str">
            <v>08/22/2016</v>
          </cell>
          <cell r="C317" t="str">
            <v>Goldberg Law PC; Lawrence Kamin, LLC; Pomerantz LLP; The Wagner Firm</v>
          </cell>
        </row>
        <row r="318">
          <cell r="A318" t="str">
            <v>PPG Industries, Inc.</v>
          </cell>
          <cell r="B318" t="str">
            <v>05/20/2018</v>
          </cell>
          <cell r="C318" t="str">
            <v>The Rosen Law Firm, P.A.</v>
          </cell>
        </row>
        <row r="319">
          <cell r="A319" t="str">
            <v>Precision Castparts Corporation</v>
          </cell>
          <cell r="B319" t="str">
            <v>03/25/2016</v>
          </cell>
          <cell r="C319" t="str">
            <v>Glancy Prongay &amp; Murray, LLP; Ransom, Gilbertson, Martin &amp; Ratliff LLP</v>
          </cell>
        </row>
        <row r="320">
          <cell r="A320" t="str">
            <v>Primero Mining Corporation</v>
          </cell>
          <cell r="B320" t="str">
            <v>02/15/2016</v>
          </cell>
          <cell r="C320" t="str">
            <v>Pomerantz LLP; The Rosen Law Firm, P.A.</v>
          </cell>
        </row>
        <row r="321">
          <cell r="A321" t="str">
            <v>ProNAi Therapeutics Inc.</v>
          </cell>
          <cell r="B321" t="str">
            <v>11/09/2016</v>
          </cell>
          <cell r="C321" t="str">
            <v>Levi &amp; Korsinsky, LLP</v>
          </cell>
        </row>
        <row r="322">
          <cell r="A322" t="str">
            <v>Psychemedics Corporation</v>
          </cell>
          <cell r="B322" t="str">
            <v>02/02/2017</v>
          </cell>
          <cell r="C322" t="str">
            <v>Holzer &amp; Holzer, LLC; Hutchings, Barsamian, Mandelcorn, LLP; Levi &amp; Korsinsky, LLP; Pomerantz LLP</v>
          </cell>
        </row>
        <row r="323">
          <cell r="A323" t="str">
            <v>PTC Inc.</v>
          </cell>
          <cell r="B323" t="str">
            <v>03/07/2016</v>
          </cell>
          <cell r="C323" t="str">
            <v>Block &amp; Leviton LLP; The Rosen Law Firm, P.A.</v>
          </cell>
        </row>
        <row r="324">
          <cell r="A324" t="str">
            <v>PTC Therapeutics, Inc.</v>
          </cell>
          <cell r="B324" t="str">
            <v>03/03/2016</v>
          </cell>
          <cell r="C324" t="str">
            <v>Carella, Byrne, Cecchi, Olstein, Brody &amp; Agnello P.C.; Cohn, Lifland, Pearlman, Herrmann,  &amp; Knopf,  LLP; Glancy Prongay &amp; Murray, LLP; Lite Depalma Greenberg, LLC; Pomerantz LLP; Wolf Popper LLP</v>
          </cell>
        </row>
        <row r="325">
          <cell r="A325" t="str">
            <v>Quantum Corporation</v>
          </cell>
          <cell r="B325" t="str">
            <v>02/13/2018</v>
          </cell>
          <cell r="C325" t="str">
            <v>Block &amp; Leviton LLP; Glancy Prongay &amp; Murray, LLP</v>
          </cell>
        </row>
        <row r="326">
          <cell r="A326" t="str">
            <v>Qudian Inc.</v>
          </cell>
          <cell r="B326" t="str">
            <v>12/12/2017</v>
          </cell>
          <cell r="C326" t="str">
            <v>Bronstein, Gewirtz &amp; Grossman, LLC; Faruqi &amp; Faruqi, LLP; Holzer &amp; Holzer, LLC; Kaplan Fox &amp; Kilsheimer LLP; Pomerantz LLP; Robbins, Geller, Rudman &amp; Dowd, LLP</v>
          </cell>
        </row>
        <row r="327">
          <cell r="A327" t="str">
            <v>QuinStreet, Inc.</v>
          </cell>
          <cell r="B327" t="str">
            <v>04/27/2018</v>
          </cell>
          <cell r="C327" t="str">
            <v>The Rosen Law Firm, P.A.</v>
          </cell>
        </row>
        <row r="328">
          <cell r="A328" t="str">
            <v>Quorum Health Corporation</v>
          </cell>
          <cell r="B328" t="str">
            <v>09/09/2016</v>
          </cell>
          <cell r="C328" t="str">
            <v>Bramlett Law Offices; Holzer &amp; Holzer, LLC; Pomerantz LLP</v>
          </cell>
        </row>
        <row r="329">
          <cell r="A329" t="str">
            <v>Qurate Retail, Inc.</v>
          </cell>
          <cell r="B329" t="str">
            <v>09/06/2018</v>
          </cell>
          <cell r="C329" t="str">
            <v>Franklin D. Azar &amp; Associates, P.C.; Thornton Law Firm LLP</v>
          </cell>
        </row>
        <row r="330">
          <cell r="A330" t="str">
            <v>Rackspace Hosting, Inc.</v>
          </cell>
          <cell r="B330" t="str">
            <v>05/10/2017</v>
          </cell>
          <cell r="C330" t="str">
            <v>Labaton Sucharow LLP</v>
          </cell>
        </row>
        <row r="331">
          <cell r="A331" t="str">
            <v>Rayonier Advanced Materials Inc.</v>
          </cell>
          <cell r="B331" t="str">
            <v>08/17/2017</v>
          </cell>
          <cell r="C331" t="str">
            <v>Robbins, Geller, Rudman &amp; Dowd, LLP; VanOverbeke Michaud &amp; Timmony, P.C.</v>
          </cell>
        </row>
        <row r="332">
          <cell r="A332" t="str">
            <v>Recro Pharma, Inc.</v>
          </cell>
          <cell r="B332" t="str">
            <v>05/31/2018</v>
          </cell>
          <cell r="C332" t="str">
            <v>Kaskela Law LLC; Pomerantz LLP</v>
          </cell>
        </row>
        <row r="333">
          <cell r="A333" t="str">
            <v>Regulus Therapeutics Inc.</v>
          </cell>
          <cell r="B333" t="str">
            <v>01/31/2017</v>
          </cell>
          <cell r="C333" t="str">
            <v>Levi &amp; Korsinsky, LLP; Pomerantz LLP</v>
          </cell>
        </row>
        <row r="334">
          <cell r="A334" t="str">
            <v>Rent-A-Center, Inc.</v>
          </cell>
          <cell r="B334" t="str">
            <v>12/23/2016</v>
          </cell>
          <cell r="C334" t="str">
            <v>Bronstein, Gewirtz &amp; Grossman, LLC; Glancy Prongay &amp; Murray, LLP; Kendall Law Group, LLP; Pomerantz LLP; The Briscoe Law Firm, PLLC</v>
          </cell>
        </row>
        <row r="335">
          <cell r="A335" t="str">
            <v>Rentech, Inc.</v>
          </cell>
          <cell r="B335" t="str">
            <v>02/23/2017</v>
          </cell>
          <cell r="C335" t="str">
            <v>Glancy Prongay &amp; Murray, LLP; Holzer &amp; Holzer, LLC</v>
          </cell>
        </row>
        <row r="336">
          <cell r="A336" t="str">
            <v>Restoration Robotics, Inc.</v>
          </cell>
          <cell r="B336" t="str">
            <v>06/21/2018</v>
          </cell>
          <cell r="C336" t="str">
            <v>Bronstein, Gewirtz &amp; Grossman, LLC; Levi &amp; Korsinsky, LLP; Pomerantz LLP</v>
          </cell>
        </row>
        <row r="337">
          <cell r="A337" t="str">
            <v>REV Group, Inc.</v>
          </cell>
          <cell r="B337" t="str">
            <v>06/08/2018</v>
          </cell>
          <cell r="C337" t="str">
            <v>Bronstein, Gewirtz &amp; Grossman, LLC; Glancy Prongay &amp; Murray, LLP; Law Offices of Howard G. Smith; Pomerantz LLP; The Rosen Law Firm, P.A.</v>
          </cell>
        </row>
        <row r="338">
          <cell r="A338" t="str">
            <v>ReWalk Robotics, Ltd.</v>
          </cell>
          <cell r="B338" t="str">
            <v>01/31/2017</v>
          </cell>
          <cell r="C338" t="str">
            <v>Block &amp; Leviton LLP; Gardy &amp; Notis, LLP; Holzer &amp; Holzer, LLC; Levi &amp; Korsinsky, LLP; Sarraf Gentile LLP</v>
          </cell>
        </row>
        <row r="339">
          <cell r="A339" t="str">
            <v>RH, Inc.</v>
          </cell>
          <cell r="B339" t="str">
            <v>02/02/2017</v>
          </cell>
          <cell r="C339" t="str">
            <v>Bernstein Litowitz Berger &amp; Grossmann LLP; Pomerantz LLP</v>
          </cell>
        </row>
        <row r="340">
          <cell r="A340" t="str">
            <v>Riot Blockchain, Inc.</v>
          </cell>
          <cell r="B340" t="str">
            <v>02/17/2018</v>
          </cell>
          <cell r="C340" t="str">
            <v>Levi &amp; Korsinsky, LLP; The Rosen Law Firm, P.A.</v>
          </cell>
        </row>
        <row r="341">
          <cell r="A341" t="str">
            <v>RiT Technologies Ltd.</v>
          </cell>
          <cell r="B341" t="str">
            <v>07/28/2016</v>
          </cell>
          <cell r="C341" t="str">
            <v>The Rosen Law Firm, P.A.</v>
          </cell>
        </row>
        <row r="342">
          <cell r="A342" t="str">
            <v>Rite Aid Corporation</v>
          </cell>
          <cell r="B342" t="str">
            <v>11/02/2018</v>
          </cell>
          <cell r="C342" t="str">
            <v>Kaufman, Coren &amp; Ress, P.C.; Robbins, Geller, Rudman &amp; Dowd, LLP</v>
          </cell>
        </row>
        <row r="343">
          <cell r="A343" t="str">
            <v>Roadrunner Transportation Systems, Inc.</v>
          </cell>
          <cell r="B343" t="str">
            <v>01/31/2017</v>
          </cell>
          <cell r="C343" t="str">
            <v>Ademi &amp; O'Reilly, LLP; Barrack  Rodos &amp; Bacine; Cross Law Firm, S.C.; Levi &amp; Korsinsky, LLP; Pomerantz LLP; Wagner Law Group, S.C.</v>
          </cell>
        </row>
        <row r="344">
          <cell r="A344" t="str">
            <v>Roche Holding AG</v>
          </cell>
          <cell r="B344" t="str">
            <v>06/06/2017</v>
          </cell>
          <cell r="C344" t="str">
            <v>The Rosen Law Firm, P.A.</v>
          </cell>
        </row>
        <row r="345">
          <cell r="A345" t="str">
            <v>Ruby Tuesday, Inc.</v>
          </cell>
          <cell r="B345" t="str">
            <v>04/29/2016</v>
          </cell>
          <cell r="C345" t="str">
            <v>The Rosen Law Firm, P.A.</v>
          </cell>
        </row>
        <row r="346">
          <cell r="A346" t="str">
            <v>Ruckus Wireless, Inc.</v>
          </cell>
          <cell r="B346" t="str">
            <v>05/31/2016</v>
          </cell>
          <cell r="C346" t="str">
            <v>Faruqi &amp; Faruqi, LLP</v>
          </cell>
        </row>
        <row r="347">
          <cell r="A347" t="str">
            <v>Samarco Mineracao S.A.</v>
          </cell>
          <cell r="B347" t="str">
            <v>11/14/2016</v>
          </cell>
          <cell r="C347" t="str">
            <v>Pomerantz LLP</v>
          </cell>
        </row>
        <row r="348">
          <cell r="A348" t="str">
            <v>Sanderson Farms, Inc.</v>
          </cell>
          <cell r="B348" t="str">
            <v>10/28/2016</v>
          </cell>
          <cell r="C348" t="str">
            <v>Goldberg Law PC; Pomerantz LLP</v>
          </cell>
        </row>
        <row r="349">
          <cell r="A349" t="str">
            <v>Santander Consumer USA Holdings Inc.</v>
          </cell>
          <cell r="B349" t="str">
            <v>03/18/2016</v>
          </cell>
          <cell r="C349" t="str">
            <v>Bronstein, Gewirtz &amp; Grossman, LLC; Carter Scholer Arnett Hamada &amp; Mockler, PLLC; Glancy Prongay &amp; Murray, LLP; Pomerantz LLP; The Briscoe Law Firm, PLLC</v>
          </cell>
        </row>
        <row r="350">
          <cell r="A350" t="str">
            <v>SCANA Corporation</v>
          </cell>
          <cell r="B350" t="str">
            <v>09/27/2017</v>
          </cell>
          <cell r="C350" t="str">
            <v>Bernstein Litowitz Berger &amp; Grossmann LLP; Bronstein, Gewirtz &amp; Grossman, LLC; Law Offices of Robert Dodson, P.A.; Motley Rice LLC; Pomerantz LLP; The Boozer Law Firm, LLC; The Rosen Law Firm, P.A.; U.S. Market Advisors Law Group PLLC</v>
          </cell>
        </row>
        <row r="351">
          <cell r="A351" t="str">
            <v>Scynexis, Inc.</v>
          </cell>
          <cell r="B351" t="str">
            <v>03/08/2017</v>
          </cell>
          <cell r="C351" t="str">
            <v>Lite Depalma Greenberg, LLC; Pomerantz LLP</v>
          </cell>
        </row>
        <row r="352">
          <cell r="A352" t="str">
            <v>Seattle Genetics, Inc.</v>
          </cell>
          <cell r="B352" t="str">
            <v>01/10/2017</v>
          </cell>
          <cell r="C352" t="str">
            <v>Bronstein, Gewirtz &amp; Grossman, LLC; Law Offices of Clifford A. Cantor, P.C; Pomerantz LLP</v>
          </cell>
        </row>
        <row r="353">
          <cell r="A353" t="str">
            <v>Sempra Energy</v>
          </cell>
          <cell r="B353" t="str">
            <v>02/29/2016</v>
          </cell>
          <cell r="C353" t="str">
            <v>Pomerantz LLP</v>
          </cell>
        </row>
        <row r="354">
          <cell r="A354" t="str">
            <v>Sequans Communications S.A.</v>
          </cell>
          <cell r="B354" t="str">
            <v>08/09/2017</v>
          </cell>
          <cell r="C354" t="str">
            <v>Bronstein, Gewirtz &amp; Grossman, LLC; Pomerantz LLP; The Rosen Law Firm, P.A.</v>
          </cell>
        </row>
        <row r="355">
          <cell r="A355" t="str">
            <v>Seres Therapeutics, Inc.</v>
          </cell>
          <cell r="B355" t="str">
            <v>09/28/2016</v>
          </cell>
          <cell r="C355" t="str">
            <v>Levi &amp; Korsinsky, LLP</v>
          </cell>
        </row>
        <row r="356">
          <cell r="A356" t="str">
            <v>Shanda Games Limited</v>
          </cell>
          <cell r="B356" t="str">
            <v>03/19/2018</v>
          </cell>
          <cell r="C356" t="str">
            <v>Levi &amp; Korsinsky, LLP</v>
          </cell>
        </row>
        <row r="357">
          <cell r="A357" t="str">
            <v>Sibanye Gold Limited</v>
          </cell>
          <cell r="B357" t="str">
            <v>06/27/2018</v>
          </cell>
          <cell r="C357" t="str">
            <v>The Rosen Law Firm, P.A.</v>
          </cell>
        </row>
        <row r="358">
          <cell r="A358" t="str">
            <v>Signet Jewelers Limited</v>
          </cell>
          <cell r="B358" t="str">
            <v>08/25/2016</v>
          </cell>
          <cell r="C358" t="str">
            <v>Bronstein, Gewirtz &amp; Grossman, LLC; Glancy Prongay &amp; Murray, LLP; Kendall Law Group, LLP; Law Offices of Howard G. Smith; Pomerantz LLP; Robbins, Geller, Rudman &amp; Dowd, LLP; Steckler Gresham Cochran; The Rosen Law Firm, P.A.</v>
          </cell>
        </row>
        <row r="359">
          <cell r="A359" t="str">
            <v>Sinclair Broadcast Group, Inc.</v>
          </cell>
          <cell r="B359" t="str">
            <v>08/09/2018</v>
          </cell>
          <cell r="C359" t="str">
            <v>Goldman &amp; Minton, P.C.; Saxena White P.A.</v>
          </cell>
        </row>
        <row r="360">
          <cell r="A360" t="str">
            <v>Sito Mobile Ltd.</v>
          </cell>
          <cell r="B360" t="str">
            <v>02/17/2017</v>
          </cell>
          <cell r="C360" t="str">
            <v>Levi &amp; Korsinsky, LLP</v>
          </cell>
        </row>
        <row r="361">
          <cell r="A361" t="str">
            <v>Skechers U.S.A., Inc.</v>
          </cell>
          <cell r="B361" t="str">
            <v>10/20/2017</v>
          </cell>
          <cell r="C361" t="str">
            <v>Labaton Sucharow LLP</v>
          </cell>
        </row>
        <row r="362">
          <cell r="A362" t="str">
            <v>Skullcandy, Inc.</v>
          </cell>
          <cell r="B362" t="str">
            <v>02/12/2016</v>
          </cell>
          <cell r="C362" t="str">
            <v>Cohne Kinghorn, P.C.; Law Offices of Curtis V. Trinko; Ryan &amp; Maniskas, LLP; Saxena White P.A.</v>
          </cell>
        </row>
        <row r="363">
          <cell r="A363" t="str">
            <v>Sky Solar Holdings, Ltd.</v>
          </cell>
          <cell r="B363" t="str">
            <v>06/16/2017</v>
          </cell>
          <cell r="C363" t="str">
            <v>Bronstein, Gewirtz &amp; Grossman, LLC; Pomerantz LLP</v>
          </cell>
        </row>
        <row r="364">
          <cell r="A364" t="str">
            <v>Snap, Inc.</v>
          </cell>
          <cell r="B364" t="str">
            <v>05/16/2017</v>
          </cell>
          <cell r="C364" t="str">
            <v>Faruqi &amp; Faruqi, LLP; Pomerantz LLP</v>
          </cell>
        </row>
        <row r="365">
          <cell r="A365" t="str">
            <v>SolarCity Corporation</v>
          </cell>
          <cell r="B365" t="str">
            <v>08/15/2016</v>
          </cell>
          <cell r="C365" t="str">
            <v>Bronstein, Gewirtz &amp; Grossman, LLC; Pomerantz LLP; The Wagner Firm</v>
          </cell>
        </row>
        <row r="366">
          <cell r="A366" t="str">
            <v>Solid Biosciences, Inc.</v>
          </cell>
          <cell r="B366" t="str">
            <v>03/27/2018</v>
          </cell>
          <cell r="C366" t="str">
            <v>Andrews DeValerio LLP; Glancy Prongay &amp; Murray, LLP</v>
          </cell>
        </row>
        <row r="367">
          <cell r="A367" t="str">
            <v>Spectrum Pharmaceuticals, Inc.</v>
          </cell>
          <cell r="B367" t="str">
            <v>09/28/2016</v>
          </cell>
          <cell r="C367" t="str">
            <v>Block &amp; Leviton LLP; Law Office of Telia U. Williams; The Rosen Law Firm, P.A.</v>
          </cell>
        </row>
        <row r="368">
          <cell r="A368" t="str">
            <v>State Street Corporation</v>
          </cell>
          <cell r="B368" t="str">
            <v>01/27/2017</v>
          </cell>
          <cell r="C368" t="str">
            <v>The Rosen Law Firm, P.A.</v>
          </cell>
        </row>
        <row r="369">
          <cell r="A369" t="str">
            <v>Stemline Therapeutics, Inc.</v>
          </cell>
          <cell r="B369" t="str">
            <v>02/03/2017</v>
          </cell>
          <cell r="C369" t="str">
            <v>Bronstein, Gewirtz &amp; Grossman, LLC; Johnson &amp; Weaver LLP; Levi &amp; Korsinsky, LLP; Pomerantz LLP; Robbins, Geller, Rudman &amp; Dowd, LLP; The Rosen Law Firm, P.A.</v>
          </cell>
        </row>
        <row r="370">
          <cell r="A370" t="str">
            <v>Stericycle, Inc.</v>
          </cell>
          <cell r="B370" t="str">
            <v>07/11/2016</v>
          </cell>
          <cell r="C370" t="str">
            <v>Bernstein Litowitz Berger &amp; Grossmann LLP</v>
          </cell>
        </row>
        <row r="371">
          <cell r="A371" t="str">
            <v>Stitch Fix, Inc.</v>
          </cell>
          <cell r="B371" t="str">
            <v>10/11/2018</v>
          </cell>
          <cell r="C371" t="str">
            <v>Johnson Fistel, LLP; Robbins, Geller, Rudman &amp; Dowd, LLP</v>
          </cell>
        </row>
        <row r="372">
          <cell r="A372" t="str">
            <v>StoneMor Partners, L.P.</v>
          </cell>
          <cell r="B372" t="str">
            <v>11/21/2016</v>
          </cell>
          <cell r="C372" t="str">
            <v>Pomerantz LLP; The Weiser Law Firm, PC</v>
          </cell>
        </row>
        <row r="373">
          <cell r="A373" t="str">
            <v>SunPower Corporation</v>
          </cell>
          <cell r="B373" t="str">
            <v>08/16/2016</v>
          </cell>
          <cell r="C373" t="str">
            <v>Brower Piven; Finkelstein Thompson LLP; Glancy Prongay &amp; Murray, LLP; Goldberg Law PC; Law Offices of Howard G. Smith; Pomerantz LLP</v>
          </cell>
        </row>
        <row r="374">
          <cell r="A374" t="str">
            <v>Sunrun, Inc.</v>
          </cell>
          <cell r="B374" t="str">
            <v>05/06/2016</v>
          </cell>
          <cell r="C374" t="str">
            <v>Pomerantz LLP</v>
          </cell>
        </row>
        <row r="375">
          <cell r="A375" t="str">
            <v>Super Micro Computer, Inc.</v>
          </cell>
          <cell r="B375" t="str">
            <v>02/08/2018</v>
          </cell>
          <cell r="C375" t="str">
            <v>Bronstein, Gewirtz &amp; Grossman, LLC; Lieff Cabraser Heimann &amp; Bernstein, LLP; Pomerantz LLP; Saxena White P.A.</v>
          </cell>
        </row>
        <row r="376">
          <cell r="A376" t="str">
            <v>Supreme Industries, Inc.</v>
          </cell>
          <cell r="B376" t="str">
            <v>11/04/2016</v>
          </cell>
          <cell r="C376" t="str">
            <v>The Rosen Law Firm, P.A.</v>
          </cell>
        </row>
        <row r="377">
          <cell r="A377" t="str">
            <v>Switch, Inc.</v>
          </cell>
          <cell r="B377" t="str">
            <v>06/11/2018</v>
          </cell>
          <cell r="C377" t="str">
            <v>The Rosen Law Firm, P.A.</v>
          </cell>
        </row>
        <row r="378">
          <cell r="A378" t="str">
            <v>Symantec Corporation</v>
          </cell>
          <cell r="B378" t="str">
            <v>05/17/2018</v>
          </cell>
          <cell r="C378" t="str">
            <v>Bronstein, Gewirtz &amp; Grossman, LLC; Pomerantz LLP; The Rosen Law Firm, P.A.</v>
          </cell>
        </row>
        <row r="379">
          <cell r="A379" t="str">
            <v>Synacor, Inc.</v>
          </cell>
          <cell r="B379" t="str">
            <v>04/04/2018</v>
          </cell>
          <cell r="C379" t="str">
            <v>Bronstein, Gewirtz &amp; Grossman, LLC; Pomerantz LLP</v>
          </cell>
        </row>
        <row r="380">
          <cell r="A380" t="str">
            <v>Synchronoss Technologies, Inc.</v>
          </cell>
          <cell r="B380" t="str">
            <v>05/01/2017</v>
          </cell>
          <cell r="C380" t="str">
            <v>Carella, Byrne, Cecchi, Olstein, Brody &amp; Agnello P.C.; Glancy Prongay &amp; Murray, LLP; Law Offices of Howard G. Smith; Lite Depalma Greenberg, LLC; Pomerantz LLP; Saxena White P.A.; The Rosen Law Firm, P.A.</v>
          </cell>
        </row>
        <row r="381">
          <cell r="A381" t="str">
            <v>Synergy Pharmaceuticals, Inc.</v>
          </cell>
          <cell r="B381" t="str">
            <v>02/08/2018</v>
          </cell>
          <cell r="C381" t="str">
            <v>Faruqi &amp; Faruqi, LLP; WeissLaw, LLP</v>
          </cell>
        </row>
        <row r="382">
          <cell r="A382" t="str">
            <v>Tableau Software, Inc.</v>
          </cell>
          <cell r="B382" t="str">
            <v>07/28/2017</v>
          </cell>
          <cell r="C382" t="str">
            <v>Levi &amp; Korsinsky, LLP</v>
          </cell>
        </row>
        <row r="383">
          <cell r="A383" t="str">
            <v>Tahoe Resources Inc.</v>
          </cell>
          <cell r="B383" t="str">
            <v>07/07/2017</v>
          </cell>
          <cell r="C383" t="str">
            <v>Pomerantz LLP</v>
          </cell>
        </row>
        <row r="384">
          <cell r="A384" t="str">
            <v>Tailored Brands, Inc.</v>
          </cell>
          <cell r="B384" t="str">
            <v>03/29/2016</v>
          </cell>
          <cell r="C384" t="str">
            <v>The Bilek Law Firm LLP; The Miller Law Firm, P.C.; Wolf Haldenstein Adler Freeman &amp; Herz LLP</v>
          </cell>
        </row>
        <row r="385">
          <cell r="A385" t="str">
            <v>TAL Education Group</v>
          </cell>
          <cell r="B385" t="str">
            <v>06/18/2018</v>
          </cell>
          <cell r="C385" t="str">
            <v>Glancy Prongay &amp; Murray, LLP; Pomerantz LLP</v>
          </cell>
        </row>
        <row r="386">
          <cell r="A386" t="str">
            <v>Tangoe, Inc.</v>
          </cell>
          <cell r="B386" t="str">
            <v>05/24/2016</v>
          </cell>
          <cell r="C386" t="str">
            <v>The Rosen Law Firm, P.A.</v>
          </cell>
        </row>
        <row r="387">
          <cell r="A387" t="str">
            <v>Target Corporation</v>
          </cell>
          <cell r="B387" t="str">
            <v>05/17/2016</v>
          </cell>
          <cell r="C387" t="str">
            <v>Bronstein, Gewirtz &amp; Grossman, LLC; Labaton Sucharow LLP; Lockridge, Grindal, Nauen, PLLP; Pomerantz LLP; Robbins, Geller, Rudman &amp; Dowd, LLP; Zimmerman Reed, PLLP</v>
          </cell>
        </row>
        <row r="388">
          <cell r="A388" t="str">
            <v>Taro Pharmaceutical Industries, Ltd.</v>
          </cell>
          <cell r="B388" t="str">
            <v>10/25/2016</v>
          </cell>
          <cell r="C388" t="str">
            <v>The Rosen Law Firm, P.A.</v>
          </cell>
        </row>
        <row r="389">
          <cell r="A389" t="str">
            <v>Tech Data Corporation</v>
          </cell>
          <cell r="B389" t="str">
            <v>09/21/2017</v>
          </cell>
          <cell r="C389" t="str">
            <v>Cullin O'Brien Law, P.A.; Levi &amp; Korsinsky, LLP</v>
          </cell>
        </row>
        <row r="390">
          <cell r="A390" t="str">
            <v>TechnipFMC plc</v>
          </cell>
          <cell r="B390" t="str">
            <v>08/03/2017</v>
          </cell>
          <cell r="C390" t="str">
            <v>Pomerantz LLP; The Briscoe Law Firm, PLLC</v>
          </cell>
        </row>
        <row r="391">
          <cell r="A391" t="str">
            <v>Teekay Corporation</v>
          </cell>
          <cell r="B391" t="str">
            <v>03/01/2016</v>
          </cell>
          <cell r="C391" t="str">
            <v>Scott &amp; Scott,  LLP</v>
          </cell>
        </row>
        <row r="392">
          <cell r="A392" t="str">
            <v>Telefonaktiebolaget LM Ericsson</v>
          </cell>
          <cell r="B392" t="str">
            <v>04/05/2018</v>
          </cell>
          <cell r="C392" t="str">
            <v>Labaton Sucharow LLP</v>
          </cell>
        </row>
        <row r="393">
          <cell r="A393" t="str">
            <v>Tempur Sealy International, Inc.</v>
          </cell>
          <cell r="B393" t="str">
            <v>03/24/2017</v>
          </cell>
          <cell r="C393" t="str">
            <v>Johnson &amp; Weaver LLP</v>
          </cell>
        </row>
        <row r="394">
          <cell r="A394" t="str">
            <v>Tenet Healthcare Corporation</v>
          </cell>
          <cell r="B394" t="str">
            <v>10/07/2016</v>
          </cell>
          <cell r="C394" t="str">
            <v>The Rosen Law Firm, P.A.</v>
          </cell>
        </row>
        <row r="395">
          <cell r="A395" t="str">
            <v>TerraForm Power, Inc.</v>
          </cell>
          <cell r="B395" t="str">
            <v>04/04/2016</v>
          </cell>
          <cell r="C395" t="str">
            <v>Bronstein, Gewirtz &amp; Grossman, LLC; Cohen Milstein Sellers &amp; Toll PLLC; Pomerantz LLP</v>
          </cell>
        </row>
        <row r="396">
          <cell r="A396" t="str">
            <v>TerraVia Holdings, Inc.</v>
          </cell>
          <cell r="B396" t="str">
            <v>11/16/2016</v>
          </cell>
          <cell r="C396" t="str">
            <v>Pomerantz LLP; The Rosen Law Firm, P.A.</v>
          </cell>
        </row>
        <row r="397">
          <cell r="A397" t="str">
            <v>Tetraphase Pharmaceuticals Inc.</v>
          </cell>
          <cell r="B397" t="str">
            <v>01/28/2016</v>
          </cell>
          <cell r="C397" t="str">
            <v>Block &amp; Leviton LLP; Goldberg Law PC; Levi &amp; Korsinsky, LLP; The Rosen Law Firm, P.A.</v>
          </cell>
        </row>
        <row r="398">
          <cell r="A398" t="str">
            <v>The Advisory Board Company</v>
          </cell>
          <cell r="B398" t="str">
            <v>08/03/2017</v>
          </cell>
          <cell r="C398" t="str">
            <v>Robbins, Geller, Rudman &amp; Dowd, LLP; VanOverbeke Michaud &amp; Timmony, P.C.</v>
          </cell>
        </row>
        <row r="399">
          <cell r="A399" t="str">
            <v>The Allstate Corporation</v>
          </cell>
          <cell r="B399" t="str">
            <v>11/10/2016</v>
          </cell>
          <cell r="C399" t="str">
            <v>Robbins, Geller, Rudman &amp; Dowd, LLP; VanOverbeke Michaud &amp; Timmony, P.C.</v>
          </cell>
        </row>
        <row r="400">
          <cell r="A400" t="str">
            <v>The Crypto Company</v>
          </cell>
          <cell r="B400" t="str">
            <v>12/21/2017</v>
          </cell>
          <cell r="C400" t="str">
            <v>Bronstein, Gewirtz &amp; Grossman, LLC; Pomerantz LLP</v>
          </cell>
        </row>
        <row r="401">
          <cell r="A401" t="str">
            <v>The GEO Group, Inc.</v>
          </cell>
          <cell r="B401" t="str">
            <v>08/25/2016</v>
          </cell>
          <cell r="C401" t="str">
            <v>Bronstein, Gewirtz &amp; Grossman, LLC; Pomerantz LLP</v>
          </cell>
        </row>
        <row r="402">
          <cell r="A402" t="str">
            <v>The Hain Celestial Group, Inc.</v>
          </cell>
          <cell r="B402" t="str">
            <v>08/17/2016</v>
          </cell>
          <cell r="C402" t="str">
            <v>Bronstein, Gewirtz &amp; Grossman, LLC; Johnson &amp; Weaver LLP; Pomerantz LLP; Robbins, Geller, Rudman &amp; Dowd, LLP; The Rosen Law Firm, P.A.</v>
          </cell>
        </row>
        <row r="403">
          <cell r="A403" t="str">
            <v>The Southern Company</v>
          </cell>
          <cell r="B403" t="str">
            <v>01/20/2017</v>
          </cell>
          <cell r="C403">
            <v>0</v>
          </cell>
        </row>
        <row r="404">
          <cell r="A404" t="str">
            <v>The Toronto-Dominion Bank</v>
          </cell>
          <cell r="B404" t="str">
            <v>03/12/2017</v>
          </cell>
          <cell r="C404" t="str">
            <v>Bronstein, Gewirtz &amp; Grossman, LLC; Lite Depalma Greenberg, LLC; Pomerantz LLP; The Rosen Law Firm, P.A.</v>
          </cell>
        </row>
        <row r="405">
          <cell r="A405" t="str">
            <v>The Western Union Company</v>
          </cell>
          <cell r="B405" t="str">
            <v>02/22/2017</v>
          </cell>
          <cell r="C405" t="str">
            <v>Bronstein, Gewirtz &amp; Grossman, LLC; Kaufman, Coren &amp; Ress, P.C.; Law Offices of Michael Tobin; Pomerantz LLP; Robbins, Geller, Rudman &amp; Dowd, LLP</v>
          </cell>
        </row>
        <row r="406">
          <cell r="A406" t="str">
            <v>TherapeuticsMD, Inc.</v>
          </cell>
          <cell r="B406" t="str">
            <v>04/17/2017</v>
          </cell>
          <cell r="C406" t="str">
            <v>Bronstein, Gewirtz &amp; Grossman, LLC; Cullin O'Brien Law, P.A.; Levi &amp; Korsinsky, LLP; Pomerantz LLP; Shepherd, Finkelman, Miller &amp; Shah, LLP</v>
          </cell>
        </row>
        <row r="407">
          <cell r="A407" t="str">
            <v>Third Avenue Management (TFCIX and TFCVX)</v>
          </cell>
          <cell r="B407" t="str">
            <v>01/28/2016</v>
          </cell>
          <cell r="C407" t="str">
            <v>Sparer Law Group</v>
          </cell>
        </row>
        <row r="408">
          <cell r="A408" t="str">
            <v>Tintri, Inc.</v>
          </cell>
          <cell r="B408" t="str">
            <v>09/18/2017</v>
          </cell>
          <cell r="C408" t="str">
            <v>Bottini &amp; Bottini, Inc.; Holzer &amp; Holzer, LLC; Robbins Arroyo LLP; Robbins, Geller, Rudman &amp; Dowd, LLP; The Rosen Law Firm, P.A.</v>
          </cell>
        </row>
        <row r="409">
          <cell r="A409" t="str">
            <v>Tivity Health, Inc.</v>
          </cell>
          <cell r="B409" t="str">
            <v>11/20/2017</v>
          </cell>
          <cell r="C409" t="str">
            <v>Holifield, Janich, Rachal &amp; Associates, PLLC; Levi &amp; Korsinsky, LLP</v>
          </cell>
        </row>
        <row r="410">
          <cell r="A410" t="str">
            <v>Tokai Pharmaceuticals, Inc.</v>
          </cell>
          <cell r="B410" t="str">
            <v>08/01/2016</v>
          </cell>
          <cell r="C410" t="str">
            <v>Goldberg Law PC; Pomerantz LLP</v>
          </cell>
        </row>
        <row r="411">
          <cell r="A411" t="str">
            <v>Top Ships Inc.</v>
          </cell>
          <cell r="B411" t="str">
            <v>08/23/2017</v>
          </cell>
          <cell r="C411" t="str">
            <v>Bronstein, Gewirtz &amp; Grossman, LLC; Pomerantz LLP; Robbins, Geller, Rudman &amp; Dowd, LLP</v>
          </cell>
        </row>
        <row r="412">
          <cell r="A412" t="str">
            <v>Tower Semiconductor Ltd.</v>
          </cell>
          <cell r="B412" t="str">
            <v>01/22/2016</v>
          </cell>
          <cell r="C412" t="str">
            <v>Goldberg Law PC; Pomerantz LLP; The Rosen Law Firm, P.A.</v>
          </cell>
        </row>
        <row r="413">
          <cell r="A413" t="str">
            <v>TransDigm Group, Incorporated</v>
          </cell>
          <cell r="B413" t="str">
            <v>08/10/2017</v>
          </cell>
          <cell r="C413" t="str">
            <v>Climaco, Wilcox, Peca, Tarantino &amp; Garofoli Co., L.P.A.; Klausner, Kaufman, Jensen &amp; Levinson; Landskroner, Grieco, Merriman, LLC; Robbins, Geller, Rudman &amp; Dowd, LLP; Saxena White P.A.; VanOverbeke Michaud &amp; Timmony, P.C.</v>
          </cell>
        </row>
        <row r="414">
          <cell r="A414" t="str">
            <v>TransEnterix, Inc.</v>
          </cell>
          <cell r="B414" t="str">
            <v>06/02/2016</v>
          </cell>
          <cell r="C414" t="str">
            <v>Holzer &amp; Holzer, LLC; McDaniel &amp; Anderson, LLP; Robbins, Geller, Rudman &amp; Dowd, LLP</v>
          </cell>
        </row>
        <row r="415">
          <cell r="A415" t="str">
            <v>TreeHouse Foods, Inc.</v>
          </cell>
          <cell r="B415" t="str">
            <v>11/16/2016</v>
          </cell>
          <cell r="C415" t="str">
            <v>Glancy Prongay &amp; Murray, LLP; Lawrence Kamin, LLC</v>
          </cell>
        </row>
        <row r="416">
          <cell r="A416" t="str">
            <v>Trevena, Inc.</v>
          </cell>
          <cell r="B416" t="str">
            <v>10/11/2018</v>
          </cell>
          <cell r="C416" t="str">
            <v>Block &amp; Leviton LLP; Kaufman, Coren &amp; Ress, P.C.</v>
          </cell>
        </row>
        <row r="417">
          <cell r="A417" t="str">
            <v>Triangle Capital Corporation</v>
          </cell>
          <cell r="B417" t="str">
            <v>11/21/2017</v>
          </cell>
          <cell r="C417" t="str">
            <v>Johnson Fistel, LLP; Robbins, Geller, Rudman &amp; Dowd, LLP</v>
          </cell>
        </row>
        <row r="418">
          <cell r="A418" t="str">
            <v>Tribune Media Company</v>
          </cell>
          <cell r="B418" t="str">
            <v>09/10/2018</v>
          </cell>
          <cell r="C418" t="str">
            <v>Entwistle &amp; Cappucci LLP; Moirano Gorman Kenny, LLC</v>
          </cell>
        </row>
        <row r="419">
          <cell r="A419" t="str">
            <v>Trivago N.V.</v>
          </cell>
          <cell r="B419" t="str">
            <v>10/30/2017</v>
          </cell>
          <cell r="C419" t="str">
            <v>Bronstein, Gewirtz &amp; Grossman, LLC; Glancy Prongay &amp; Murray, LLP; Holzer &amp; Holzer, LLC; Pomerantz LLP</v>
          </cell>
        </row>
        <row r="420">
          <cell r="A420" t="str">
            <v>TrueCar, Inc.</v>
          </cell>
          <cell r="B420" t="str">
            <v>03/30/2018</v>
          </cell>
          <cell r="C420" t="str">
            <v>Kaplan Fox &amp; Kilsheimer LLP</v>
          </cell>
        </row>
        <row r="421">
          <cell r="A421" t="str">
            <v>Twitter, Inc.</v>
          </cell>
          <cell r="B421" t="str">
            <v>09/16/2016</v>
          </cell>
          <cell r="C421" t="str">
            <v>Abraham, Fruchter &amp; Twersky, LLP; Bronstein, Gewirtz &amp; Grossman, LLC; Pomerantz LLP; Robbins, Geller, Rudman &amp; Dowd, LLP</v>
          </cell>
        </row>
        <row r="422">
          <cell r="A422" t="str">
            <v>Tyson Foods, Inc.</v>
          </cell>
          <cell r="B422" t="str">
            <v>10/17/2016</v>
          </cell>
          <cell r="C422" t="str">
            <v>The Rosen Law Firm, P.A.</v>
          </cell>
        </row>
        <row r="423">
          <cell r="A423" t="str">
            <v>U.S. Concrete, Inc.</v>
          </cell>
          <cell r="B423" t="str">
            <v>03/28/2017</v>
          </cell>
          <cell r="C423" t="str">
            <v>Pomerantz LLP; The Briscoe Law Firm, PLLC</v>
          </cell>
        </row>
        <row r="424">
          <cell r="A424" t="str">
            <v>U.S. Physical Therapy, Inc.</v>
          </cell>
          <cell r="B424" t="str">
            <v>03/31/2017</v>
          </cell>
          <cell r="C424" t="str">
            <v>Glancy Prongay &amp; Murray, LLP</v>
          </cell>
        </row>
        <row r="425">
          <cell r="A425" t="str">
            <v>Ulta Beauty, Inc.</v>
          </cell>
          <cell r="B425" t="str">
            <v>03/02/2018</v>
          </cell>
          <cell r="C425" t="str">
            <v>Bronstein, Gewirtz &amp; Grossman, LLC; Pomerantz LLP</v>
          </cell>
        </row>
        <row r="426">
          <cell r="A426" t="str">
            <v>Under Armour, Inc.</v>
          </cell>
          <cell r="B426" t="str">
            <v>02/10/2017</v>
          </cell>
          <cell r="C426" t="str">
            <v>Bronstein, Gewirtz &amp; Grossman, LLC; Brower Piven; Cohen Milstein Sellers &amp; Toll PLLC; Gardy &amp; Notis, LLP; Levi &amp; Korsinsky, LLP; Pomerantz LLP</v>
          </cell>
        </row>
        <row r="427">
          <cell r="A427" t="str">
            <v>Unilife Corporation</v>
          </cell>
          <cell r="B427" t="str">
            <v>05/26/2016</v>
          </cell>
          <cell r="C427" t="str">
            <v>Bronstein, Gewirtz &amp; Grossman, LLC; Glancy Prongay &amp; Murray, LLP; Pomerantz LLP</v>
          </cell>
        </row>
        <row r="428">
          <cell r="A428" t="str">
            <v>United States Steel Corporation</v>
          </cell>
          <cell r="B428" t="str">
            <v>05/04/2017</v>
          </cell>
          <cell r="C428" t="str">
            <v>Bronstein, Gewirtz &amp; Grossman, LLC; Johnson &amp; Weaver LLP; Law Office Of Alfred G. Yates, Jr. PC; Pomerantz LLP; Pribanic &amp; Pribanic</v>
          </cell>
        </row>
        <row r="429">
          <cell r="A429" t="str">
            <v>United Technologies Corporation</v>
          </cell>
          <cell r="B429" t="str">
            <v>05/12/2017</v>
          </cell>
          <cell r="C429" t="str">
            <v>Labaton Sucharow LLP</v>
          </cell>
        </row>
        <row r="430">
          <cell r="A430" t="str">
            <v>Universal Health Services Inc.</v>
          </cell>
          <cell r="B430" t="str">
            <v>12/23/2016</v>
          </cell>
          <cell r="C430" t="str">
            <v>The Rosen Law Firm, P.A.</v>
          </cell>
        </row>
        <row r="431">
          <cell r="A431" t="str">
            <v>UNUM Group</v>
          </cell>
          <cell r="B431" t="str">
            <v>06/13/2018</v>
          </cell>
          <cell r="C431" t="str">
            <v>Bramlett Law Offices; Branstetter, Stranch &amp; Jennings, PLLC; Glancy Prongay &amp; Murray, LLP; Law Offices of Howard G. Smith; Pomerantz LLP; Robbins, Geller, Rudman &amp; Dowd, LLP; VanOverbeke Michaud &amp; Timmony, P.C.</v>
          </cell>
        </row>
        <row r="432">
          <cell r="A432" t="str">
            <v>USA Technologies, Inc.</v>
          </cell>
          <cell r="B432" t="str">
            <v>09/11/2018</v>
          </cell>
          <cell r="C432" t="str">
            <v>The Rosen Law Firm, P.A.</v>
          </cell>
        </row>
        <row r="433">
          <cell r="A433" t="str">
            <v>USANA Health Sciences</v>
          </cell>
          <cell r="B433" t="str">
            <v>02/13/2017</v>
          </cell>
          <cell r="C433" t="str">
            <v>Christensen Young &amp; Associates, PLLC; Goldberg Law PC; Pomerantz LLP</v>
          </cell>
        </row>
        <row r="434">
          <cell r="A434" t="str">
            <v>Vince Holding Corp.</v>
          </cell>
          <cell r="B434" t="str">
            <v>05/05/2017</v>
          </cell>
          <cell r="C434" t="str">
            <v>The Rosen Law Firm, P.A.</v>
          </cell>
        </row>
        <row r="435">
          <cell r="A435" t="str">
            <v>Vista Outdoor Inc.</v>
          </cell>
          <cell r="B435" t="str">
            <v>01/25/2017</v>
          </cell>
          <cell r="C435" t="str">
            <v xml:space="preserve">Goebel Anderson PC </v>
          </cell>
        </row>
        <row r="436">
          <cell r="A436" t="str">
            <v>Vitamin Shoppe, Inc.</v>
          </cell>
          <cell r="B436" t="str">
            <v>08/28/2017</v>
          </cell>
          <cell r="C436" t="str">
            <v>Carella, Byrne, Cecchi, Olstein, Brody &amp; Agnello P.C.; Johnson &amp; Weaver LLP; Robbins, Geller, Rudman &amp; Dowd, LLP</v>
          </cell>
        </row>
        <row r="437">
          <cell r="A437" t="str">
            <v>Vivint Solar, Inc.</v>
          </cell>
          <cell r="B437" t="str">
            <v>05/03/2016</v>
          </cell>
          <cell r="C437" t="str">
            <v>Bronstein, Gewirtz &amp; Grossman, LLC; Pomerantz LLP; Wehrle Law, LLC</v>
          </cell>
        </row>
        <row r="438">
          <cell r="A438" t="str">
            <v>Volkswagen Aktiengesellschaft</v>
          </cell>
          <cell r="B438" t="str">
            <v>08/29/2017</v>
          </cell>
          <cell r="C438" t="str">
            <v>The Rosen Law Firm, P.A.</v>
          </cell>
        </row>
        <row r="439">
          <cell r="A439" t="str">
            <v>Vuzix Corporation</v>
          </cell>
          <cell r="B439" t="str">
            <v>07/24/2018</v>
          </cell>
          <cell r="C439" t="str">
            <v>Bronstein, Gewirtz &amp; Grossman, LLC; Glancy Prongay &amp; Murray, LLP; Pomerantz LLP</v>
          </cell>
        </row>
        <row r="440">
          <cell r="A440" t="str">
            <v>WageWorks, Inc.</v>
          </cell>
          <cell r="B440" t="str">
            <v>03/09/2018</v>
          </cell>
          <cell r="C440" t="str">
            <v>Barrack  Rodos &amp; Bacine</v>
          </cell>
        </row>
        <row r="441">
          <cell r="A441" t="str">
            <v>Walter Investment Management Corp.</v>
          </cell>
          <cell r="B441" t="str">
            <v>03/16/2017</v>
          </cell>
          <cell r="C441" t="str">
            <v>The Rosen Law Firm, P.A.</v>
          </cell>
        </row>
        <row r="442">
          <cell r="A442" t="str">
            <v>Warren Resources, Inc.</v>
          </cell>
          <cell r="B442" t="str">
            <v>08/11/2016</v>
          </cell>
          <cell r="C442" t="str">
            <v>Gardy &amp; Notis, LLP</v>
          </cell>
        </row>
        <row r="443">
          <cell r="A443" t="str">
            <v>Weibo Corporation</v>
          </cell>
          <cell r="B443" t="str">
            <v>06/27/2017</v>
          </cell>
          <cell r="C443" t="str">
            <v>Levi &amp; Korsinsky, LLP; The Rosen Law Firm, P.A.</v>
          </cell>
        </row>
        <row r="444">
          <cell r="A444" t="str">
            <v>Williams Partners L.P.</v>
          </cell>
          <cell r="B444" t="str">
            <v>03/07/2016</v>
          </cell>
          <cell r="C444" t="str">
            <v>Berger &amp; Montague, P.C.; Federman &amp; Sherwood</v>
          </cell>
        </row>
        <row r="445">
          <cell r="A445" t="str">
            <v>Wins Finance Holdings, Inc.</v>
          </cell>
          <cell r="B445" t="str">
            <v>04/20/2017</v>
          </cell>
          <cell r="C445" t="str">
            <v>The Rosen Law Firm, P.A.</v>
          </cell>
        </row>
        <row r="446">
          <cell r="A446" t="str">
            <v>Wynn Resorts Limited</v>
          </cell>
          <cell r="B446" t="str">
            <v>02/20/2018</v>
          </cell>
          <cell r="C446" t="str">
            <v>Pomerantz LLP</v>
          </cell>
        </row>
        <row r="447">
          <cell r="A447" t="str">
            <v>Xerox Corporation</v>
          </cell>
          <cell r="B447" t="str">
            <v>10/21/2016</v>
          </cell>
          <cell r="C447" t="str">
            <v>Labaton Sucharow LLP</v>
          </cell>
        </row>
        <row r="448">
          <cell r="A448" t="str">
            <v>Xunlei Limited</v>
          </cell>
          <cell r="B448" t="str">
            <v>01/18/2018</v>
          </cell>
          <cell r="C448" t="str">
            <v>Bronstein, Gewirtz &amp; Grossman, LLC; Levi &amp; Korsinsky, LLP; Pomerantz LLP</v>
          </cell>
        </row>
        <row r="449">
          <cell r="A449" t="str">
            <v>Yahoo! Inc.</v>
          </cell>
          <cell r="B449" t="str">
            <v>01/24/2017</v>
          </cell>
          <cell r="C449" t="str">
            <v>Bronstein, Gewirtz &amp; Grossman, LLC; Goldberg Law PC; Pomerantz LLP</v>
          </cell>
        </row>
        <row r="450">
          <cell r="A450" t="str">
            <v>Yelp, Inc.</v>
          </cell>
          <cell r="B450" t="str">
            <v>01/18/2018</v>
          </cell>
          <cell r="C450" t="str">
            <v>Glancy Prongay &amp; Murray, LLP; Holzer &amp; Holzer, LLC</v>
          </cell>
        </row>
        <row r="451">
          <cell r="A451" t="str">
            <v>Yirendai Ltd.</v>
          </cell>
          <cell r="B451" t="str">
            <v>08/26/2016</v>
          </cell>
          <cell r="C451" t="str">
            <v>Glancy Prongay &amp; Murray, LLP; Goldberg Law PC; Law Offices of Howard G. Smith; Pomerantz LLP</v>
          </cell>
        </row>
        <row r="452">
          <cell r="A452" t="str">
            <v>Zebra Technologies Corporation</v>
          </cell>
          <cell r="B452" t="str">
            <v>07/26/2017</v>
          </cell>
          <cell r="C452" t="str">
            <v>Levi &amp; Korsinsky, LLP; Robbins, Geller, Rudman &amp; Dowd, LLP; VanOverbeke Michaud &amp; Timmony, P.C.</v>
          </cell>
        </row>
        <row r="453">
          <cell r="A453" t="str">
            <v>Zillow Group, Inc.</v>
          </cell>
          <cell r="B453" t="str">
            <v>08/22/2017</v>
          </cell>
          <cell r="C453" t="str">
            <v>The Rosen Law Firm, P.A.</v>
          </cell>
        </row>
        <row r="454">
          <cell r="A454" t="str">
            <v>Zimmer Biomet Holdings, Inc.</v>
          </cell>
          <cell r="B454" t="str">
            <v>12/02/2016</v>
          </cell>
          <cell r="C454" t="str">
            <v>Glancy Prongay &amp; Murray, LLP; Katz &amp; Korin, PC</v>
          </cell>
        </row>
        <row r="455">
          <cell r="A455" t="str">
            <v>Zoompass Holdings, Inc.</v>
          </cell>
          <cell r="B455" t="str">
            <v>05/30/2017</v>
          </cell>
          <cell r="C455" t="str">
            <v>Lite Depalma Greenberg, LLC; Pomerantz LLP</v>
          </cell>
        </row>
        <row r="456">
          <cell r="A456" t="str">
            <v>ZTO Express (Cayman) Inc.</v>
          </cell>
          <cell r="B456" t="str">
            <v>08/14/2017</v>
          </cell>
          <cell r="C456" t="str">
            <v>Bottini &amp; Bottini, Inc.; Wolf Haldenstein Adler Freeman &amp; Herz LLP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"/>
    </sheetNames>
    <sheetDataSet>
      <sheetData sheetId="0">
        <row r="2">
          <cell r="B2" t="str">
            <v>CommVault Systems, Inc.</v>
          </cell>
          <cell r="C2" t="str">
            <v xml:space="preserve">Bernstein Litowitz Berger &amp; Grossmann LLP </v>
          </cell>
        </row>
        <row r="3">
          <cell r="B3" t="str">
            <v>Flow International Corporation</v>
          </cell>
          <cell r="C3" t="str">
            <v xml:space="preserve">Robbins, Geller, Rudman &amp; Dowd, LLP 
 Johnson &amp; Weaver LLP </v>
          </cell>
        </row>
        <row r="4">
          <cell r="B4" t="str">
            <v>Bankrate, Inc.</v>
          </cell>
          <cell r="C4" t="str">
            <v xml:space="preserve">Kessler Topaz  Meltzer &amp; Check, LLP </v>
          </cell>
        </row>
        <row r="5">
          <cell r="B5" t="str">
            <v>Blue Earth, Inc.</v>
          </cell>
          <cell r="C5" t="str">
            <v xml:space="preserve">The Rosen Law Firm, P.A. </v>
          </cell>
        </row>
        <row r="6">
          <cell r="B6" t="str">
            <v>Albany Molecular Research, Inc.</v>
          </cell>
          <cell r="C6" t="str">
            <v xml:space="preserve">The Rosen Law Firm, P.A. </v>
          </cell>
        </row>
        <row r="7">
          <cell r="B7" t="str">
            <v>EZCORP, Inc.</v>
          </cell>
          <cell r="C7" t="str">
            <v xml:space="preserve">Bernstein Litowitz Berger &amp; Grossmann LLP </v>
          </cell>
        </row>
        <row r="8">
          <cell r="B8" t="str">
            <v>Vivint Solar, Inc.</v>
          </cell>
          <cell r="C8" t="str">
            <v xml:space="preserve">Levi &amp; Korsinsky, LLP </v>
          </cell>
        </row>
        <row r="9">
          <cell r="B9" t="str">
            <v>Willbros Group, Inc.</v>
          </cell>
          <cell r="C9" t="str">
            <v xml:space="preserve">Robbins, Geller, Rudman &amp; Dowd, LLP </v>
          </cell>
        </row>
        <row r="10">
          <cell r="B10" t="str">
            <v>Shire Plc</v>
          </cell>
          <cell r="C10" t="str">
            <v xml:space="preserve">Wolf Haldenstein Adler Freeman &amp; Herz LLP 
 Gardy &amp; Notis, LLP </v>
          </cell>
        </row>
        <row r="11">
          <cell r="B11" t="str">
            <v>Arrowhead Research Corporation</v>
          </cell>
          <cell r="C11" t="str">
            <v xml:space="preserve">Pomerantz LLP </v>
          </cell>
        </row>
        <row r="12">
          <cell r="B12" t="str">
            <v>Alcobra Ltd.</v>
          </cell>
          <cell r="C12" t="str">
            <v xml:space="preserve">Levi &amp; Korsinsky, LLP </v>
          </cell>
        </row>
        <row r="13">
          <cell r="B13" t="str">
            <v>Hanger, Inc.</v>
          </cell>
          <cell r="C13" t="str">
            <v xml:space="preserve">Robbins, Geller, Rudman &amp; Dowd, LLP </v>
          </cell>
        </row>
        <row r="14">
          <cell r="B14" t="str">
            <v>Retrophin, Inc.</v>
          </cell>
          <cell r="C14" t="str">
            <v xml:space="preserve">Pomerantz LLP </v>
          </cell>
        </row>
        <row r="15">
          <cell r="B15" t="str">
            <v>Millennial Media, Inc.</v>
          </cell>
          <cell r="C15" t="str">
            <v xml:space="preserve">Bernstein Litowitz Berger &amp; Grossmann LLP 
 Cera LLP 
 Labaton Sucharow LLP </v>
          </cell>
        </row>
        <row r="16">
          <cell r="B16" t="str">
            <v>Marrone Bio Innovations, Inc.</v>
          </cell>
          <cell r="C16" t="str">
            <v xml:space="preserve">Lowenstein Sandler, LLP </v>
          </cell>
        </row>
        <row r="17">
          <cell r="B17" t="str">
            <v>Enzymotec Ltd.</v>
          </cell>
          <cell r="C17" t="str">
            <v xml:space="preserve">Saxena White P.A. 
 Ryan &amp; Maniskas, LLP 
 Carella, Byrne, Cecchi, Olstein, Brody &amp; Agnello P.C. </v>
          </cell>
        </row>
        <row r="18">
          <cell r="B18" t="str">
            <v>American Realty Capital Properties, Inc.</v>
          </cell>
          <cell r="C18" t="str">
            <v xml:space="preserve">Robbins, Geller, Rudman &amp; Dowd, LLP </v>
          </cell>
        </row>
        <row r="19">
          <cell r="B19" t="str">
            <v>Advanced Emissions Solutions, Inc.</v>
          </cell>
          <cell r="C19" t="str">
            <v xml:space="preserve">Shepherd, Finkelman, Miller &amp; Shah, LLP </v>
          </cell>
        </row>
        <row r="20">
          <cell r="B20" t="str">
            <v>Sarepta Therapeutics, Inc.</v>
          </cell>
          <cell r="C20" t="str">
            <v xml:space="preserve">Glancy Prongay &amp; Murray, LLP </v>
          </cell>
        </row>
        <row r="21">
          <cell r="B21" t="str">
            <v>GFI Group, Inc.</v>
          </cell>
          <cell r="C21" t="str">
            <v xml:space="preserve">Scott &amp; Scott,  LLP 
 Jack I. Zwick, Esq. </v>
          </cell>
        </row>
        <row r="22">
          <cell r="B22" t="str">
            <v>iBio, Inc.</v>
          </cell>
          <cell r="C22" t="str">
            <v xml:space="preserve">The Rosen Law Firm, P.A. </v>
          </cell>
        </row>
        <row r="23">
          <cell r="B23" t="str">
            <v>AcelRx Pharmaceuticals, Inc.</v>
          </cell>
          <cell r="C23" t="str">
            <v xml:space="preserve">Brower Piven </v>
          </cell>
        </row>
        <row r="24">
          <cell r="B24" t="str">
            <v>Rayonier, Inc.</v>
          </cell>
          <cell r="C24" t="str">
            <v xml:space="preserve">Bernstein Litowitz Berger &amp; Grossmann LLP 
 Saxena White P.A. </v>
          </cell>
        </row>
        <row r="25">
          <cell r="B25" t="str">
            <v>Barrett Business Services, Inc.</v>
          </cell>
          <cell r="C25" t="str">
            <v xml:space="preserve">Bernstein Litowitz Berger &amp; Grossmann LLP </v>
          </cell>
        </row>
        <row r="26">
          <cell r="B26" t="str">
            <v>Kansas City Southern</v>
          </cell>
          <cell r="C26" t="str">
            <v xml:space="preserve">Robbins, Geller, Rudman &amp; Dowd, LLP </v>
          </cell>
        </row>
        <row r="27">
          <cell r="B27" t="str">
            <v>Nymox Pharmaceutical Corporation</v>
          </cell>
          <cell r="C27" t="str">
            <v xml:space="preserve">Brower Piven </v>
          </cell>
        </row>
        <row r="28">
          <cell r="B28" t="str">
            <v>Aeterna Zentaris, Inc.</v>
          </cell>
          <cell r="C28" t="str">
            <v xml:space="preserve">Glancy Prongay &amp; Murray, LLP 
 The Rosen Law Firm, P.A. </v>
          </cell>
        </row>
        <row r="29">
          <cell r="B29" t="str">
            <v>EveryWare Global, Inc.</v>
          </cell>
          <cell r="C29" t="str">
            <v xml:space="preserve">Scott &amp; Scott,  LLP </v>
          </cell>
        </row>
        <row r="30">
          <cell r="B30" t="str">
            <v>Cobalt International Energy, Inc.</v>
          </cell>
          <cell r="C30" t="str">
            <v xml:space="preserve">Bernstein Litowitz Berger &amp; Grossmann LLP 
 Entwistle &amp; Cappucci LLP </v>
          </cell>
        </row>
        <row r="31">
          <cell r="B31" t="str">
            <v>Petroleo Brasileiro S.A. - Petrobras</v>
          </cell>
          <cell r="C31" t="str">
            <v xml:space="preserve">Pomerantz LLP </v>
          </cell>
        </row>
        <row r="32">
          <cell r="B32" t="str">
            <v>VBI Vaccines, Inc. (f/k/a Paulson Capital Corp.)</v>
          </cell>
          <cell r="C32" t="str">
            <v xml:space="preserve">Andrews &amp; Springer, LLC </v>
          </cell>
        </row>
        <row r="33">
          <cell r="B33" t="str">
            <v>Aegerion Pharmaceuticals, Inc.</v>
          </cell>
          <cell r="C33" t="str">
            <v xml:space="preserve">Robbins, Geller, Rudman &amp; Dowd, LLP 
 Motley Rice LLC </v>
          </cell>
        </row>
        <row r="34">
          <cell r="B34" t="str">
            <v>ITT Educational Services Inc.</v>
          </cell>
          <cell r="C34" t="str">
            <v xml:space="preserve">Glancy Prongay &amp; Murray, LLP </v>
          </cell>
        </row>
        <row r="35">
          <cell r="B35" t="str">
            <v>Ocean Power Technologies, Inc.</v>
          </cell>
          <cell r="C35" t="str">
            <v xml:space="preserve">Levi &amp; Korsinsky, LLP </v>
          </cell>
        </row>
        <row r="36">
          <cell r="B36" t="str">
            <v>Tesco PLC</v>
          </cell>
          <cell r="C36" t="str">
            <v xml:space="preserve">Kahn Swick &amp; Foti, LLC </v>
          </cell>
        </row>
        <row r="37">
          <cell r="B37" t="str">
            <v>TelexFree, Inc.</v>
          </cell>
          <cell r="C37" t="str">
            <v xml:space="preserve">Gardy &amp; Notis, LLP </v>
          </cell>
        </row>
        <row r="38">
          <cell r="B38" t="str">
            <v>CannaVEST Corp.</v>
          </cell>
          <cell r="C38" t="str">
            <v xml:space="preserve">Federman &amp; Sherwood </v>
          </cell>
        </row>
        <row r="39">
          <cell r="B39" t="str">
            <v>Sanofi</v>
          </cell>
          <cell r="C39" t="str">
            <v xml:space="preserve">Pomerantz LLP </v>
          </cell>
        </row>
        <row r="40">
          <cell r="B40" t="str">
            <v>Salix Pharmaceuticals, Ltd.</v>
          </cell>
          <cell r="C40" t="str">
            <v xml:space="preserve">Bernstein Litowitz Berger &amp; Grossmann LLP </v>
          </cell>
        </row>
        <row r="41">
          <cell r="B41" t="str">
            <v>Galectin Therapeutics Inc.</v>
          </cell>
          <cell r="C41" t="str">
            <v xml:space="preserve">Kessler Topaz  Meltzer &amp; Check, LLP </v>
          </cell>
        </row>
        <row r="42">
          <cell r="B42" t="str">
            <v>ChinaCast Education Inc.</v>
          </cell>
          <cell r="C42" t="str">
            <v xml:space="preserve">Cohen Milstein Sellers &amp; Toll PLLC </v>
          </cell>
        </row>
        <row r="43">
          <cell r="B43" t="str">
            <v>Lions Gate Entertainment Corp.</v>
          </cell>
          <cell r="C43" t="str">
            <v xml:space="preserve">Motley Rice LLC </v>
          </cell>
        </row>
        <row r="44">
          <cell r="B44" t="str">
            <v>Five Below, Inc.</v>
          </cell>
          <cell r="C44" t="str">
            <v xml:space="preserve">Labaton Sucharow LLP </v>
          </cell>
        </row>
        <row r="45">
          <cell r="B45" t="str">
            <v>RCS Capital Corporation</v>
          </cell>
          <cell r="C45" t="str">
            <v xml:space="preserve">Labaton Sucharow LLP 
 Scott &amp; Scott,  LLP </v>
          </cell>
        </row>
        <row r="46">
          <cell r="B46" t="str">
            <v>Pacira Pharmaceuticals, Inc.</v>
          </cell>
          <cell r="C46" t="str">
            <v xml:space="preserve">Pomerantz LLP </v>
          </cell>
        </row>
        <row r="47">
          <cell r="B47" t="str">
            <v>China North East Petroleum Holdings Limited</v>
          </cell>
          <cell r="C47" t="str">
            <v xml:space="preserve">Wolf Haldenstein Adler Freeman &amp; Herz LLP </v>
          </cell>
        </row>
        <row r="48">
          <cell r="B48" t="str">
            <v>Roka Bioscience, Inc.</v>
          </cell>
          <cell r="C48" t="str">
            <v xml:space="preserve">The Rosen Law Firm, P.A. </v>
          </cell>
        </row>
        <row r="49">
          <cell r="B49" t="str">
            <v>Calavo Growers, Inc.</v>
          </cell>
          <cell r="C49" t="str">
            <v xml:space="preserve">Pomerantz LLP </v>
          </cell>
        </row>
        <row r="50">
          <cell r="B50" t="str">
            <v>MedBox, Inc.</v>
          </cell>
          <cell r="C50" t="str">
            <v xml:space="preserve">Johnson &amp; Weaver LLP </v>
          </cell>
        </row>
        <row r="51">
          <cell r="B51" t="str">
            <v>InvenSense, Inc.</v>
          </cell>
          <cell r="C51" t="str">
            <v xml:space="preserve">Robbins, Geller, Rudman &amp; Dowd, LLP </v>
          </cell>
        </row>
        <row r="52">
          <cell r="B52" t="str">
            <v>Stratasys Ltd.</v>
          </cell>
          <cell r="C52" t="str">
            <v xml:space="preserve">Robbins, Geller, Rudman &amp; Dowd, LLP </v>
          </cell>
        </row>
        <row r="53">
          <cell r="B53" t="str">
            <v>Home Loan Servicing Solutions, Ltd.</v>
          </cell>
          <cell r="C53" t="str">
            <v xml:space="preserve">Saxena White P.A. </v>
          </cell>
        </row>
        <row r="54">
          <cell r="B54" t="str">
            <v>China Gerui Advanced Materials Group Ltd.</v>
          </cell>
          <cell r="C54" t="str">
            <v xml:space="preserve">Law Offices of Curtis V. Trinko </v>
          </cell>
        </row>
        <row r="55">
          <cell r="B55" t="str">
            <v>Alibaba Group Holding Limited</v>
          </cell>
          <cell r="C55" t="str">
            <v xml:space="preserve">The Rosen Law Firm, P.A. </v>
          </cell>
        </row>
        <row r="56">
          <cell r="B56" t="str">
            <v>Movado Group, Inc.</v>
          </cell>
          <cell r="C56" t="str">
            <v xml:space="preserve">Robbins, Geller, Rudman &amp; Dowd, LLP </v>
          </cell>
        </row>
        <row r="57">
          <cell r="B57" t="str">
            <v>Energy Recovery, Inc.</v>
          </cell>
          <cell r="C57" t="str">
            <v xml:space="preserve">Levi &amp; Korsinsky, LLP </v>
          </cell>
        </row>
        <row r="58">
          <cell r="B58" t="str">
            <v>FireEye, Inc.</v>
          </cell>
          <cell r="C58" t="str">
            <v xml:space="preserve">Glancy Prongay &amp; Murray, LLP 
 Labaton Sucharow LLP </v>
          </cell>
        </row>
        <row r="59">
          <cell r="B59" t="str">
            <v>ChannelAdvisor Corporation</v>
          </cell>
          <cell r="C59" t="str">
            <v xml:space="preserve">The Rosen Law Firm, P.A. </v>
          </cell>
        </row>
        <row r="60">
          <cell r="B60" t="str">
            <v>LeapFrog Enterprises, Inc.</v>
          </cell>
          <cell r="C60" t="str">
            <v xml:space="preserve">Robbins, Geller, Rudman &amp; Dowd, LLP 
 Motley Rice LLC </v>
          </cell>
        </row>
        <row r="61">
          <cell r="B61" t="str">
            <v>Allergan, Inc.</v>
          </cell>
          <cell r="C61" t="str">
            <v xml:space="preserve">Bernstein Litowitz Berger &amp; Grossmann LLP 
 Kessler Topaz  Meltzer &amp; Check, LLP </v>
          </cell>
        </row>
        <row r="62">
          <cell r="B62" t="str">
            <v>eHealth, Inc.</v>
          </cell>
          <cell r="C62" t="str">
            <v xml:space="preserve">Robbins, Geller, Rudman &amp; Dowd, LLP </v>
          </cell>
        </row>
        <row r="63">
          <cell r="B63" t="str">
            <v>PIMCO Total Return Fund</v>
          </cell>
          <cell r="C63" t="str">
            <v xml:space="preserve">Levi &amp; Korsinsky, LLP </v>
          </cell>
        </row>
        <row r="64">
          <cell r="B64" t="str">
            <v>MOL Global, Inc.</v>
          </cell>
          <cell r="C64" t="str">
            <v xml:space="preserve">Kirby McInerney LLP </v>
          </cell>
        </row>
        <row r="65">
          <cell r="B65" t="str">
            <v>Altisource Asset Management Corporation</v>
          </cell>
          <cell r="C65" t="str">
            <v xml:space="preserve">Hagens Berman Sobol Shapiro LLP </v>
          </cell>
        </row>
        <row r="66">
          <cell r="B66" t="str">
            <v>Telestone Technologies Corp.</v>
          </cell>
          <cell r="C66" t="str">
            <v xml:space="preserve">Glancy Prongay &amp; Murray, LLP 
 Carella, Byrne, Cecchi, Olstein, Brody &amp; Agnello P.C. </v>
          </cell>
        </row>
        <row r="67">
          <cell r="B67" t="str">
            <v>Altair Nanotechnologies, Inc.</v>
          </cell>
          <cell r="C67" t="str">
            <v xml:space="preserve">Pomerantz LLP </v>
          </cell>
        </row>
        <row r="68">
          <cell r="B68" t="str">
            <v>CTPartners Executive Search Inc.</v>
          </cell>
          <cell r="C68" t="str">
            <v xml:space="preserve">Robbins, Geller, Rudman &amp; Dowd, LLP </v>
          </cell>
        </row>
        <row r="69">
          <cell r="B69" t="str">
            <v>Amira Nature Foods Ltd.</v>
          </cell>
          <cell r="C69" t="str">
            <v xml:space="preserve">Labaton Sucharow LLP </v>
          </cell>
        </row>
        <row r="70">
          <cell r="B70" t="str">
            <v>Volaris Aviation Holding Company</v>
          </cell>
          <cell r="C70" t="str">
            <v xml:space="preserve">Cohen Milstein Sellers &amp; Toll PLLC </v>
          </cell>
        </row>
        <row r="71">
          <cell r="B71" t="str">
            <v>GT Advanced Technologies Inc.</v>
          </cell>
          <cell r="C71" t="str">
            <v xml:space="preserve">Bernstein Litowitz Berger &amp; Grossmann LLP 
 Orr &amp; Reno, P.A. </v>
          </cell>
        </row>
        <row r="72">
          <cell r="B72" t="str">
            <v>Corporate Resource Services, Inc.</v>
          </cell>
          <cell r="C72" t="str">
            <v xml:space="preserve">Pomerantz LLP </v>
          </cell>
        </row>
        <row r="73">
          <cell r="B73" t="str">
            <v>TCP International Holdings Ltd.</v>
          </cell>
          <cell r="C73" t="str">
            <v xml:space="preserve">Robbins, Geller, Rudman &amp; Dowd, LLP </v>
          </cell>
        </row>
        <row r="74">
          <cell r="B74" t="str">
            <v>International Business Machines Corporation</v>
          </cell>
          <cell r="C74" t="str">
            <v xml:space="preserve">Motley Rice LLC </v>
          </cell>
        </row>
        <row r="75">
          <cell r="B75" t="str">
            <v>Virtus Investment Partners Inc.</v>
          </cell>
          <cell r="C75" t="str">
            <v xml:space="preserve">Bernstein Litowitz Berger &amp; Grossmann LLP 
 Labaton Sucharow LLP </v>
          </cell>
        </row>
        <row r="76">
          <cell r="B76" t="str">
            <v>Accelerate Diagnostics Incorporated</v>
          </cell>
          <cell r="C76" t="str">
            <v xml:space="preserve">The Rosen Law Firm, P.A. </v>
          </cell>
        </row>
        <row r="77">
          <cell r="B77" t="str">
            <v>Lentuo International Inc.</v>
          </cell>
          <cell r="C77" t="str">
            <v xml:space="preserve">The Rosen Law Firm, P.A. </v>
          </cell>
        </row>
        <row r="78">
          <cell r="B78" t="str">
            <v>Dell Inc.</v>
          </cell>
          <cell r="C78" t="str">
            <v xml:space="preserve">Robbins, Geller, Rudman &amp; Dowd, LLP </v>
          </cell>
        </row>
        <row r="79">
          <cell r="B79" t="str">
            <v>Venaxis, Inc.</v>
          </cell>
          <cell r="C79" t="str">
            <v xml:space="preserve">Pomerantz LLP </v>
          </cell>
        </row>
        <row r="80">
          <cell r="B80" t="str">
            <v>Inogen, Inc.</v>
          </cell>
          <cell r="C80" t="str">
            <v xml:space="preserve">The Rosen Law Firm, P.A. </v>
          </cell>
        </row>
        <row r="81">
          <cell r="B81" t="str">
            <v>Walgreen Co.</v>
          </cell>
          <cell r="C81" t="str">
            <v xml:space="preserve">Kessler Topaz  Meltzer &amp; Check, LLP </v>
          </cell>
        </row>
        <row r="82">
          <cell r="B82" t="str">
            <v>Jumei International Holding Limited</v>
          </cell>
          <cell r="C82" t="str">
            <v xml:space="preserve">Pomerantz LLP </v>
          </cell>
        </row>
        <row r="83">
          <cell r="B83" t="str">
            <v>Orexigen Therapeutics, Inc.</v>
          </cell>
          <cell r="C83" t="str">
            <v xml:space="preserve">Kahn Swick &amp; Foti, LLC </v>
          </cell>
        </row>
        <row r="84">
          <cell r="B84" t="str">
            <v>Seadrill Limited</v>
          </cell>
          <cell r="C84" t="str">
            <v xml:space="preserve">The Rosen Law Firm, P.A. 
 Robbins, Geller, Rudman &amp; Dowd, LLP </v>
          </cell>
        </row>
        <row r="85">
          <cell r="B85" t="str">
            <v>Quiksilver, Inc.</v>
          </cell>
          <cell r="C85" t="str">
            <v xml:space="preserve">Levi &amp; Korsinsky, LLP </v>
          </cell>
        </row>
        <row r="86">
          <cell r="B86" t="str">
            <v>Appliance Recycling Centers of America, Inc.</v>
          </cell>
          <cell r="C86" t="str">
            <v xml:space="preserve">The Rosen Law Firm, P.A. </v>
          </cell>
        </row>
        <row r="87">
          <cell r="B87" t="str">
            <v>500.com Limited</v>
          </cell>
          <cell r="C87" t="str">
            <v xml:space="preserve">Levi &amp; Korsinsky, LLP </v>
          </cell>
        </row>
        <row r="88">
          <cell r="B88" t="str">
            <v>BP plc</v>
          </cell>
          <cell r="C88" t="str">
            <v xml:space="preserve">Labaton Sucharow LLP </v>
          </cell>
        </row>
        <row r="89">
          <cell r="B89" t="str">
            <v>Life Time Fitness, Inc.</v>
          </cell>
          <cell r="C89" t="str">
            <v xml:space="preserve">Robbins, Geller, Rudman &amp; Dowd, LLP 
 Block &amp; Leviton LLP </v>
          </cell>
        </row>
        <row r="90">
          <cell r="B90" t="str">
            <v>Sanderson Farms, Inc.</v>
          </cell>
          <cell r="C90" t="str">
            <v xml:space="preserve">Pomerantz LLP </v>
          </cell>
        </row>
        <row r="91">
          <cell r="B91" t="str">
            <v>Rubicon Technology, Inc.</v>
          </cell>
          <cell r="C91" t="str">
            <v xml:space="preserve">Robbins, Geller, Rudman &amp; Dowd, LLP </v>
          </cell>
        </row>
        <row r="92">
          <cell r="B92" t="str">
            <v>Bridgepoint Education, Inc.</v>
          </cell>
          <cell r="C92" t="str">
            <v xml:space="preserve">Glancy Prongay &amp; Murray, LLP 
 The Rosen Law Firm, P.A. </v>
          </cell>
        </row>
        <row r="93">
          <cell r="B93" t="str">
            <v>Cadiz Inc.</v>
          </cell>
          <cell r="C93" t="str">
            <v xml:space="preserve">Glancy Prongay &amp; Murray, LLP 
 The Rosen Law Firm, P.A. </v>
          </cell>
        </row>
        <row r="94">
          <cell r="B94" t="str">
            <v>Voxx International Corporation</v>
          </cell>
          <cell r="C94" t="str">
            <v xml:space="preserve">Robbins, Geller, Rudman &amp; Dowd, LLP </v>
          </cell>
        </row>
        <row r="95">
          <cell r="B95" t="str">
            <v>ForceField Energy Inc.</v>
          </cell>
          <cell r="C95" t="str">
            <v xml:space="preserve">The Rosen Law Firm, P.A. </v>
          </cell>
        </row>
        <row r="96">
          <cell r="B96" t="str">
            <v>Virtus AlphaSector Mutual Funds</v>
          </cell>
          <cell r="C96" t="str">
            <v xml:space="preserve">The Rosen Law Firm, P.A. </v>
          </cell>
        </row>
        <row r="97">
          <cell r="B97" t="str">
            <v>Emulex Corporation</v>
          </cell>
          <cell r="C97" t="str">
            <v xml:space="preserve">Faruqi &amp; Faruqi, LLP </v>
          </cell>
        </row>
        <row r="98">
          <cell r="B98" t="str">
            <v>Aerie Pharmaceuticals, Inc.</v>
          </cell>
          <cell r="C98" t="str">
            <v xml:space="preserve">Robbins, Geller, Rudman &amp; Dowd, LLP </v>
          </cell>
        </row>
        <row r="99">
          <cell r="B99" t="str">
            <v>Global Power Equipment Group, Inc.</v>
          </cell>
          <cell r="C99" t="str">
            <v xml:space="preserve">Block &amp; Leviton LLP </v>
          </cell>
        </row>
        <row r="100">
          <cell r="B100" t="str">
            <v>MobileIron, Inc.</v>
          </cell>
          <cell r="C100" t="str">
            <v xml:space="preserve">The Rosen Law Firm, P.A. </v>
          </cell>
        </row>
        <row r="101">
          <cell r="B101" t="str">
            <v>Cellular Biomedicine Group, Inc.</v>
          </cell>
          <cell r="C101" t="str">
            <v xml:space="preserve">The Rosen Law Firm, P.A. </v>
          </cell>
        </row>
        <row r="102">
          <cell r="B102" t="str">
            <v>AudioEye Inc.</v>
          </cell>
          <cell r="C102" t="str">
            <v xml:space="preserve">Kirby McInerney LLP </v>
          </cell>
        </row>
        <row r="103">
          <cell r="B103" t="str">
            <v>MasTec, Inc.</v>
          </cell>
          <cell r="C103" t="str">
            <v xml:space="preserve">Glancy Prongay &amp; Murray, LLP 
 The Rosen Law Firm, P.A. 
 Pomerantz LLP </v>
          </cell>
        </row>
        <row r="104">
          <cell r="B104" t="str">
            <v>Resonant Inc.</v>
          </cell>
          <cell r="C104" t="str">
            <v xml:space="preserve">Kirby McInerney LLP 
 Levi &amp; Korsinsky, LLP </v>
          </cell>
        </row>
        <row r="105">
          <cell r="B105" t="str">
            <v>Rayonier Advanced Materials, Inc.</v>
          </cell>
          <cell r="C105" t="str">
            <v xml:space="preserve">Grant &amp; Eisenhofer, P.A. 
 Saxena White P.A. </v>
          </cell>
        </row>
        <row r="106">
          <cell r="B106" t="str">
            <v>IsoRay, Inc.</v>
          </cell>
          <cell r="C106" t="str">
            <v xml:space="preserve">Wolf Haldenstein Adler Freeman &amp; Herz LLP 
 The Rosen Law Firm, P.A. </v>
          </cell>
        </row>
        <row r="107">
          <cell r="B107" t="str">
            <v>Nationstar Mortgage Holdings Inc.</v>
          </cell>
          <cell r="C107" t="str">
            <v xml:space="preserve">Kessler Topaz  Meltzer &amp; Check, LLP 
 Robbins, Geller, Rudman &amp; Dowd, LLP </v>
          </cell>
        </row>
        <row r="108">
          <cell r="B108" t="str">
            <v>Akorn, Inc.</v>
          </cell>
          <cell r="C108" t="str">
            <v xml:space="preserve">Glancy Prongay &amp; Murray, LLP 
 Pomerantz LLP </v>
          </cell>
        </row>
        <row r="109">
          <cell r="B109" t="str">
            <v>Puma Biotechnology, Inc.</v>
          </cell>
          <cell r="C109" t="str">
            <v xml:space="preserve">Robbins, Geller, Rudman &amp; Dowd, LLP </v>
          </cell>
        </row>
        <row r="110">
          <cell r="B110" t="str">
            <v>Santander Consumer USA Holdings Inc.</v>
          </cell>
          <cell r="C110" t="str">
            <v xml:space="preserve">Grant &amp; Eisenhofer, P.A. 
 Robbins, Geller, Rudman &amp; Dowd, LLP </v>
          </cell>
        </row>
        <row r="111">
          <cell r="B111" t="str">
            <v>Toshiba Corporation</v>
          </cell>
          <cell r="C111" t="str">
            <v xml:space="preserve">Robbins, Geller, Rudman &amp; Dowd, LLP </v>
          </cell>
        </row>
        <row r="112">
          <cell r="B112" t="str">
            <v>Braskem S.A.</v>
          </cell>
          <cell r="C112" t="str">
            <v xml:space="preserve">Cohen Milstein Sellers &amp; Toll PLLC </v>
          </cell>
        </row>
        <row r="113">
          <cell r="B113" t="str">
            <v>ACADIA Pharmaceuticals, Inc.</v>
          </cell>
          <cell r="C113" t="str">
            <v xml:space="preserve">Faruqi &amp; Faruqi, LLP </v>
          </cell>
        </row>
        <row r="114">
          <cell r="B114" t="str">
            <v>Endurance International Group Holdings, Inc.</v>
          </cell>
          <cell r="C114" t="str">
            <v xml:space="preserve">Glancy Prongay &amp; Murray, LLP </v>
          </cell>
        </row>
        <row r="115">
          <cell r="B115" t="str">
            <v>QRx Pharma, Ltd.</v>
          </cell>
          <cell r="C115" t="str">
            <v xml:space="preserve">The Rosen Law Firm, P.A. </v>
          </cell>
        </row>
        <row r="116">
          <cell r="B116" t="str">
            <v>Vipshop Holdings Limited</v>
          </cell>
          <cell r="C116" t="str">
            <v xml:space="preserve">Labaton Sucharow LLP </v>
          </cell>
        </row>
        <row r="117">
          <cell r="B117" t="str">
            <v>Xunlei Limited</v>
          </cell>
          <cell r="C117" t="str">
            <v xml:space="preserve">The Rosen Law Firm, P.A. </v>
          </cell>
        </row>
        <row r="118">
          <cell r="B118" t="str">
            <v>China Finance Online Co. Limited</v>
          </cell>
          <cell r="C118" t="str">
            <v xml:space="preserve">The Rosen Law Firm, P.A. </v>
          </cell>
        </row>
        <row r="119">
          <cell r="B119" t="str">
            <v>CHC Group Ltd.</v>
          </cell>
          <cell r="C119" t="str">
            <v xml:space="preserve">Kirby McInerney LLP </v>
          </cell>
        </row>
        <row r="120">
          <cell r="B120" t="str">
            <v>Sonus Networks</v>
          </cell>
          <cell r="C120" t="str">
            <v xml:space="preserve">The Rosen Law Firm, P.A. </v>
          </cell>
        </row>
        <row r="121">
          <cell r="B121" t="str">
            <v>21Vianet Group, Inc.</v>
          </cell>
          <cell r="C121" t="str">
            <v xml:space="preserve">Glancy Prongay &amp; Murray, LLP </v>
          </cell>
        </row>
        <row r="122">
          <cell r="B122" t="str">
            <v>CorMedix, Inc.</v>
          </cell>
          <cell r="C122" t="str">
            <v xml:space="preserve">The Rosen Law Firm, P.A. </v>
          </cell>
        </row>
        <row r="123">
          <cell r="B123" t="str">
            <v>Truecar, Inc.</v>
          </cell>
          <cell r="C123" t="str">
            <v xml:space="preserve">The Rosen Law Firm, P.A. 
 Pomerantz LLP </v>
          </cell>
        </row>
        <row r="124">
          <cell r="B124" t="str">
            <v>Keurig Green Mountain, Inc.</v>
          </cell>
          <cell r="C124" t="str">
            <v xml:space="preserve">Glancy Prongay &amp; Murray, LLP 
 The Rosen Law Firm, P.A. </v>
          </cell>
        </row>
        <row r="125">
          <cell r="B125" t="str">
            <v>3D Systems Corporation</v>
          </cell>
          <cell r="C125" t="str">
            <v xml:space="preserve">Robbins, Geller, Rudman &amp; Dowd, LLP 
 Motley Rice LLC </v>
          </cell>
        </row>
        <row r="126">
          <cell r="B126" t="str">
            <v>Centrais Eletricas Brasileiras S.A. - Electrobras</v>
          </cell>
          <cell r="C126" t="str">
            <v xml:space="preserve">Kaplan Fox &amp; Kilsheimer LLP 
 Kahn Swick &amp; Foti, LLC </v>
          </cell>
        </row>
        <row r="127">
          <cell r="B127" t="str">
            <v>MDC Partners, Inc.</v>
          </cell>
          <cell r="C127" t="str">
            <v xml:space="preserve">Berman Tabacco 
 Robbins, Geller, Rudman &amp; Dowd, LLP </v>
          </cell>
        </row>
        <row r="128">
          <cell r="B128" t="str">
            <v>Yingli Green Energy Holding Company Limited</v>
          </cell>
          <cell r="C128" t="str">
            <v xml:space="preserve">The Rosen Law Firm, P.A. </v>
          </cell>
        </row>
        <row r="129">
          <cell r="B129" t="str">
            <v>Altisource Residential Corporation</v>
          </cell>
          <cell r="C129" t="str">
            <v xml:space="preserve">Levi &amp; Korsinsky, LLP </v>
          </cell>
        </row>
        <row r="130">
          <cell r="B130" t="str">
            <v>Solazyme, Inc.</v>
          </cell>
          <cell r="C130" t="str">
            <v xml:space="preserve">Glancy Prongay &amp; Murray, LLP 
 Labaton Sucharow LLP </v>
          </cell>
        </row>
        <row r="131">
          <cell r="B131" t="str">
            <v>LifeLock, Inc.</v>
          </cell>
          <cell r="C131" t="str">
            <v xml:space="preserve">Bernstein Liebhard LLP 
 Labaton Sucharow LLP </v>
          </cell>
        </row>
        <row r="132">
          <cell r="B132" t="str">
            <v>root9B Technologies, Inc.</v>
          </cell>
          <cell r="C132" t="str">
            <v xml:space="preserve">Levi &amp; Korsinsky, LLP </v>
          </cell>
        </row>
        <row r="133">
          <cell r="B133" t="str">
            <v>Chemical &amp; Mining Co. of Chile Inc.</v>
          </cell>
          <cell r="C133" t="str">
            <v xml:space="preserve">Robbins, Geller, Rudman &amp; Dowd, LLP </v>
          </cell>
        </row>
        <row r="134">
          <cell r="B134" t="str">
            <v>Uranium Energy Corporation</v>
          </cell>
          <cell r="C134" t="str">
            <v xml:space="preserve">The Rosen Law Firm, P.A. 
 Levi &amp; Korsinsky, LLP </v>
          </cell>
        </row>
        <row r="135">
          <cell r="B135" t="str">
            <v>Investment Technology Group, Inc.</v>
          </cell>
          <cell r="C135" t="str">
            <v xml:space="preserve">Motley Rice LLC </v>
          </cell>
        </row>
        <row r="136">
          <cell r="B136" t="str">
            <v>Silver Wheaton Corp.</v>
          </cell>
          <cell r="C136" t="str">
            <v xml:space="preserve">The Rosen Law Firm, P.A. </v>
          </cell>
        </row>
        <row r="137">
          <cell r="B137" t="str">
            <v>ServiceSource International, Inc.</v>
          </cell>
          <cell r="C137" t="str">
            <v xml:space="preserve">Newman Du Wors LLP </v>
          </cell>
        </row>
        <row r="138">
          <cell r="B138" t="str">
            <v>Etsy, Inc.</v>
          </cell>
          <cell r="C138" t="str">
            <v xml:space="preserve">Pomerantz LLP </v>
          </cell>
        </row>
        <row r="139">
          <cell r="B139" t="str">
            <v>Youku Tudou, Inc.</v>
          </cell>
          <cell r="C139" t="str">
            <v xml:space="preserve">Levi &amp; Korsinsky, LLP </v>
          </cell>
        </row>
        <row r="140">
          <cell r="B140" t="str">
            <v>Whole Foods Market Inc.</v>
          </cell>
          <cell r="C140" t="str">
            <v xml:space="preserve">Robbins, Geller, Rudman &amp; Dowd, LLP </v>
          </cell>
        </row>
        <row r="141">
          <cell r="B141" t="str">
            <v>EZCORP, Inc.</v>
          </cell>
          <cell r="C141" t="str">
            <v xml:space="preserve">Glancy Prongay &amp; Murray, LLP 
 Block &amp; Leviton LLP </v>
          </cell>
        </row>
        <row r="142">
          <cell r="B142" t="str">
            <v>Edison International</v>
          </cell>
          <cell r="C142" t="str">
            <v xml:space="preserve">Robbins, Geller, Rudman &amp; Dowd, LLP </v>
          </cell>
        </row>
        <row r="143">
          <cell r="B143" t="str">
            <v>ConforMIS, Inc.</v>
          </cell>
          <cell r="C143" t="str">
            <v xml:space="preserve">Pomerantz LLP </v>
          </cell>
        </row>
        <row r="144">
          <cell r="B144" t="str">
            <v>AirMedia Group, Inc.</v>
          </cell>
          <cell r="C144" t="str">
            <v xml:space="preserve">Robbins, Geller, Rudman &amp; Dowd, LLP </v>
          </cell>
        </row>
        <row r="145">
          <cell r="B145" t="str">
            <v>FXCM, Inc.</v>
          </cell>
          <cell r="C145" t="str">
            <v xml:space="preserve">Scott &amp; Scott,  LLP </v>
          </cell>
        </row>
        <row r="146">
          <cell r="B146" t="str">
            <v>Wayfair, Inc.</v>
          </cell>
          <cell r="C146" t="str">
            <v xml:space="preserve">The Rosen Law Firm, P.A. </v>
          </cell>
        </row>
        <row r="147">
          <cell r="B147" t="str">
            <v>CaesarStone Sdot-Yam Ltd.</v>
          </cell>
          <cell r="C147" t="str">
            <v xml:space="preserve">The Rosen Law Firm, P.A. 
 Pomerantz LLP </v>
          </cell>
        </row>
        <row r="148">
          <cell r="B148" t="str">
            <v>American Express Company</v>
          </cell>
          <cell r="C148" t="str">
            <v xml:space="preserve">Labaton Sucharow LLP 
 Robbins, Geller, Rudman &amp; Dowd, LLP </v>
          </cell>
        </row>
        <row r="149">
          <cell r="B149" t="str">
            <v>MaxPoint Interactive Inc.</v>
          </cell>
          <cell r="C149" t="str">
            <v xml:space="preserve">Robbins, Geller, Rudman &amp; Dowd, LLP 
 WeissLaw, LLP </v>
          </cell>
        </row>
        <row r="150">
          <cell r="B150" t="str">
            <v>Biogen, Inc.</v>
          </cell>
          <cell r="C150" t="str">
            <v xml:space="preserve">Labaton Sucharow LLP 
 Bronstein, Gewirtz &amp; Grossman, LLC </v>
          </cell>
        </row>
        <row r="151">
          <cell r="B151" t="str">
            <v>Resource Capital Corporation</v>
          </cell>
          <cell r="C151" t="str">
            <v xml:space="preserve">Levi &amp; Korsinsky, LLP </v>
          </cell>
        </row>
        <row r="152">
          <cell r="B152" t="str">
            <v>Trinet Group, Inc.</v>
          </cell>
          <cell r="C152" t="str">
            <v xml:space="preserve">Robbins, Geller, Rudman &amp; Dowd, LLP </v>
          </cell>
        </row>
        <row r="153">
          <cell r="B153" t="str">
            <v>Plains All American Pipeline, L.P.</v>
          </cell>
          <cell r="C153" t="str">
            <v xml:space="preserve">Robbins, Geller, Rudman &amp; Dowd, LLP </v>
          </cell>
        </row>
        <row r="154">
          <cell r="B154" t="str">
            <v>Shiloh Industries, Inc.</v>
          </cell>
          <cell r="C154" t="str">
            <v xml:space="preserve">Glancy Prongay &amp; Murray, LLP 
 The Rosen Law Firm, P.A. </v>
          </cell>
        </row>
        <row r="155">
          <cell r="B155" t="str">
            <v>El Pollo Loco Holdings, Inc.</v>
          </cell>
          <cell r="C155" t="str">
            <v xml:space="preserve">The Rosen Law Firm, P.A. 
 Robbins, Geller, Rudman &amp; Dowd, LLP </v>
          </cell>
        </row>
        <row r="156">
          <cell r="B156" t="str">
            <v>SFX Entertainment, Inc.</v>
          </cell>
          <cell r="C156" t="str">
            <v xml:space="preserve">Brower Piven </v>
          </cell>
        </row>
        <row r="157">
          <cell r="B157" t="str">
            <v>Fiat Chrysler Automobiles N.V.</v>
          </cell>
          <cell r="C157" t="str">
            <v xml:space="preserve">The Rosen Law Firm, P.A. 
 Pomerantz LLP </v>
          </cell>
        </row>
        <row r="158">
          <cell r="B158" t="str">
            <v>Celladon Corporation</v>
          </cell>
          <cell r="C158" t="str">
            <v xml:space="preserve">Labaton Sucharow LLP 
 Robbins, Geller, Rudman &amp; Dowd, LLP </v>
          </cell>
        </row>
        <row r="159">
          <cell r="B159" t="str">
            <v>Sientra, Inc.</v>
          </cell>
          <cell r="C159" t="str">
            <v xml:space="preserve">Wolf Popper LLP 
 Pomerantz LLP </v>
          </cell>
        </row>
        <row r="160">
          <cell r="B160" t="str">
            <v>Ampio Pharmaceuticals, Inc.</v>
          </cell>
          <cell r="C160" t="str">
            <v xml:space="preserve">The Rosen Law Firm, P.A. </v>
          </cell>
        </row>
        <row r="161">
          <cell r="B161" t="str">
            <v>Northwest Biotherapeutics, Inc.</v>
          </cell>
          <cell r="C161" t="str">
            <v xml:space="preserve">Pomerantz LLP </v>
          </cell>
        </row>
        <row r="162">
          <cell r="B162" t="str">
            <v>USA Technologies, Inc.</v>
          </cell>
          <cell r="C162" t="str">
            <v xml:space="preserve">Levi &amp; Korsinsky, LLP </v>
          </cell>
        </row>
        <row r="163">
          <cell r="B163" t="str">
            <v>LSB Industries, Inc.</v>
          </cell>
          <cell r="C163" t="str">
            <v xml:space="preserve">Glancy Prongay &amp; Murray, LLP </v>
          </cell>
        </row>
        <row r="164">
          <cell r="B164" t="str">
            <v>Avalanche Biotechnologies, Inc.</v>
          </cell>
          <cell r="C164" t="str">
            <v xml:space="preserve">Faruqi &amp; Faruqi, LLP </v>
          </cell>
        </row>
        <row r="165">
          <cell r="B165" t="str">
            <v>Cellceutix Corporation</v>
          </cell>
          <cell r="C165" t="str">
            <v xml:space="preserve">The Rosen Law Firm, P.A. </v>
          </cell>
        </row>
        <row r="166">
          <cell r="B166" t="str">
            <v>The Spectranetics Corporation</v>
          </cell>
          <cell r="C166" t="str">
            <v xml:space="preserve">Glancy Prongay &amp; Murray, LLP 
 WeissLaw, LLP </v>
          </cell>
        </row>
        <row r="167">
          <cell r="B167" t="str">
            <v>AAC Holdings, Inc.</v>
          </cell>
          <cell r="C167" t="str">
            <v xml:space="preserve">Kaplan Fox &amp; Kilsheimer LLP 
 Kahn Swick &amp; Foti, LLC </v>
          </cell>
        </row>
        <row r="168">
          <cell r="B168" t="str">
            <v>Super Micro Computer, Inc.</v>
          </cell>
          <cell r="C168" t="str">
            <v xml:space="preserve">Glancy Prongay &amp; Murray, LLP </v>
          </cell>
        </row>
        <row r="169">
          <cell r="B169" t="str">
            <v>Volkswagen AG</v>
          </cell>
          <cell r="C169" t="str">
            <v xml:space="preserve">Bernstein Litowitz Berger &amp; Grossmann LLP </v>
          </cell>
        </row>
        <row r="170">
          <cell r="B170" t="str">
            <v>ChinaCache International Holdings Ltd.</v>
          </cell>
          <cell r="C170" t="str">
            <v xml:space="preserve">The Rosen Law Firm, P.A. </v>
          </cell>
        </row>
        <row r="171">
          <cell r="B171" t="str">
            <v>Zafgen, Inc.</v>
          </cell>
          <cell r="C171" t="str">
            <v xml:space="preserve">The Rosen Law Firm, P.A. 
 Block &amp; Leviton LLP </v>
          </cell>
        </row>
        <row r="172">
          <cell r="B172" t="str">
            <v>Hudson City Bancorp, Inc.</v>
          </cell>
          <cell r="C172" t="str">
            <v xml:space="preserve">The Paskowitz Law Firm, P.C. 
 Kaufman, Coren &amp; Ress, P.C. </v>
          </cell>
        </row>
        <row r="173">
          <cell r="B173" t="str">
            <v>Advanced Drainage Systems, Inc.</v>
          </cell>
          <cell r="C173" t="str">
            <v xml:space="preserve">The Rosen Law Firm, P.A. </v>
          </cell>
        </row>
        <row r="174">
          <cell r="B174" t="str">
            <v>6D Global Technologies, Inc.</v>
          </cell>
          <cell r="C174" t="str">
            <v xml:space="preserve">The Rosen Law Firm, P.A. </v>
          </cell>
        </row>
        <row r="175">
          <cell r="B175" t="str">
            <v>Globus Medical, Inc.</v>
          </cell>
          <cell r="C175" t="str">
            <v xml:space="preserve">Glancy Prongay &amp; Murray, LLP 
 The Rosen Law Firm, P.A. </v>
          </cell>
        </row>
        <row r="176">
          <cell r="B176" t="str">
            <v>General Nutrition Corporation</v>
          </cell>
          <cell r="C176" t="str">
            <v xml:space="preserve">Motley Rice LLC </v>
          </cell>
        </row>
        <row r="177">
          <cell r="B177" t="str">
            <v>LRR Energy, L.P.</v>
          </cell>
          <cell r="C177" t="str">
            <v xml:space="preserve">Robbins Arroyo LLP </v>
          </cell>
        </row>
        <row r="178">
          <cell r="B178" t="str">
            <v>iDreamSky Technology Limited</v>
          </cell>
          <cell r="C178" t="str">
            <v xml:space="preserve">Glancy Prongay &amp; Murray, LLP 
 The Rosen Law Firm, P.A. </v>
          </cell>
        </row>
        <row r="179">
          <cell r="B179" t="str">
            <v>SouFun Holdings Limited</v>
          </cell>
          <cell r="C179" t="str">
            <v xml:space="preserve">The Rosen Law Firm, P.A. 
 Goldberg Law PC </v>
          </cell>
        </row>
        <row r="180">
          <cell r="B180" t="str">
            <v>Helix Energy Solutions Group, Inc.</v>
          </cell>
          <cell r="C180" t="str">
            <v xml:space="preserve">The Rosen Law Firm, P.A. </v>
          </cell>
        </row>
        <row r="181">
          <cell r="B181" t="str">
            <v>BofI Holding, Inc.</v>
          </cell>
          <cell r="C181" t="str">
            <v xml:space="preserve">Lieff Cabraser Heimann &amp; Bernstein, LLP </v>
          </cell>
        </row>
        <row r="182">
          <cell r="B182" t="str">
            <v>Fifth Street Finance Corp.</v>
          </cell>
          <cell r="C182" t="str">
            <v xml:space="preserve">Labaton Sucharow LLP </v>
          </cell>
        </row>
        <row r="183">
          <cell r="B183" t="str">
            <v>Marvell Technology Group, Ltd.</v>
          </cell>
          <cell r="C183" t="str">
            <v xml:space="preserve">Robbins, Geller, Rudman &amp; Dowd, LLP </v>
          </cell>
        </row>
        <row r="184">
          <cell r="B184" t="str">
            <v>Starz</v>
          </cell>
          <cell r="C184" t="str">
            <v xml:space="preserve">Glancy Prongay &amp; Murray, LLP </v>
          </cell>
        </row>
        <row r="185">
          <cell r="B185" t="str">
            <v>Flotek Industries Inc.</v>
          </cell>
          <cell r="C185" t="str">
            <v xml:space="preserve">Robbins, Geller, Rudman &amp; Dowd, LLP </v>
          </cell>
        </row>
        <row r="186">
          <cell r="B186" t="str">
            <v>Clovis Oncology, Inc.</v>
          </cell>
          <cell r="C186" t="str">
            <v xml:space="preserve">Bernstein Litowitz Berger &amp; Grossmann LLP </v>
          </cell>
        </row>
        <row r="187">
          <cell r="B187" t="str">
            <v>On Deck Capital, Inc.</v>
          </cell>
          <cell r="C187" t="str">
            <v xml:space="preserve">Pomerantz LLP </v>
          </cell>
        </row>
        <row r="188">
          <cell r="B188" t="str">
            <v>Qualcomm Incorporated</v>
          </cell>
          <cell r="C188" t="str">
            <v xml:space="preserve">Labaton Sucharow LLP 
 Kessler Topaz  Meltzer &amp; Check, LLP </v>
          </cell>
        </row>
        <row r="189">
          <cell r="B189" t="str">
            <v>Checkpoint Systems Inc.</v>
          </cell>
          <cell r="C189" t="str">
            <v xml:space="preserve">Levi &amp; Korsinsky, LLP </v>
          </cell>
        </row>
        <row r="190">
          <cell r="B190" t="str">
            <v>SanDisk Corp.</v>
          </cell>
          <cell r="C190" t="str">
            <v xml:space="preserve">Scott &amp; Scott,  LLP </v>
          </cell>
        </row>
        <row r="191">
          <cell r="B191" t="str">
            <v>XBiotech Inc.</v>
          </cell>
          <cell r="C191" t="str">
            <v xml:space="preserve">Bronstein, Gewirtz &amp; Grossman, LLC </v>
          </cell>
        </row>
        <row r="192">
          <cell r="B192" t="str">
            <v>Party City Holdco, Inc.</v>
          </cell>
          <cell r="C192" t="str">
            <v xml:space="preserve">Kessler Topaz  Meltzer &amp; Check, LLP </v>
          </cell>
        </row>
        <row r="193">
          <cell r="B193" t="str">
            <v>Capstone Turbine Corp.</v>
          </cell>
          <cell r="C193" t="str">
            <v xml:space="preserve">Glancy Prongay &amp; Murray, LLP </v>
          </cell>
        </row>
        <row r="194">
          <cell r="B194" t="str">
            <v>Boulder Brands, Inc.</v>
          </cell>
          <cell r="C194" t="str">
            <v xml:space="preserve">Robbins, Geller, Rudman &amp; Dowd, LLP </v>
          </cell>
        </row>
        <row r="195">
          <cell r="B195" t="str">
            <v>Vale S.A.</v>
          </cell>
          <cell r="C195" t="str">
            <v xml:space="preserve">Bernstein Litowitz Berger &amp; Grossmann LLP </v>
          </cell>
        </row>
        <row r="196">
          <cell r="B196" t="str">
            <v>Trinity Industries, Inc.</v>
          </cell>
          <cell r="C196" t="str">
            <v xml:space="preserve">Bernstein Litowitz Berger &amp; Grossmann LLP 
 Lowenstein Sandler, LLP 
 Robbins, Geller, Rudman &amp; Dowd, LLP </v>
          </cell>
        </row>
        <row r="197">
          <cell r="B197" t="str">
            <v>Identiv, Inc.</v>
          </cell>
          <cell r="C197" t="str">
            <v xml:space="preserve">Glancy Prongay &amp; Murray, LLP 
 Johnson &amp; Weaver LLP </v>
          </cell>
        </row>
        <row r="198">
          <cell r="B198" t="str">
            <v>United Development Funding IV</v>
          </cell>
          <cell r="C198" t="str">
            <v xml:space="preserve">Glancy Prongay &amp; Murray, LLP </v>
          </cell>
        </row>
        <row r="199">
          <cell r="B199" t="str">
            <v>Iconix Brand Group, Inc.</v>
          </cell>
          <cell r="C199" t="str">
            <v xml:space="preserve">Robbins, Geller, Rudman &amp; Dowd, LLP 
 Saxena White P.A. </v>
          </cell>
        </row>
        <row r="200">
          <cell r="B200" t="str">
            <v>SandRidge Mississippian Trusts I &amp; II</v>
          </cell>
          <cell r="C200" t="str">
            <v xml:space="preserve">The Rosen Law Firm, P.A. </v>
          </cell>
        </row>
        <row r="201">
          <cell r="B201" t="str">
            <v>KLX, Inc.</v>
          </cell>
          <cell r="C201" t="str">
            <v xml:space="preserve">Robbins, Geller, Rudman &amp; Dowd, LLP </v>
          </cell>
        </row>
        <row r="202">
          <cell r="B202" t="str">
            <v>TCP International Holdings Ltd.</v>
          </cell>
          <cell r="C202" t="str">
            <v xml:space="preserve">Levi &amp; Korsinsky, LLP 
 Pomerantz LLP </v>
          </cell>
        </row>
        <row r="203">
          <cell r="B203" t="str">
            <v>Osiris Therapeutics, Inc.</v>
          </cell>
          <cell r="C203" t="str">
            <v xml:space="preserve">Hagens Berman Sobol Shapiro LLP </v>
          </cell>
        </row>
        <row r="204">
          <cell r="B204" t="str">
            <v>SunEdison Inc.</v>
          </cell>
          <cell r="C204" t="str">
            <v xml:space="preserve">Bernstein Litowitz Berger &amp; Grossmann LLP </v>
          </cell>
        </row>
        <row r="205">
          <cell r="B205" t="str">
            <v>SolarWinds, Inc.</v>
          </cell>
          <cell r="C205" t="str">
            <v xml:space="preserve">Robbins, Geller, Rudman &amp; Dowd, LLP </v>
          </cell>
        </row>
        <row r="206">
          <cell r="B206" t="str">
            <v>Nimble Storage, Inc.</v>
          </cell>
          <cell r="C206" t="str">
            <v xml:space="preserve">Labaton Sucharow LLP </v>
          </cell>
        </row>
        <row r="207">
          <cell r="B207" t="str">
            <v>Natural Health Trends Corporation</v>
          </cell>
          <cell r="C207" t="str">
            <v xml:space="preserve">The Rosen Law Firm, P.A. 
 Levi &amp; Korsinsky, LLP </v>
          </cell>
        </row>
        <row r="208">
          <cell r="B208" t="str">
            <v>New Source Energy Partners L.P.</v>
          </cell>
          <cell r="C208" t="str">
            <v xml:space="preserve">Wolf Haldenstein Adler Freeman &amp; Herz LLP 
 The Rosen Law Firm, P.A. </v>
          </cell>
        </row>
        <row r="209">
          <cell r="B209" t="str">
            <v>Keurig Green Mountain, Inc.</v>
          </cell>
          <cell r="C209" t="str">
            <v xml:space="preserve">Robbins, Geller, Rudman &amp; Dowd, LLP </v>
          </cell>
        </row>
        <row r="210">
          <cell r="B210" t="str">
            <v>Insulet Corp.</v>
          </cell>
          <cell r="C210" t="str">
            <v xml:space="preserve">Bernstein Litowitz Berger &amp; Grossmann LLP 
 Scott &amp; Scott,  LLP </v>
          </cell>
        </row>
        <row r="211">
          <cell r="B211" t="str">
            <v>Marchex, Inc.</v>
          </cell>
          <cell r="C211" t="str">
            <v xml:space="preserve">The Rosen Law Firm, P.A. 
 Goldberg Law PC </v>
          </cell>
        </row>
        <row r="212">
          <cell r="B212" t="str">
            <v>GW Pharmaceuticals PLC</v>
          </cell>
          <cell r="C212" t="str">
            <v xml:space="preserve">The Rosen Law Firm, P.A. 
 Pomerantz LLP </v>
          </cell>
        </row>
        <row r="213">
          <cell r="B213" t="str">
            <v>Anavex Life Sciences Corp.</v>
          </cell>
          <cell r="C213" t="str">
            <v xml:space="preserve">Levi &amp; Korsinsky, LLP </v>
          </cell>
        </row>
        <row r="214">
          <cell r="B214" t="str">
            <v>Eros International PLC</v>
          </cell>
          <cell r="C214" t="str">
            <v xml:space="preserve">Labaton Sucharow LLP </v>
          </cell>
        </row>
        <row r="215">
          <cell r="B215" t="str">
            <v>Esperion Therapeutics, Inc.</v>
          </cell>
          <cell r="C215" t="str">
            <v xml:space="preserve">Robbins, Geller, Rudman &amp; Dowd, LLP 
 Kahn Swick &amp; Foti, LLC </v>
          </cell>
        </row>
        <row r="216">
          <cell r="B216" t="str">
            <v>Liquid Holdings Group, Inc.</v>
          </cell>
          <cell r="C216" t="str">
            <v xml:space="preserve">Cohen Milstein Sellers &amp; Toll PLLC 
 Levi &amp; Korsinsky, LLP </v>
          </cell>
        </row>
        <row r="217">
          <cell r="B217" t="str">
            <v>ERBA Diagnostics, Inc.</v>
          </cell>
          <cell r="C217" t="str">
            <v xml:space="preserve">The Rosen Law Firm, P.A. 
 Goldberg Law PC </v>
          </cell>
        </row>
        <row r="218">
          <cell r="B218" t="str">
            <v>HeartWare International, Inc.</v>
          </cell>
          <cell r="C218" t="str">
            <v xml:space="preserve">Bernstein Litowitz Berger &amp; Grossmann LLP </v>
          </cell>
        </row>
        <row r="219">
          <cell r="B219" t="str">
            <v>Straight Path Communications, Inc.</v>
          </cell>
          <cell r="C219" t="str">
            <v xml:space="preserve">Glancy Prongay &amp; Murray, LLP </v>
          </cell>
        </row>
        <row r="220">
          <cell r="B220" t="str">
            <v>Dole Food Company, Inc.</v>
          </cell>
          <cell r="C220" t="str">
            <v xml:space="preserve">Bernstein Litowitz Berger &amp; Grossmann LLP 
 Entwistle &amp; Cappucci LLP </v>
          </cell>
        </row>
        <row r="221">
          <cell r="B221" t="str">
            <v>Cnova N.V.</v>
          </cell>
          <cell r="C221" t="str">
            <v xml:space="preserve">Brower Piven </v>
          </cell>
        </row>
        <row r="222">
          <cell r="B222" t="str">
            <v>Chipotle Mexican Grill, Inc.</v>
          </cell>
          <cell r="C222" t="str">
            <v xml:space="preserve">Robbins, Geller, Rudman &amp; Dowd, LLP 
 Motley Rice LLC </v>
          </cell>
        </row>
        <row r="223">
          <cell r="B223" t="str">
            <v>Hutchinson Technology Inc.</v>
          </cell>
          <cell r="C223" t="str">
            <v xml:space="preserve">Faruqi &amp; Faruqi, LLP </v>
          </cell>
        </row>
        <row r="224">
          <cell r="B224" t="str">
            <v>Ruby Tuesday, Inc.</v>
          </cell>
          <cell r="C224" t="str">
            <v xml:space="preserve">Robbins, Geller, Rudman &amp; Dowd, LLP </v>
          </cell>
        </row>
        <row r="225">
          <cell r="B225" t="str">
            <v>Fifth Street Asset Management</v>
          </cell>
          <cell r="C225" t="str">
            <v xml:space="preserve">Glancy Prongay &amp; Murray, LLP </v>
          </cell>
        </row>
        <row r="226">
          <cell r="B226" t="str">
            <v>Pier 1 Imports, Inc.</v>
          </cell>
          <cell r="C226" t="str">
            <v xml:space="preserve">Bernstein Litowitz Berger &amp; Grossmann LLP </v>
          </cell>
        </row>
        <row r="227">
          <cell r="B227" t="str">
            <v>Cardiovascular Systems, Inc.</v>
          </cell>
          <cell r="C227" t="str">
            <v xml:space="preserve">Bernstein Litowitz Berger &amp; Grossmann LLP 
 Labaton Sucharow LLP </v>
          </cell>
        </row>
        <row r="228">
          <cell r="B228" t="str">
            <v>EMC Corporation</v>
          </cell>
          <cell r="C228" t="str">
            <v xml:space="preserve">The Grant Law Firm PLLC </v>
          </cell>
        </row>
        <row r="229">
          <cell r="B229" t="str">
            <v>Tower Semiconductor Ltd.</v>
          </cell>
          <cell r="C229" t="str">
            <v xml:space="preserve">The Rosen Law Firm, P.A. </v>
          </cell>
        </row>
        <row r="230">
          <cell r="B230" t="str">
            <v>VimpelCom, Ltd.</v>
          </cell>
          <cell r="C230" t="str">
            <v xml:space="preserve">Gainey McKenna &amp; Egleston </v>
          </cell>
        </row>
        <row r="231">
          <cell r="B231" t="str">
            <v>GoPro, Inc.</v>
          </cell>
          <cell r="C231" t="str">
            <v xml:space="preserve">Robbins, Geller, Rudman &amp; Dowd, LLP </v>
          </cell>
        </row>
        <row r="232">
          <cell r="B232" t="str">
            <v>KaloBios Pharmaceuticals, Inc.</v>
          </cell>
          <cell r="C232" t="str">
            <v xml:space="preserve">Pomerantz LLP </v>
          </cell>
        </row>
        <row r="233">
          <cell r="B233" t="str">
            <v>Aerojet Rocketdyne Holdings, Inc.</v>
          </cell>
          <cell r="C233" t="str">
            <v xml:space="preserve">The Rosen Law Firm, P.A. </v>
          </cell>
        </row>
        <row r="234">
          <cell r="B234" t="str">
            <v>Vital Therapies, Inc.</v>
          </cell>
          <cell r="C234" t="str">
            <v xml:space="preserve">Levi &amp; Korsinsky, LLP </v>
          </cell>
        </row>
        <row r="235">
          <cell r="B235" t="str">
            <v>Aixtron SE</v>
          </cell>
          <cell r="C235" t="str">
            <v xml:space="preserve">Glancy Prongay &amp; Murray, LLP </v>
          </cell>
        </row>
        <row r="236">
          <cell r="B236" t="str">
            <v>Fitbit, Inc.</v>
          </cell>
          <cell r="C236" t="str">
            <v xml:space="preserve">Glancy Prongay &amp; Murray, LLP 
 Pomerantz LLP </v>
          </cell>
        </row>
        <row r="237">
          <cell r="B237" t="str">
            <v>Primero Mining Corporation</v>
          </cell>
          <cell r="C237" t="str">
            <v xml:space="preserve">Faruqi &amp; Faruqi, LLP </v>
          </cell>
        </row>
        <row r="238">
          <cell r="B238" t="str">
            <v>MannKind Corporation</v>
          </cell>
          <cell r="C238" t="str">
            <v xml:space="preserve">The Rosen Law Firm, P.A. </v>
          </cell>
        </row>
        <row r="239">
          <cell r="B239" t="str">
            <v>Xoma Corporation</v>
          </cell>
          <cell r="C239" t="str">
            <v xml:space="preserve">Faruqi &amp; Faruqi, LLP </v>
          </cell>
        </row>
        <row r="240">
          <cell r="B240" t="str">
            <v>Jarden Corporation</v>
          </cell>
          <cell r="C240" t="str">
            <v xml:space="preserve">Robbins, Geller, Rudman &amp; Dowd, LLP </v>
          </cell>
        </row>
        <row r="241">
          <cell r="B241" t="str">
            <v>Rockwell Medical, Inc.</v>
          </cell>
          <cell r="C241" t="str">
            <v xml:space="preserve">Glancy Prongay &amp; Murray, LLP 
 The Rosen Law Firm, P.A. </v>
          </cell>
        </row>
        <row r="242">
          <cell r="B242" t="str">
            <v>Abengoa, S.A.</v>
          </cell>
          <cell r="C242" t="str">
            <v xml:space="preserve">Levi &amp; Korsinsky, LLP </v>
          </cell>
        </row>
        <row r="243">
          <cell r="B243" t="str">
            <v>PTC Inc.</v>
          </cell>
          <cell r="C243" t="str">
            <v xml:space="preserve">The Rosen Law Firm, P.A. </v>
          </cell>
        </row>
        <row r="244">
          <cell r="B244" t="str">
            <v>Tetraphase Pharmaceuticals Inc.</v>
          </cell>
          <cell r="C244" t="str">
            <v xml:space="preserve">Scott &amp; Scott,  LLP 
 Levi &amp; Korsinsky, LLP </v>
          </cell>
        </row>
        <row r="245">
          <cell r="B245" t="str">
            <v>Amicus Therapeutics, Inc.</v>
          </cell>
          <cell r="C245" t="str">
            <v xml:space="preserve">Block &amp; Leviton LLP </v>
          </cell>
        </row>
        <row r="246">
          <cell r="B246" t="str">
            <v>Valeant Pharmaceuticals International, Inc.</v>
          </cell>
          <cell r="C246" t="str">
            <v xml:space="preserve">Robbins, Geller, Rudman &amp; Dowd, LLP </v>
          </cell>
        </row>
        <row r="247">
          <cell r="B247" t="str">
            <v>Imprivata, Inc.</v>
          </cell>
          <cell r="C247" t="str">
            <v xml:space="preserve">The Rosen Law Firm, P.A. </v>
          </cell>
        </row>
        <row r="248">
          <cell r="B248" t="str">
            <v>Hortonworks, Inc.</v>
          </cell>
          <cell r="C248" t="str">
            <v xml:space="preserve">Pomerantz LLP </v>
          </cell>
        </row>
        <row r="249">
          <cell r="B249" t="str">
            <v>Insys Therapeutics Incorporated</v>
          </cell>
          <cell r="C249" t="str">
            <v xml:space="preserve">Kessler Topaz  Meltzer &amp; Check, LLP </v>
          </cell>
        </row>
        <row r="250">
          <cell r="B250" t="str">
            <v>Sempra Energy</v>
          </cell>
          <cell r="C250" t="str">
            <v xml:space="preserve">Levi &amp; Korsinsky, LLP 
 Pomerantz LLP </v>
          </cell>
        </row>
        <row r="251">
          <cell r="B251" t="str">
            <v>Performance Sports Group Ltd.</v>
          </cell>
          <cell r="C251" t="str">
            <v xml:space="preserve">Cohen Milstein Sellers &amp; Toll PLLC </v>
          </cell>
        </row>
        <row r="252">
          <cell r="B252" t="str">
            <v>Horizon Pharma PLC</v>
          </cell>
          <cell r="C252" t="str">
            <v xml:space="preserve">Labaton Sucharow LLP </v>
          </cell>
        </row>
        <row r="253">
          <cell r="B253" t="str">
            <v>China Mobile Games &amp; Entertainment Group, Ltd.</v>
          </cell>
          <cell r="C253" t="str">
            <v xml:space="preserve">Glancy Prongay &amp; Murray, LLP </v>
          </cell>
        </row>
        <row r="254">
          <cell r="B254" t="str">
            <v>Match Group, Inc.</v>
          </cell>
          <cell r="C254" t="str">
            <v xml:space="preserve">Glancy Prongay &amp; Murray, LLP 
 Bragar Eagel &amp; Squire, PC </v>
          </cell>
        </row>
        <row r="255">
          <cell r="B255" t="str">
            <v>BHP Billiton Limited / BHP Billiton Plc</v>
          </cell>
          <cell r="C255" t="str">
            <v xml:space="preserve">Robbins, Geller, Rudman &amp; Dowd, LLP </v>
          </cell>
        </row>
        <row r="256">
          <cell r="B256" t="str">
            <v>NantKwest, Inc.</v>
          </cell>
          <cell r="C256" t="str">
            <v xml:space="preserve">Bragar Eagel &amp; Squire, PC 
 Pomerantz LLP </v>
          </cell>
        </row>
        <row r="257">
          <cell r="B257" t="str">
            <v>Apollo Education Group Incorporated</v>
          </cell>
          <cell r="C257" t="str">
            <v xml:space="preserve">Bernstein Litowitz Berger &amp; Grossmann LLP </v>
          </cell>
        </row>
        <row r="258">
          <cell r="B258" t="str">
            <v>Santander Consumer USA Holdings Inc.</v>
          </cell>
          <cell r="C258" t="str">
            <v xml:space="preserve">Glancy Prongay &amp; Murray, LLP 
 The Rosen Law Firm, P.A. </v>
          </cell>
        </row>
        <row r="259">
          <cell r="B259" t="str">
            <v>Williams Partners L.P.</v>
          </cell>
          <cell r="C259" t="str">
            <v xml:space="preserve">Labaton Sucharow LLP </v>
          </cell>
        </row>
        <row r="260">
          <cell r="B260" t="str">
            <v>Amaya, Inc.</v>
          </cell>
          <cell r="C260" t="str">
            <v xml:space="preserve">The Rosen Law Firm, P.A. </v>
          </cell>
        </row>
        <row r="261">
          <cell r="B261" t="str">
            <v>LeapFrog Enterprises, Inc.</v>
          </cell>
          <cell r="C261" t="str">
            <v xml:space="preserve">Faruqi &amp; Faruqi, LLP </v>
          </cell>
        </row>
        <row r="262">
          <cell r="B262" t="str">
            <v>Extreme Networks, Inc.</v>
          </cell>
          <cell r="C262" t="str">
            <v xml:space="preserve">Labaton Sucharow LLP </v>
          </cell>
        </row>
        <row r="263">
          <cell r="B263" t="str">
            <v>Navient Corporation</v>
          </cell>
          <cell r="C263" t="str">
            <v xml:space="preserve">Lieff Cabraser Heimann &amp; Bernstein, LLP </v>
          </cell>
        </row>
        <row r="264">
          <cell r="B264" t="str">
            <v>Carmike Cinemas, Inc.</v>
          </cell>
          <cell r="C264" t="str">
            <v xml:space="preserve">Levi &amp; Korsinsky, LLP 
 Robbins Arroyo LLP </v>
          </cell>
        </row>
        <row r="265">
          <cell r="B265" t="str">
            <v>Platform Specialty Products Corporation</v>
          </cell>
          <cell r="C265" t="str">
            <v xml:space="preserve">Levi &amp; Korsinsky, LLP 
 Pomerantz LLP </v>
          </cell>
        </row>
        <row r="266">
          <cell r="B266" t="str">
            <v>Blount International Inc.</v>
          </cell>
          <cell r="C266" t="str">
            <v xml:space="preserve">Levi &amp; Korsinsky, LLP 
 Johnson &amp; Weaver LLP </v>
          </cell>
        </row>
        <row r="267">
          <cell r="B267" t="str">
            <v>CBD Energy Limited</v>
          </cell>
          <cell r="C267" t="str">
            <v xml:space="preserve">The Rosen Law Firm, P.A. </v>
          </cell>
        </row>
        <row r="268">
          <cell r="B268" t="str">
            <v>DS Healthcare Group Inc.</v>
          </cell>
          <cell r="C268" t="str">
            <v xml:space="preserve">The Rosen Law Firm, P.A. </v>
          </cell>
        </row>
        <row r="269">
          <cell r="B269" t="str">
            <v>Mentor Graphics Corporation</v>
          </cell>
          <cell r="C269" t="str">
            <v xml:space="preserve">Robbins, Geller, Rudman &amp; Dowd, LLP </v>
          </cell>
        </row>
        <row r="270">
          <cell r="B270" t="str">
            <v>magicJack Vocaltec Ltd.</v>
          </cell>
          <cell r="C270" t="str">
            <v xml:space="preserve">Levi &amp; Korsinsky, LLP </v>
          </cell>
        </row>
        <row r="271">
          <cell r="B271" t="str">
            <v>Precision Castparts Corporation</v>
          </cell>
          <cell r="C271" t="str">
            <v xml:space="preserve">Labaton Sucharow LLP 
 Kessler Topaz  Meltzer &amp; Check, LLP </v>
          </cell>
        </row>
        <row r="272">
          <cell r="B272" t="str">
            <v>comScore, Inc.</v>
          </cell>
          <cell r="C272" t="str">
            <v xml:space="preserve">Bernstein Litowitz Berger &amp; Grossmann LLP </v>
          </cell>
        </row>
        <row r="273">
          <cell r="B273" t="str">
            <v>FLY Leasing Limited</v>
          </cell>
          <cell r="C273" t="str">
            <v xml:space="preserve">Levi &amp; Korsinsky, LLP </v>
          </cell>
        </row>
        <row r="274">
          <cell r="B274" t="str">
            <v>Daimler AG</v>
          </cell>
          <cell r="C274" t="str">
            <v xml:space="preserve">Labaton Sucharow LLP </v>
          </cell>
        </row>
        <row r="275">
          <cell r="B275" t="str">
            <v>La Quinta Holdings Inc.</v>
          </cell>
          <cell r="C275" t="str">
            <v xml:space="preserve">Kirby McInerney LLP </v>
          </cell>
        </row>
        <row r="276">
          <cell r="B276" t="str">
            <v>LPL Financial Holdings Inc.</v>
          </cell>
          <cell r="C276" t="str">
            <v xml:space="preserve">Robbins, Geller, Rudman &amp; Dowd, LLP </v>
          </cell>
        </row>
        <row r="277">
          <cell r="B277" t="str">
            <v>Intrexon Corporation</v>
          </cell>
          <cell r="C277" t="str">
            <v xml:space="preserve">Glancy Prongay &amp; Murray, LLP </v>
          </cell>
        </row>
        <row r="278">
          <cell r="B278" t="str">
            <v>Express Scripts Holding Company</v>
          </cell>
          <cell r="C278" t="str">
            <v xml:space="preserve">Bernstein Litowitz Berger &amp; Grossmann LLP </v>
          </cell>
        </row>
        <row r="279">
          <cell r="B279" t="str">
            <v>Alere Inc.</v>
          </cell>
          <cell r="C279" t="str">
            <v xml:space="preserve">Entwistle &amp; Cappucci LLP 
 Abraham, Fruchter &amp; Twersky, LLP </v>
          </cell>
        </row>
        <row r="280">
          <cell r="B280" t="str">
            <v>TerraForm Power, Inc.</v>
          </cell>
          <cell r="C280" t="str">
            <v xml:space="preserve">Pomerantz LLP </v>
          </cell>
        </row>
        <row r="281">
          <cell r="B281" t="str">
            <v>PJT Partners Inc.</v>
          </cell>
          <cell r="C281" t="str">
            <v xml:space="preserve">Pomerantz LLP </v>
          </cell>
        </row>
        <row r="282">
          <cell r="B282" t="str">
            <v>Ruby Tuesday, Inc.</v>
          </cell>
          <cell r="C282" t="str">
            <v xml:space="preserve">Bronstein, Gewirtz &amp; Grossman, LLC </v>
          </cell>
        </row>
        <row r="283">
          <cell r="B283" t="str">
            <v>Gerdau S.A.</v>
          </cell>
          <cell r="C283" t="str">
            <v xml:space="preserve">Robbins, Geller, Rudman &amp; Dowd, LLP </v>
          </cell>
        </row>
        <row r="284">
          <cell r="B284" t="str">
            <v>Ability, Inc.</v>
          </cell>
          <cell r="C284" t="str">
            <v xml:space="preserve">Cohen Milstein Sellers &amp; Toll PLLC 
 Glancy Prongay &amp; Murray, LLP </v>
          </cell>
        </row>
        <row r="285">
          <cell r="B285" t="str">
            <v>Sunrun, Inc.</v>
          </cell>
          <cell r="C285" t="str">
            <v xml:space="preserve">Pomerantz LLP </v>
          </cell>
        </row>
        <row r="286">
          <cell r="B286" t="str">
            <v>LendingClub Corporation</v>
          </cell>
          <cell r="C286" t="str">
            <v xml:space="preserve">Robbins, Geller, Rudman &amp; Dowd, LLP </v>
          </cell>
        </row>
        <row r="287">
          <cell r="B287" t="str">
            <v>Banco Bradesco S.A.</v>
          </cell>
          <cell r="C287" t="str">
            <v xml:space="preserve">Kessler Topaz  Meltzer &amp; Check, LLP </v>
          </cell>
        </row>
        <row r="288">
          <cell r="B288" t="str">
            <v>NewLink Genetics Corporation</v>
          </cell>
          <cell r="C288" t="str">
            <v xml:space="preserve">Kahn Swick &amp; Foti, LLC </v>
          </cell>
        </row>
        <row r="289">
          <cell r="B289" t="str">
            <v>Endo International plc</v>
          </cell>
          <cell r="C289" t="str">
            <v xml:space="preserve">Robbins, Geller, Rudman &amp; Dowd, LLP </v>
          </cell>
        </row>
        <row r="290">
          <cell r="B290" t="str">
            <v>Freeport-McMoran Incorporated</v>
          </cell>
          <cell r="C290" t="str">
            <v xml:space="preserve">Levi &amp; Korsinsky, LLP </v>
          </cell>
        </row>
        <row r="291">
          <cell r="B291" t="str">
            <v>SuperCom Inc.</v>
          </cell>
          <cell r="C291" t="str">
            <v xml:space="preserve">Pomerantz LLP 
 Goldberg Law PC </v>
          </cell>
        </row>
        <row r="292">
          <cell r="B292" t="str">
            <v>DeVry Education Group, Inc.</v>
          </cell>
          <cell r="C292" t="str">
            <v xml:space="preserve">Spector Roseman Kodroff &amp; Willis, P.C. </v>
          </cell>
        </row>
        <row r="293">
          <cell r="B293" t="str">
            <v>Unilife Corporation</v>
          </cell>
          <cell r="C293" t="str">
            <v xml:space="preserve">Glancy Prongay &amp; Murray, LLP 
 Pomerantz LLP </v>
          </cell>
        </row>
        <row r="294">
          <cell r="B294" t="str">
            <v>First NBC Bank Holding Company</v>
          </cell>
          <cell r="C294" t="str">
            <v xml:space="preserve">Barrack  Rodos &amp; Bacine </v>
          </cell>
        </row>
        <row r="295">
          <cell r="B295" t="str">
            <v>CPI Card Group Inc.</v>
          </cell>
          <cell r="C295" t="str">
            <v xml:space="preserve">Labaton Sucharow LLP </v>
          </cell>
        </row>
        <row r="296">
          <cell r="B296" t="str">
            <v>TransEnterix, Inc.</v>
          </cell>
          <cell r="C296" t="str">
            <v xml:space="preserve">Levi &amp; Korsinsky, LLP </v>
          </cell>
        </row>
        <row r="297">
          <cell r="B297" t="str">
            <v>CTI BioPharma Corp.</v>
          </cell>
          <cell r="C297" t="str">
            <v xml:space="preserve">Bernstein Litowitz Berger &amp; Grossmann LLP </v>
          </cell>
        </row>
        <row r="298">
          <cell r="B298" t="str">
            <v>Eagle Pharmaceuticals, Inc.</v>
          </cell>
          <cell r="C298" t="str">
            <v xml:space="preserve">Kirby McInerney LLP </v>
          </cell>
        </row>
        <row r="299">
          <cell r="B299" t="str">
            <v>G. Willi-Food International Ltd.</v>
          </cell>
          <cell r="C299" t="str">
            <v xml:space="preserve">Pomerantz LLP 
 Goldberg Law PC </v>
          </cell>
        </row>
        <row r="300">
          <cell r="B300" t="str">
            <v>Talmer Bancorp, Inc.</v>
          </cell>
          <cell r="C300" t="str">
            <v xml:space="preserve">Robbins, Geller, Rudman &amp; Dowd, LLP </v>
          </cell>
        </row>
        <row r="301">
          <cell r="B301" t="str">
            <v>Ruckus Wireless, Inc.</v>
          </cell>
          <cell r="C301" t="str">
            <v xml:space="preserve">Robbins, Geller, Rudman &amp; Dowd, LLP </v>
          </cell>
        </row>
        <row r="302">
          <cell r="B302" t="str">
            <v>Halyard Health, Inc.</v>
          </cell>
          <cell r="C302" t="str">
            <v xml:space="preserve">Pomerantz LLP </v>
          </cell>
        </row>
        <row r="303">
          <cell r="B303" t="str">
            <v>Target Corporation</v>
          </cell>
          <cell r="C303" t="str">
            <v xml:space="preserve">Labaton Sucharow LLP 
 Robbins, Geller, Rudman &amp; Dowd, LLP </v>
          </cell>
        </row>
        <row r="304">
          <cell r="B304" t="str">
            <v>Inovalon Holdings, Inc.</v>
          </cell>
          <cell r="C304" t="str">
            <v xml:space="preserve">Robbins, Geller, Rudman &amp; Dowd, LLP </v>
          </cell>
        </row>
        <row r="305">
          <cell r="B305" t="str">
            <v>Constant Contact, Inc.</v>
          </cell>
          <cell r="C305" t="str">
            <v xml:space="preserve">Robbins, Geller, Rudman &amp; Dowd, LLP </v>
          </cell>
        </row>
        <row r="306">
          <cell r="B306" t="str">
            <v>CBL &amp; Associates Properties, Inc.</v>
          </cell>
          <cell r="C306" t="str">
            <v xml:space="preserve">Bernstein Liebhard LLP </v>
          </cell>
        </row>
        <row r="307">
          <cell r="B307" t="str">
            <v>Deutsche Bank AG</v>
          </cell>
          <cell r="C307" t="str">
            <v xml:space="preserve">Pomerantz LLP </v>
          </cell>
        </row>
        <row r="308">
          <cell r="B308" t="str">
            <v>K12 Inc.</v>
          </cell>
          <cell r="C308" t="str">
            <v xml:space="preserve">Glancy Prongay &amp; Murray, LLP </v>
          </cell>
        </row>
        <row r="309">
          <cell r="B309" t="str">
            <v>Ambac Financial Group, Inc.</v>
          </cell>
          <cell r="C309" t="str">
            <v xml:space="preserve">Levi &amp; Korsinsky, LLP </v>
          </cell>
        </row>
        <row r="310">
          <cell r="B310" t="str">
            <v>Volkswagen AG (private debt)</v>
          </cell>
          <cell r="C310" t="str">
            <v xml:space="preserve">Abraham, Fruchter &amp; Twersky, LLP </v>
          </cell>
        </row>
        <row r="311">
          <cell r="B311" t="str">
            <v>GAW Miners, LLC / ZenMiner LLC</v>
          </cell>
          <cell r="C311" t="str">
            <v xml:space="preserve">Susman Godfrey, L.L.P. </v>
          </cell>
        </row>
        <row r="312">
          <cell r="B312" t="str">
            <v>Juno Therapeutics, Inc.</v>
          </cell>
          <cell r="C312" t="str">
            <v xml:space="preserve">Pomerantz LLP </v>
          </cell>
        </row>
        <row r="313">
          <cell r="B313" t="str">
            <v>Embraer S.A.</v>
          </cell>
          <cell r="C313" t="str">
            <v xml:space="preserve">Pomerantz LLP </v>
          </cell>
        </row>
        <row r="314">
          <cell r="B314" t="str">
            <v>Flowers Foods, Inc.</v>
          </cell>
          <cell r="C314" t="str">
            <v xml:space="preserve">Glancy Prongay &amp; Murray, LLP 
 Johnson &amp; Weaver LLP </v>
          </cell>
        </row>
        <row r="315">
          <cell r="B315" t="str">
            <v>Insmed Incorporated</v>
          </cell>
          <cell r="C315" t="str">
            <v xml:space="preserve">Robbins, Geller, Rudman &amp; Dowd, LLP </v>
          </cell>
        </row>
        <row r="316">
          <cell r="B316" t="str">
            <v>CytRx Corporation</v>
          </cell>
          <cell r="C316" t="str">
            <v xml:space="preserve">Glancy Prongay &amp; Murray, LLP </v>
          </cell>
        </row>
        <row r="317">
          <cell r="B317" t="str">
            <v>Emergent Biosolutions, Inc.</v>
          </cell>
          <cell r="C317" t="str">
            <v xml:space="preserve">Robbins, Geller, Rudman &amp; Dowd, LLP </v>
          </cell>
        </row>
        <row r="318">
          <cell r="B318" t="str">
            <v>Stericycle, Inc.</v>
          </cell>
          <cell r="C318" t="str">
            <v xml:space="preserve">Bernstein Litowitz Berger &amp; Grossmann LLP </v>
          </cell>
        </row>
        <row r="319">
          <cell r="B319" t="str">
            <v>Charles Schwab &amp; Co., Inc.</v>
          </cell>
          <cell r="C319" t="str">
            <v xml:space="preserve">Glancy Prongay &amp; Murray, LLP 
 Bragar Eagel &amp; Squire, PC </v>
          </cell>
        </row>
        <row r="320">
          <cell r="B320" t="str">
            <v>Teekay Corporation</v>
          </cell>
          <cell r="C320" t="str">
            <v xml:space="preserve">Kessler Topaz  Meltzer &amp; Check, LLP </v>
          </cell>
        </row>
        <row r="321">
          <cell r="B321" t="str">
            <v>Concordia International Corp.</v>
          </cell>
          <cell r="C321" t="str">
            <v xml:space="preserve">The Rosen Law Firm, P.A. </v>
          </cell>
        </row>
        <row r="322">
          <cell r="B322" t="str">
            <v>E Trade Financial Corporation</v>
          </cell>
          <cell r="C322" t="str">
            <v xml:space="preserve">Levi &amp; Korsinsky, LLP </v>
          </cell>
        </row>
        <row r="323">
          <cell r="B323" t="str">
            <v>Orbital ATK, Inc.</v>
          </cell>
          <cell r="C323" t="str">
            <v xml:space="preserve">Robbins, Geller, Rudman &amp; Dowd, LLP </v>
          </cell>
        </row>
        <row r="324">
          <cell r="B324" t="str">
            <v>Global Digital Solutions, Inc.</v>
          </cell>
          <cell r="C324" t="str">
            <v xml:space="preserve">The Rosen Law Firm, P.A. </v>
          </cell>
        </row>
        <row r="325">
          <cell r="B325" t="str">
            <v>PTC Therapeutics, Inc.</v>
          </cell>
          <cell r="C325" t="str">
            <v xml:space="preserve">Labaton Sucharow LLP 
 Levi &amp; Korsinsky, LLP </v>
          </cell>
        </row>
        <row r="326">
          <cell r="B326" t="str">
            <v>Johnson Controls Inc.</v>
          </cell>
          <cell r="C326" t="str">
            <v xml:space="preserve">Lockridge, Grindal, Nauen, PLLP </v>
          </cell>
        </row>
        <row r="327">
          <cell r="B327" t="str">
            <v>Goldcorp, Inc.</v>
          </cell>
          <cell r="C327" t="str">
            <v xml:space="preserve">Glancy Prongay &amp; Murray, LLP </v>
          </cell>
        </row>
        <row r="328">
          <cell r="B328" t="str">
            <v>Precision Castparts Corporation</v>
          </cell>
          <cell r="C328" t="str">
            <v xml:space="preserve">Berger &amp; Montague, P.C. 
 Robbins, Geller, Rudman &amp; Dowd, LLP </v>
          </cell>
        </row>
        <row r="329">
          <cell r="B329" t="str">
            <v>The GEO Group, Inc.</v>
          </cell>
          <cell r="C329" t="str">
            <v xml:space="preserve">Pomerantz LLP </v>
          </cell>
        </row>
        <row r="330">
          <cell r="B330" t="str">
            <v>Northern Tier Energy LP</v>
          </cell>
          <cell r="C330" t="str">
            <v xml:space="preserve">Faruqi &amp; Faruqi, LLP 
 Monteverde &amp; Associates PC </v>
          </cell>
        </row>
        <row r="331">
          <cell r="B331" t="str">
            <v>Joy Global, Inc.</v>
          </cell>
          <cell r="C331" t="str">
            <v xml:space="preserve">Robbins, Geller, Rudman &amp; Dowd, LLP 
 Bronstein, Gewirtz &amp; Grossman, LLC </v>
          </cell>
        </row>
        <row r="332">
          <cell r="B332" t="str">
            <v>Brixmor Property Group, Inc.</v>
          </cell>
          <cell r="C332" t="str">
            <v xml:space="preserve">Saxena White P.A. </v>
          </cell>
        </row>
        <row r="333">
          <cell r="B333" t="str">
            <v>Yirendai Ltd.</v>
          </cell>
          <cell r="C333" t="str">
            <v xml:space="preserve">Glancy Prongay &amp; Murray, LLP 
 The Rosen Law Firm, P.A. </v>
          </cell>
        </row>
        <row r="334">
          <cell r="B334" t="str">
            <v>American Renal Associates Holdings, Inc.</v>
          </cell>
          <cell r="C334" t="str">
            <v xml:space="preserve">Kirby McInerney LLP </v>
          </cell>
        </row>
        <row r="335">
          <cell r="B335" t="str">
            <v>FEI Company</v>
          </cell>
          <cell r="C335" t="str">
            <v xml:space="preserve">Robbins, Geller, Rudman &amp; Dowd, LLP </v>
          </cell>
        </row>
        <row r="336">
          <cell r="B336" t="str">
            <v>Vasco Data Security International, Inc.</v>
          </cell>
          <cell r="C336" t="str">
            <v xml:space="preserve">Levi &amp; Korsinsky, LLP </v>
          </cell>
        </row>
        <row r="337">
          <cell r="B337" t="str">
            <v>Lipocine Incorporated</v>
          </cell>
          <cell r="C337" t="str">
            <v xml:space="preserve">Pomerantz LLP </v>
          </cell>
        </row>
        <row r="338">
          <cell r="B338" t="str">
            <v>Cresud Sociedad Anonima Comercial, Inmobiliaria, Financiera y Agropecuaria</v>
          </cell>
          <cell r="C338" t="str">
            <v xml:space="preserve">The Rosen Law Firm, P.A. </v>
          </cell>
        </row>
        <row r="339">
          <cell r="B339" t="str">
            <v>IRSA Inversiones y Representaciones S.A.</v>
          </cell>
          <cell r="C339" t="str">
            <v xml:space="preserve">The Rosen Law Firm, P.A. </v>
          </cell>
        </row>
        <row r="340">
          <cell r="B340" t="str">
            <v>Polaris Industries, Inc.</v>
          </cell>
          <cell r="C340" t="str">
            <v xml:space="preserve">Robbins, Geller, Rudman &amp; Dowd, LLP </v>
          </cell>
        </row>
        <row r="341">
          <cell r="B341" t="str">
            <v>LifeVantage Corporation</v>
          </cell>
          <cell r="C341" t="str">
            <v xml:space="preserve">Pomerantz LLP </v>
          </cell>
        </row>
        <row r="342">
          <cell r="B342" t="str">
            <v>Eaton Corporation PLC</v>
          </cell>
          <cell r="C342" t="str">
            <v xml:space="preserve">Labaton Sucharow LLP </v>
          </cell>
        </row>
        <row r="343">
          <cell r="B343" t="str">
            <v>Freshpet, Inc.</v>
          </cell>
          <cell r="C343" t="str">
            <v xml:space="preserve">Robbins, Geller, Rudman &amp; Dowd, LLP </v>
          </cell>
        </row>
        <row r="344">
          <cell r="B344" t="str">
            <v>Vivint Solar, Inc.</v>
          </cell>
          <cell r="C344" t="str">
            <v xml:space="preserve">Pomerantz LLP </v>
          </cell>
        </row>
        <row r="345">
          <cell r="B345" t="str">
            <v>Twitter, Inc.</v>
          </cell>
          <cell r="C345" t="str">
            <v xml:space="preserve">Motley Rice LLC </v>
          </cell>
        </row>
        <row r="346">
          <cell r="B346" t="str">
            <v>Chiasma, Inc.</v>
          </cell>
          <cell r="C346" t="str">
            <v xml:space="preserve">Robbins, Geller, Rudman &amp; Dowd, LLP 
 Johnson &amp; Weaver LLP </v>
          </cell>
        </row>
        <row r="347">
          <cell r="B347" t="str">
            <v>Miller Energy Resources, Inc.</v>
          </cell>
          <cell r="C347" t="str">
            <v xml:space="preserve">Robbins, Geller, Rudman &amp; Dowd, LLP </v>
          </cell>
        </row>
        <row r="348">
          <cell r="B348" t="str">
            <v>Keryx Biopharmaceuticals, Inc.</v>
          </cell>
          <cell r="C348" t="str">
            <v xml:space="preserve">Block &amp; Leviton LLP </v>
          </cell>
        </row>
        <row r="349">
          <cell r="B349" t="str">
            <v>Seres Therapeutics, Inc.</v>
          </cell>
          <cell r="C349" t="str">
            <v xml:space="preserve">Cohen Milstein Sellers &amp; Toll PLLC 
 Motley Rice LLC </v>
          </cell>
        </row>
        <row r="350">
          <cell r="B350" t="str">
            <v>Chesapeake Energy Corporation</v>
          </cell>
          <cell r="C350" t="str">
            <v xml:space="preserve">Spector Roseman Kodroff &amp; Willis, P.C. </v>
          </cell>
        </row>
        <row r="351">
          <cell r="B351" t="str">
            <v>BlueNRGY Group Limited, f/k/a CBD Energy Limited</v>
          </cell>
          <cell r="C351" t="str">
            <v xml:space="preserve">The Rosen Law Firm, P.A. 
 Bronstein, Gewirtz &amp; Grossman, LLC </v>
          </cell>
        </row>
        <row r="352">
          <cell r="B352" t="str">
            <v>Wells Fargo &amp; Company</v>
          </cell>
          <cell r="C352" t="str">
            <v xml:space="preserve">Bernstein Litowitz Berger &amp; Grossmann LLP </v>
          </cell>
        </row>
        <row r="353">
          <cell r="B353" t="str">
            <v>Mylan, N.V.</v>
          </cell>
          <cell r="C353" t="str">
            <v xml:space="preserve">Cohen Milstein Sellers &amp; Toll PLLC 
 Pomerantz LLP </v>
          </cell>
        </row>
        <row r="354">
          <cell r="B354" t="str">
            <v>Corrections Corporation of America</v>
          </cell>
          <cell r="C354" t="str">
            <v xml:space="preserve">Robbins, Geller, Rudman &amp; Dowd, LLP </v>
          </cell>
        </row>
        <row r="355">
          <cell r="B355" t="str">
            <v>Tangoe, Inc.</v>
          </cell>
          <cell r="C355" t="str">
            <v xml:space="preserve">Finkelstein &amp; Krinsk LLP 
 The Rosen Law Firm, P.A. </v>
          </cell>
        </row>
        <row r="356">
          <cell r="B356" t="str">
            <v>Sizmek, Inc.</v>
          </cell>
          <cell r="C356" t="str">
            <v xml:space="preserve">Faruqi &amp; Faruqi, LLP 
 Monteverde &amp; Associates PC </v>
          </cell>
        </row>
        <row r="357">
          <cell r="B357" t="str">
            <v>The Allstate Corporation</v>
          </cell>
          <cell r="C357" t="str">
            <v xml:space="preserve">Labaton Sucharow LLP </v>
          </cell>
        </row>
        <row r="358">
          <cell r="B358" t="str">
            <v>Fiat Chrysler Automobiles N.V.</v>
          </cell>
          <cell r="C358" t="str">
            <v xml:space="preserve">Kessler Topaz  Meltzer &amp; Check, LLP 
 The Miller Law Firm, P.C. </v>
          </cell>
        </row>
        <row r="359">
          <cell r="B359" t="str">
            <v>Ferrellgas Partners, L.P.</v>
          </cell>
          <cell r="C359" t="str">
            <v xml:space="preserve">Kessler Topaz  Meltzer &amp; Check, LLP </v>
          </cell>
        </row>
        <row r="360">
          <cell r="B360" t="str">
            <v>Power Solutions International, Inc.</v>
          </cell>
          <cell r="C360" t="str">
            <v xml:space="preserve">Glancy Prongay &amp; Murray, LLP </v>
          </cell>
        </row>
        <row r="361">
          <cell r="B361" t="str">
            <v>Samarco Mineracao S.A.</v>
          </cell>
          <cell r="C361" t="str">
            <v xml:space="preserve">Pomerantz LLP </v>
          </cell>
        </row>
        <row r="362">
          <cell r="B362" t="str">
            <v>Taro Pharmaceutical Industries, Ltd.</v>
          </cell>
          <cell r="C362" t="str">
            <v xml:space="preserve">Bernstein Liebhard LLP </v>
          </cell>
        </row>
        <row r="363">
          <cell r="B363" t="str">
            <v>SolarCity Corporation</v>
          </cell>
          <cell r="C363" t="str">
            <v xml:space="preserve">Schubert Jonckheer &amp; Kolbe LLP 
 Newman Ferrara LLP </v>
          </cell>
        </row>
        <row r="364">
          <cell r="B364" t="str">
            <v>Tyson Foods, Inc.</v>
          </cell>
          <cell r="C364" t="str">
            <v xml:space="preserve">Bernstein Litowitz Berger &amp; Grossmann LLP </v>
          </cell>
        </row>
        <row r="365">
          <cell r="B365" t="str">
            <v>TreeHouse Foods, Inc.</v>
          </cell>
          <cell r="C365" t="str">
            <v xml:space="preserve">Wolf Popper LLP </v>
          </cell>
        </row>
        <row r="366">
          <cell r="B366" t="str">
            <v>Interactive Intelligence Group, Inc.</v>
          </cell>
          <cell r="C366" t="str">
            <v xml:space="preserve">Robbins, Geller, Rudman &amp; Dowd, LLP </v>
          </cell>
        </row>
        <row r="367">
          <cell r="B367" t="str">
            <v>Supreme Industries, Inc.</v>
          </cell>
          <cell r="C367" t="str">
            <v xml:space="preserve">Kirby McInerney LLP 
 Bragar Eagel &amp; Squire, PC </v>
          </cell>
        </row>
        <row r="368">
          <cell r="B368" t="str">
            <v>Pattern Energy Group, Inc.</v>
          </cell>
          <cell r="C368" t="str">
            <v xml:space="preserve">Pomerantz LLP </v>
          </cell>
        </row>
        <row r="369">
          <cell r="B369" t="str">
            <v>Dynavax Technologies Corporation</v>
          </cell>
          <cell r="C369" t="str">
            <v xml:space="preserve">The Rosen Law Firm, P.A. </v>
          </cell>
        </row>
        <row r="370">
          <cell r="B370" t="str">
            <v>Allergan, PLC</v>
          </cell>
          <cell r="C370" t="str">
            <v xml:space="preserve">Bernstein Litowitz Berger &amp; Grossmann LLP 
 Kessler Topaz  Meltzer &amp; Check, LLP </v>
          </cell>
        </row>
        <row r="371">
          <cell r="B371" t="str">
            <v>ProNAi Therapeutics Inc.</v>
          </cell>
          <cell r="C371" t="str">
            <v xml:space="preserve">Levi &amp; Korsinsky, LLP </v>
          </cell>
        </row>
        <row r="372">
          <cell r="B372" t="str">
            <v>Biogen, Inc.</v>
          </cell>
          <cell r="C372" t="str">
            <v xml:space="preserve">Motley Rice LLC </v>
          </cell>
        </row>
        <row r="373">
          <cell r="B373" t="str">
            <v>Cognizant Technology Solutions Corporation</v>
          </cell>
          <cell r="C373" t="str">
            <v xml:space="preserve">Bernstein Litowitz Berger &amp; Grossmann LLP </v>
          </cell>
        </row>
        <row r="374">
          <cell r="B374" t="str">
            <v>GoPro, Inc.</v>
          </cell>
          <cell r="C374" t="str">
            <v xml:space="preserve">Faruqi &amp; Faruqi, LLP </v>
          </cell>
        </row>
        <row r="375">
          <cell r="B375" t="str">
            <v>Immunomedics, Inc.</v>
          </cell>
          <cell r="C375" t="str">
            <v xml:space="preserve">Hagens Berman Sobol Shapiro LLP </v>
          </cell>
        </row>
        <row r="376">
          <cell r="B376" t="str">
            <v>Avid Technology, Inc.</v>
          </cell>
          <cell r="C376" t="str">
            <v xml:space="preserve">Johnson &amp; Weaver LLP </v>
          </cell>
        </row>
        <row r="377">
          <cell r="B377" t="str">
            <v>AECOM</v>
          </cell>
          <cell r="C377" t="str">
            <v xml:space="preserve">Pomerantz LLP </v>
          </cell>
        </row>
        <row r="378">
          <cell r="B378" t="str">
            <v>Perrigo Company plc</v>
          </cell>
          <cell r="C378" t="str">
            <v xml:space="preserve">Bernstein Litowitz Berger &amp; Grossmann LLP 
 Pomerantz LLP </v>
          </cell>
        </row>
        <row r="379">
          <cell r="B379" t="str">
            <v>Diplomat Pharmacy, Inc.</v>
          </cell>
          <cell r="C379" t="str">
            <v xml:space="preserve">Glancy Prongay &amp; Murray, LLP 
 Robbins, Geller, Rudman &amp; Dowd, LLP </v>
          </cell>
        </row>
        <row r="380">
          <cell r="B380" t="str">
            <v>Tenet Healthcare Corporation</v>
          </cell>
          <cell r="C380" t="str">
            <v xml:space="preserve">The Rosen Law Firm, P.A. 
 Pomerantz LLP </v>
          </cell>
        </row>
        <row r="381">
          <cell r="B381" t="str">
            <v>RiT Technologies Ltd.</v>
          </cell>
          <cell r="C381" t="str">
            <v xml:space="preserve">Bronstein, Gewirtz &amp; Grossman, LLC </v>
          </cell>
        </row>
        <row r="382">
          <cell r="B382" t="str">
            <v>Quorum Health Corporation</v>
          </cell>
          <cell r="C382" t="str">
            <v xml:space="preserve">Pomerantz LLP </v>
          </cell>
        </row>
        <row r="383">
          <cell r="B383" t="str">
            <v>Horsehead Holding Corporation</v>
          </cell>
          <cell r="C383" t="str">
            <v xml:space="preserve">Glancy Prongay &amp; Murray, LLP </v>
          </cell>
        </row>
        <row r="384">
          <cell r="B384" t="str">
            <v>CST Brands, Inc.</v>
          </cell>
          <cell r="C384" t="str">
            <v xml:space="preserve">Faruqi &amp; Faruqi, LLP </v>
          </cell>
        </row>
        <row r="385">
          <cell r="B385" t="str">
            <v>Impax Laboratories, Inc.</v>
          </cell>
          <cell r="C385">
            <v>0</v>
          </cell>
        </row>
        <row r="386">
          <cell r="B386" t="str">
            <v>Miller Energy Resources, Inc.</v>
          </cell>
          <cell r="C386" t="str">
            <v xml:space="preserve">Cohen Milstein Sellers &amp; Toll PLLC 
 Gordon Ball PLLC </v>
          </cell>
        </row>
        <row r="387">
          <cell r="B387" t="str">
            <v>InfuSystem Holdings, Inc.</v>
          </cell>
          <cell r="C387" t="str">
            <v xml:space="preserve">The Rosen Law Firm, P.A. </v>
          </cell>
        </row>
        <row r="388">
          <cell r="B388" t="str">
            <v>StoneMor Partners, L.P.</v>
          </cell>
          <cell r="C388" t="str">
            <v xml:space="preserve">Labaton Sucharow LLP </v>
          </cell>
        </row>
        <row r="389">
          <cell r="B389" t="str">
            <v>Opus Bank</v>
          </cell>
          <cell r="C389" t="str">
            <v xml:space="preserve">Cohen Milstein Sellers &amp; Toll PLLC </v>
          </cell>
        </row>
        <row r="390">
          <cell r="B390" t="str">
            <v>Skullcandy, Inc.</v>
          </cell>
          <cell r="C390" t="str">
            <v xml:space="preserve">Saxena White P.A. 
 Ryan &amp; Maniskas, LLP </v>
          </cell>
        </row>
        <row r="391">
          <cell r="B391" t="str">
            <v>Rio Tinto PLC</v>
          </cell>
          <cell r="C391" t="str">
            <v xml:space="preserve">Pomerantz LLP </v>
          </cell>
        </row>
        <row r="392">
          <cell r="B392" t="str">
            <v>Xerox Corporation</v>
          </cell>
          <cell r="C392" t="str">
            <v xml:space="preserve">Kessler Topaz  Meltzer &amp; Check, LLP </v>
          </cell>
        </row>
        <row r="393">
          <cell r="B393" t="str">
            <v>Code Rebel Corporation</v>
          </cell>
          <cell r="C393" t="str">
            <v xml:space="preserve">The Rosen Law Firm, P.A. 
 Pomerantz LLP </v>
          </cell>
        </row>
        <row r="394">
          <cell r="B394" t="str">
            <v>Agria Corporation</v>
          </cell>
          <cell r="C394" t="str">
            <v xml:space="preserve">The Rosen Law Firm, P.A. </v>
          </cell>
        </row>
        <row r="395">
          <cell r="B395" t="str">
            <v>Outerwall, Inc.</v>
          </cell>
          <cell r="C395" t="str">
            <v xml:space="preserve">Robbins, Geller, Rudman &amp; Dowd, LLP </v>
          </cell>
        </row>
        <row r="396">
          <cell r="B396" t="str">
            <v>Arrowhead Pharmaceuticals, Inc.</v>
          </cell>
          <cell r="C396" t="str">
            <v xml:space="preserve">Levi &amp; Korsinsky, LLP </v>
          </cell>
        </row>
        <row r="397">
          <cell r="B397" t="str">
            <v>Rent-A-Center, Inc.</v>
          </cell>
          <cell r="C397" t="str">
            <v xml:space="preserve">Labaton Sucharow LLP </v>
          </cell>
        </row>
        <row r="398">
          <cell r="B398" t="str">
            <v>Lannett Company, Inc.</v>
          </cell>
          <cell r="C398" t="str">
            <v xml:space="preserve">Abraham, Fruchter &amp; Twersky, LLP </v>
          </cell>
        </row>
        <row r="399">
          <cell r="B399" t="str">
            <v>Tailored Brands, Inc.</v>
          </cell>
          <cell r="C399" t="str">
            <v xml:space="preserve">Robbins, Geller, Rudman &amp; Dowd, LLP </v>
          </cell>
        </row>
        <row r="400">
          <cell r="B400" t="str">
            <v>TG Therapeutics, Inc.</v>
          </cell>
          <cell r="C400" t="str">
            <v xml:space="preserve">Levi &amp; Korsinsky, LLP </v>
          </cell>
        </row>
        <row r="401">
          <cell r="B401" t="str">
            <v>OneMain Holdings, Inc.</v>
          </cell>
          <cell r="C401" t="str">
            <v xml:space="preserve">Holzer &amp; Holzer, LLC 
 Robbins, Geller, Rudman &amp; Dowd, LLP </v>
          </cell>
        </row>
        <row r="402">
          <cell r="B402" t="str">
            <v>Misonix, Inc.</v>
          </cell>
          <cell r="C402" t="str">
            <v xml:space="preserve">The Rosen Law Firm, P.A. </v>
          </cell>
        </row>
        <row r="403">
          <cell r="B403" t="str">
            <v>PayPal Holdings, Inc.</v>
          </cell>
          <cell r="C403" t="str">
            <v xml:space="preserve">The Rosen Law Firm, P.A. </v>
          </cell>
        </row>
        <row r="404">
          <cell r="B404" t="str">
            <v>Endologix, Inc.</v>
          </cell>
          <cell r="C404" t="str">
            <v xml:space="preserve">The Rosen Law Firm, P.A. </v>
          </cell>
        </row>
        <row r="405">
          <cell r="B405" t="str">
            <v>Ligand Pharmaceuticals Incorporated</v>
          </cell>
          <cell r="C405" t="str">
            <v xml:space="preserve">The Rosen Law Firm, P.A. </v>
          </cell>
        </row>
        <row r="406">
          <cell r="B406" t="str">
            <v>Illumina Inc.</v>
          </cell>
          <cell r="C406" t="str">
            <v xml:space="preserve">Levi &amp; Korsinsky, LLP </v>
          </cell>
        </row>
        <row r="407">
          <cell r="B407" t="str">
            <v>Zimmer Biomet Holdings, Inc.</v>
          </cell>
          <cell r="C407" t="str">
            <v xml:space="preserve">Glancy Prongay &amp; Murray, LLP </v>
          </cell>
        </row>
        <row r="408">
          <cell r="B408" t="str">
            <v>Pilgrim's Pride Corporation</v>
          </cell>
          <cell r="C408" t="str">
            <v xml:space="preserve">Kahn Swick &amp; Foti, LLC </v>
          </cell>
        </row>
        <row r="409">
          <cell r="B409" t="str">
            <v>Warren Resources, Inc.</v>
          </cell>
          <cell r="C409" t="str">
            <v xml:space="preserve">Glancy Prongay &amp; Murray, LLP 
 The Shuman Law Firm </v>
          </cell>
        </row>
        <row r="410">
          <cell r="B410" t="str">
            <v>TerraVia Holdings, Inc.</v>
          </cell>
          <cell r="C410" t="str">
            <v xml:space="preserve">Pomerantz LLP </v>
          </cell>
        </row>
        <row r="411">
          <cell r="B411" t="str">
            <v>Seattle Genetics, Inc.</v>
          </cell>
          <cell r="C411" t="str">
            <v xml:space="preserve">Pomerantz LLP </v>
          </cell>
        </row>
        <row r="412">
          <cell r="B412" t="str">
            <v>Dakota Plains Holdings, Inc.</v>
          </cell>
          <cell r="C412" t="str">
            <v xml:space="preserve">Cera LLP </v>
          </cell>
        </row>
        <row r="413">
          <cell r="B413" t="str">
            <v>The Southern Company</v>
          </cell>
          <cell r="C413" t="str">
            <v xml:space="preserve">Robbins, Geller, Rudman &amp; Dowd, LLP </v>
          </cell>
        </row>
        <row r="414">
          <cell r="B414" t="str">
            <v>MGT Capital Investments, Inc.</v>
          </cell>
          <cell r="C414" t="str">
            <v xml:space="preserve">Pomerantz LLP </v>
          </cell>
        </row>
        <row r="415">
          <cell r="B415" t="str">
            <v>Alexion Pharmaceuticals, Inc.</v>
          </cell>
          <cell r="C415" t="str">
            <v xml:space="preserve">Labaton Sucharow LLP 
 Motley Rice LLC </v>
          </cell>
        </row>
        <row r="416">
          <cell r="B416" t="str">
            <v>Universal Health Services Inc.</v>
          </cell>
          <cell r="C416" t="str">
            <v xml:space="preserve">Saxena White P.A. </v>
          </cell>
        </row>
        <row r="417">
          <cell r="B417" t="str">
            <v>Psychemedics Corporation</v>
          </cell>
          <cell r="C417" t="str">
            <v xml:space="preserve">Holzer &amp; Holzer, LLC 
 Pomerantz LLP </v>
          </cell>
        </row>
        <row r="418">
          <cell r="B418" t="str">
            <v>Energy Transfer Partners, L.P.</v>
          </cell>
          <cell r="C418" t="str">
            <v xml:space="preserve">Bronstein, Gewirtz &amp; Grossman, LLC </v>
          </cell>
        </row>
        <row r="419">
          <cell r="B419" t="str">
            <v>Yahoo! Inc.</v>
          </cell>
          <cell r="C419" t="str">
            <v xml:space="preserve">Glancy Prongay &amp; Murray, LLP 
 Pomerantz LLP </v>
          </cell>
        </row>
        <row r="420">
          <cell r="B420" t="str">
            <v>Dollar General Corporation</v>
          </cell>
          <cell r="C420" t="str">
            <v xml:space="preserve">Kessler Topaz  Meltzer &amp; Check, LLP </v>
          </cell>
        </row>
        <row r="421">
          <cell r="B421" t="str">
            <v>Innocoll Holdings Public Limited Company</v>
          </cell>
          <cell r="C421" t="str">
            <v xml:space="preserve">The Rosen Law Firm, P.A. </v>
          </cell>
        </row>
        <row r="422">
          <cell r="B422" t="str">
            <v>Stemline Therapeutics, Inc.</v>
          </cell>
          <cell r="C422" t="str">
            <v xml:space="preserve">The Rosen Law Firm, P.A. 
 Pomerantz LLP </v>
          </cell>
        </row>
        <row r="423">
          <cell r="B423" t="str">
            <v>American Realty Capital  Retail Center of America, Inc.</v>
          </cell>
          <cell r="C423" t="str">
            <v xml:space="preserve">Abraham, Fruchter &amp; Twersky, LLP </v>
          </cell>
        </row>
        <row r="424">
          <cell r="B424" t="str">
            <v>RH, Inc.</v>
          </cell>
          <cell r="C424" t="str">
            <v xml:space="preserve">Bernstein Litowitz Berger &amp; Grossmann LLP </v>
          </cell>
        </row>
        <row r="425">
          <cell r="B425" t="str">
            <v>Under Armour, Inc.</v>
          </cell>
          <cell r="C425" t="str">
            <v xml:space="preserve">Robbins, Geller, Rudman &amp; Dowd, LLP </v>
          </cell>
        </row>
        <row r="426">
          <cell r="B426" t="str">
            <v>Facebook, Inc.</v>
          </cell>
          <cell r="C426" t="str">
            <v xml:space="preserve">The Rosen Law Firm, P.A. 
 Bronstein, Gewirtz &amp; Grossman, LLC </v>
          </cell>
        </row>
        <row r="427">
          <cell r="B427" t="str">
            <v>Centene Corporation</v>
          </cell>
          <cell r="C427" t="str">
            <v xml:space="preserve">Bernstein Litowitz Berger &amp; Grossmann LLP </v>
          </cell>
        </row>
        <row r="428">
          <cell r="B428" t="str">
            <v>Banc of California, Inc.</v>
          </cell>
          <cell r="C428" t="str">
            <v xml:space="preserve">Robbins, Geller, Rudman &amp; Dowd, LLP </v>
          </cell>
        </row>
        <row r="429">
          <cell r="B429" t="str">
            <v>Egalet Corporation</v>
          </cell>
          <cell r="C429" t="str">
            <v xml:space="preserve">Levi &amp; Korsinsky, LLP 
 Pomerantz LLP </v>
          </cell>
        </row>
        <row r="430">
          <cell r="B430" t="str">
            <v>Inotek Pharmaceuticals Corporation</v>
          </cell>
          <cell r="C430" t="str">
            <v xml:space="preserve">Wolf Haldenstein Adler Freeman &amp; Herz LLP 
 Bronstein, Gewirtz &amp; Grossman, LLC </v>
          </cell>
        </row>
        <row r="431">
          <cell r="B431" t="str">
            <v>American DG Energy, Inc.</v>
          </cell>
          <cell r="C431" t="str">
            <v xml:space="preserve">Wolf Popper LLP 
 Monteverde &amp; Associates PC </v>
          </cell>
        </row>
        <row r="432">
          <cell r="B432" t="str">
            <v>FXCM, Inc.</v>
          </cell>
          <cell r="C432" t="str">
            <v xml:space="preserve">The Rosen Law Firm, P.A. </v>
          </cell>
        </row>
        <row r="433">
          <cell r="B433" t="str">
            <v>State Street Corporation</v>
          </cell>
          <cell r="C433" t="str">
            <v xml:space="preserve">The Rosen Law Firm, P.A. </v>
          </cell>
        </row>
        <row r="434">
          <cell r="B434" t="str">
            <v>Exxon Mobil Corporation</v>
          </cell>
          <cell r="C434" t="str">
            <v xml:space="preserve">Robbins, Geller, Rudman &amp; Dowd, LLP 
 Kendall Law Group, LLP 
 Law Offices of Balon B. Bradley </v>
          </cell>
        </row>
        <row r="435">
          <cell r="B435" t="str">
            <v>Qualcomm Incorporated</v>
          </cell>
          <cell r="C435" t="str">
            <v xml:space="preserve">Bernstein Litowitz Berger &amp; Grossmann LLP 
 Motley Rice LLC </v>
          </cell>
        </row>
        <row r="436">
          <cell r="B436" t="str">
            <v>Sito Mobile Ltd.</v>
          </cell>
          <cell r="C436" t="str">
            <v xml:space="preserve">Levi &amp; Korsinsky, LLP </v>
          </cell>
        </row>
        <row r="437">
          <cell r="B437" t="str">
            <v>Northern Oil and Gas, Inc.</v>
          </cell>
          <cell r="C437" t="str">
            <v xml:space="preserve">Pomerantz LLP 
 Goldberg Law PC </v>
          </cell>
        </row>
        <row r="438">
          <cell r="B438" t="str">
            <v>Pearson plc</v>
          </cell>
          <cell r="C438" t="str">
            <v xml:space="preserve">Levi &amp; Korsinsky, LLP </v>
          </cell>
        </row>
        <row r="439">
          <cell r="B439" t="str">
            <v>Harman International Industries, Incorporated</v>
          </cell>
          <cell r="C439" t="str">
            <v xml:space="preserve">Robbins, Geller, Rudman &amp; Dowd, LLP </v>
          </cell>
        </row>
        <row r="440">
          <cell r="B440" t="str">
            <v>Agile Therapeutics Inc.</v>
          </cell>
          <cell r="C440" t="str">
            <v xml:space="preserve">Levi &amp; Korsinsky, LLP </v>
          </cell>
        </row>
        <row r="441">
          <cell r="B441" t="str">
            <v>Natus Medical Incorporated</v>
          </cell>
          <cell r="C441" t="str">
            <v xml:space="preserve">Glancy Prongay &amp; Murray, LLP </v>
          </cell>
        </row>
        <row r="442">
          <cell r="B442" t="str">
            <v>Anthera Pharmaceuticals, Inc.</v>
          </cell>
          <cell r="C442" t="str">
            <v xml:space="preserve">Levi &amp; Korsinsky, LLP </v>
          </cell>
        </row>
        <row r="443">
          <cell r="B443" t="str">
            <v>Omega Protein Corporation</v>
          </cell>
          <cell r="C443" t="str">
            <v xml:space="preserve">Robbins, Geller, Rudman &amp; Dowd, LLP </v>
          </cell>
        </row>
        <row r="444">
          <cell r="B444" t="str">
            <v>Roadrunner Transportation Systems, Inc.</v>
          </cell>
          <cell r="C444" t="str">
            <v xml:space="preserve">Barrack  Rodos &amp; Bacine </v>
          </cell>
        </row>
        <row r="445">
          <cell r="B445" t="str">
            <v>Rentech, Inc.</v>
          </cell>
          <cell r="C445" t="str">
            <v xml:space="preserve">Glancy Prongay &amp; Murray, LLP 
 Holzer &amp; Holzer, LLC </v>
          </cell>
        </row>
        <row r="446">
          <cell r="B446" t="str">
            <v>Babcock &amp; Wilcox Enterprises, Inc.</v>
          </cell>
          <cell r="C446" t="str">
            <v xml:space="preserve">Kaplan Fox &amp; Kilsheimer LLP </v>
          </cell>
        </row>
        <row r="447">
          <cell r="B447" t="str">
            <v>Citizens, Inc.</v>
          </cell>
          <cell r="C447" t="str">
            <v xml:space="preserve">The Rosen Law Firm, P.A. </v>
          </cell>
        </row>
        <row r="448">
          <cell r="B448" t="str">
            <v>FTD Companies, Inc.</v>
          </cell>
          <cell r="C448" t="str">
            <v xml:space="preserve">Robbins, Geller, Rudman &amp; Dowd, LLP </v>
          </cell>
        </row>
        <row r="449">
          <cell r="B449" t="str">
            <v>Invuity, Inc.</v>
          </cell>
          <cell r="C449" t="str">
            <v xml:space="preserve">Glancy Prongay &amp; Murray, LLP 
 Holzer &amp; Holzer, LLC </v>
          </cell>
        </row>
        <row r="450">
          <cell r="B450" t="str">
            <v>NantHealth, Inc.</v>
          </cell>
          <cell r="C450" t="str">
            <v xml:space="preserve">The Kehoe Law Firm 
 Gibbs Law Group LLP </v>
          </cell>
        </row>
        <row r="451">
          <cell r="B451" t="str">
            <v>Insys Therapeutics, Inc.</v>
          </cell>
          <cell r="C451" t="str">
            <v xml:space="preserve">Levi &amp; Korsinsky, LLP </v>
          </cell>
        </row>
        <row r="452">
          <cell r="B452" t="str">
            <v>Novo Nordisk A/S</v>
          </cell>
          <cell r="C452" t="str">
            <v xml:space="preserve">Bernstein Litowitz Berger &amp; Grossmann LLP 
 Robbins, Geller, Rudman &amp; Dowd, LLP </v>
          </cell>
        </row>
        <row r="453">
          <cell r="B453" t="str">
            <v>USANA Health Sciences</v>
          </cell>
          <cell r="C453" t="str">
            <v xml:space="preserve">Pomerantz LLP 
 Goldberg Law PC </v>
          </cell>
        </row>
        <row r="454">
          <cell r="B454" t="str">
            <v>The Hain Celestial Group, Inc.</v>
          </cell>
          <cell r="C454" t="str">
            <v xml:space="preserve">Glancy Prongay &amp; Murray, LLP 
 Labaton Sucharow LLP 
 Law Offices of Howard G. Smith 
 Goldberg Law PC </v>
          </cell>
        </row>
        <row r="455">
          <cell r="B455" t="str">
            <v>Northern Dynasty Minerals Ltd.</v>
          </cell>
          <cell r="C455" t="str">
            <v xml:space="preserve">Glancy Prongay &amp; Murray, LLP 
 Kirby McInerney LLP </v>
          </cell>
        </row>
        <row r="456">
          <cell r="B456" t="str">
            <v>BioAmber Inc.</v>
          </cell>
          <cell r="C456" t="str">
            <v xml:space="preserve">The Rosen Law Firm, P.A. 
 Goldberg Law PC </v>
          </cell>
        </row>
        <row r="457">
          <cell r="B457" t="str">
            <v>Aratana Therapeutics, Inc.</v>
          </cell>
          <cell r="C457" t="str">
            <v xml:space="preserve">Levi &amp; Korsinsky, LLP </v>
          </cell>
        </row>
        <row r="458">
          <cell r="B458" t="str">
            <v>Sequenom, Inc.</v>
          </cell>
          <cell r="C458" t="str">
            <v xml:space="preserve">Robbins, Geller, Rudman &amp; Dowd, LLP </v>
          </cell>
        </row>
        <row r="459">
          <cell r="B459" t="str">
            <v>U.S. Physical Therapy, Inc.</v>
          </cell>
          <cell r="C459" t="str">
            <v xml:space="preserve">The Rosen Law Firm, P.A. </v>
          </cell>
        </row>
        <row r="460">
          <cell r="B460" t="str">
            <v>Platinum Pari-Mutuel Holdings, Inc.</v>
          </cell>
          <cell r="C460" t="str">
            <v xml:space="preserve">The Rosen Law Firm, P.A. </v>
          </cell>
        </row>
        <row r="461">
          <cell r="B461" t="str">
            <v>ReWalk Robotics, Ltd.</v>
          </cell>
          <cell r="C461" t="str">
            <v xml:space="preserve">Pomerantz LLP </v>
          </cell>
        </row>
        <row r="462">
          <cell r="B462" t="str">
            <v>Caterpillar, Inc.</v>
          </cell>
          <cell r="C462" t="str">
            <v xml:space="preserve">Motley Rice LLC </v>
          </cell>
        </row>
        <row r="463">
          <cell r="B463" t="str">
            <v>Walter Investment Management Corp.</v>
          </cell>
          <cell r="C463" t="str">
            <v xml:space="preserve">Glancy Prongay &amp; Murray, LLP </v>
          </cell>
        </row>
        <row r="464">
          <cell r="B464" t="str">
            <v>Chicago Bridge &amp; Iron Company N.V.</v>
          </cell>
          <cell r="C464" t="str">
            <v xml:space="preserve">Kahn Swick &amp; Foti, LLC </v>
          </cell>
        </row>
        <row r="465">
          <cell r="B465" t="str">
            <v>Netflix, Inc.</v>
          </cell>
          <cell r="C465" t="str">
            <v xml:space="preserve">Finkelstein &amp; Krinsk LLP 
 Kahn Swick &amp; Foti, LLC </v>
          </cell>
        </row>
        <row r="466">
          <cell r="B466" t="str">
            <v>Kitov Pharmaceuticals Holdings Ltd.</v>
          </cell>
          <cell r="C466" t="str">
            <v xml:space="preserve">Pomerantz LLP </v>
          </cell>
        </row>
        <row r="467">
          <cell r="B467" t="str">
            <v>MoneyGram International Inc.</v>
          </cell>
          <cell r="C467" t="str">
            <v xml:space="preserve">Labaton Sucharow LLP </v>
          </cell>
        </row>
        <row r="468">
          <cell r="B468" t="str">
            <v>AmTrust Financial Services, Inc.</v>
          </cell>
          <cell r="C468" t="str">
            <v xml:space="preserve">Robbins, Geller, Rudman &amp; Dowd, LLP </v>
          </cell>
        </row>
        <row r="469">
          <cell r="B469" t="str">
            <v>U.S. Concrete, Inc.</v>
          </cell>
          <cell r="C469" t="str">
            <v xml:space="preserve">Levi &amp; Korsinsky, LLP 
 Bragar Eagel &amp; Squire, PC </v>
          </cell>
        </row>
        <row r="470">
          <cell r="B470" t="str">
            <v>Tempur Sealy International, Inc.</v>
          </cell>
          <cell r="C470" t="str">
            <v xml:space="preserve">Labaton Sucharow LLP </v>
          </cell>
        </row>
        <row r="471">
          <cell r="B471" t="str">
            <v>Argos Therapeutics Inc.</v>
          </cell>
          <cell r="C471" t="str">
            <v xml:space="preserve">Wolf Haldenstein Adler Freeman &amp; Herz LLP 
 Levi &amp; Korsinsky, LLP </v>
          </cell>
        </row>
        <row r="472">
          <cell r="B472" t="str">
            <v>Global Eagle Entertainment Inc.</v>
          </cell>
          <cell r="C472" t="str">
            <v xml:space="preserve">Levi &amp; Korsinsky, LLP 
 Bronstein, Gewirtz &amp; Grossman, LLC </v>
          </cell>
        </row>
        <row r="473">
          <cell r="B473" t="str">
            <v>Wins Finance Holdings, Inc.</v>
          </cell>
          <cell r="C473" t="str">
            <v xml:space="preserve">The Rosen Law Firm, P.A. </v>
          </cell>
        </row>
        <row r="474">
          <cell r="B474" t="str">
            <v>Inventure Foods Incorporated</v>
          </cell>
          <cell r="C474" t="str">
            <v xml:space="preserve">Levi &amp; Korsinsky, LLP </v>
          </cell>
        </row>
        <row r="475">
          <cell r="B475" t="str">
            <v>Fenix Parts, Inc.</v>
          </cell>
          <cell r="C475" t="str">
            <v xml:space="preserve">Glancy Prongay &amp; Murray, LLP 
 Levi &amp; Korsinsky, LLP </v>
          </cell>
        </row>
        <row r="476">
          <cell r="B476" t="str">
            <v>Vista Outdoor Inc.</v>
          </cell>
          <cell r="C476" t="str">
            <v xml:space="preserve">Wolf Haldenstein Adler Freeman &amp; Herz LLP </v>
          </cell>
        </row>
        <row r="477">
          <cell r="B477" t="str">
            <v>TherapeuticsMD, Inc.</v>
          </cell>
          <cell r="C477" t="str">
            <v xml:space="preserve">Levi &amp; Korsinsky, LLP </v>
          </cell>
        </row>
        <row r="478">
          <cell r="B478" t="str">
            <v>Cempra, Inc.</v>
          </cell>
          <cell r="C478" t="str">
            <v xml:space="preserve">Robbins, Geller, Rudman &amp; Dowd, LLP 
 Johnson &amp; Weaver LLP </v>
          </cell>
        </row>
        <row r="479">
          <cell r="B479" t="str">
            <v>OvaScience, Inc.</v>
          </cell>
          <cell r="C479" t="str">
            <v xml:space="preserve">Robbins, Geller, Rudman &amp; Dowd, LLP </v>
          </cell>
        </row>
        <row r="480">
          <cell r="B480" t="str">
            <v>The Fresh Market, Inc.</v>
          </cell>
          <cell r="C480" t="str">
            <v xml:space="preserve">Brower Piven </v>
          </cell>
        </row>
        <row r="481">
          <cell r="B481" t="str">
            <v>Teva Pharmaceutical Industries Limited</v>
          </cell>
          <cell r="C481" t="str">
            <v xml:space="preserve">Bleichmar Fonti &amp; Auld LLP </v>
          </cell>
        </row>
        <row r="482">
          <cell r="B482" t="str">
            <v>Citizens Financial Group, Inc.</v>
          </cell>
          <cell r="C482" t="str">
            <v xml:space="preserve">Glancy Prongay &amp; Murray, LLP 
 Levi &amp; Korsinsky, LLP </v>
          </cell>
        </row>
        <row r="483">
          <cell r="B483" t="str">
            <v>Ocwen Financial Corporation</v>
          </cell>
          <cell r="C483" t="str">
            <v xml:space="preserve">Abraham, Fruchter &amp; Twersky, LLP </v>
          </cell>
        </row>
        <row r="484">
          <cell r="B484" t="str">
            <v>Galena Biopharma, Inc.</v>
          </cell>
          <cell r="C484" t="str">
            <v xml:space="preserve">Federman &amp; Sherwood </v>
          </cell>
        </row>
        <row r="485">
          <cell r="B485" t="str">
            <v>Alcobra, Ltd.</v>
          </cell>
          <cell r="C485" t="str">
            <v xml:space="preserve">Wolf Haldenstein Adler Freeman &amp; Herz LLP </v>
          </cell>
        </row>
        <row r="486">
          <cell r="B486" t="str">
            <v>HMS Holdings Corp.</v>
          </cell>
          <cell r="C486" t="str">
            <v xml:space="preserve">The Rosen Law Firm, P.A. </v>
          </cell>
        </row>
        <row r="487">
          <cell r="B487" t="str">
            <v>ImmunoCellular Therapeutics Ltd.</v>
          </cell>
          <cell r="C487" t="str">
            <v xml:space="preserve">Wolf Popper LLP 
 Levi &amp; Korsinsky, LLP </v>
          </cell>
        </row>
        <row r="488">
          <cell r="B488" t="str">
            <v>Anadarko Petroleum Corporation</v>
          </cell>
          <cell r="C488" t="str">
            <v xml:space="preserve">The Rosen Law Firm, P.A. </v>
          </cell>
        </row>
        <row r="489">
          <cell r="B489" t="str">
            <v>Gigamon Inc.</v>
          </cell>
          <cell r="C489" t="str">
            <v xml:space="preserve">Levi &amp; Korsinsky, LLP </v>
          </cell>
        </row>
        <row r="490">
          <cell r="B490" t="str">
            <v>Lion Biotechnologies, Inc.</v>
          </cell>
          <cell r="C490" t="str">
            <v xml:space="preserve">Kessler Topaz  Meltzer &amp; Check, LLP </v>
          </cell>
        </row>
        <row r="491">
          <cell r="B491" t="str">
            <v>PCM, Inc.</v>
          </cell>
          <cell r="C491" t="str">
            <v xml:space="preserve">The Rosen Law Firm, P.A. </v>
          </cell>
        </row>
        <row r="492">
          <cell r="B492" t="str">
            <v>Signet Jewelers Limited</v>
          </cell>
          <cell r="C492" t="str">
            <v xml:space="preserve">Bernstein Litowitz Berger &amp; Grossmann LLP </v>
          </cell>
        </row>
        <row r="493">
          <cell r="B493" t="str">
            <v>Intra-Cellular Therapies, Inc</v>
          </cell>
          <cell r="C493" t="str">
            <v xml:space="preserve">The Rosen Law Firm, P.A. </v>
          </cell>
        </row>
        <row r="494">
          <cell r="B494" t="str">
            <v>Lionbridge Technologies, Inc.</v>
          </cell>
          <cell r="C494" t="str">
            <v xml:space="preserve">Robbins, Geller, Rudman &amp; Dowd, LLP </v>
          </cell>
        </row>
        <row r="495">
          <cell r="B495" t="str">
            <v>Amyris, Inc.</v>
          </cell>
          <cell r="C495" t="str">
            <v xml:space="preserve">Levi &amp; Korsinsky, LLP </v>
          </cell>
        </row>
        <row r="496">
          <cell r="B496" t="str">
            <v>Transgenomic, Inc.</v>
          </cell>
          <cell r="C496" t="str">
            <v xml:space="preserve">Monteverde &amp; Associates PC </v>
          </cell>
        </row>
        <row r="497">
          <cell r="B497" t="str">
            <v>Neurotrope, Inc.</v>
          </cell>
          <cell r="C497" t="str">
            <v xml:space="preserve">Levi &amp; Korsinsky, LLP 
 Pomerantz LLP </v>
          </cell>
        </row>
        <row r="498">
          <cell r="B498" t="str">
            <v>Silver Bay Realty Trust Corp.</v>
          </cell>
          <cell r="C498" t="str">
            <v xml:space="preserve">Robbins, Geller, Rudman &amp; Dowd, LLP </v>
          </cell>
        </row>
        <row r="499">
          <cell r="B499" t="str">
            <v>United States Steel Corporation</v>
          </cell>
          <cell r="C499" t="str">
            <v xml:space="preserve">Levi &amp; Korsinsky, LLP </v>
          </cell>
        </row>
        <row r="500">
          <cell r="B500" t="str">
            <v>DigitalGlobe, Inc.</v>
          </cell>
          <cell r="C500" t="str">
            <v xml:space="preserve">Brower Piven </v>
          </cell>
        </row>
        <row r="501">
          <cell r="B501" t="str">
            <v>SunPower Corporation</v>
          </cell>
          <cell r="C501" t="str">
            <v xml:space="preserve">Glancy Prongay &amp; Murray, LLP 
 The Rosen Law Firm, P.A. </v>
          </cell>
        </row>
        <row r="502">
          <cell r="B502" t="str">
            <v>Celadon Group, Inc.</v>
          </cell>
          <cell r="C502" t="str">
            <v xml:space="preserve">Labaton Sucharow LLP </v>
          </cell>
        </row>
        <row r="503">
          <cell r="B503" t="str">
            <v>Sunrun Inc.</v>
          </cell>
          <cell r="C503" t="str">
            <v xml:space="preserve">Pomerantz LLP </v>
          </cell>
        </row>
        <row r="504">
          <cell r="B504" t="str">
            <v>FleetCor Technologies, Inc.</v>
          </cell>
          <cell r="C504" t="str">
            <v xml:space="preserve">Bernstein Litowitz Berger &amp; Grossmann LLP </v>
          </cell>
        </row>
        <row r="505">
          <cell r="B505" t="str">
            <v>Genworth Financial, Inc.</v>
          </cell>
          <cell r="C505" t="str">
            <v xml:space="preserve">Faruqi &amp; Faruqi, LLP 
 Kahn Swick &amp; Foti, LLC </v>
          </cell>
        </row>
        <row r="506">
          <cell r="B506" t="str">
            <v>Cigna Corporation</v>
          </cell>
          <cell r="C506" t="str">
            <v xml:space="preserve">Labaton Sucharow LLP </v>
          </cell>
        </row>
        <row r="507">
          <cell r="B507" t="str">
            <v>BT Group PLC</v>
          </cell>
          <cell r="C507" t="str">
            <v xml:space="preserve">Robbins, Geller, Rudman &amp; Dowd, LLP </v>
          </cell>
        </row>
        <row r="508">
          <cell r="B508" t="str">
            <v>Mazor Robotics Ltd.</v>
          </cell>
          <cell r="C508" t="str">
            <v xml:space="preserve">The Rosen Law Firm, P.A. </v>
          </cell>
        </row>
        <row r="509">
          <cell r="B509" t="str">
            <v>Adeptus Health, Inc.</v>
          </cell>
          <cell r="C509" t="str">
            <v xml:space="preserve">Bernstein Litowitz Berger &amp; Grossmann LLP 
 Kessler Topaz  Meltzer &amp; Check, LLP </v>
          </cell>
        </row>
        <row r="510">
          <cell r="B510" t="str">
            <v>Booz Allen Hamilton Holding Corporation</v>
          </cell>
          <cell r="C510" t="str">
            <v xml:space="preserve">Cohen Milstein Sellers &amp; Toll PLLC 
 Robbins, Geller, Rudman &amp; Dowd, LLP </v>
          </cell>
        </row>
        <row r="511">
          <cell r="B511" t="str">
            <v>Synchronoss Technologies, Inc.</v>
          </cell>
          <cell r="C511" t="str">
            <v xml:space="preserve">Grant &amp; Eisenhofer, P.A. </v>
          </cell>
        </row>
        <row r="512">
          <cell r="B512" t="str">
            <v>The Western Union Company</v>
          </cell>
          <cell r="C512" t="str">
            <v xml:space="preserve">Pomerantz LLP </v>
          </cell>
        </row>
        <row r="513">
          <cell r="B513" t="str">
            <v>Akari Therapeutics, Plc</v>
          </cell>
          <cell r="C513" t="str">
            <v xml:space="preserve">The Rosen Law Firm, P.A. </v>
          </cell>
        </row>
        <row r="514">
          <cell r="B514" t="str">
            <v>Sky Solar Holdings, Ltd.</v>
          </cell>
          <cell r="C514" t="str">
            <v xml:space="preserve">Wolf Popper LLP </v>
          </cell>
        </row>
        <row r="515">
          <cell r="B515" t="str">
            <v>KBR, Inc.</v>
          </cell>
          <cell r="C515" t="str">
            <v xml:space="preserve">Pomerantz LLP </v>
          </cell>
        </row>
        <row r="516">
          <cell r="B516" t="str">
            <v>Snap, Inc.</v>
          </cell>
          <cell r="C516" t="str">
            <v xml:space="preserve">Kessler Topaz  Meltzer &amp; Check, LLP </v>
          </cell>
        </row>
        <row r="517">
          <cell r="B517" t="str">
            <v>Aaron's Inc.</v>
          </cell>
          <cell r="C517" t="str">
            <v xml:space="preserve">Bernstein Litowitz Berger &amp; Grossmann LLP 
 Labaton Sucharow LLP </v>
          </cell>
        </row>
        <row r="518">
          <cell r="B518" t="str">
            <v>Rackspace Hosting, Inc.</v>
          </cell>
          <cell r="C518" t="str">
            <v xml:space="preserve">Motley Rice LLC </v>
          </cell>
        </row>
        <row r="519">
          <cell r="B519" t="str">
            <v>Zoompass Holdings, Inc.</v>
          </cell>
          <cell r="C519" t="str">
            <v xml:space="preserve">Wolf Haldenstein Adler Freeman &amp; Herz LLP </v>
          </cell>
        </row>
        <row r="520">
          <cell r="B520" t="str">
            <v>Rite Aid Corporation</v>
          </cell>
          <cell r="C520" t="str">
            <v xml:space="preserve">Robbins, Geller, Rudman &amp; Dowd, LLP </v>
          </cell>
        </row>
        <row r="521">
          <cell r="B521" t="str">
            <v>Roche Holding AG</v>
          </cell>
          <cell r="C521" t="str">
            <v xml:space="preserve">The Rosen Law Firm, P.A. </v>
          </cell>
        </row>
        <row r="522">
          <cell r="B522" t="str">
            <v>Tahoe Resources Inc.</v>
          </cell>
          <cell r="C522" t="str">
            <v xml:space="preserve">Faruqi &amp; Faruqi, LLP </v>
          </cell>
        </row>
        <row r="523">
          <cell r="B523" t="str">
            <v>B Communications Ltd.</v>
          </cell>
          <cell r="C523" t="str">
            <v xml:space="preserve">Pomerantz LLP </v>
          </cell>
        </row>
        <row r="524">
          <cell r="B524" t="str">
            <v>Weibo Corporation</v>
          </cell>
          <cell r="C524" t="str">
            <v xml:space="preserve">Levi &amp; Korsinsky, LLP </v>
          </cell>
        </row>
        <row r="525">
          <cell r="B525" t="str">
            <v>Mattel, Inc.</v>
          </cell>
          <cell r="C525" t="str">
            <v xml:space="preserve">Levi &amp; Korsinsky, LLP </v>
          </cell>
        </row>
        <row r="526">
          <cell r="B526" t="str">
            <v>Barrick Gold Corporation</v>
          </cell>
          <cell r="C526" t="str">
            <v xml:space="preserve">Kahn Swick &amp; Foti, LLC </v>
          </cell>
        </row>
        <row r="527">
          <cell r="B527" t="str">
            <v>JBS S.A.</v>
          </cell>
          <cell r="C527" t="str">
            <v xml:space="preserve">Levi &amp; Korsinsky, LLP </v>
          </cell>
        </row>
        <row r="528">
          <cell r="B528" t="str">
            <v>Spectrum Pharmaceuticals, Inc.</v>
          </cell>
          <cell r="C528" t="str">
            <v xml:space="preserve">The Rosen Law Firm, P.A. 
 Bronstein, Gewirtz &amp; Grossman, LLC </v>
          </cell>
        </row>
        <row r="529">
          <cell r="B529" t="str">
            <v>Lexmark International, Inc.</v>
          </cell>
          <cell r="C529" t="str">
            <v xml:space="preserve">Robbins, Geller, Rudman &amp; Dowd, LLP </v>
          </cell>
        </row>
        <row r="530">
          <cell r="B530" t="str">
            <v>Avinger, Inc.</v>
          </cell>
          <cell r="C530" t="str">
            <v xml:space="preserve">Scott &amp; Scott,  LLP </v>
          </cell>
        </row>
        <row r="531">
          <cell r="B531" t="str">
            <v>United Technologies Corporation</v>
          </cell>
          <cell r="C531" t="str">
            <v xml:space="preserve">Kessler Topaz  Meltzer &amp; Check, LLP </v>
          </cell>
        </row>
        <row r="532">
          <cell r="B532" t="str">
            <v>General Motors Company</v>
          </cell>
          <cell r="C532" t="str">
            <v xml:space="preserve">Motley Rice LLC </v>
          </cell>
        </row>
        <row r="533">
          <cell r="B533" t="str">
            <v>Chipotle Mexican Grill, Inc.</v>
          </cell>
          <cell r="C533" t="str">
            <v xml:space="preserve">Pomerantz LLP </v>
          </cell>
        </row>
        <row r="534">
          <cell r="B534" t="str">
            <v>Tableau Software, Inc.</v>
          </cell>
          <cell r="C534" t="str">
            <v xml:space="preserve">Robbins, Geller, Rudman &amp; Dowd, LLP </v>
          </cell>
        </row>
        <row r="535">
          <cell r="B535" t="str">
            <v>HD Supply Holdings, Inc.</v>
          </cell>
          <cell r="C535" t="str">
            <v xml:space="preserve">Saxena White P.A. </v>
          </cell>
        </row>
        <row r="536">
          <cell r="B536" t="str">
            <v>Foundation Medicine, Inc.</v>
          </cell>
          <cell r="C536" t="str">
            <v xml:space="preserve">Robbins, Geller, Rudman &amp; Dowd, LLP 
 Levi &amp; Korsinsky, LLP </v>
          </cell>
        </row>
        <row r="537">
          <cell r="B537" t="str">
            <v>CenturyLink, Inc.</v>
          </cell>
          <cell r="C537" t="str">
            <v xml:space="preserve">Bernstein Litowitz Berger &amp; Grossmann LLP 
 Stoll Berne </v>
          </cell>
        </row>
        <row r="538">
          <cell r="B538" t="str">
            <v>Regulus Therapeutics Inc.</v>
          </cell>
          <cell r="C538" t="str">
            <v xml:space="preserve">Levi &amp; Korsinsky, LLP </v>
          </cell>
        </row>
        <row r="539">
          <cell r="B539" t="str">
            <v>The Advisory Board Company</v>
          </cell>
          <cell r="C539" t="str">
            <v xml:space="preserve">Robbins, Geller, Rudman &amp; Dowd, LLP </v>
          </cell>
        </row>
        <row r="540">
          <cell r="B540" t="str">
            <v>Envision Healthcare Corporation</v>
          </cell>
          <cell r="C540" t="str">
            <v xml:space="preserve">Robbins, Geller, Rudman &amp; Dowd, LLP </v>
          </cell>
        </row>
        <row r="541">
          <cell r="B541" t="str">
            <v>Maximus, Inc.</v>
          </cell>
          <cell r="C541" t="str">
            <v xml:space="preserve">Labaton Sucharow LLP </v>
          </cell>
        </row>
        <row r="542">
          <cell r="B542" t="str">
            <v>GlobalSCAPE, Inc.</v>
          </cell>
          <cell r="C542" t="str">
            <v xml:space="preserve">Block &amp; Leviton LLP </v>
          </cell>
        </row>
        <row r="543">
          <cell r="B543" t="str">
            <v>DaVita Inc.</v>
          </cell>
          <cell r="C543" t="str">
            <v xml:space="preserve">Saxena White P.A. 
 The Shuman Law Firm </v>
          </cell>
        </row>
        <row r="544">
          <cell r="B544" t="str">
            <v>BofI Holding, Inc.</v>
          </cell>
          <cell r="C544">
            <v>0</v>
          </cell>
        </row>
        <row r="545">
          <cell r="B545" t="str">
            <v>General Cable Corporation</v>
          </cell>
          <cell r="C545" t="str">
            <v xml:space="preserve">Kessler Topaz  Meltzer &amp; Check, LLP </v>
          </cell>
        </row>
        <row r="546">
          <cell r="B546" t="str">
            <v>magicJack VocalTec Ltd.</v>
          </cell>
          <cell r="C546" t="str">
            <v xml:space="preserve">Finkelstein &amp; Krinsk LLP </v>
          </cell>
        </row>
        <row r="547">
          <cell r="B547" t="str">
            <v>Acacia Communications, Inc.</v>
          </cell>
          <cell r="C547" t="str">
            <v xml:space="preserve">Glancy Prongay &amp; Murray, LLP 
 Robbins, Geller, Rudman &amp; Dowd, LLP </v>
          </cell>
        </row>
        <row r="548">
          <cell r="B548" t="str">
            <v>DigitalGlobe, Inc.</v>
          </cell>
          <cell r="C548" t="str">
            <v xml:space="preserve">Robbins, Geller, Rudman &amp; Dowd, LLP </v>
          </cell>
        </row>
        <row r="549">
          <cell r="B549" t="str">
            <v>ZTO Express (Cayman) Inc.</v>
          </cell>
          <cell r="C549" t="str">
            <v xml:space="preserve">Hagens Berman Sobol Shapiro LLP </v>
          </cell>
        </row>
        <row r="550">
          <cell r="B550" t="str">
            <v>Rayonier Advanced Materials Inc.</v>
          </cell>
          <cell r="C550" t="str">
            <v xml:space="preserve">Robbins, Geller, Rudman &amp; Dowd, LLP </v>
          </cell>
        </row>
        <row r="551">
          <cell r="B551" t="str">
            <v>Volkswagen Aktiengesellschaft</v>
          </cell>
          <cell r="C551" t="str">
            <v xml:space="preserve">The Rosen Law Firm, P.A. </v>
          </cell>
        </row>
        <row r="552">
          <cell r="B552" t="str">
            <v>First Potomac Realty Trust</v>
          </cell>
          <cell r="C552" t="str">
            <v xml:space="preserve">Robbins, Geller, Rudman &amp; Dowd, LLP </v>
          </cell>
        </row>
        <row r="553">
          <cell r="B553" t="str">
            <v>IntelliPharmaCeutics International, Inc.</v>
          </cell>
          <cell r="C553" t="str">
            <v xml:space="preserve">Kahn Swick &amp; Foti, LLC </v>
          </cell>
        </row>
        <row r="554">
          <cell r="B554" t="str">
            <v>Hongli Clean Energy Technologies Corporation</v>
          </cell>
          <cell r="C554" t="str">
            <v xml:space="preserve">The Rosen Law Firm, P.A. </v>
          </cell>
        </row>
        <row r="555">
          <cell r="B555" t="str">
            <v>Dr. Reddys Laboratories Limited</v>
          </cell>
          <cell r="C555" t="str">
            <v xml:space="preserve">Labaton Sucharow LLP </v>
          </cell>
        </row>
        <row r="556">
          <cell r="B556" t="str">
            <v>PetMed Express, Inc.</v>
          </cell>
          <cell r="C556" t="str">
            <v xml:space="preserve">Pomerantz LLP </v>
          </cell>
        </row>
        <row r="557">
          <cell r="B557" t="str">
            <v>HCP, Inc.</v>
          </cell>
          <cell r="C557" t="str">
            <v xml:space="preserve">Robbins, Geller, Rudman &amp; Dowd, LLP 
 Motley Rice LLC </v>
          </cell>
        </row>
        <row r="558">
          <cell r="B558" t="str">
            <v>Alliance MMA, Inc.</v>
          </cell>
          <cell r="C558" t="str">
            <v xml:space="preserve">The Rosen Law Firm, P.A. </v>
          </cell>
        </row>
        <row r="559">
          <cell r="B559" t="str">
            <v>Endo International, PLC</v>
          </cell>
          <cell r="C559" t="str">
            <v xml:space="preserve">Kessler Topaz  Meltzer &amp; Check, LLP </v>
          </cell>
        </row>
        <row r="560">
          <cell r="B560" t="str">
            <v>TransDigm Group, Incorporated</v>
          </cell>
          <cell r="C560" t="str">
            <v xml:space="preserve">Saxena White P.A. </v>
          </cell>
        </row>
        <row r="561">
          <cell r="B561" t="str">
            <v>Electronics for Imaging, Inc.</v>
          </cell>
          <cell r="C561" t="str">
            <v xml:space="preserve">Glancy Prongay &amp; Murray, LLP 
 The Rosen Law Firm, P.A. </v>
          </cell>
        </row>
        <row r="562">
          <cell r="B562" t="str">
            <v>Xenith Bankshares, Inc.</v>
          </cell>
          <cell r="C562" t="str">
            <v xml:space="preserve">Monteverde &amp; Associates PC </v>
          </cell>
        </row>
        <row r="563">
          <cell r="B563" t="str">
            <v>Depomed, Inc.</v>
          </cell>
          <cell r="C563" t="str">
            <v xml:space="preserve">Levi &amp; Korsinsky, LLP </v>
          </cell>
        </row>
        <row r="564">
          <cell r="B564" t="str">
            <v>Jaguar Animal Health, Inc.</v>
          </cell>
          <cell r="C564" t="str">
            <v xml:space="preserve">Monteverde &amp; Associates PC </v>
          </cell>
        </row>
        <row r="565">
          <cell r="B565" t="str">
            <v>The Toronto-Dominion Bank</v>
          </cell>
          <cell r="C565" t="str">
            <v xml:space="preserve">Pomerantz LLP </v>
          </cell>
        </row>
        <row r="566">
          <cell r="B566" t="str">
            <v>Tintri, Inc.</v>
          </cell>
          <cell r="C566" t="str">
            <v xml:space="preserve">Glancy Prongay &amp; Murray, LLP </v>
          </cell>
        </row>
        <row r="567">
          <cell r="B567" t="str">
            <v>Blue Apron Holdings, Inc.</v>
          </cell>
          <cell r="C567" t="str">
            <v xml:space="preserve">The Rosen Law Firm, P.A. 
 Pomerantz LLP </v>
          </cell>
        </row>
        <row r="568">
          <cell r="B568" t="str">
            <v>HSN, Inc.</v>
          </cell>
          <cell r="C568" t="str">
            <v xml:space="preserve">Faruqi &amp; Faruqi, LLP </v>
          </cell>
        </row>
        <row r="569">
          <cell r="B569" t="str">
            <v>Tech Data Corporation</v>
          </cell>
          <cell r="C569" t="str">
            <v xml:space="preserve">Robbins, Geller, Rudman &amp; Dowd, LLP </v>
          </cell>
        </row>
        <row r="570">
          <cell r="B570" t="str">
            <v>Neustar, Inc.</v>
          </cell>
          <cell r="C570" t="str">
            <v xml:space="preserve">Robbins, Geller, Rudman &amp; Dowd, LLP 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"/>
    </sheetNames>
    <sheetDataSet>
      <sheetData sheetId="0">
        <row r="2">
          <cell r="B2" t="str">
            <v>A10 Networks, Inc.</v>
          </cell>
          <cell r="C2" t="str">
            <v xml:space="preserve">Kirby McInerney LLP 
 Bragar Eagel &amp; Squire, PC </v>
          </cell>
        </row>
        <row r="3">
          <cell r="B3" t="str">
            <v>Acorda Therapeutics, Inc.</v>
          </cell>
          <cell r="C3" t="str">
            <v xml:space="preserve">Pomerantz LLP </v>
          </cell>
        </row>
        <row r="4">
          <cell r="B4" t="str">
            <v>Acuity Brands Inc.</v>
          </cell>
          <cell r="C4" t="str">
            <v xml:space="preserve">Labaton Sucharow LLP 
 Kessler Topaz  Meltzer &amp; Check, LLP </v>
          </cell>
        </row>
        <row r="5">
          <cell r="B5" t="str">
            <v>Advanced Micro Devices, Inc.</v>
          </cell>
          <cell r="C5" t="str">
            <v xml:space="preserve">The Rosen Law Firm, P.A. </v>
          </cell>
        </row>
        <row r="6">
          <cell r="B6" t="str">
            <v>Aerohive Networks, Inc.</v>
          </cell>
          <cell r="C6" t="str">
            <v xml:space="preserve">Pomerantz LLP </v>
          </cell>
        </row>
        <row r="7">
          <cell r="B7" t="str">
            <v>Akorn, Inc.</v>
          </cell>
          <cell r="C7" t="str">
            <v xml:space="preserve">Entwistle &amp; Cappucci LLP </v>
          </cell>
        </row>
        <row r="8">
          <cell r="B8" t="str">
            <v>Alkermes plc</v>
          </cell>
          <cell r="C8" t="str">
            <v xml:space="preserve">Robbins, Geller, Rudman &amp; Dowd, LLP </v>
          </cell>
        </row>
        <row r="9">
          <cell r="B9" t="str">
            <v>Allegiant Travel Company</v>
          </cell>
          <cell r="C9" t="str">
            <v xml:space="preserve">The Rosen Law Firm, P.A. </v>
          </cell>
        </row>
        <row r="10">
          <cell r="B10" t="str">
            <v>AMC Entertainment Holdings, Inc.</v>
          </cell>
          <cell r="C10" t="str">
            <v xml:space="preserve">Shepherd, Finkelman, Miller &amp; Shah, LLP </v>
          </cell>
        </row>
        <row r="11">
          <cell r="B11" t="str">
            <v>Antares Pharma, Inc.</v>
          </cell>
          <cell r="C11" t="str">
            <v xml:space="preserve">Pomerantz LLP </v>
          </cell>
        </row>
        <row r="12">
          <cell r="B12" t="str">
            <v>Applied Optoelectronics, Inc.</v>
          </cell>
          <cell r="C12" t="str">
            <v xml:space="preserve">Levi &amp; Korsinsky, LLP </v>
          </cell>
        </row>
        <row r="13">
          <cell r="B13" t="str">
            <v>Aqua Metals, Inc.</v>
          </cell>
          <cell r="C13" t="str">
            <v xml:space="preserve">Berman Tabacco 
 Levi &amp; Korsinsky, LLP </v>
          </cell>
        </row>
        <row r="14">
          <cell r="B14" t="str">
            <v>Aradigm Corporation</v>
          </cell>
          <cell r="C14" t="str">
            <v xml:space="preserve">Levi &amp; Korsinsky, LLP </v>
          </cell>
        </row>
        <row r="15">
          <cell r="B15" t="str">
            <v>Arconic, Inc.</v>
          </cell>
          <cell r="C15" t="str">
            <v xml:space="preserve">Robbins, Geller, Rudman &amp; Dowd, LLP 
 Pomerantz LLP </v>
          </cell>
        </row>
        <row r="16">
          <cell r="B16" t="str">
            <v>Array Biopharma, Inc.</v>
          </cell>
          <cell r="C16" t="str">
            <v xml:space="preserve">Levi &amp; Korsinsky, LLP </v>
          </cell>
        </row>
        <row r="17">
          <cell r="B17" t="str">
            <v>AZZ, Inc.</v>
          </cell>
          <cell r="C17" t="str">
            <v xml:space="preserve">Robbins, Geller, Rudman &amp; Dowd, LLP </v>
          </cell>
        </row>
        <row r="18">
          <cell r="B18" t="str">
            <v>Ballard Power Systems, Inc.</v>
          </cell>
          <cell r="C18" t="str">
            <v xml:space="preserve">Pomerantz LLP </v>
          </cell>
        </row>
        <row r="19">
          <cell r="B19" t="str">
            <v>BRF S.A.</v>
          </cell>
          <cell r="C19" t="str">
            <v xml:space="preserve">Robbins, Geller, Rudman &amp; Dowd, LLP </v>
          </cell>
        </row>
        <row r="20">
          <cell r="B20" t="str">
            <v>Bristol-Myers Squibb Company</v>
          </cell>
          <cell r="C20" t="str">
            <v xml:space="preserve">Bernstein Litowitz Berger &amp; Grossmann LLP </v>
          </cell>
        </row>
        <row r="21">
          <cell r="B21" t="str">
            <v>Cancer Genetics, Inc.</v>
          </cell>
          <cell r="C21" t="str">
            <v xml:space="preserve">The Rosen Law Firm, P.A. </v>
          </cell>
        </row>
        <row r="22">
          <cell r="B22" t="str">
            <v>Capitala Finance Corp.</v>
          </cell>
          <cell r="C22" t="str">
            <v xml:space="preserve">The Rosen Law Firm, P.A. </v>
          </cell>
        </row>
        <row r="23">
          <cell r="B23" t="str">
            <v>Catalyst Hedged Futures Fund</v>
          </cell>
          <cell r="C23" t="str">
            <v xml:space="preserve">Labaton Sucharow LLP 
 Robbins, Geller, Rudman &amp; Dowd, LLP </v>
          </cell>
        </row>
        <row r="24">
          <cell r="B24" t="str">
            <v>Celgene Corporation</v>
          </cell>
          <cell r="C24" t="str">
            <v xml:space="preserve">Kessler Topaz  Meltzer &amp; Check, LLP </v>
          </cell>
        </row>
        <row r="25">
          <cell r="B25" t="str">
            <v>Cemex, S.A.B. de C.V.</v>
          </cell>
          <cell r="C25" t="str">
            <v xml:space="preserve">Hach Rose Schirripa &amp; Cheverie LLP 
 Pomerantz LLP </v>
          </cell>
        </row>
        <row r="26">
          <cell r="B26" t="str">
            <v>Cemtrex, Inc.</v>
          </cell>
          <cell r="C26" t="str">
            <v xml:space="preserve">Levi &amp; Korsinsky, LLP </v>
          </cell>
        </row>
        <row r="27">
          <cell r="B27" t="str">
            <v>Cheetah Mobile Inc.</v>
          </cell>
          <cell r="C27" t="str">
            <v xml:space="preserve">The Rosen Law Firm, P.A. </v>
          </cell>
        </row>
        <row r="28">
          <cell r="B28" t="str">
            <v>Chicago Bridge &amp; Iron Company N.V.</v>
          </cell>
          <cell r="C28" t="str">
            <v xml:space="preserve">Rigrodsky &amp; Long, PA </v>
          </cell>
        </row>
        <row r="29">
          <cell r="B29" t="str">
            <v>China Auto Logistics Inc.</v>
          </cell>
          <cell r="C29" t="str">
            <v xml:space="preserve">The Rosen Law Firm, P.A. </v>
          </cell>
        </row>
        <row r="30">
          <cell r="B30" t="str">
            <v>Colony NorthStar, Inc.</v>
          </cell>
          <cell r="C30" t="str">
            <v xml:space="preserve">Robbins, Geller, Rudman &amp; Dowd, LLP </v>
          </cell>
        </row>
        <row r="31">
          <cell r="B31" t="str">
            <v>Columbia Pipeline Group, Inc.</v>
          </cell>
          <cell r="C31" t="str">
            <v xml:space="preserve">Entwistle &amp; Cappucci LLP </v>
          </cell>
        </row>
        <row r="32">
          <cell r="B32" t="str">
            <v>Concordia International Corp.</v>
          </cell>
          <cell r="C32" t="str">
            <v xml:space="preserve">The Rosen Law Firm, P.A. </v>
          </cell>
        </row>
        <row r="33">
          <cell r="B33" t="str">
            <v>Credit Suisse Group AG</v>
          </cell>
          <cell r="C33" t="str">
            <v xml:space="preserve">Cohen Milstein Sellers &amp; Toll PLLC 
 Saxena White P.A. </v>
          </cell>
        </row>
        <row r="34">
          <cell r="B34" t="str">
            <v>Credit Suisse Group VelocityShares Daily Inverse VIX Short Term ETN</v>
          </cell>
          <cell r="C34" t="str">
            <v xml:space="preserve">Cohen Milstein Sellers &amp; Toll PLLC 
 Levi &amp; Korsinsky, LLP </v>
          </cell>
        </row>
        <row r="35">
          <cell r="B35" t="str">
            <v>Desarrolladora Homex S.A.B. de C.V.</v>
          </cell>
          <cell r="C35" t="str">
            <v xml:space="preserve">Levi &amp; Korsinsky, LLP </v>
          </cell>
        </row>
        <row r="36">
          <cell r="B36" t="str">
            <v>Diana Containerships Inc.</v>
          </cell>
          <cell r="C36" t="str">
            <v xml:space="preserve">Scott &amp; Scott,  LLP 
 Pomerantz LLP </v>
          </cell>
        </row>
        <row r="37">
          <cell r="B37" t="str">
            <v>Dick's Sporting Goods, Inc.</v>
          </cell>
          <cell r="C37" t="str">
            <v xml:space="preserve">Pomerantz LLP </v>
          </cell>
        </row>
        <row r="38">
          <cell r="B38" t="str">
            <v>Dryships Inc.</v>
          </cell>
          <cell r="C38" t="str">
            <v xml:space="preserve">Scott &amp; Scott,  LLP </v>
          </cell>
        </row>
        <row r="39">
          <cell r="B39" t="str">
            <v>EarthLink Holdings Corp.</v>
          </cell>
          <cell r="C39" t="str">
            <v xml:space="preserve">Robbins, Geller, Rudman &amp; Dowd, LLP </v>
          </cell>
        </row>
        <row r="40">
          <cell r="B40" t="str">
            <v>Eco Science Solutions, Inc.</v>
          </cell>
          <cell r="C40">
            <v>0</v>
          </cell>
        </row>
        <row r="41">
          <cell r="B41" t="str">
            <v>Ekso Bionics Holdings, Inc.</v>
          </cell>
          <cell r="C41" t="str">
            <v xml:space="preserve">Bragar Eagel &amp; Squire, PC </v>
          </cell>
        </row>
        <row r="42">
          <cell r="B42" t="str">
            <v>Endo International PLC</v>
          </cell>
          <cell r="C42" t="str">
            <v xml:space="preserve">Bleichmar Fonti &amp; Auld LLP </v>
          </cell>
        </row>
        <row r="43">
          <cell r="B43" t="str">
            <v>Equifax Inc.</v>
          </cell>
          <cell r="C43" t="str">
            <v xml:space="preserve">Bernstein Litowitz Berger &amp; Grossmann LLP </v>
          </cell>
        </row>
        <row r="44">
          <cell r="B44" t="str">
            <v>Esperion Therapeutics, Inc.</v>
          </cell>
          <cell r="C44" t="str">
            <v xml:space="preserve">Pomerantz LLP </v>
          </cell>
        </row>
        <row r="45">
          <cell r="B45" t="str">
            <v>Facebook, Inc.</v>
          </cell>
          <cell r="C45" t="str">
            <v xml:space="preserve">Bernstein Litowitz Berger &amp; Grossmann LLP 
 Robbins, Geller, Rudman &amp; Dowd, LLP </v>
          </cell>
        </row>
        <row r="46">
          <cell r="B46" t="str">
            <v>Fairmount Santrol Holdings, Inc.</v>
          </cell>
          <cell r="C46" t="str">
            <v xml:space="preserve">Levi &amp; Korsinsky, LLP 
 Monteverde &amp; Associates PC </v>
          </cell>
        </row>
        <row r="47">
          <cell r="B47" t="str">
            <v>Foot Locker, Inc.</v>
          </cell>
          <cell r="C47" t="str">
            <v xml:space="preserve">Robbins, Geller, Rudman &amp; Dowd, LLP </v>
          </cell>
        </row>
        <row r="48">
          <cell r="B48" t="str">
            <v>Ford Motor Company</v>
          </cell>
          <cell r="C48" t="str">
            <v xml:space="preserve">The Rosen Law Firm, P.A. 
 Pomerantz LLP </v>
          </cell>
        </row>
        <row r="49">
          <cell r="B49" t="str">
            <v>Forterra, Inc.</v>
          </cell>
          <cell r="C49" t="str">
            <v xml:space="preserve">Glancy Prongay &amp; Murray, LLP </v>
          </cell>
        </row>
        <row r="50">
          <cell r="B50" t="str">
            <v>Frontier Communications Corporation</v>
          </cell>
          <cell r="C50" t="str">
            <v xml:space="preserve">Bernstein Litowitz Berger &amp; Grossmann LLP </v>
          </cell>
        </row>
        <row r="51">
          <cell r="B51" t="str">
            <v>General Electric Company</v>
          </cell>
          <cell r="C51" t="str">
            <v xml:space="preserve">Kessler Topaz  Meltzer &amp; Check, LLP </v>
          </cell>
        </row>
        <row r="52">
          <cell r="B52" t="str">
            <v>Genocea Biosciences, Inc.</v>
          </cell>
          <cell r="C52" t="str">
            <v xml:space="preserve">Scott &amp; Scott,  LLP 
 Levi &amp; Korsinsky, LLP </v>
          </cell>
        </row>
        <row r="53">
          <cell r="B53" t="str">
            <v>Gigamon, Inc.</v>
          </cell>
          <cell r="C53" t="str">
            <v xml:space="preserve">Robbins, Geller, Rudman &amp; Dowd, LLP </v>
          </cell>
        </row>
        <row r="54">
          <cell r="B54" t="str">
            <v>GoPro, Inc.</v>
          </cell>
          <cell r="C54" t="str">
            <v xml:space="preserve">The Rosen Law Firm, P.A. 
 Pomerantz LLP </v>
          </cell>
        </row>
        <row r="55">
          <cell r="B55" t="str">
            <v>Grana y Montero S.A.A.</v>
          </cell>
          <cell r="C55" t="str">
            <v xml:space="preserve">Holzer &amp; Holzer, LLC 
 Robbins, Geller, Rudman &amp; Dowd, LLP </v>
          </cell>
        </row>
        <row r="56">
          <cell r="B56" t="str">
            <v>Gridsum Holding Inc.</v>
          </cell>
          <cell r="C56" t="str">
            <v xml:space="preserve">Bragar Eagel &amp; Squire, PC </v>
          </cell>
        </row>
        <row r="57">
          <cell r="B57" t="str">
            <v>Grupo Televisa, S.A.B.</v>
          </cell>
          <cell r="C57" t="str">
            <v xml:space="preserve">Robbins, Geller, Rudman &amp; Dowd, LLP </v>
          </cell>
        </row>
        <row r="58">
          <cell r="B58" t="str">
            <v>Health Insurance Innovations, Inc.</v>
          </cell>
          <cell r="C58" t="str">
            <v xml:space="preserve">Kahn Swick &amp; Foti, LLC </v>
          </cell>
        </row>
        <row r="59">
          <cell r="B59" t="str">
            <v>Henry Schein, Inc.</v>
          </cell>
          <cell r="C59" t="str">
            <v xml:space="preserve">Bernstein Litowitz Berger &amp; Grossmann LLP </v>
          </cell>
        </row>
        <row r="60">
          <cell r="B60" t="str">
            <v>INC Research Holdings, Inc.</v>
          </cell>
          <cell r="C60" t="str">
            <v xml:space="preserve">Robbins, Geller, Rudman &amp; Dowd, LLP </v>
          </cell>
        </row>
        <row r="61">
          <cell r="B61" t="str">
            <v>InnerWorkings, Inc.</v>
          </cell>
          <cell r="C61" t="str">
            <v xml:space="preserve">The Rosen Law Firm, P.A. </v>
          </cell>
        </row>
        <row r="62">
          <cell r="B62" t="str">
            <v>Intel Corporation</v>
          </cell>
          <cell r="C62" t="str">
            <v xml:space="preserve">Bernstein Litowitz Berger &amp; Grossmann LLP </v>
          </cell>
        </row>
        <row r="63">
          <cell r="B63" t="str">
            <v>Intercept Pharmaceuticals, Inc.</v>
          </cell>
          <cell r="C63" t="str">
            <v xml:space="preserve">Faruqi &amp; Faruqi, LLP </v>
          </cell>
        </row>
        <row r="64">
          <cell r="B64" t="str">
            <v>InterOil Corporation</v>
          </cell>
          <cell r="C64" t="str">
            <v xml:space="preserve">Robbins, Geller, Rudman &amp; Dowd, LLP </v>
          </cell>
        </row>
        <row r="65">
          <cell r="B65" t="str">
            <v>IXYS Corporation</v>
          </cell>
          <cell r="C65" t="str">
            <v xml:space="preserve">Monteverde &amp; Associates PC </v>
          </cell>
        </row>
        <row r="66">
          <cell r="B66" t="str">
            <v>Izea, Incorporated</v>
          </cell>
          <cell r="C66" t="str">
            <v xml:space="preserve">Federman &amp; Sherwood 
 The Rosen Law Firm, P.A. </v>
          </cell>
        </row>
        <row r="67">
          <cell r="B67" t="str">
            <v>J. Jill, Inc.</v>
          </cell>
          <cell r="C67" t="str">
            <v xml:space="preserve">Robbins, Geller, Rudman &amp; Dowd, LLP </v>
          </cell>
        </row>
        <row r="68">
          <cell r="B68" t="str">
            <v>Kandi Technologies Group, Inc.</v>
          </cell>
          <cell r="C68" t="str">
            <v xml:space="preserve">Gainey McKenna &amp; Egleston 
 Pomerantz LLP </v>
          </cell>
        </row>
        <row r="69">
          <cell r="B69" t="str">
            <v>Kobe Steel, Ltd.</v>
          </cell>
          <cell r="C69" t="str">
            <v xml:space="preserve">Wolf Popper LLP </v>
          </cell>
        </row>
        <row r="70">
          <cell r="B70" t="str">
            <v>Kraton Corporation</v>
          </cell>
          <cell r="C70" t="str">
            <v xml:space="preserve">The Rosen Law Firm, P.A. </v>
          </cell>
        </row>
        <row r="71">
          <cell r="B71" t="str">
            <v>Kulicke and Soffa Industries, Inc.</v>
          </cell>
          <cell r="C71" t="str">
            <v xml:space="preserve">Glancy Prongay &amp; Murray, LLP 
 The Rosen Law Firm, P.A. </v>
          </cell>
        </row>
        <row r="72">
          <cell r="B72" t="str">
            <v>Liberty Tax, Inc.</v>
          </cell>
          <cell r="C72" t="str">
            <v xml:space="preserve">Cohen Milstein Sellers &amp; Toll PLLC </v>
          </cell>
        </row>
        <row r="73">
          <cell r="B73" t="str">
            <v>Live Nation Entertainment, Inc.</v>
          </cell>
          <cell r="C73" t="str">
            <v xml:space="preserve">Glancy Prongay &amp; Murray, LLP 
 Holzer &amp; Holzer, LLC 
 The Rosen Law Firm, P.A. </v>
          </cell>
        </row>
        <row r="74">
          <cell r="B74" t="str">
            <v>LJM Funds Management, Ltd. (LJM Preservation and Growth Fund Class I)</v>
          </cell>
          <cell r="C74" t="str">
            <v xml:space="preserve">Labaton Sucharow LLP 
 Robbins, Geller, Rudman &amp; Dowd, LLP </v>
          </cell>
        </row>
        <row r="75">
          <cell r="B75" t="str">
            <v>Longfin Corporation</v>
          </cell>
          <cell r="C75" t="str">
            <v xml:space="preserve">Levi &amp; Korsinsky, LLP </v>
          </cell>
        </row>
        <row r="76">
          <cell r="B76" t="str">
            <v>MabVax Therapuetics Holdings</v>
          </cell>
          <cell r="C76" t="str">
            <v xml:space="preserve">Glancy Prongay &amp; Murray, LLP </v>
          </cell>
        </row>
        <row r="77">
          <cell r="B77" t="str">
            <v>Mallinckrodt PLC</v>
          </cell>
          <cell r="C77" t="str">
            <v xml:space="preserve">Barrack  Rodos &amp; Bacine </v>
          </cell>
        </row>
        <row r="78">
          <cell r="B78" t="str">
            <v>MannKind Corporation</v>
          </cell>
          <cell r="C78" t="str">
            <v xml:space="preserve">Kirby McInerney LLP 
 Fishman Haygood L.L.P. </v>
          </cell>
        </row>
        <row r="79">
          <cell r="B79" t="str">
            <v>Mercury Systems, Inc.</v>
          </cell>
          <cell r="C79" t="str">
            <v xml:space="preserve">Levi &amp; Korsinsky, LLP </v>
          </cell>
        </row>
        <row r="80">
          <cell r="B80" t="str">
            <v>Meridian Bioscience, Inc.</v>
          </cell>
          <cell r="C80" t="str">
            <v xml:space="preserve">Levi &amp; Korsinsky, LLP </v>
          </cell>
        </row>
        <row r="81">
          <cell r="B81" t="str">
            <v>MetLife, Inc.</v>
          </cell>
          <cell r="C81" t="str">
            <v xml:space="preserve">Robbins, Geller, Rudman &amp; Dowd, LLP 
 Motley Rice LLC </v>
          </cell>
        </row>
        <row r="82">
          <cell r="B82" t="str">
            <v>Molina Healthcare, Inc.</v>
          </cell>
          <cell r="C82" t="str">
            <v xml:space="preserve">Labaton Sucharow LLP </v>
          </cell>
        </row>
        <row r="83">
          <cell r="B83" t="str">
            <v>Myriad Genetics, Inc.</v>
          </cell>
          <cell r="C83" t="str">
            <v xml:space="preserve">Glancy Prongay &amp; Murray, LLP 
 Pomerantz LLP </v>
          </cell>
        </row>
        <row r="84">
          <cell r="B84" t="str">
            <v>Navient Corporation</v>
          </cell>
          <cell r="C84" t="str">
            <v xml:space="preserve">Levi &amp; Korsinsky, LLP </v>
          </cell>
        </row>
        <row r="85">
          <cell r="B85" t="str">
            <v>Newell Brands, Inc.</v>
          </cell>
          <cell r="C85" t="str">
            <v xml:space="preserve">Barrack  Rodos &amp; Bacine </v>
          </cell>
        </row>
        <row r="86">
          <cell r="B86" t="str">
            <v>Novan, Inc.</v>
          </cell>
          <cell r="C86" t="str">
            <v xml:space="preserve">Robbins, Geller, Rudman &amp; Dowd, LLP 
 Johnson Fistel, LLP </v>
          </cell>
        </row>
        <row r="87">
          <cell r="B87" t="str">
            <v>NQ Mobile, Inc.</v>
          </cell>
          <cell r="C87" t="str">
            <v xml:space="preserve">Cohen Milstein Sellers &amp; Toll PLLC </v>
          </cell>
        </row>
        <row r="88">
          <cell r="B88" t="str">
            <v>Obalon Therapeutics, Inc.</v>
          </cell>
          <cell r="C88" t="str">
            <v xml:space="preserve">Robbins, Geller, Rudman &amp; Dowd, LLP </v>
          </cell>
        </row>
        <row r="89">
          <cell r="B89" t="str">
            <v>Ocera Therapeutics, Inc.</v>
          </cell>
          <cell r="C89" t="str">
            <v xml:space="preserve">Levi &amp; Korsinsky, LLP 
 Monteverde &amp; Associates PC </v>
          </cell>
        </row>
        <row r="90">
          <cell r="B90" t="str">
            <v>Ocular Therapeutix, Inc.</v>
          </cell>
          <cell r="C90" t="str">
            <v xml:space="preserve">Glancy Prongay &amp; Murray, LLP 
 Pomerantz LLP </v>
          </cell>
        </row>
        <row r="91">
          <cell r="B91" t="str">
            <v>Ohr Pharmaceutical, Inc.</v>
          </cell>
          <cell r="C91" t="str">
            <v xml:space="preserve">Faruqi &amp; Faruqi, LLP </v>
          </cell>
        </row>
        <row r="92">
          <cell r="B92" t="str">
            <v>Omega Healthcare Investors, Inc.</v>
          </cell>
          <cell r="C92" t="str">
            <v xml:space="preserve">The Rosen Law Firm, P.A. </v>
          </cell>
        </row>
        <row r="93">
          <cell r="B93" t="str">
            <v>Ophthotech Corporation</v>
          </cell>
          <cell r="C93" t="str">
            <v xml:space="preserve">Robbins, Geller, Rudman &amp; Dowd, LLP </v>
          </cell>
        </row>
        <row r="94">
          <cell r="B94" t="str">
            <v>OSI Systems, Inc.</v>
          </cell>
          <cell r="C94" t="str">
            <v xml:space="preserve">Kessler Topaz  Meltzer &amp; Check, LLP </v>
          </cell>
        </row>
        <row r="95">
          <cell r="B95" t="str">
            <v>OvaScience, Inc.</v>
          </cell>
          <cell r="C95" t="str">
            <v xml:space="preserve">Scott &amp; Scott,  LLP </v>
          </cell>
        </row>
        <row r="96">
          <cell r="B96" t="str">
            <v>Overstock.com</v>
          </cell>
          <cell r="C96" t="str">
            <v xml:space="preserve">Pomerantz LLP </v>
          </cell>
        </row>
        <row r="97">
          <cell r="B97" t="str">
            <v>Patriot National, Inc.</v>
          </cell>
          <cell r="C97" t="str">
            <v xml:space="preserve">Berger &amp; Montague, P.C. 
 Glancy Prongay &amp; Murray, LLP </v>
          </cell>
        </row>
        <row r="98">
          <cell r="B98" t="str">
            <v>Patterson Companies, Inc.</v>
          </cell>
          <cell r="C98" t="str">
            <v xml:space="preserve">Robbins, Geller, Rudman &amp; Dowd, LLP 
 Saxena White P.A. </v>
          </cell>
        </row>
        <row r="99">
          <cell r="B99" t="str">
            <v>PG&amp;E Corporation</v>
          </cell>
          <cell r="C99" t="str">
            <v xml:space="preserve">Labaton Sucharow LLP </v>
          </cell>
        </row>
        <row r="100">
          <cell r="B100" t="str">
            <v>Pingtan Marine Enterprise Ltd.</v>
          </cell>
          <cell r="C100" t="str">
            <v xml:space="preserve">Glancy Prongay &amp; Murray, LLP </v>
          </cell>
        </row>
        <row r="101">
          <cell r="B101" t="str">
            <v>PixarBio Corporation fka BMP Holdings, Inc.</v>
          </cell>
          <cell r="C101" t="str">
            <v xml:space="preserve">The Rosen Law Firm, P.A. </v>
          </cell>
        </row>
        <row r="102">
          <cell r="B102" t="str">
            <v>PPG Industries, Inc.</v>
          </cell>
          <cell r="C102" t="str">
            <v xml:space="preserve">Glancy Prongay &amp; Murray, LLP </v>
          </cell>
        </row>
        <row r="103">
          <cell r="B103" t="str">
            <v>Quantum Corporation</v>
          </cell>
          <cell r="C103" t="str">
            <v xml:space="preserve">Kirby McInerney LLP </v>
          </cell>
        </row>
        <row r="104">
          <cell r="B104" t="str">
            <v>Qudian Inc.</v>
          </cell>
          <cell r="C104" t="str">
            <v xml:space="preserve">Glancy Prongay &amp; Murray, LLP 
 Jack I. Zwick, Esq. </v>
          </cell>
        </row>
        <row r="105">
          <cell r="B105" t="str">
            <v>QuinStreet, Inc.</v>
          </cell>
          <cell r="C105" t="str">
            <v xml:space="preserve">The Rosen Law Firm, P.A. </v>
          </cell>
        </row>
        <row r="106">
          <cell r="B106" t="str">
            <v>REV Group, Inc.</v>
          </cell>
          <cell r="C106" t="str">
            <v xml:space="preserve">Bernstein Liebhard LLP </v>
          </cell>
        </row>
        <row r="107">
          <cell r="B107" t="str">
            <v>Rio Tinto PLC</v>
          </cell>
          <cell r="C107" t="str">
            <v xml:space="preserve">Hagens Berman Sobol Shapiro LLP </v>
          </cell>
        </row>
        <row r="108">
          <cell r="B108" t="str">
            <v>Ruby Tuesday, Inc.</v>
          </cell>
          <cell r="C108" t="str">
            <v xml:space="preserve">Robbins, Geller, Rudman &amp; Dowd, LLP </v>
          </cell>
        </row>
        <row r="109">
          <cell r="B109" t="str">
            <v>RYB Education, Inc.</v>
          </cell>
          <cell r="C109" t="str">
            <v xml:space="preserve">Pomerantz LLP </v>
          </cell>
        </row>
        <row r="110">
          <cell r="B110" t="str">
            <v>SCANA Corporation</v>
          </cell>
          <cell r="C110" t="str">
            <v xml:space="preserve">Bernstein Litowitz Berger &amp; Grossmann LLP 
 Labaton Sucharow LLP </v>
          </cell>
        </row>
        <row r="111">
          <cell r="B111" t="str">
            <v>Sequans Communications S.A.</v>
          </cell>
          <cell r="C111" t="str">
            <v xml:space="preserve">The Rosen Law Firm, P.A. 
 Pomerantz LLP </v>
          </cell>
        </row>
        <row r="112">
          <cell r="B112" t="str">
            <v>Shanda Games Limited</v>
          </cell>
          <cell r="C112" t="str">
            <v xml:space="preserve">Labaton Sucharow LLP </v>
          </cell>
        </row>
        <row r="113">
          <cell r="B113" t="str">
            <v>Skechers U.S.A., Inc.</v>
          </cell>
          <cell r="C113" t="str">
            <v xml:space="preserve">Labaton Sucharow LLP </v>
          </cell>
        </row>
        <row r="114">
          <cell r="B114" t="str">
            <v>Super Micro Computer, Inc.</v>
          </cell>
          <cell r="C114" t="str">
            <v xml:space="preserve">Robbins, Geller, Rudman &amp; Dowd, LLP </v>
          </cell>
        </row>
        <row r="115">
          <cell r="B115" t="str">
            <v>Switch, Inc.</v>
          </cell>
          <cell r="C115" t="str">
            <v xml:space="preserve">Glancy Prongay &amp; Murray, LLP </v>
          </cell>
        </row>
        <row r="116">
          <cell r="B116" t="str">
            <v>Symantec Corporation</v>
          </cell>
          <cell r="C116" t="str">
            <v xml:space="preserve">Bernstein Litowitz Berger &amp; Grossmann LLP </v>
          </cell>
        </row>
        <row r="117">
          <cell r="B117" t="str">
            <v>Synacor, Inc.</v>
          </cell>
          <cell r="C117" t="str">
            <v xml:space="preserve">Bragar Eagel &amp; Squire, PC </v>
          </cell>
        </row>
        <row r="118">
          <cell r="B118" t="str">
            <v>Synergy Pharmaceuticals, Inc.</v>
          </cell>
          <cell r="C118" t="str">
            <v xml:space="preserve">Faruqi &amp; Faruqi, LLP 
 WeissLaw, LLP </v>
          </cell>
        </row>
        <row r="119">
          <cell r="B119" t="str">
            <v>Tahoe Resources Inc.</v>
          </cell>
          <cell r="C119" t="str">
            <v xml:space="preserve">Faruqi &amp; Faruqi, LLP </v>
          </cell>
        </row>
        <row r="120">
          <cell r="B120" t="str">
            <v>TAL Education Group</v>
          </cell>
          <cell r="C120" t="str">
            <v xml:space="preserve">Glancy Prongay &amp; Murray, LLP </v>
          </cell>
        </row>
        <row r="121">
          <cell r="B121" t="str">
            <v>Telefonaktiebolaget LM Ericsson</v>
          </cell>
          <cell r="C121" t="str">
            <v xml:space="preserve">Robbins, Geller, Rudman &amp; Dowd, LLP </v>
          </cell>
        </row>
        <row r="122">
          <cell r="B122" t="str">
            <v>Tesaro, Inc.</v>
          </cell>
          <cell r="C122" t="str">
            <v xml:space="preserve">Kessler Topaz  Meltzer &amp; Check, LLP </v>
          </cell>
        </row>
        <row r="123">
          <cell r="B123" t="str">
            <v>Tesco Corporation</v>
          </cell>
          <cell r="C123" t="str">
            <v xml:space="preserve">Monteverde &amp; Associates PC </v>
          </cell>
        </row>
        <row r="124">
          <cell r="B124" t="str">
            <v>Tesla, Inc.</v>
          </cell>
          <cell r="C124" t="str">
            <v xml:space="preserve">The Rosen Law Firm, P.A. </v>
          </cell>
        </row>
        <row r="125">
          <cell r="B125" t="str">
            <v>Tivity Health, Inc.</v>
          </cell>
          <cell r="C125" t="str">
            <v xml:space="preserve">Cohen Milstein Sellers &amp; Toll PLLC </v>
          </cell>
        </row>
        <row r="126">
          <cell r="B126" t="str">
            <v>Top Ships Inc.</v>
          </cell>
          <cell r="C126" t="str">
            <v xml:space="preserve">Pomerantz LLP </v>
          </cell>
        </row>
        <row r="127">
          <cell r="B127" t="str">
            <v>Towers Watson &amp; Co.</v>
          </cell>
          <cell r="C127" t="str">
            <v xml:space="preserve">Bernstein Litowitz Berger &amp; Grossmann LLP </v>
          </cell>
        </row>
        <row r="128">
          <cell r="B128" t="str">
            <v>Triangle Capital Corporation</v>
          </cell>
          <cell r="C128" t="str">
            <v xml:space="preserve">Wolf Haldenstein Adler Freeman &amp; Herz LLP </v>
          </cell>
        </row>
        <row r="129">
          <cell r="B129" t="str">
            <v>Trivago N.V.</v>
          </cell>
          <cell r="C129" t="str">
            <v xml:space="preserve">Glancy Prongay &amp; Murray, LLP </v>
          </cell>
        </row>
        <row r="130">
          <cell r="B130" t="str">
            <v>TrueCar, Inc.</v>
          </cell>
          <cell r="C130" t="str">
            <v xml:space="preserve">Saxena White P.A. </v>
          </cell>
        </row>
        <row r="131">
          <cell r="B131" t="str">
            <v>Ulta Beauty, Inc.</v>
          </cell>
          <cell r="C131" t="str">
            <v xml:space="preserve">Levi &amp; Korsinsky, LLP </v>
          </cell>
        </row>
        <row r="132">
          <cell r="B132" t="str">
            <v>Vectren Corporation</v>
          </cell>
          <cell r="C132" t="str">
            <v xml:space="preserve">Ademi &amp; O'Reilly, LLP 
 WeissLaw, LLP 
 Monteverde &amp; Associates PC </v>
          </cell>
        </row>
        <row r="133">
          <cell r="B133" t="str">
            <v>Vitamin Shoppe, Inc.</v>
          </cell>
          <cell r="C133" t="str">
            <v xml:space="preserve">Glancy Prongay &amp; Murray, LLP 
 Scott &amp; Scott,  LLP </v>
          </cell>
        </row>
        <row r="134">
          <cell r="B134" t="str">
            <v>WageWorks, Inc.</v>
          </cell>
          <cell r="C134" t="str">
            <v xml:space="preserve">Barrack  Rodos &amp; Bacine </v>
          </cell>
        </row>
        <row r="135">
          <cell r="B135" t="str">
            <v>Wells Fargo &amp; Company</v>
          </cell>
          <cell r="C135" t="str">
            <v xml:space="preserve">Robbins, Geller, Rudman &amp; Dowd, LLP </v>
          </cell>
        </row>
        <row r="136">
          <cell r="B136" t="str">
            <v>Xunlei Limited</v>
          </cell>
          <cell r="C136" t="str">
            <v xml:space="preserve">Pomerantz LLP </v>
          </cell>
        </row>
        <row r="137">
          <cell r="B137" t="str">
            <v>Yelp, Inc.</v>
          </cell>
          <cell r="C137" t="str">
            <v xml:space="preserve">Glancy Prongay &amp; Murray, LLP 
 Holzer &amp; Holzer, LLC </v>
          </cell>
        </row>
        <row r="138">
          <cell r="B138" t="str">
            <v>Zebra Technologies Corporation</v>
          </cell>
          <cell r="C138" t="str">
            <v xml:space="preserve">Robbins, Geller, Rudman &amp; Dowd, LLP </v>
          </cell>
        </row>
        <row r="139">
          <cell r="B139" t="str">
            <v>Zillow Group, Inc.</v>
          </cell>
          <cell r="C139" t="str">
            <v xml:space="preserve">The Rosen Law Firm, P.A. 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Elrod" refreshedDate="43180.879366550929" createdVersion="6" refreshedVersion="6" minRefreshableVersion="3" recordCount="2112" xr:uid="{00000000-000A-0000-FFFF-FFFF00000000}">
  <cacheSource type="worksheet">
    <worksheetSource ref="A54:R55" sheet="KM Data Edits"/>
  </cacheSource>
  <cacheFields count="18">
    <cacheField name="Company Name" numFmtId="0">
      <sharedItems count="446">
        <s v="Ability, Inc."/>
        <s v="Adeptus Health, Inc."/>
        <s v="AECOM"/>
        <s v="Aerojet Rocketdyne Holdings, Inc."/>
        <s v="Agile Therapeutics Inc."/>
        <s v="Agria Corporation"/>
        <s v="Aixtron SE"/>
        <s v="Alcobra, Ltd."/>
        <s v="Alere Inc."/>
        <s v="Alexion Pharmaceuticals, Inc."/>
        <s v="Allergan, PLC"/>
        <s v="Alliance MMA, Inc."/>
        <s v="Amaya, Inc."/>
        <s v="Ambac Financial Group, Inc."/>
        <s v="American DG Energy, Inc."/>
        <s v="American Realty Capital  Retail Center of America, Inc."/>
        <s v="American Renal Associates Holdings, Inc."/>
        <s v="AmTrust Financial Services, Inc."/>
        <s v="Amyris, Inc."/>
        <s v="Anavex Life Sciences Corp."/>
        <s v="Anthera Pharmaceuticals, Inc."/>
        <s v="Apollo Education Group Incorporated"/>
        <s v="Aratana Therapeutics, Inc."/>
        <s v="Argos Therapeutics Inc."/>
        <s v="Arrowhead Pharmaceuticals, Inc."/>
        <s v="Avid Technology, Inc."/>
        <s v="Babcock &amp; Wilcox Enterprises, Inc."/>
        <s v="Banc of California, Inc."/>
        <s v="Banco Bradesco S.A."/>
        <s v="BHP Billiton Limited / BHP Billiton Plc"/>
        <s v="BioAmber Inc."/>
        <s v="Biogen, Inc."/>
        <s v="Blount International Inc."/>
        <s v="BofI Holding, Inc."/>
        <s v="Brixmor Property Group, Inc."/>
        <s v="Brocade Communications Systems, Inc."/>
        <s v="BT Group PLC"/>
        <s v="Capstone Turbine Corp."/>
        <s v="Cardinal Financial Corporation"/>
        <s v="Cardiovascular Systems, Inc."/>
        <s v="Carmike Cinemas, Inc."/>
        <s v="Catalyst Hedged Futures Fund"/>
        <s v="Caterpillar, Inc."/>
        <s v="CBL &amp; Associates Properties, Inc."/>
        <s v="Celadon Group, Inc."/>
        <s v="Cempra, Inc."/>
        <s v="Cemtrex, Inc."/>
        <s v="Centene Corporation"/>
        <s v="Charles Schwab &amp; Co., Inc."/>
        <s v="Checkpoint Systems Inc."/>
        <s v="Chesapeake Energy Corporation"/>
        <s v="Chiasma, Inc."/>
        <s v="Chicago Bridge &amp; Iron Company N.V."/>
        <s v="China Mobile Games &amp; Entertainment Group, Ltd."/>
        <s v="Chipotle Mexican Grill, Inc."/>
        <s v="Cigna Corporation"/>
        <s v="Citizens Financial Group, Inc."/>
        <s v="Citizens, Inc."/>
        <s v="Clovis Oncology, Inc."/>
        <s v="Cnova N.V."/>
        <s v="Code Rebel Corporation"/>
        <s v="Cognizant Technology Solutions Corporation"/>
        <s v="comScore, Inc."/>
        <s v="Concordia International Corp."/>
        <s v="Corrections Corporation of America"/>
        <s v="CPI Card Group Inc."/>
        <s v="Cresud Sociedad Anonima Comercial, Inmobiliaria, Financiera y Agropecuaria"/>
        <s v="CST Brands, Inc."/>
        <s v="CTI BioPharma Corp."/>
        <s v="CytRx Corporation"/>
        <s v="Daimler AG"/>
        <s v="Dakota Plains Holdings, Inc."/>
        <s v="DaVita Inc."/>
        <s v="Desarrolladora Homex S.A.B. de C.V."/>
        <s v="Deutsche Bank AG"/>
        <s v="DeVry Education Group, Inc."/>
        <s v="Diplomat Pharmacy, Inc."/>
        <s v="Dole Food Company, Inc."/>
        <s v="Dollar General Corporation"/>
        <s v="DS Healthcare Group Inc."/>
        <s v="Dynavax Technologies Corporation"/>
        <s v="E Trade Financial Corporation"/>
        <s v="Eagle Pharmaceuticals, Inc."/>
        <s v="Eaton Corporation PLC"/>
        <s v="Egalet Corporation"/>
        <s v="Embraer S.A."/>
        <s v="EMC Corporation"/>
        <s v="Emergent Biosolutions, Inc."/>
        <s v="Endo International plc"/>
        <s v="Endologix, Inc."/>
        <s v="Energy Transfer Partners, L.P."/>
        <s v="ERBA Diagnostics, Inc."/>
        <s v="Eros International PLC"/>
        <s v="Esperion Therapeutics, Inc."/>
        <s v="Express Scripts Holding Company"/>
        <s v="Exxon Mobil Corporation"/>
        <s v="Facebook, Inc."/>
        <s v="FEI Company"/>
        <s v="Fenix Parts, Inc."/>
        <s v="Ferrellgas Partners, L.P."/>
        <s v="Fiat Chrysler Automobiles N.V."/>
        <s v="Fifth Street Asset Management"/>
        <s v="First NBC Bank Holding Company"/>
        <s v="Fitbit, Inc."/>
        <s v="Flotek Industries Inc."/>
        <s v="Flowers Foods, Inc."/>
        <s v="FLY Leasing Limited"/>
        <s v="Freeport-McMoran Incorporated"/>
        <s v="Freshpet, Inc."/>
        <s v="FTD Companies, Inc."/>
        <s v="Fusion Pharm, Inc."/>
        <s v="FXCM, Inc."/>
        <s v="G. Willi-Food International Ltd."/>
        <s v="Galena Biopharma, Inc."/>
        <s v="GAW Miners, LLC / ZenMiner LLC"/>
        <s v="General Cable Corporation"/>
        <s v="Genworth Financial, Inc."/>
        <s v="Gerdau S.A."/>
        <s v="Gigamon Inc."/>
        <s v="Global Digital Solutions, Inc."/>
        <s v="Goldcorp, Inc."/>
        <s v="GoPro, Inc."/>
        <s v="Grana y Montero S.A.A."/>
        <s v="GW Pharmaceuticals PLC"/>
        <s v="Halyard Health, Inc."/>
        <s v="Harman International Industries, Incorporated"/>
        <s v="HCP, Inc."/>
        <s v="HeartWare International, Inc."/>
        <s v="HMS Holdings Corp."/>
        <s v="Horizon Pharma PLC"/>
        <s v="Horsehead Holding Corporation"/>
        <s v="Hortonworks, Inc."/>
        <s v="Hutchinson Technology Inc."/>
        <s v="Identiv, Inc."/>
        <s v="Illumina Inc."/>
        <s v="ImmunoCellular Therapeutics Ltd."/>
        <s v="Immunomedics, Inc."/>
        <s v="Impax Laboratories, Inc."/>
        <s v="Imprivata, Inc."/>
        <s v="InfuSystem Holdings, Inc."/>
        <s v="Innocoll Holdings Public Limited Company"/>
        <s v="Inotek Pharmaceuticals Corporation"/>
        <s v="Inovalon Holdings, Inc."/>
        <s v="Insmed Incorporated"/>
        <s v="Insys Therapeutics Incorporated"/>
        <s v="Insys Therapeutics, Inc."/>
        <s v="Interactive Intelligence Group, Inc."/>
        <s v="Intrexon Corporation"/>
        <s v="Inventure Foods Incorporated"/>
        <s v="Invuity, Inc."/>
        <s v="IRSA Inversiones y Representaciones S.A."/>
        <s v="ITC Holdings Corporation"/>
        <s v="Jarden Corporation"/>
        <s v="Johnson Controls Inc."/>
        <s v="Joy Global, Inc."/>
        <s v="Juno Therapeutics, Inc."/>
        <s v="K12 Inc."/>
        <s v="KaloBios Pharmaceuticals, Inc."/>
        <s v="Keryx Biopharmaceuticals, Inc."/>
        <s v="Keurig Green Mountain, Inc."/>
        <s v="Kitov Pharmaceuticals Holdings Ltd."/>
        <s v="KLX, Inc."/>
        <s v="La Quinta Holdings Inc."/>
        <s v="Lannett Company, Inc."/>
        <s v="LeapFrog Enterprises, Inc."/>
        <s v="LendingClub Corporation"/>
        <s v="LifeVantage Corporation"/>
        <s v="Ligand Pharmaceuticals Incorporated"/>
        <s v="Linkwell Corporation"/>
        <s v="Lion Biotechnologies, Inc."/>
        <s v="Lionbridge Technologies, Inc."/>
        <s v="Lipocine Incorporated"/>
        <s v="LPL Financial Holdings Inc."/>
        <s v="magicJack Vocaltec Ltd."/>
        <s v="Mallinckrodt PLC"/>
        <s v="MannKind Corporation"/>
        <s v="Marchex, Inc."/>
        <s v="Match Group, Inc."/>
        <s v="Mentor Graphics Corporation"/>
        <s v="MGT Capital Investments, Inc."/>
        <s v="Miller Energy Resources, Inc."/>
        <s v="Misonix, Inc."/>
        <s v="MoneyGram International Inc."/>
        <s v="Multi-Fineline Electronix, Inc."/>
        <s v="Mylan, N.V."/>
        <s v="NantHealth, Inc."/>
        <s v="NantKwest, Inc."/>
        <s v="National Beverage Corporation"/>
        <s v="Natural Health Trends Corporation"/>
        <s v="Natus Medical Incorporated"/>
        <s v="Navient Corporation"/>
        <s v="Neovasc Inc."/>
        <s v="Netflix, Inc."/>
        <s v="New Oriental Education"/>
        <s v="New Source Energy Partners L.P."/>
        <s v="NewLink Genetics Corporation"/>
        <s v="Nimble Storage, Inc."/>
        <s v="Nobilis Health Corporation"/>
        <s v="Northern Dynasty Minerals Ltd."/>
        <s v="Northern Oil and Gas, Inc."/>
        <s v="Northern Tier Energy LP"/>
        <s v="Novo Nordisk A/S"/>
        <s v="Ocwen Financial Corporation"/>
        <s v="Omega Protein Corporation"/>
        <s v="OneMain Holdings, Inc."/>
        <s v="Ophthotech Corporation"/>
        <s v="Opus Bank"/>
        <s v="Orbital ATK, Inc."/>
        <s v="Osiris Therapeutics, Inc."/>
        <s v="Outerwall, Inc."/>
        <s v="OvaScience, Inc."/>
        <s v="Party City Holdco, Inc."/>
        <s v="Patriot National, Inc."/>
        <s v="Pattern Energy Group, Inc."/>
        <s v="PayPal Holdings, Inc."/>
        <s v="Pearson plc"/>
        <s v="Performance Sports Group Ltd."/>
        <s v="Perrigo Company plc"/>
        <s v="Pilgrim's Pride Corporation"/>
        <s v="PixarBio Corporation fka BMP Holdings, Inc."/>
        <s v="PJT Partners Inc."/>
        <s v="Platform Specialty Products Corporation"/>
        <s v="Platinum Pari-Mutuel Holdings, Inc."/>
        <s v="Polaris Industries, Inc."/>
        <s v="Power Solutions International, Inc."/>
        <s v="Precision Castparts Corporation"/>
        <s v="Primero Mining Corporation"/>
        <s v="ProNAi Therapeutics Inc."/>
        <s v="Psychemedics Corporation"/>
        <s v="PTC Inc."/>
        <s v="PTC Therapeutics, Inc."/>
        <s v="Qualcomm Incorporated"/>
        <s v="Quorum Health Corporation"/>
        <s v="Regulus Therapeutics Inc."/>
        <s v="Rent-A-Center, Inc."/>
        <s v="Rentech, Inc."/>
        <s v="ReWalk Robotics, Ltd."/>
        <s v="RH, Inc."/>
        <s v="Rio Tinto PLC"/>
        <s v="RiT Technologies Ltd."/>
        <s v="Rite Aid Corporation"/>
        <s v="Roadrunner Transportation Systems, Inc."/>
        <s v="Rockwell Medical, Inc."/>
        <s v="Ruby Tuesday, Inc."/>
        <s v="Ruckus Wireless, Inc."/>
        <s v="Samarco Mineracao S.A."/>
        <s v="Sanderson Farms, Inc."/>
        <s v="Santander Consumer USA Holdings Inc."/>
        <s v="Scynexis, Inc."/>
        <s v="Seattle Genetics, Inc."/>
        <s v="Sempra Energy"/>
        <s v="Sequenom, Inc."/>
        <s v="Seres Therapeutics, Inc."/>
        <s v="Signet Jewelers Limited"/>
        <s v="Sito Mobile Ltd."/>
        <s v="Sizmek, Inc."/>
        <s v="Skullcandy, Inc."/>
        <s v="SolarCity Corporation"/>
        <s v="SolarWinds, Inc."/>
        <s v="Spectrum Pharmaceuticals, Inc."/>
        <s v="Starz"/>
        <s v="State Street Corporation"/>
        <s v="Stemline Therapeutics, Inc."/>
        <s v="Stericycle, Inc."/>
        <s v="StoneMor Partners, L.P."/>
        <s v="Straight Path Communications, Inc."/>
        <s v="SunEdison Inc."/>
        <s v="SunPower Corporation"/>
        <s v="Sunrun, Inc."/>
        <s v="SuperCom Inc."/>
        <s v="Supreme Industries, Inc."/>
        <s v="Synchronoss Technologies, Inc."/>
        <s v="Tailored Brands, Inc."/>
        <s v="Talmer Bancorp, Inc."/>
        <s v="Tangoe, Inc."/>
        <s v="Target Corporation"/>
        <s v="Taro Pharmaceutical Industries, Ltd."/>
        <s v="TCP International Holdings Ltd."/>
        <s v="Teekay Corporation"/>
        <s v="Tempur Sealy International, Inc."/>
        <s v="Tenet Healthcare Corporation"/>
        <s v="TerraForm Power, Inc."/>
        <s v="TerraVia Holdings, Inc."/>
        <s v="Tetraphase Pharmaceuticals Inc."/>
        <s v="Teva Pharmaceutical Industries Limited"/>
        <s v="TG Therapeutics, Inc."/>
        <s v="The Allstate Corporation"/>
        <s v="The Fresh Market, Inc."/>
        <s v="The GEO Group, Inc."/>
        <s v="The Hain Celestial Group, Inc."/>
        <s v="The Southern Company"/>
        <s v="The Toronto-Dominion Bank"/>
        <s v="The Western Union Company"/>
        <s v="TherapeuticsMD, Inc."/>
        <s v="Third Avenue Management (TFCIX and TFCVX)"/>
        <s v="Tokai Pharmaceuticals, Inc."/>
        <s v="Tower Semiconductor Ltd."/>
        <s v="TransEnterix, Inc."/>
        <s v="TreeHouse Foods, Inc."/>
        <s v="Twitter, Inc."/>
        <s v="Tyson Foods, Inc."/>
        <s v="U.S. Concrete, Inc."/>
        <s v="U.S. Physical Therapy, Inc."/>
        <s v="Under Armour, Inc."/>
        <s v="Unilife Corporation"/>
        <s v="United Development Funding IV"/>
        <s v="Universal Health Services Inc."/>
        <s v="USANA Health Sciences"/>
        <s v="Vale S.A."/>
        <s v="VimpelCom, Ltd."/>
        <s v="Vista Outdoor Inc."/>
        <s v="Vital Therapies, Inc."/>
        <s v="Vivint Solar, Inc."/>
        <s v="Volkswagen AG (specific bonds)"/>
        <s v="Walter Investment Management Corp."/>
        <s v="Warren Resources, Inc."/>
        <s v="Wells Fargo &amp; Company"/>
        <s v="Williams Partners L.P."/>
        <s v="Wins Finance Holdings, Inc."/>
        <s v="XBiotech Inc."/>
        <s v="Xerox Corporation"/>
        <s v="Yahoo! Inc."/>
        <s v="Yirendai Ltd."/>
        <s v="Zimmer Biomet Holdings, Inc."/>
        <s v="Dr. Reddys Laboratories Limited"/>
        <s v="PetMed Express, Inc."/>
        <s v="Rice Energy, Inc."/>
        <s v="Parkway Inc."/>
        <s v="First Potomac Realty Trust"/>
        <s v="Zillow Group, Inc."/>
        <s v="Top Ships Inc."/>
        <s v="Depomed, Inc."/>
        <s v="Endo International, PLC"/>
        <s v="ZTO Express (Cayman) Inc."/>
        <s v="Blue Apron Holdings, Inc."/>
        <s v="Rayonier Advanced Materials Inc."/>
        <s v="Forterra, Inc."/>
        <s v="Acacia Communications, Inc."/>
        <s v="Sequans Communications S.A."/>
        <s v="GlobalSCAPE, Inc."/>
        <s v="TransDigm Group, Incorporated"/>
        <s v="Electronics for Imaging, Inc."/>
        <s v="Maximus, Inc."/>
        <s v="Applied Optoelectronics, Inc."/>
        <s v="Jaguar Animal Health, Inc."/>
        <s v="Envision Healthcare Corporation"/>
        <s v="Monogram Residential Trust, Inc."/>
        <s v="TechnipFMC plc"/>
        <s v="The Advisory Board Company"/>
        <s v="INC Research Holdings, Inc."/>
        <s v="IntelliPharmaCeutics International, Inc."/>
        <s v="Foundation Medicine, Inc."/>
        <s v="Tableau Software, Inc."/>
        <s v="Zebra Technologies Corporation"/>
        <s v="Tribune Media Company"/>
        <s v="Lexmark International, Inc."/>
        <s v="The Spectranetics Corporation"/>
        <s v="NCI Inc."/>
        <s v="DuPont Fabros Technology, Inc."/>
        <s v="West Corporation"/>
        <s v="FelCor Lodging Trust Incorporated"/>
        <s v="Dryships Inc."/>
        <s v="HD Supply Holdings, Inc."/>
        <s v="Covisint Corporation"/>
        <s v="Avinger, Inc."/>
        <s v="Ocular Therapeutix, Inc."/>
        <s v="Tahoe Resources Inc."/>
        <s v="Weibo Corporation"/>
        <s v="Mattel, Inc."/>
        <s v="B Communications Ltd."/>
        <s v="Pingtan Marine Enterprise Ltd."/>
        <s v="C. R. Bard, Inc."/>
        <s v="Axiom Holdings, Inc."/>
        <s v="CenturyLink, Inc."/>
        <s v="Booz Allen Hamilton Holding Corporation"/>
        <s v="Aaron's Inc."/>
        <s v="Sky Solar Holdings, Ltd."/>
        <s v="FleetCor Technologies, Inc."/>
        <s v="Mazor Robotics Ltd."/>
        <s v="Roche Holding AG"/>
        <s v="Zoompass Holdings, Inc."/>
        <s v="Asanko Gold Inc."/>
        <s v="Swift Transportation Company"/>
        <s v="General Motors Company"/>
        <s v="DigitalGlobe, Inc."/>
        <s v="Eco Science Solutions, Inc."/>
        <s v="JBS S.A."/>
        <s v="KCG Holdings, Inc."/>
        <s v="Snap, Inc."/>
        <s v="Dick's Sporting Goods, Inc."/>
        <s v="Neurotrope, Inc."/>
        <s v="Akari Therapeutics, Plc"/>
        <s v="United Technologies Corporation"/>
        <s v="Intra-Cellular Therapies, Inc"/>
        <s v="Rackspace Hosting, Inc."/>
        <s v="Barrick Gold Corporation"/>
        <s v="UCP, Inc."/>
        <s v="Silver Bay Realty Trust Corp."/>
        <s v="Hongli Clean Energy Technologies Corporation"/>
        <s v="Live Ventures Incorporated"/>
        <s v="Vince Holding Corp."/>
        <s v="KBR, Inc."/>
        <s v="Anadarko Petroleum Corporation"/>
        <s v="Sunrun Inc."/>
        <s v="PCM, Inc."/>
        <s v="United States Steel Corporation"/>
        <s v="Astoria Financial Corporation"/>
        <s v="RetailMeNot, Inc."/>
        <s v="GenVec, Inc."/>
        <s v="LMI Aerospace, Inc."/>
        <s v="FBR &amp; Co."/>
        <s v="Lumos Networks Corp."/>
        <s v="Zeltiq Aesthetics, Inc."/>
        <s v="ONEOK Partners, L.P."/>
        <s v="Seventy Seven Energy Inc."/>
        <s v="Kandi Technologies Group, Inc."/>
        <s v="Heritage Oaks Bancorp"/>
        <s v="Trivago N.V."/>
        <s v="Ford Motor Company"/>
        <s v="Skechers U.S.A., Inc."/>
        <s v="Diana Containerships Inc."/>
        <s v="Antares Pharma, Inc."/>
        <s v="TerraForm Global, Inc."/>
        <s v="J. Jill, Inc."/>
        <s v="Westar Energy, Inc."/>
        <s v="Tesla, Inc."/>
        <s v="Neustar, Inc."/>
        <s v="Santander Securities, L.L.C. (solicitation of Puerto Rico Municipal Bonds and Close End Funds)"/>
        <s v="Bear State Financial, Inc."/>
        <s v="Arconic, Inc."/>
        <s v="PharMerica Corporation"/>
        <s v="Xenith Bankshares, Inc."/>
        <s v="Frontier Communications Corporation"/>
        <s v="Intercept Pharmaceuticals, Inc."/>
        <s v="SCANA Corporation"/>
        <s v="Tesco Corporation"/>
        <s v="HSN, Inc."/>
        <s v="Landauer, Inc."/>
        <s v="Tech Data Corporation"/>
        <s v="Tintri, Inc."/>
        <s v="Park Sterling Corporation"/>
        <s v="Sevcon, Inc."/>
        <s v="Equifax Inc."/>
        <s v="Health Insurance Innovations, Inc."/>
        <s v="Volkswagen Aktiengesellschaft"/>
        <s v="Vitamin Shoppe, Inc."/>
      </sharedItems>
    </cacheField>
    <cacheField name="Ticker" numFmtId="0">
      <sharedItems containsBlank="1"/>
    </cacheField>
    <cacheField name="Court" numFmtId="0">
      <sharedItems/>
    </cacheField>
    <cacheField name="Date Filed" numFmtId="0">
      <sharedItems/>
    </cacheField>
    <cacheField name="Lead Plaintiff Deadline" numFmtId="0">
      <sharedItems/>
    </cacheField>
    <cacheField name="Investor Name(s)" numFmtId="0">
      <sharedItems containsBlank="1" count="1877">
        <s v="Ametren L.P."/>
        <s v="Theodore Zwicker"/>
        <s v="Arkansas Teacher Retirement System"/>
        <s v="Alameda County Employees Retirement Association"/>
        <s v="Joel Magazine"/>
        <s v="Kui Liu"/>
        <s v="Robert Gibbons"/>
        <s v="Sohail Sattar"/>
        <s v="Jason Rutherford"/>
        <s v="Michigan Laborers Pension Fund"/>
        <s v="Laborers Local 235 Benefit Funds"/>
        <s v="Stefanie L. Seese"/>
        <s v="Manchang Tian"/>
        <s v="Ning Tian"/>
        <s v="William Graves"/>
        <s v="Brooke Krysiak"/>
        <s v="Juliann Travis"/>
        <s v="Bixing Peng"/>
        <s v="Vincent Tylutki"/>
        <s v="Hoyt W. Clark"/>
        <s v="William Wynn"/>
        <s v="Etienne Balon"/>
        <s v="Xiao Ming Zhou"/>
        <s v="Robert Hajosy"/>
        <s v="Dwayne Abbott"/>
        <s v="Rod Schlosser"/>
        <s v="Mike Oldham"/>
        <s v="Glazer Capital Management, LP"/>
        <s v="Glazer Offshore Fund, LTD"/>
        <s v="Highmark Limited"/>
        <s v="Glazer Enhanced Fund L.P."/>
        <s v="Glazer Enhanced Offshore Fund, Ltd."/>
        <s v="OFI Asset Management"/>
        <s v="Saratoga Advantage Trust James Alpha Multistrategy Alternative Income Portfolio"/>
        <s v="Judith Godinez"/>
        <s v="Boilermakers National Benefit Fund (Canada)"/>
        <s v="Michael P. Breton"/>
        <s v="NECA-IBEW Pension Trust Fund"/>
        <s v="Erste-Sparinvest Kapitalanlagegesellschaft m.b.H."/>
        <s v="Public Employees Retirement System of Idaho"/>
        <s v="Gwinnett County Public Employees Retirement System"/>
        <s v="Steamship Trade Association-International Longshoremens Association Pension Fund"/>
        <s v="David Rosenberg"/>
        <s v="Rick and Melvin Ashman"/>
        <s v="Fresno County Employees Retirement Association"/>
        <s v="Utah Retirement Systems"/>
        <s v="Miami Firefighters Relief and Pension Fund"/>
        <s v="Edward Santangelo"/>
        <s v="William Quartuccio"/>
        <s v="Sjunde AP-Fonden"/>
        <s v="Union Asset Management Holding AG"/>
        <s v="Amalgamated Bank, as Trustee for the LongView Collective Investment Fund"/>
        <s v="Strathclyde Pension Fund"/>
        <s v="Michael Wilson"/>
        <s v="Northern Ireland Local Governmental Officers Superannuation Committee"/>
        <s v="Brian Legett"/>
        <s v="Bryson Holdings, LLC"/>
        <s v="Derek Riddick"/>
        <s v="Michael Malcolm"/>
        <s v="Daniel Ciccarelli"/>
        <s v="Michael Desantis"/>
        <s v="Thomas Bendheim"/>
        <s v="Anthony Shenk"/>
        <s v="Jason Mattie"/>
        <s v="Andrew Song"/>
        <s v="Michael Neuberger"/>
        <s v="Bahram Salehian"/>
        <s v="James Carmack"/>
        <s v="Ori Wilbush"/>
        <s v="William Chase May"/>
        <s v="Stuart B. Wollman"/>
        <s v="Rene Paul DeMeule"/>
        <s v="Christine Gelsleichter"/>
        <s v="Errol M. Rudman"/>
        <s v="Rudman Partners LP"/>
        <s v="Stevo Kecman"/>
        <s v="Mary Esposito"/>
        <s v="Houston Municipal Employees Pension System"/>
        <s v="Boilermaker-Blacksmith National Pension Fund"/>
        <s v="Sharon Albano"/>
        <s v="Stanley Newmark"/>
        <s v="Michael Stango"/>
        <s v="Richard Dunlap"/>
        <s v="Irving Lichtman Revocable Living Trust"/>
        <s v="Merkur Family"/>
        <s v="Jupiter Capital Management"/>
        <s v="New England Carpenters Pension Fund"/>
        <s v="New England Carpenters Guaranteed Annuity Fund"/>
        <s v="International Union of Operating Engineers Pension Fund of Eastern Pennsylvania and Delaware"/>
        <s v="Wayne County Employees Retirement System"/>
        <s v="Gestion Ju-Mo Inc."/>
        <s v="Robert E. Lapp"/>
        <s v="Daniel Wheeless"/>
        <s v="Preetam Modur"/>
        <s v="Stephen Lin"/>
        <s v="Stanley Gunawan"/>
        <s v="Lam Truong"/>
        <s v="Phillip Din, M.D."/>
        <s v="Uresomir Corak"/>
        <s v="Evan Roberts"/>
        <s v="Owen Roberts"/>
        <s v="Bobby King"/>
        <s v="Kent Roberts"/>
        <s v="Government of Guam Retirement Fund"/>
        <s v="Yingbo Li"/>
        <s v="Iron Workers District Council (Philadelphia and Vicinity) Retirement and Pension Plan"/>
        <s v="Janine LaDouceur"/>
        <s v="Betty McLeod"/>
        <s v="National Shopmen Pension Fund"/>
        <s v="Jesse Stone"/>
        <s v="Joseph Bessent"/>
        <s v="Eric Pearson"/>
        <s v="John Corbitt"/>
        <s v="Dung Thi Kim Le"/>
        <s v="Steven A. Payne"/>
        <s v="Stephen Lomax"/>
        <s v="Johnny R. Morgan"/>
        <s v="David S. Kim"/>
        <s v="The Hoey Trust UA DTD 11191993"/>
        <s v="The Hoey Family Trust UA DTD 082292"/>
        <s v="Charles Cowles"/>
        <s v="Joel Kuhn"/>
        <s v="Michael Caglioti"/>
        <s v="George Garrison"/>
        <s v="Richard Siebold"/>
        <s v="Dean Flora"/>
        <s v="Mihir Patel"/>
        <s v="Stefan Muenchhagen"/>
        <s v="David Wayne Hammond"/>
        <s v="Mark Fleisher"/>
        <s v="Bradley Justice"/>
        <s v="Russell Holbrook"/>
        <s v="Luca Ceselli"/>
        <s v="City of Birmingham Retirement and Relief System"/>
        <s v="Fernando X. Garcia"/>
        <s v="Charlie Yang"/>
        <s v="John D. Chapman"/>
        <s v="Iron Workers Local No. 25 Pension Fund"/>
        <s v="Mississippi Public Employees Retirement System"/>
        <s v="Policemens Annuity and Benefit Fund of the City of Chicago"/>
        <s v="Public School Teachers Pension &amp; Retirement Fund of Chicago"/>
        <s v="Louis Jean"/>
        <s v="Richard and Sandra Michael"/>
        <s v="David J. Chili"/>
        <s v="Richard Frechman"/>
        <s v="Town of Jupiter Police Officers Retirement Fund"/>
        <s v="James Crumpley"/>
        <s v="City of Birmingham Firemens and Policemens Supplemental Pension System"/>
        <s v="Thomas OReilly"/>
        <s v="Heidi Abrahamson"/>
        <s v="Chad Zubriski"/>
        <s v="Michael Helfrick"/>
        <s v="FRANKFURT-TRUST Investment Luxemburg AG"/>
        <s v="Frankfurt-Trust Investment-Gesellschaft mbH"/>
        <s v="Metzler Investment GmbH"/>
        <s v="City of Miami Fire Fighters and Police Officers Retirement Trust"/>
        <s v="Dean Alfrange"/>
        <s v="Elia Azar"/>
        <s v="Linda Ostermann"/>
        <s v="Larry Dooley"/>
        <s v="Philip Ricciardi"/>
        <s v="Vickie Siebert"/>
        <s v="Chao Wang"/>
        <s v="David Siebert"/>
        <s v="Joseph Shepard"/>
        <s v="David Grigsby"/>
        <s v="St. Paul Teachers Retirement Fund Association"/>
        <s v="Chester County Employees Retirement Fund"/>
        <s v="Westchester Putnam Counties Heavy &amp; Highway Laborers Local 60 Benefit Funds"/>
        <s v="Teamsters Local 456 Annuity Fund"/>
        <s v="Giulio D. Cessario"/>
        <s v="Robert Korenblat"/>
        <s v="Pierre S. Lefebvre"/>
        <s v="Gary Claassen"/>
        <s v="Alice Korenblat"/>
        <s v="PAMCAH-UA Local 675 Pension Fund"/>
        <s v="Isaac Haber"/>
        <s v="Elizabeth R. Kay"/>
        <s v="Randall G. Kay"/>
        <s v="Gary Ouellet"/>
        <s v="Dimitri N. Giasemis"/>
        <s v="Marc Ouellet"/>
        <s v="William Van Fossen"/>
        <s v="Douglas Pirie"/>
        <s v="Robert Andrews"/>
        <s v="Henry Kwong"/>
        <s v="Kyle Miller"/>
        <s v="Luzerne County Retirement System"/>
        <s v="Pompano Beach General Employees Retirement System"/>
        <s v="Norfolk County Retirement System"/>
        <s v="Mark Nelson"/>
        <s v="John Solak"/>
        <s v="Ray Baskette"/>
        <s v="Jeffrey Berkowitz"/>
        <s v="Betsy H. Latham"/>
        <s v="Robert McCandless"/>
        <s v="Gary P. Latham"/>
        <s v="Mark R. Craig"/>
        <s v="Victor F. Diaz"/>
        <s v="James Kim"/>
        <s v="Jeannie Kim"/>
        <s v="Maryann Lovelidge"/>
        <s v="Debra Folk"/>
        <s v="Tom Lovelidge"/>
        <s v="Eugene Almendinger"/>
        <s v="William H. Tod"/>
        <s v="Earle Folk"/>
        <s v="Ken Hopkins"/>
        <s v="Margaret Pak"/>
        <s v="Richard Kingston"/>
        <s v="The Weinstein Family Trust"/>
        <s v="Kelly Farmer"/>
        <s v="Societe Generale Securities Services GmbH"/>
        <s v="Jacob Newman"/>
        <s v="Aymon Sukkar"/>
        <s v="Ricky Hoyle"/>
        <s v="New Mexico Educational Retirement Board"/>
        <s v="Louisiana Municipal Police Employees Retirement System"/>
        <s v="Employees Retirement System of the City of Providence"/>
        <s v="Employees Pension Plan of the City of Clearwater"/>
        <s v="Cambridge Retirement System"/>
        <s v="Larry L. Halcomb"/>
        <s v="Plumbers &amp; Pipefitters National Pension Fund"/>
        <s v="John E. Fox"/>
        <s v="Greater Pennsylvania Carpenters Pension Fund"/>
        <s v="Rick Grof"/>
        <s v="Rick Groff"/>
        <s v="Gleyndon E. Kern, Jr."/>
        <s v="David Rash"/>
        <s v="Gordon F. Lentz"/>
        <s v="Louis Pohoryles"/>
        <s v="Robert Gluck"/>
        <s v="Yelin Lapidot Mutual Funds"/>
        <s v="Heather Hollister"/>
        <s v="Perry Smith"/>
        <s v="Darrell Ticehurst"/>
        <s v="Charles Craig Janies"/>
        <s v="Robert F. Colwell, Jr."/>
        <s v="Robert Pavleszek"/>
        <s v="City of Omaha Police and Fire Retirement System"/>
        <s v="Donald B. Hallowes"/>
        <s v="Danny Lu"/>
        <s v="Zarrin Nelson"/>
        <s v="Minh Nguyen"/>
        <s v="Timothy Heath"/>
        <s v="Gang Chen"/>
        <s v="Benjamin Webb"/>
        <s v="Umang Khetarpal"/>
        <s v="Lewis Monteil"/>
        <s v="Ajith Chennadi"/>
        <s v="Thanh Monat"/>
        <s v="Mark Mitchell"/>
        <s v="Ben Webb"/>
        <s v="Wei Cao"/>
        <s v="Louisiana Sheriffs Pension and Relief Fund"/>
        <s v="Richard P. Wolsfeld, Jr."/>
        <s v="Amir Softic"/>
        <s v="Sunil Chand"/>
        <s v="UA Local 13 Pension Fund"/>
        <s v="Frank Pino"/>
        <s v="Robert Wolfson"/>
        <s v="Scott Posson"/>
        <s v="Ina Pollins"/>
        <s v="Gilad Wirguin"/>
        <s v="Wing Young, Trustee of the Wing Young, Phoebe Young, UA 12-16-1988 Young Family Trust"/>
        <s v="Wing Young"/>
        <s v="Michael Tigner"/>
        <s v="Frank Acosta"/>
        <s v="Teddi M. Reese Revocable Trust"/>
        <s v="Scott Kim"/>
        <s v="Ken Roscoe"/>
        <s v="Falcon Capital Management"/>
        <s v="Laurent Sberro"/>
        <s v="Wetherby International, Inc."/>
        <s v="Bernardi &amp; Partners S.R.L."/>
        <s v="Oscar Torrijos"/>
        <s v="Zeke Ingram"/>
        <s v="MARTA-ATU Local 732 Employees Retirement Plan"/>
        <s v="Southeastern Pennsylvania Transportation Authority Consolidated Pension Plan"/>
        <s v="BlueSky Capital Partners LLC"/>
        <s v="New Jersey Building Laborers Pension Fund"/>
        <s v="Alsar Ltd. Partnership"/>
        <s v="Iron Workers Locals 580 Joint Funds"/>
        <s v="Iron Workers Local 40 361 &amp; 417 Union Security Funds"/>
        <s v="City of Atlanta Firefighters  Pension Fund"/>
        <s v="City of Atlanta Police Officers Pension Fund"/>
        <s v="Miran Segregated Portfolio Company - Miran Long Short Equity Segregated Portfolio"/>
        <s v="Ashok Sagar"/>
        <s v="Johnnie Dormier"/>
        <s v="Huang Shuainan"/>
        <s v="Tian Yu Ma"/>
        <s v="Sun Bing"/>
        <s v="ZhenDong Company Limited"/>
        <s v="Charlie Chun"/>
        <s v="Edward McCaffery"/>
        <s v="OP Investment Management Limited"/>
        <s v="Labourers Pension Fund of Central and Eastern Canada"/>
        <s v="Construction Laborers Pension Trust of Greater St. Louis"/>
        <s v="Boston Retirement System"/>
        <s v="Doug V. Fougnies"/>
        <s v="Uri Skorski"/>
        <s v="Minohor Singh"/>
        <s v="Jyotindra Patel"/>
        <s v="Randall S. Wilhelm"/>
        <s v="Richard Grace"/>
        <s v="Ken Warner"/>
        <s v="Juan Gamboa"/>
        <s v="Correy Hemingway"/>
        <s v="Arkin Communications LTD"/>
        <s v="M.Arkin (1999) LTD"/>
        <s v="Karl Showrai"/>
        <s v="Thomas Jankowski"/>
        <s v="Naim Koymen"/>
        <s v="Employees Retirement System of the City of St. Petersburg, Florida"/>
        <s v="Laborers District Council and Contractors Pension Fund of Ohio"/>
        <s v="John Brian Moran"/>
        <s v="Todd Rinaldi"/>
        <s v="Myo Thant"/>
        <s v="Suzanne J. Real"/>
        <s v="Barbara Fayeulle-Frey"/>
        <s v="Vikram B. Kothari"/>
        <s v="Michael Schwabe"/>
        <s v="Jaideep Khanna"/>
        <s v="William J. Stevenson"/>
        <s v="Charles Dumon"/>
        <s v="Shivakumar Ballur"/>
        <s v="Donald M. Perugini"/>
        <s v="Teresa Granieri"/>
        <s v="Afaq Shaik"/>
        <s v="Larry Strowbridge"/>
        <s v="William Tran"/>
        <s v="Adrian Ybarra"/>
        <s v="George Torres"/>
        <s v="Fire &amp; Police Pension Association of Colorado"/>
        <s v="Rebecca Fong"/>
        <s v="Gilbert Lerner"/>
        <s v="Danske Invest Management AS"/>
        <s v="Laborers Pension Trust Fund for Northern California"/>
        <s v="Anna Marie Daddabbo"/>
        <s v="Nancy Gay"/>
        <s v="Shane Park"/>
        <s v="Neal E. Schear as Trustee of the Schear and Schear Retirement Plan"/>
        <s v="Hyman and Bessie Passman Charitable Foundation"/>
        <s v="Employees Retirement System  of the City of Baton Rouge and Parish of East Baton Rouge"/>
        <s v="McClender Logan"/>
        <s v="Elliot Sommer"/>
        <s v="William Huff"/>
        <s v="Daniela and Susan Sikorski"/>
        <s v="Azad Esmail"/>
        <s v="Robert Goldstein"/>
        <s v="Don Algama"/>
        <s v="Lin Xu"/>
        <s v="Mohammad Jafar"/>
        <s v="Mohammad Uddin"/>
        <s v="Tony Bernardo"/>
        <s v="Luvell L. Glanton"/>
        <s v="Burton Seigal"/>
        <s v="Bruce T. Schmidt"/>
        <s v="Donald D. Dodge"/>
        <s v="Edward Miske"/>
        <s v="Paul Costanzo, Jr."/>
        <s v="Kenyon Riches"/>
        <s v="John Lorge"/>
        <s v="Dr. John P. Hodges, Jr."/>
        <s v="Steve Bostic"/>
        <s v="Waltraud Buchanan"/>
        <s v="Dean Hiser"/>
        <s v="Thomas C. Swieringa"/>
        <s v="Alex Stewart"/>
        <s v="Carl Zank"/>
        <s v="Shannon Wayne Myers"/>
        <s v="Vida Myers"/>
        <s v="Brett Goldfarb"/>
        <s v="John Tomka"/>
        <s v="Richard Malone"/>
        <s v="DAFNA LifeScience Select, LP"/>
        <s v="DAFNA LifeScience, LP"/>
        <s v="IPConcept (Luxemburg) S.A. on behalf of apo Medical Opportunities"/>
        <s v="Rebecca Lessard"/>
        <s v="James Lessard"/>
        <s v="Stefano DAgostino"/>
        <s v="Paul Sapan"/>
        <s v="Ernie Lemoi"/>
        <s v="Marcello Zucca"/>
        <s v="Samuel Suhua Zhang"/>
        <s v="Camia Investment LLC"/>
        <s v="Sanjivkumar Dalsania"/>
        <s v="Gregory D. Callender"/>
        <s v="Brad S. Feldman"/>
        <s v="Bahjat Saleh"/>
        <s v="Sarah Phan"/>
        <s v="David Nguyen"/>
        <s v="Ryan Bird"/>
        <s v="Kostas Restinas"/>
        <s v="Harry Diamantopoulos"/>
        <s v="Maria Munro"/>
        <s v="Public School Retirement System of the School District of Kansas City, Missouri"/>
        <s v="Vancouver Alumni Asset Holdings Inc."/>
        <s v="John D. Gruber"/>
        <s v="Nibahoo Malhotra"/>
        <s v="Peace Officers Annuity and Benefit Fund of Georgia"/>
        <s v="Jacksonville Police &amp; Fire Pension Fund"/>
        <s v="Luis Lemus"/>
        <s v="Jose F. Acosta Abiega"/>
        <s v="Barbara Priscus"/>
        <s v="Brad Bjorklund"/>
        <s v="Essam Hamouda"/>
        <s v="Damon Knauss"/>
        <s v="Andrei Sfiraiala"/>
        <s v="James Ranson"/>
        <s v="Pension Trust Fund for Operating Engineers"/>
        <s v="David Zimmerman"/>
        <s v="William Kitsonas"/>
        <s v="Employees Retirement System of the Government of the Virgin Islands"/>
        <s v="Fire and Police Retiree Health Care Fund, San Antonio"/>
        <s v="Proxima Capital Master Fund, Ltd."/>
        <s v="San Antonio Fire &amp; Police Pension Fund"/>
        <s v="The Arbitrage Fund"/>
        <s v="D.R. Long Foundation"/>
        <s v="Daniel R. Long III Revocable Living Trust"/>
        <s v="Daniel R. Long III"/>
        <s v="Sutton View Capital, LLC"/>
        <s v="AMF Pensionsforsakring AB"/>
        <s v="Taruna Varma"/>
        <s v="Todd and Sally Hellrigel"/>
        <s v="Anoujj Sapra"/>
        <s v="Keri Kazel Peragine"/>
        <s v="Donald Brockman"/>
        <s v="Shuli Chiu"/>
        <s v="Joseph Terranova"/>
        <s v="Mark Baldwin"/>
        <s v="Brendan Dwyer"/>
        <s v="Van Trinh"/>
        <s v="Karen Dwyer"/>
        <s v="Glenn Dietel"/>
        <s v="Kwok Pang"/>
        <s v="Stephen Simnowitz"/>
        <s v="Craig L. Schwab"/>
        <s v="Ita S. Mermelstein"/>
        <s v="Blake Bauer"/>
        <s v="Guarang Patel"/>
        <s v="Brent Kawamura"/>
        <s v="South Carolina Retirement Systems Group Trust"/>
        <s v="The Council of the Borough of South Tyneside Acting in its Capacity as the Administering Authority of the Tyne and Wear Pension Fund"/>
        <s v="Kyle Kobold"/>
        <s v="Abdul Rahiman"/>
        <s v="Joseph Spizzirri"/>
        <s v="Steven Grella"/>
        <s v="Ruihua He"/>
        <s v="Markus Ebner"/>
        <s v="Longview Firemens Relief &amp; Retirement Fund"/>
        <s v="Vernon Priest"/>
        <s v="Dr. Philip Stull"/>
        <s v="City of Sunrise Police Officers Retirement Plan"/>
        <s v="City of Cape Coral Municipal Firefighters Retirement Plan"/>
        <s v="Syed T. Bashir"/>
        <s v="Bucks County Employees Retirement Fund"/>
        <s v="Sheet Metal Workers Pension Fund of Local No. 19"/>
        <s v="Robert Rosenblatt"/>
        <s v="John Blume"/>
        <s v="Kavi Jaikishin Hathiramani"/>
        <s v="Steamfitters Industry Security Benefit Fund"/>
        <s v="Steamfitters Industry Pension Fund"/>
        <s v="Samuel M. Butman"/>
        <s v="Kodgi Ahmed"/>
        <s v="Vicky Nguyen"/>
        <s v="Dana Alexander"/>
        <s v="Michael Gregory"/>
        <s v="Robert Casebier"/>
        <s v="Nghiem Tran"/>
        <s v="Abel M. Brown, Jr."/>
        <s v="Town of Davie Police Pension Plan"/>
        <s v="Anumita Singh"/>
        <s v="James Christopher Shelburne"/>
        <s v="John J. Sciortino"/>
        <s v="Strahinja Ivosevic"/>
        <s v="Fred Eisner"/>
        <s v="Teamsters Local 710 Pension Fund"/>
        <s v="Savva Popi"/>
        <s v="Brian Berberian"/>
        <s v="Walter J. Minett"/>
        <s v="Ronald E. Wallace"/>
        <s v="Aurelio Scarpatetti"/>
        <s v="Manuele Scarpatetti"/>
        <s v="Daniel Lee Martin"/>
        <s v="Roger Jolicoeur"/>
        <s v="Pension Fund and Treasury of Surrey"/>
        <s v="Rhondda Cynon Taf Pension Fund"/>
        <s v="TIAA-CREF"/>
        <s v="Employees Retirement System of the State of Hawaii"/>
        <s v="City of Lakeland Employees Pension Plan"/>
        <s v="Daniel Anshen"/>
        <s v="Jung Passow"/>
        <s v="City of Hialeah Employees Retirement System"/>
        <s v="Douglas Barnard"/>
        <s v="Keith B. White"/>
        <s v="Thomas Weeks"/>
        <s v="Manny Paulo"/>
        <s v="Hal Scofield"/>
        <s v="Michael Conforti"/>
        <s v="Mary Thornton"/>
        <s v="Thomas Babcock"/>
        <s v="Kevin Sheetz"/>
        <s v="Ernest Davis"/>
        <s v="Alan Carlsen"/>
        <s v="Timothy Lopatofsky"/>
        <s v="L. Lee Williams, Jr."/>
        <s v="Frank Gracar"/>
        <s v="James R. Baxter"/>
        <s v="Joel Brenner as Trustee for the Joel Brenner MPP Plan &amp; Trust"/>
        <s v="Joel Brenner"/>
        <s v="Kevin Gaberlavage"/>
        <s v="Lazy Dogs Partnership LLLP"/>
        <s v="Susan Batai"/>
        <s v="Richard Champagne"/>
        <s v="Carl Palazzolo"/>
        <s v="Albert Ferrandi"/>
        <s v="Owen Hutchinson"/>
        <s v="Kieran and Susan Duffy"/>
        <s v="Howard Greenspan"/>
        <s v="Joyce L. Trupp Agreement of Trust"/>
        <s v="Central Laborers Pension Fund"/>
        <s v="Plymouth County Retirement System"/>
        <s v="Oakland County Employees Retirement System and Voluntary Employees Benefit Association"/>
        <s v="Local 810 Affiliated Pension Plan"/>
        <s v="George Diaz"/>
        <s v="Mark Cunningham"/>
        <s v="Viet Tran"/>
        <s v="Jesse M. Koth and Kelley Koth"/>
        <s v="Timothy Flynn"/>
        <s v="Teamsters Local 282 Pension Trust Fund"/>
        <s v="Teamsters Local 282 Welfare Trust Fund"/>
        <s v="Local No. 8 IBEW Retirement Plan and Trust"/>
        <s v="Bright Agyapong"/>
        <s v="Stuart Emmert"/>
        <s v="Louis M. Shapiro"/>
        <s v="Oklahoma Police Pension and Retirement System"/>
        <s v="Oklahoma Firefighters Pension and Retirement System"/>
        <s v="Roy Shapira"/>
        <s v="Qingfeng Dong"/>
        <s v="Alaska Electrical Pension Fund"/>
        <s v="Tam Miao Ling"/>
        <s v="Michael Kennedy"/>
        <s v="Olga Cataldi IRA"/>
        <s v="Olga Cataldi Anna Federova JTWROS Account"/>
        <s v="Walter Matthews"/>
        <s v="Nancy A. St. Pierre"/>
        <s v="Steven Klemaier"/>
        <s v="David M. St. Pierre"/>
        <s v="Mary De Soto"/>
        <s v="Ronald Brogan"/>
        <s v="Janet Lovette"/>
        <s v="Francis Crespo"/>
        <s v="Robert Dennis"/>
        <s v="Sandra L. Dennis"/>
        <s v="Catherine K. Wilkins"/>
        <s v="Abraham Kiswani"/>
        <s v="Thomas Lee"/>
        <s v="Sharon Jamie"/>
        <s v="Robert Beeman"/>
        <s v="Powszechne Towarzystwo Emerytalne PZU Spolka Akcyjna"/>
        <s v="James E. and Patricia Henry"/>
        <s v="Malik M. Ghanayem"/>
        <s v="Paul Kim"/>
        <s v="Keith Gehres"/>
        <s v="Robert Winograd"/>
        <s v="Inter-Local Pension Fund of The Graphic Communications Conference of the International Brotherhood of Teamsters"/>
        <s v="Joseph Soliman"/>
        <s v="Nicholas Crocco"/>
        <s v="Abed Latif"/>
        <s v="Adi Damty"/>
        <s v="Thomas Kelly"/>
        <s v="Kathy Gray"/>
        <s v="Moshe Ariel"/>
        <s v="Hany Sikaik"/>
        <s v="Timothy Black"/>
        <s v="John Dearborn"/>
        <s v="Gene Segalis"/>
        <s v="Wendy Howell"/>
        <s v="Shipco Transport, Inc."/>
        <s v="683 Capital Partners, L.P."/>
        <s v="Sergey Regukh"/>
        <s v="Miki Ben-Zeev"/>
        <s v="Mary A. Rupert"/>
        <s v="Pravda Capital S.R.O."/>
        <s v="Mark Muir"/>
        <s v="James Huisman"/>
        <s v="Brooks Lieske"/>
        <s v="Joseph Selinger"/>
        <s v="Shawn Kracht"/>
        <s v="Dan Grunfeld"/>
        <s v="Dean Allen Shinners"/>
        <s v="Michael Pfeiffer"/>
        <s v="Denis Marc Audet"/>
        <s v="Jason Vargas"/>
        <s v="Employees Retirement System of the Puerto Rico Electric Power Authority"/>
        <s v="William Edward Long, as Trustee of the UA 09-21-2001 William Edward Long &amp; Bonnie Diane Long Living Trust"/>
        <s v="Satish Doshi"/>
        <s v="Erick Grimm"/>
        <s v="Alexander Rice"/>
        <s v="Brian James"/>
        <s v="David Pinkoski"/>
        <s v="International Union of Operating Engineers Local No. 478 Pension Fund"/>
        <s v="Martin Cohen"/>
        <s v="Richard L. Salberg, M.D."/>
        <s v="Rocha Global Ltd."/>
        <s v="Lebanon County Employees Retirement Fund"/>
        <s v="Jose Carlos Segreto"/>
        <s v="Jeffrey Dreyer"/>
        <s v="Vincente Paulo Coelho"/>
        <s v="Regina Joy"/>
        <s v="Stephen Smolen"/>
        <s v="Eric Jacobson"/>
        <s v="Clifford Rebello"/>
        <s v="Frank Goodyear"/>
        <s v="Joseph Rodriguez"/>
        <s v="Babak Roushanaee"/>
        <s v="Kreling &amp; Company I401K Plan"/>
        <s v="Matthew Kreling"/>
        <s v="Sharyn McGowan"/>
        <s v="Ricardo Salinas"/>
        <s v="City of Daytona Beach Police &amp; Fire Pension Fund"/>
        <s v="David Beasley"/>
        <s v="Jonathan Cox"/>
        <s v="Betty C. Little"/>
        <s v="Debbie Campbell"/>
        <s v="Michael Perry"/>
        <s v="Gary Blum"/>
        <s v="Marjorie Berg"/>
        <s v="Michael Hamblett"/>
        <s v="Robert Shavelle"/>
        <s v="V. Anthony Ansaldi III and Janet Ansaldi"/>
        <s v="Wise Tang"/>
        <s v="Bin Ye"/>
        <s v="City of Bristol Pension Fund"/>
        <s v="Robin Schroyer"/>
        <s v="Zhao Gao"/>
        <s v="Azim Maknojia"/>
        <s v="Troy Larkin"/>
        <s v="Lenny Muma"/>
        <s v="Keith Drennan"/>
        <s v="Christopher Murphy"/>
        <s v="Julia and Charles Boettcher"/>
        <s v="Leonard and Janice Fedon"/>
        <s v="Jon Goldstein"/>
        <s v="Isaac Benporat"/>
        <s v="Bending Spoons ApS"/>
        <s v="Majesty Palms, LLLP"/>
        <s v="Zoinks, Inc."/>
        <s v="Edward Wayne Shorter"/>
        <s v="Sheldon Reinhardt"/>
        <s v="Michael Sherman"/>
        <s v="Haluk Lee Aykut"/>
        <s v="Osman Koci"/>
        <s v="Melissa Pham"/>
        <s v="Shelly Lynn Ravipudi as Custodian for Kailash Ravipudi"/>
        <s v="Balwinder Brar"/>
        <s v="Meena Nupur Revocable Trust"/>
        <s v="Sanjeev Dhari Ravipudi Revocable Trust"/>
        <s v="Karen Mokrushin"/>
        <s v="Rajendra Panchal"/>
        <s v="Joe Errico"/>
        <s v="Michael Kadera"/>
        <s v="Treasure Finance Holding Corp."/>
        <s v="Jose Carlos Valencia Peralta"/>
        <s v="Ricky Dudley"/>
        <s v="Olivier Bouillot"/>
        <s v="Julio Vignati"/>
        <s v="Douglas Rosen"/>
        <s v="Angelika G. Johnson"/>
        <s v="Douglas Kirk Ingoldsby"/>
        <s v="John and Huali Thompson"/>
        <s v="Joel Spingarn"/>
        <s v="Robert Wortman"/>
        <s v="Ronald Jackson"/>
        <s v="Kai Chiu"/>
        <s v="Patricia B. Baum"/>
        <s v="Albert J. Belle"/>
        <s v="David Conine"/>
        <s v="Mary Danahar"/>
        <s v="Automotive Industries Pension Trust Fund"/>
        <s v="Locals 302 and 612 of the International Union of Operating Engineers-Employers Construction Industry Retirement Trust"/>
        <s v="Carpenters Pension Trust Fund for Northern California"/>
        <s v="Jonathan Walden"/>
        <s v="David Nichols"/>
        <s v="Stephen Springer"/>
        <s v="Raymond Cook"/>
        <s v="Dyson Capital Management Ltd."/>
        <s v="Rory Johnson"/>
        <s v="Young Sohn"/>
        <s v="Sky Nordic LLC"/>
        <s v="Daniel Ezernack"/>
        <s v="Dirk Sievers"/>
        <s v="John and Mary Elizabeth Moring Anacker"/>
        <s v="Randall A. Arvidson"/>
        <s v="Babu Pinnamraju"/>
        <s v="Matthew and Lori Ridler"/>
        <s v="Thomas Cunningham"/>
        <s v="Jerome Davis"/>
        <s v="John Gaddum"/>
        <s v="Ronald Manzani"/>
        <s v="Michael Garsva"/>
        <s v="Yi Fan Chen"/>
        <s v="Frontline Global Trading Pte Ltd."/>
        <s v="City of Hartford Municipal Employees Retirement Fund"/>
        <s v="Natissisa Enterprises Ltd."/>
        <s v="Armandino Batali"/>
        <s v="Peter Greenwald"/>
        <s v="Arthur Kaye IRA FCC as Custodian DTD 6-8-00"/>
        <s v="Hayden Leason"/>
        <s v="Nathaniel Parker"/>
        <s v="Sensung Tsai"/>
        <s v="Stella Moraschini"/>
        <s v="Ronald Diamond"/>
        <s v="Rajesh Shah"/>
        <s v="Ted Nunez, Jr."/>
        <s v="Hotel Trades Council and Hotel Association of New York City, Inc. Pension Fund"/>
        <s v="Charles Freehill"/>
        <s v="Mark Hensley"/>
        <s v="Joseph Salisbury"/>
        <s v="Nicoya Capital LLC"/>
        <s v="Carl Bayney"/>
        <s v="Jianmin Huang"/>
        <s v="Russel Bleiler"/>
        <s v="Ashok Chainani"/>
        <s v="Samantha Whitehead"/>
        <s v="Obi Nwabueze"/>
        <s v="Harold B. Kalt"/>
        <s v="Brian Gniadek"/>
        <s v="Gary Bagwell"/>
        <s v="Christopher Peoples"/>
        <s v="Roofers Local No. 149 Pension Fund"/>
        <s v="Ester T. Jones"/>
        <s v="Ida Wan"/>
        <s v="Jimmy L. Jones"/>
        <s v="William T. Hoey"/>
        <s v="Clark Miller"/>
        <s v="Connie Buyens"/>
        <s v="Ken Chin"/>
        <s v="Walter Lee"/>
        <s v="Said Goueli"/>
        <s v="Jack E. Hatfield"/>
        <s v="Luis Martinez"/>
        <s v="Michael Robson"/>
        <s v="Karl Trahan"/>
        <s v="Joe Seppen"/>
        <s v="Carey Read"/>
        <s v="Mike Johnson"/>
        <s v="James Basile"/>
        <s v="Robert W. Richards"/>
        <s v="Claudio Mantovani"/>
        <s v="Aaron Mendenhall"/>
        <s v="Mike Paciga"/>
        <s v="Franklin Roberts"/>
        <s v="Stefan Sachsenberg"/>
        <s v="Washtenaw County Employees Retirement System"/>
        <s v="Vincent A. Hirsch"/>
        <s v="John and Vivian Fifrick"/>
        <s v="Brian L. Ellison"/>
        <s v="Cathreen W. Clark"/>
        <s v="Cynthia Pontier"/>
        <s v="Henry J. Nisiewicz"/>
        <s v="Peter J. Smykla"/>
        <s v="Charles Caparelli"/>
        <s v="Peter Cahill"/>
        <s v="Steven Duncan"/>
        <s v="Goce Veljanoski"/>
        <s v="Stephen Hamby"/>
        <s v="Steve Conner"/>
        <s v="Arthur Felix"/>
        <s v="Liberata Paradiso"/>
        <s v="Man Nguyen"/>
        <s v="Gilbert Hoang Nguyen"/>
        <s v="Mark Beadle"/>
        <s v="Babulal Tarapara"/>
        <s v="Plinio Kawakubo"/>
        <s v="Baharat Patel"/>
        <s v="Kindness Keong"/>
        <s v="Gustavo Isunza"/>
        <s v="Christopher Massad"/>
        <s v="Yi Wang"/>
        <s v="Ming and Jing-Wei Wang"/>
        <s v="Bhaskar Gudlavenkatasiva"/>
        <s v="Javier Marte"/>
        <s v="David Borges"/>
        <s v="Abuhena M. Saifulislam"/>
        <s v="Bhaskar R. Gudlavenkatasiva"/>
        <s v="Kaniz Fatema"/>
        <s v="Ernso Auguste"/>
        <s v="Tim Karth1"/>
        <s v="Tim Karth2"/>
        <s v="Richard J. Erickson"/>
        <s v="Marna Izzo"/>
        <s v="Mike Izzo"/>
        <s v="Kyle Montanio"/>
        <s v="Jason Breunig"/>
        <s v="Rotem Cohen"/>
        <s v="Janet Law"/>
        <s v="Steamfitters Local 449 Pension Fund"/>
        <s v="International Brotherhood of Electrical Workers Local Union 38 Pension Fund"/>
        <s v="Burckhard Schneider"/>
        <s v="Police &amp; Fire Retirement System of the City of Detroit"/>
        <s v="Sarasota Firefighters Pension Fund"/>
        <s v="Robert McEvoy"/>
        <s v="University of Puerto Rico Retirement System"/>
        <s v="John Allen"/>
        <s v="Ronald Sykes"/>
        <s v="Michael A. Castrodale"/>
        <s v="City of Hollywood FL Employees Retirement Fund"/>
        <s v="West Palm Beach Police Pension Fund"/>
        <s v="Laborers District Council of Western Pennsylvania Welfare and Pension Funds"/>
        <s v="John Jafolla"/>
        <s v="Charlotte Rutsch"/>
        <s v="Rick Denton"/>
        <s v="Glade Hall"/>
        <s v="John Spagnuolo"/>
        <s v="Operating Engineers Construction Industry and Miscellaneous Pension Fund"/>
        <s v="Pete J. Manger"/>
        <s v="U.S. Equity Fund, a series of the Wespath Funds Trust"/>
        <s v="Lyle Hansen"/>
        <s v="Jin Chen"/>
        <s v="Robert Stelly"/>
        <s v="Ignacio Canals"/>
        <s v="Water and Power Employees Retirement, Disability and Death Plan of the City of Los Angeles"/>
        <s v="Francesco Crosara"/>
        <s v="Yvonne Cohen"/>
        <s v="Dale Blanch"/>
        <s v="Chris Sayer"/>
        <s v="John Traina"/>
        <s v="Frederick Siegmund"/>
        <s v="Michele Rosati"/>
        <s v="Kimberly Colautti"/>
        <s v="Jay Rabkin"/>
        <s v="Kevin Fong"/>
        <s v="Manfred E. Strauch"/>
        <s v="Sriram Sundareswaran"/>
        <s v="Su Yee Lynn Ho"/>
        <s v="Laborers Local 231 Pension Fund"/>
        <s v="Grey Burleson"/>
        <s v="DPC Partners, Ltd."/>
        <s v="Quantum Partners, Ltd"/>
        <s v="John William Burke"/>
        <s v="John Redmond"/>
        <s v="Soft Drink and Brewery Workers Union Local 812 Retirement Fund"/>
        <s v="Samuel Saad Revocable Trust"/>
        <s v="State Teachers Retirement System of Ohio"/>
        <s v="Amy T. and Stephen A. Schwartz"/>
        <s v="Michael Paladino"/>
        <s v="Nova Scotia Health Employees Pension Plan"/>
        <s v="Iron Workers Local 580 Pension Fund"/>
        <s v="Fulton County Employees Retirement System"/>
        <s v="Masoud Paydar"/>
        <s v="Vladimir Rivkin"/>
        <s v="Steven Porter"/>
        <s v="Erik Lewis"/>
        <s v="Mary McCloskey"/>
        <s v="Craig Kneller"/>
        <s v="David M. Stein"/>
        <s v="Varuna Jenkins"/>
        <s v="Shen Shen"/>
        <s v="Stephany Kam-wan Chan"/>
        <s v="Liwei Sun"/>
        <s v="Adam Marigliano"/>
        <s v="Kenneth Varin"/>
        <s v="Herbert Goodfriend"/>
        <s v="Western Pennsylvania Electrical Employees Pension Fund"/>
        <s v="Jalmar Araujo"/>
        <s v="Song Suh"/>
        <s v="Danny T. Nguyen"/>
        <s v="Paul Skittone"/>
        <s v="Kenneth R. Martin as beneficiary of the Kenneth Ray Martin Roth IRA"/>
        <s v="Lewis Cosby"/>
        <s v="Christopher R. Vorrath"/>
        <s v="Gabriel R. Hull"/>
        <s v="Kenneth Gaynor"/>
        <s v="Marcia Goldberg"/>
        <s v="Richard Scalfani"/>
        <s v="Tracey Angiuoli"/>
        <s v="Iron Workers District Council of New England Pension Fund"/>
        <s v="Cynthia Lehn"/>
        <s v="Vladimir Tchentsov"/>
        <s v="Dan Kleinerman"/>
        <s v="The Phoenix Insurance Company, Ltd."/>
        <s v="Meitav DS Provident Funds and Pension Ltd."/>
        <s v="Menorah Mivtachim Insurance Ltd."/>
        <s v="Menorah Mivtachim Pension and Gemel Ltd."/>
        <s v="Michael Fontaine"/>
        <s v="Rena Listokin"/>
        <s v="John Jalas"/>
        <s v="Michael Di Rienzo"/>
        <s v="Greenblatt Trust"/>
        <s v="Amos Chalmers"/>
        <s v="Don Scoca"/>
        <s v="Brayton Li"/>
        <s v="Donald Hu"/>
        <s v="Tan Kim Whatt"/>
        <s v="Manh Dao"/>
        <s v="Adriana Stroh"/>
        <s v="David Dunning"/>
        <s v="Jerry E. Carafello"/>
        <s v="Brandon Stroh"/>
        <s v="Wang Juan"/>
        <s v="John Constabile"/>
        <s v="Arkansas Public Employees Retirement System"/>
        <s v="Lord Abbett Bond Debenture Fund, Inc."/>
        <s v="Lord Abbett Investment Trust - Lord Abbett High Yield Fund"/>
        <s v="Lord Abbett Equity Trust - Lord Abbett Calibrated Mid Cap Value Fund"/>
        <s v="Lord Abbett Affiliated Fund, Inc."/>
        <s v="Greg Olson"/>
        <s v="Sergio Grobler"/>
        <s v="Yang Zhan"/>
        <s v="Michael DuDash"/>
        <s v="Linda Bagley"/>
        <s v="Shunfeng Cheng"/>
        <s v="Amy Chan"/>
        <s v="Steven Wade"/>
        <s v="Edwin Bailey, Jr."/>
        <s v="William Slater"/>
        <s v="Enrico Vaccaro"/>
        <s v="F. Gregory Deneen"/>
        <s v="Michael and Kelly Nguyen"/>
        <s v="David Graves"/>
        <s v="Juan Jose Herrero Sancha"/>
        <s v="Mary S. Wyatt"/>
        <s v="Hani Ascha"/>
        <s v="Farshid Tabrizi"/>
        <s v="Carl Vincent Karnes"/>
        <s v="Hilleary Worthington"/>
        <s v="John S. McNierney"/>
        <s v="David Tay"/>
        <s v="Guenter Schott"/>
        <s v="Cristos Thanos"/>
        <s v="Stephania Niziolek"/>
        <s v="Repreon Worldwide Investments Limited Partnership"/>
        <s v="Stephen Ball"/>
        <s v="Ramon Tang"/>
        <s v="Alexander Lammert"/>
        <s v="James B. Platt III Revocable Trust"/>
        <s v="Richard Miller"/>
        <s v="Matthew Atkinson"/>
        <s v="Vittorio Franceschi"/>
        <s v="Jeff Kendig"/>
        <s v="Lehigh County Employees Retirement  Board"/>
        <s v="Brian Lundstrom"/>
        <s v="Central States Southeast and Southwest Areas Pension Fund"/>
        <s v="Ryan Huseman"/>
        <s v="Randy D. McElhanon"/>
        <s v="Ali Dehghanpoor"/>
        <s v="Karen A. Carvelli"/>
        <s v="Darren Frost"/>
        <s v="Scott Hansen"/>
        <s v="Kimberley L. Ahern"/>
        <s v="Jack R. Gray"/>
        <s v="Kevin Malone"/>
        <s v="Paul Ahern"/>
        <s v="Hsueh Tien Chen"/>
        <s v="Jia Chun Wen"/>
        <s v="International Brotherhood of Electrical Workers Local Union 98"/>
        <s v="Afshin Galestan"/>
        <s v="Dora Jordan"/>
        <s v="Sonia Carrero-Pomeroy"/>
        <s v="Colin Kirk"/>
        <s v="Frank Magiera"/>
        <s v="David Jenkins"/>
        <s v="Brian Ferber"/>
        <s v="Genghong Zhao"/>
        <s v="Xing Wang"/>
        <s v="Sergio Albonico"/>
        <s v="Brandon Suedekum"/>
        <s v="Ashok Dalal"/>
        <s v="Mayur Shah"/>
        <s v="Oppenheim Asset Management Services S.A.R.L. (OPAM)"/>
        <s v="Sheet Metal Workers Pension Plan of Southern California, Arizona and Nevada"/>
        <s v="Gregg E. Monette"/>
        <s v="Eileen L. Loustau"/>
        <s v="John Kim"/>
        <s v="Christopher B. Cooper"/>
        <s v="Cole Bryant Travis"/>
        <s v="Arnold Hastings"/>
        <s v="Kenneth R. Travis"/>
        <s v="Hanspeter Strebel"/>
        <s v="Kiran Kumar Nallagonda"/>
        <s v="Dr. Raffy Mirzayan"/>
        <s v="Mark Rudd"/>
        <s v="Syed Abbas"/>
        <s v="Fadi Dahhan"/>
        <s v="Freedman Family Investments LLC"/>
        <s v="M. Erik Meinholz"/>
        <s v="William H. Crook"/>
        <s v="Edwin Brotemarkle"/>
        <s v="Florence Redmond"/>
        <s v="Barry A. Smith"/>
        <s v="Sunil Shah"/>
        <s v="Brian Gomes"/>
        <s v="James Maguire"/>
        <s v="Kevin Ross"/>
        <s v="ODS Capital LLC"/>
        <s v="Elena Brescia"/>
        <s v="Kathleen Brescia"/>
        <s v="Raymond Brescia"/>
        <s v="Robert Kezer"/>
        <s v="Frank Rowe Michels"/>
        <s v="Vera Anderson"/>
        <s v="Sheck Kwai Cho"/>
        <s v="Tianxiong Jiang"/>
        <s v="Manuel Martin"/>
        <s v="Sharon Finger"/>
        <s v="Kurt Peterschmidt"/>
        <s v="Juan Francisco Gonzalez Nieves"/>
        <s v="Atudot Pension Fund for Employees and Independents Ltd."/>
        <s v="Clal Pension &amp; Provident Fund Ltd."/>
        <s v="Clal Insurance Ltd."/>
        <s v="Migdal Insurance Company Ltd."/>
        <s v="Migdal Makefet Pension and Provident Funds Ltd."/>
        <s v="Harel Insurance Company Ltd."/>
        <s v="George James Fuller"/>
        <s v="Stewart Marcantoni"/>
        <s v="William Mauney"/>
        <s v="Susan Nash"/>
        <s v="William DiSalvio"/>
        <s v="Peter Hong"/>
        <s v="Marvin and Jacqueline Becker"/>
        <s v="Mark Allen"/>
        <s v="Salvatore Rappa"/>
        <s v="Moeed Azam"/>
        <s v="Gregory G. Barrett"/>
        <s v="Stephen Watson"/>
        <s v="Mukesh Patel"/>
        <s v="Daniel Johnson"/>
        <s v="Jason Fessler"/>
        <s v="Rock Hall"/>
        <s v="Lycoming County Employees Retirement System"/>
        <s v="Seepersaud and Kowsilla Surooj"/>
        <s v="Robert Bonner"/>
        <s v="David Brown"/>
        <s v="Jerry and Julie Ambrosius"/>
        <s v="Interstate Research &amp; Development Corp."/>
        <s v="Richard Giunta"/>
        <s v="David P. Leibowitz"/>
        <s v="Alexander Shmidt"/>
        <s v="Angela Lohmann, as Trustee for the Angela Lohmann Revocable Trust"/>
        <s v="KBC Asset Management NV"/>
        <s v="Robert E. Cook, as trustee of The Robert E. Cook and Paula J. Brooks Living Trust"/>
        <s v="Royal Wulff Ventures, LLC"/>
        <s v="Rolando Corona  Podesta"/>
        <s v="David Guiness"/>
        <s v="Seymor Mondshein"/>
        <s v="David Greenwald"/>
        <s v="Paul Graf"/>
        <s v="Mindy Frost"/>
        <s v="Yeshan Jagroo"/>
        <s v="John Parrish"/>
        <s v="Alain Couet"/>
        <s v="Brandon Weyer"/>
        <s v="Paul McBride"/>
        <s v="Frank DAmbrosio"/>
        <s v="Mary Kathleen Hermann"/>
        <s v="Matthew Crandall"/>
        <s v="John Cocchiara"/>
        <s v="Jonathan Rand"/>
        <s v="David Beyers"/>
        <s v="Retail Wholesale &amp; Department Store Union Local 338 Pension Fund"/>
        <s v="John Nguyen"/>
        <s v="Si Tan Nguyen Trust"/>
        <s v="Hong-Luu Nguyen"/>
        <s v="Si Nguyen"/>
        <s v="General Retirement System of the City of Detroit"/>
        <s v="Dieter Gotte"/>
        <s v="Wen Hua Realtor, Inc."/>
        <s v="Jeffrey Frantz"/>
        <s v="Alice Feldman"/>
        <s v="Ruth Meyer"/>
        <s v="Philip Stahl"/>
        <s v="Rasesh Shah"/>
        <s v="IBEW 673 Pension Plan"/>
        <s v="Mitch Mongell"/>
        <s v="Zwick Partners LP"/>
        <s v="Manzoor Bevinal"/>
        <s v="Koh Beng Yan"/>
        <s v="Michael Spitters"/>
        <s v="Mark Appel"/>
        <s v="Sheng Wang"/>
        <s v="Liying Donchez"/>
        <s v="Joseph Buscema"/>
        <s v="Larry Adams"/>
        <s v="Alan Hall"/>
        <s v="District No. 9, I.A. of M. &amp; A.W. Pension Trust"/>
        <s v="James DePalma"/>
        <s v="Carl Miceli"/>
        <s v="Dominic Miceli"/>
        <s v="Ichiro Ilkuno"/>
        <s v="Anton Shaigne"/>
        <s v="Jeffrey Romenesko"/>
        <s v="Daniel McDermott"/>
        <s v="Paul Sislin"/>
        <s v="Jackie888, Inc."/>
        <s v="Michael C. Kemmerling"/>
        <s v="David Hershlikovitz"/>
        <s v="Donald Rolland"/>
        <s v="Wang Yan"/>
        <s v="Kalpesh Patel"/>
        <s v="Kristen Hulaj"/>
        <s v="Blair Hulaj"/>
        <s v="Henrietta Hulaj"/>
        <s v="Steven Hulaj"/>
        <s v="Puranjay Das"/>
        <s v="Hershel Smilovich"/>
        <s v="Martin Smilovich"/>
        <s v="Theodore P. Ivanco"/>
        <s v="Stephen Padgett"/>
        <s v="Don Michael Hussey"/>
        <s v="Jerry Herring"/>
        <s v="Joanna Pauli Hussey"/>
        <s v="Bryan Reifsnyder"/>
        <s v="Armin Leuze"/>
        <s v="Michael Easley"/>
        <s v="Earl McCrary"/>
        <s v="Douglas Benkowski"/>
        <s v="Dmitriy Chatskiy"/>
        <s v="John Grant-Dooley"/>
        <s v="Alessandro Jacob"/>
        <s v="City of Pontiac General Employees Retirement System"/>
        <s v="Banco Safra S.A. - Cayman Islands Branch"/>
        <s v="Don Pritchard"/>
        <s v="Gordon Gamm"/>
        <s v="Cynthia A. Parmelee"/>
        <s v="Kelly Baxley"/>
        <s v="Boussad Baguenane"/>
        <s v="Carl Johnson"/>
        <s v="Stephen Graham"/>
        <s v="Richard Berkowitz"/>
        <s v="Shikha Gupta"/>
        <s v="James Reilly"/>
        <s v="Fred Fesel"/>
        <s v="Richard and Christine Kennedy"/>
        <s v="Oklahoma Law Enforcement Retirement System"/>
        <s v="Dariusz Lazarczyk"/>
        <s v="Steven Taylor"/>
        <s v="Susan Dube"/>
        <s v="Lyubomir Spasov"/>
        <s v="Pinnacle Opportunities Fund, LP"/>
        <s v="Red Oak Fund, LP"/>
        <s v="The Red Oak Institutional Founders Long Fund"/>
        <s v="The Red Oak Long Fund LP"/>
        <s v="Joseph Burns"/>
        <s v="Marjorie B. Oswald"/>
        <s v="Margaret K. Peterson"/>
        <s v="Neil Jubitz"/>
        <s v="Richard Flynn"/>
        <s v="Frank Fish"/>
        <s v="John Thomas Moore Rollover IRA"/>
        <s v="Anchorage Police &amp; Fire Retirement System"/>
        <s v="Michael Bestwick"/>
        <s v="Mark Hawkins"/>
        <s v="Lucille Theroux"/>
        <s v="Pierre Serge Bolduc"/>
        <s v="Marlene Konkoly"/>
        <s v="Kevin Doherty"/>
        <s v="William Annis"/>
        <s v="Marion Beeler"/>
        <s v="Daljit Singh"/>
        <s v="Adam Ludlow"/>
        <s v="Kenneth Walsh"/>
        <s v="Dennis Lively, Sr."/>
        <s v="Norman and Robin J. Machi"/>
        <s v="Joseph K. Odenwald"/>
        <s v="Alan M. Smith"/>
        <s v="Harvey S. Wachman"/>
        <s v="Patrick V. McGonigal."/>
        <s v="Frederick W. Knoch III"/>
        <s v="William P. Carlton"/>
        <s v="Barry Golden"/>
        <s v="Ronald and Kristine Antoine"/>
        <s v="Robert Crandall"/>
        <s v="Barbara J. Wynn"/>
        <s v="William L. Wynn"/>
        <s v="Royal Estate Management, LLC"/>
        <s v="Peter Fan"/>
        <s v="Fremont Hotel, Inc."/>
        <s v="Harry Binder"/>
        <s v="Alan Markowitz"/>
        <s v="Joe K. Moore"/>
        <s v="Leos Poklop"/>
        <s v="Victor Lohman"/>
        <s v="James W. Young"/>
        <s v="Jean Ray McCown"/>
        <s v="Irv Canter"/>
        <s v="Elissa Crosby"/>
        <s v="Robert Jarmon"/>
        <s v="Lloyd Bracewell"/>
        <s v="Jeffrey Cole"/>
        <s v="Robert Eth"/>
        <s v="Leslie Axman"/>
        <s v="George Folias"/>
        <s v="Thomas Schonberg"/>
        <s v="Charles Frischer"/>
        <s v="Peter Hopfe"/>
        <s v="Municipal Employees Retirement System of Michigan"/>
        <s v="Steve Wiegele"/>
        <s v="Scott Kroeker"/>
        <s v="Al Zecher"/>
        <s v="Richard N. Zecher 2010 Family Trust"/>
        <s v="Zech Capital LLC"/>
        <s v="Andrew C. Newman"/>
        <s v="Victoriano V. Fernandez"/>
        <s v="Jerome Thissen"/>
        <s v="Cameron Braithwaite"/>
        <s v="Kim Kyung Boum"/>
        <s v="Ankur Dadoo"/>
        <s v="Mundeog Seol"/>
        <s v="Peter Makhlouf"/>
        <s v="JianFei Huang"/>
        <s v="Augustine Cabrera"/>
        <s v="Sandeep Doma"/>
        <s v="Stephens Johnson"/>
        <s v="Gregory Binkiewicz"/>
        <s v="Jason Martinez"/>
        <s v="Kevin Korbaylo"/>
        <s v="James Nguyen"/>
        <s v="Padraig McGowan"/>
        <s v="Ricardo Manes"/>
        <s v="Raj M. Pherwani"/>
        <s v="Murray Hoffman"/>
        <s v="Ali B. Zanjani"/>
        <s v="Teresa Nicastro"/>
        <s v="Gregory and Lillian Lennox Family Trust"/>
        <s v="Arthur Seiden"/>
        <s v="Uliel Dreyfuss Nathan Capital Investment Management LTD"/>
        <s v="Brandon Coleman"/>
        <s v="Kenneth L. Fishman"/>
        <s v="Clifford Gabel"/>
        <s v="Bhavisha Parmar"/>
        <s v="William Melchione"/>
        <s v="Chowdhury Ziaur Rahman"/>
        <s v="Matthew Bakale Jr."/>
        <s v="John Rastelli"/>
        <s v="Daniel Langton"/>
        <s v="Tasso Araripe"/>
        <s v="City of Livonia Employees Retirement System"/>
        <s v="Margaret Smith"/>
        <s v="Carpenters Pension Fund of Illinois"/>
        <s v="Liew Han Liang"/>
        <s v="Yuval Lapiner"/>
        <s v="116060 Canada Inc."/>
        <s v="Hai Ngo"/>
        <s v="Roland L. Willis"/>
        <s v="Adela Bai"/>
        <s v="Robert H. Anthony"/>
        <s v="Michael Rivkind"/>
        <s v="Constantinos D. Therios"/>
        <s v="Maeve Investment Company Limited Partnership"/>
        <s v="Ronald E. Stein and Jacquilyn S. Stein"/>
        <s v="Verneda Johnson"/>
        <s v="Annlouise Reitz"/>
        <s v="Paul Onesti"/>
        <s v="Allan Ramirez"/>
        <s v="Sameh M. Yamany"/>
        <s v="David Burns"/>
        <s v="Steven Krems"/>
        <s v="Jerome Spindler"/>
        <s v="Clemens Schlettwein"/>
        <s v="Casey Minnick"/>
        <s v="Dimitrios Daniil"/>
        <s v="Craig Taffel"/>
        <s v="Yisroel Lieber"/>
        <s v="Ali Alkhateeb"/>
        <s v="Daryll Handell"/>
        <s v="Dan Schlapkohl"/>
        <s v="Gustavo Rivera De La Fuente"/>
        <s v="Newvana Ventures Limited"/>
        <s v="Massachusetts Water Resources Authority Employees Retirement Board"/>
        <s v="Ontario Teachers Pension Plan Board"/>
        <s v="Oregon Public Employee Retirement Fund"/>
        <s v="Waterford Township Police &amp; Fire Retirement System"/>
        <s v="City of Roseville Employees Retirement System"/>
        <s v="Robert Brosnan"/>
        <s v="Ilia Delio"/>
        <s v="Masoud Samee"/>
        <s v="Carpenters Annuity Trust Fund for Northern California"/>
        <s v="City of Fort Lauderdale General Employees Retirement System"/>
        <s v="Bruce &amp; Cynthia Sherman Charitable Foundation"/>
        <s v="Bruce S. Sherman"/>
        <s v="Joseph William Oldknow"/>
        <s v="Ann Hellings 2016 Trust"/>
        <s v="Brian A. Hellings"/>
        <s v="Christopher Kiernan"/>
        <s v="James Pollard"/>
        <s v="Salamon Gimpel"/>
        <s v="Rosewood Funeral Home"/>
        <s v="Thomas Dorsey"/>
        <s v="Xiaolin Wang"/>
        <s v="MCS Supplementary Pension Plan"/>
        <s v="Seafarers Money Purchase Pension Plan"/>
        <s v="Seafarers Officers and Employees Pension Plan"/>
        <s v="United Industrial Workers Pension Plan"/>
        <s v="Seafarers Pension Plan"/>
        <s v="Grace Omura"/>
        <s v="John Gilbert"/>
        <s v="Ethan Silverman"/>
        <s v="V Rao and Sujata Dandamudi"/>
        <s v="Diana Lawler"/>
        <s v="Lawrence Henry Smallen and Laura Anne Smallen Revocable Living Trust"/>
        <s v="Martin Herman"/>
        <s v="Mark J. Somers"/>
        <s v="Anthony Amadio"/>
        <s v="Claude St-Hilaire"/>
        <s v="Jerry Brawner"/>
        <s v="David Grooman"/>
        <s v="Stephen Kroeger"/>
        <s v="The Josephine DiGiovanni Family Trust"/>
        <s v="Stephen L. Craig"/>
        <s v="Suprabha Bhat"/>
        <s v="Thomas McCall"/>
        <s v="Chad S. Miller"/>
        <s v="Scott Matthew"/>
        <s v="Robert Bates"/>
        <s v="IBEW Local No. 58 Sound &amp; Communication Division Retirement Plan"/>
        <s v="Kirk Taylor"/>
        <s v="Scott McLatchy"/>
        <s v="Joseph Paulin"/>
        <s v="Frances Taylor"/>
        <s v="Steven Maxon"/>
        <s v="Sanjiv Purohit"/>
        <s v="David Hilinsky"/>
        <s v="Robert Mattingly"/>
        <s v="Nick Cross"/>
        <s v="Carmen Caruso"/>
        <s v="Danilo Gasapo"/>
        <s v="Raymond LaPointe"/>
        <s v="David Chen"/>
        <s v="Ty Hall"/>
        <s v="Walter Gibson III"/>
        <s v="Norman G. Romanick"/>
        <s v="Ben M. Brink"/>
        <s v="James Wright"/>
        <s v="Nathan Beckett"/>
        <s v="Clyde Edward Manning"/>
        <s v="Chelston Farm Pty Ltd"/>
        <s v="North Underhill Cemetery Association"/>
        <s v="Underhill Cemetery Association"/>
        <s v="Samir Patel"/>
        <s v="Randall Clark"/>
        <s v="Paul Duggan"/>
        <s v="Ruben Ledesma"/>
        <s v="Ivan Barenbaum"/>
        <s v="Dave Duff"/>
        <s v="City of North Miami Beach General Employees Retirement Plan"/>
        <s v="City of North Miami Beach Police Officers and Firefighters Retirement Plan"/>
        <s v="Mark Wallace"/>
        <s v="Edward Puhalla"/>
        <s v="John Stearns"/>
        <s v="Diane Stearns"/>
        <s v="John P. Norton"/>
        <s v="SNS Holding Co."/>
        <s v="Joseph Cwiertniewicz"/>
        <s v="Charles Cheatham"/>
        <s v="Zeyad AlMukhaizeem"/>
        <s v="National Elevator Industry Pension Fund"/>
        <s v="Youri Hazanov"/>
        <s v="Stichting Blue Sky Active Large Cap Equity USA Fund"/>
        <s v="Stichting Blue Sky Global Equity Active Low Volatility Fund"/>
        <s v="John Schodowski"/>
        <s v="Lewis Miller"/>
        <s v="Patricia S. LaLonde"/>
        <s v="Donald Bellafiore"/>
        <s v="Robert Abric"/>
        <s v="Warren Mattox"/>
        <s v="Ara Chakalian"/>
        <s v="Sean Reilly"/>
        <s v="Sacramento City Employees Retirement System"/>
        <s v="William H. Dent"/>
        <s v="Robert M. Ross"/>
        <s v="Bernardo Medellin"/>
        <s v="Aberdeen City Council as Administrating Authority for the North East Scotland Pension Fund"/>
        <s v="Richard Carrazza"/>
        <s v="Richard Farino"/>
        <s v="Fred Assefi"/>
        <s v="Brian Thomas"/>
        <s v="Dan Schon"/>
        <s v="Louis J. DAnnibalee"/>
        <s v="David Harter"/>
        <s v="William K. and Mary F. Wright"/>
        <s v="Charles G. and Rose M. Fairbanks Living Trust"/>
        <s v="Jeffrey W. Stum"/>
        <s v="Stuart Schapiro"/>
        <s v="Teamsters Local 456 Pension Fund"/>
        <s v="David Heed"/>
        <s v="Chi Wah On"/>
        <s v="Orange County Employees Retirement System"/>
        <s v="Cristiano Laux"/>
        <s v="Anders Evju"/>
        <s v="Ana Piumbini"/>
        <s v="Farhad Babazadeh"/>
        <s v="Roberto Carlen"/>
        <s v="Constantin Tranalis"/>
        <s v="Scott &amp; Vicky Shen"/>
        <s v="TCAP Real Estate Inc."/>
        <s v="Walter De Schutter"/>
        <s v="Westway Alliance Corp."/>
        <s v="Dhirendra Prasad Sangal"/>
        <s v="Vimal K. Kocher"/>
        <s v="Richard McColloch"/>
        <s v="Philip Tohme"/>
        <s v="Boris Lvov"/>
        <s v="Max Nussbaumer"/>
        <s v="Igor Melnikov"/>
        <s v="Al-Mackey Enterprises, Inc."/>
        <s v="Steamfitters Local 449 Pension &amp; Retirement Security Funds"/>
        <s v="Robert Mansfield"/>
        <s v="Nelson Than"/>
        <s v="Kaktrale Austin"/>
        <s v="Sumesh Kumar"/>
        <s v="Don Harris"/>
        <s v="Puerto Rico Government Employees and Judiciary Retirement Systems Administration"/>
        <s v="Michael E. Vacek, Jr."/>
        <s v="Richard Worley"/>
        <s v="Danny Trout"/>
        <s v="Courtney Elkin"/>
        <s v="Ross Arneberg"/>
        <s v="David Speiser"/>
        <s v="Morgan Cartwright"/>
        <s v="Eduardo Fiallos"/>
        <s v="Vinoth Ravi"/>
        <s v="Kamil Kirio"/>
        <s v="Altrocchi Family Limited Partnership 1"/>
        <s v="Catherine Altrocchi Waidyatilleka"/>
        <s v="The Paul Altrocchi Revocable Living Trust"/>
        <s v="James Lord"/>
        <s v="Bob F. Reaves"/>
        <s v="Donald W. Fabini"/>
        <s v="Mohammad Djafarian"/>
        <s v="Carlos Antonio Llantada Estrada"/>
        <s v="Donald Van Epps"/>
        <s v="Floyd Madison"/>
        <s v="Lee Van Epps"/>
        <s v="Nicole Conoley"/>
        <s v="Rhett Conoley"/>
        <s v="William L. Pate, Jr."/>
        <s v="Michael Erber"/>
        <s v="Robert Anthony Jr."/>
        <s v="Terry G. Sandlin Sr."/>
        <s v="Employees Retirement System of the State of Rhode Island"/>
        <s v="Mary M. Nordskog"/>
        <s v="Debasish Dutt"/>
        <s v="Raymond Mentor"/>
        <s v="Christopher Ikeocha"/>
        <s v="Brian Gabrich"/>
        <s v="Kresimir Corak"/>
        <s v="Matthew Solis"/>
        <s v="Mehul Rastogi"/>
        <s v="Aaron Le"/>
        <s v="IWA Forest Industry Plan"/>
        <s v="Jim Welton"/>
        <s v="City of Melbourne Police Officers Retirement System"/>
        <s v="Sutton View Partners LP"/>
        <s v="Ben Maher"/>
        <s v="Peggy Dern"/>
        <s v="Shun Wah So"/>
        <s v="Dong Mei Mi"/>
        <s v="Len Zheng"/>
        <s v="Eric Levy"/>
        <s v="Matt Brierley"/>
        <s v="Rajesh M. Shah"/>
        <s v="Regina Critchley"/>
        <s v="Sridhar Dutta"/>
        <s v="Timothy Bryan"/>
        <s v="Richard S. Engle"/>
        <s v="Michelle Gold"/>
        <s v="Paul Marchese"/>
        <m/>
        <s v="Cynthia Wooldridge"/>
        <s v="Jo Ann Offutt"/>
        <s v="Johanna Choy"/>
        <s v="Raymond Harris"/>
        <s v="Tomy Lukose"/>
        <s v="Anthony Nguyen"/>
        <s v="Carla Byrd"/>
        <s v="Todd Loccisano"/>
        <s v="Joseph M. Petite"/>
        <s v="Martine-Vivianne Petite"/>
        <s v="Amardeep Sidhu"/>
        <s v="Joel Sofer"/>
        <s v="Moshe Onel"/>
        <s v="Mickey Nardiello"/>
        <s v="Zhenzhe Wang"/>
        <s v="Mason Slaine, as Trustee of Mason P Slaine Revocable Trust"/>
        <s v="Harry Hsai"/>
        <s v="Harry Rosenberg"/>
        <s v="Michael R. Lewis"/>
        <s v="Mordehai Schwartz"/>
        <s v="Stuart Krasney"/>
        <s v="Wen-Hsin Hsia"/>
        <s v="Abraham Cohen"/>
        <s v="Vincent Della Volpe"/>
        <s v="Jonathan and Grace Lo"/>
        <s v="Yael Amsellem"/>
        <s v="Andrew and Danielle Blumenthal"/>
        <s v="Beatrice M. Akers"/>
        <s v="Duy Vu"/>
        <s v="Mark Madrack"/>
        <s v="Brian Shrader"/>
        <s v="Joe Bojues"/>
        <s v="John Lucas"/>
        <s v="David Weinstein"/>
        <s v="Dennis J. Seltzer"/>
        <s v="Steven Robert Farrar"/>
        <s v="Thomas J. Bruch"/>
        <s v="Maqsood Sheikh"/>
        <s v="RA Consulting Aps"/>
        <s v="Yuhai Ding"/>
        <s v="John Ream"/>
        <s v="Yongseok Park"/>
        <s v="SEB Investment Management AB"/>
        <s v="Rustem Nurlybayev"/>
        <s v="Dongna Fang"/>
        <s v="Hector Galvan"/>
        <s v="Spruceland Mall Ltd Partnership"/>
        <s v="Stanislav Yakhno"/>
        <s v="Benjamin Wong 2015 Charitable Remainder Unitrust UA September 22, 2015"/>
        <s v="Calvin Wong 2015 Charitable Remainder Unitrust UA September 11, 2015"/>
        <s v="Ivan Wong 2015 Charitable Remainder Unitrust UA September 22, 2015"/>
        <s v="The Wong 2015 Charitable Remainder Trust, UA September 11, 2015"/>
        <s v="Gary Chute"/>
        <s v="Marcos Velasquez"/>
        <s v="Cristina Davis"/>
        <s v="Sanzhar Khussainov"/>
        <s v="Stephen Waugh"/>
        <s v="Susan Finkel"/>
        <s v="Local 295 IBT Employer Group Pension Trust Fund"/>
        <s v="Michigan Carpenters Pension Fund"/>
        <s v="Wladislaw Maciuga"/>
        <s v="Christine Dickens"/>
        <s v="Greg Kachnovitz"/>
        <s v="Peter Pastrano"/>
        <s v="Steven Masterson"/>
        <s v="Howard L. Krangle"/>
        <s v="Hui Zhang"/>
        <s v="WKW Partners Fund I, LP"/>
        <s v="Subhash Saha"/>
        <s v="Ronald Sobala"/>
        <s v="David A. Klopfenstein"/>
        <s v="Rina Rollhaus"/>
        <s v="Kulwant Johal"/>
        <s v="Matthew McGee"/>
        <s v="Jerry L. Searing"/>
        <s v="Boca Raton Firefighters and Police Pension Fund"/>
        <s v="Brian Fong"/>
        <s v="Irfan Rahman"/>
        <s v="City of Hollywood Firefighters Pension Fund"/>
        <s v="Anthony Pipitone"/>
        <s v="Donald B. Cork"/>
        <s v="Amir and Patricia Fakharzadeh"/>
        <s v="Amnuey and Helen Chiemprabha"/>
        <s v="Kristen and Gregory Knight"/>
        <s v="Stephen Rakower"/>
        <s v="Thomas Edmons"/>
        <s v="Lawrence Rougier"/>
        <s v="Philip R. Deubler, Jr."/>
        <s v="Daniel Sisto"/>
        <s v="Jay C. Weenig"/>
        <s v="Tony Plant"/>
        <s v="Michael Avenia"/>
        <s v="CFG Custom Portfolio Corporation"/>
        <s v="LIUNA National (Industrial) Pension Fund"/>
        <s v="LIUNA Staff &amp; Affiliates Pension Fund"/>
        <s v="Joseph Prause"/>
        <s v="David Ducharme"/>
        <s v="Julia Ann Snyder"/>
        <s v="Sam Snyder"/>
        <s v="Eric Ludwig"/>
        <s v="Guy Braverman"/>
        <s v="John Blair"/>
        <s v="Marc F. Mahoney"/>
        <s v="Stephen Rapp"/>
        <s v="Beldevere Abarrientos"/>
        <s v="Paul McBurney"/>
        <s v="Gerardo Birkenfeld"/>
        <s v="City of Taylor Police and Fire Retirement System"/>
        <s v="Bernard Segal as Trustee of the Levine 2012 Trust"/>
        <s v="Robert Nardy, Jr."/>
        <s v="Graham Capozio"/>
        <s v="King Nine Associates"/>
        <s v="The Azriliant Family LLC"/>
        <s v="George Keritsis"/>
        <s v="Trust for the Benefit of JohnJohn Ferris"/>
        <s v="Konstantinos Kazanakis"/>
        <s v="Brenda Strum"/>
        <s v="Janardhan Grandhe"/>
        <s v="Atif Janjua"/>
        <s v="Dean H. Roller"/>
        <s v="Jason R. McDowell"/>
        <s v="Jeff Mamera"/>
        <s v="Chayn Mousa"/>
        <s v="Kamal Kheridden"/>
        <s v="Konrad Wottge"/>
        <s v="Mary Jane Silvey"/>
        <s v="Robert Luke"/>
        <s v="Bryan Siegel"/>
        <s v="Javier Andres Eguia and Maria Veronica Cima"/>
        <s v="Vineet Agrawal"/>
        <s v="Hasan Alsawaf"/>
        <s v="City of Hollywood Police Officers Retirement System"/>
        <s v="City Pension Fund for Firefighters and Police Officers In The City of Miami Beach"/>
        <s v="Pembroke Pines Fire and Police Pension Fund"/>
        <s v="Local 272 Labor-Management Pension Fund"/>
        <s v="Michael Dolan"/>
        <s v="Arindam Banerjee"/>
        <s v="Jogesh Harjai"/>
        <s v="Dr. Todd Vogel"/>
        <s v="Linday Grotewiel"/>
        <s v="Thomas Gallagher"/>
        <s v="Khaled Ramadan"/>
        <s v="Cynthia Troy"/>
        <s v="Jean Claude Dumont"/>
        <s v="Kenneth Herrnson"/>
        <s v="Penny Poirier"/>
        <s v="Yau-Hung Chow"/>
        <s v="Osi Peters"/>
        <s v="Glenn Stephenson"/>
        <s v="Kavita Mehta"/>
        <s v="Oleg Tkalych"/>
        <s v="William L. Stephens"/>
        <s v="Larry Hull"/>
        <s v="Jeffrey Panos"/>
        <s v="Frederick Berliner"/>
        <s v="Kevin Nguyen"/>
        <s v="Ernest H. Wagner"/>
        <s v="John Ziliani"/>
        <s v="Qingbo Ao"/>
        <s v="Chen Qiwei"/>
        <s v="Christopher Park"/>
        <s v="Dharmesh Patel"/>
        <s v="Gilberto Castro"/>
        <s v="Alfonso Tomas Canovas"/>
        <s v="John Mastin"/>
        <s v="Oswald Llanderosos"/>
        <s v="Richard H. Burnett"/>
        <s v="David Thomas Jones"/>
        <s v="John Taylor Jones"/>
        <s v="Rex and Roberta Living Trust ua December 6, 1990"/>
        <s v="Zhong Zheng"/>
        <s v="Lynda Huang"/>
        <s v="Matthew Tangeman"/>
        <s v="Joel Friedman"/>
        <s v="Randy Edwards"/>
        <s v="Richard E. Beuhler"/>
        <s v="Brenda Johnston"/>
        <s v="Kerry Johnston"/>
        <s v="Phillip H. Rhodes, Jr."/>
        <s v="Shem Properties Inc."/>
        <s v="Laborers Pension Trust Fund - Detroit and Vicinity"/>
        <s v="Oregon Public Employees Retirement Fund"/>
        <s v="Sona Andresian"/>
        <s v="Allen Feldman"/>
        <s v="Art Kleppen"/>
        <s v="Essex Lacy"/>
        <s v="Mark D. Alger"/>
        <s v="Tae Yi"/>
        <s v="Employers-Teamsters Local 175 &amp; 505 Pension Trust Fund Plan"/>
        <s v="Uniformed Sanitationmens Association Local 831 Compensation Accrual Fund"/>
        <s v="Western Washington  Laborers-Employers Pension Trust Fund"/>
        <s v="Ronald Pena"/>
        <s v="Edgar Acosta"/>
        <s v="Raphael Domingo"/>
        <s v="Joseph Lobo"/>
        <s v="Dr. Gordon E. Besse"/>
        <s v="Douglas Milton"/>
        <s v="Perry Lasky"/>
        <s v="City of Sunrise General Employees Retirement Plan"/>
        <s v="Socorro Trujillo"/>
        <s v="Zhimin He"/>
        <s v="Gavin Chandler"/>
        <s v="James Ljutic"/>
        <s v="The Susan Nick Trust"/>
        <s v="Caleb McArthur"/>
        <s v="Joseph Levine"/>
        <s v="Kevin Gardeck"/>
        <s v="Carlos Guillermo Julian Vega"/>
        <s v="Robert S. Davis"/>
        <s v="Larry and Lanah Madewell"/>
        <s v="Cheryl D. Puccio"/>
        <s v="Henry C. Reusch"/>
        <s v="Mihaita Virjoghe"/>
        <s v="Michael Shenkenberg"/>
        <s v="Chaz Motter"/>
        <s v="Duane Creedon"/>
        <s v="Edward Sutor"/>
        <s v="Jimmy Greathouse"/>
        <s v="Robert Kleszynski"/>
        <s v="Richard Donohue"/>
        <s v="Matthew Machion"/>
        <s v="Dane Gussin"/>
        <s v="Robert Faucheux"/>
        <s v="Richard Roschke"/>
        <s v="Fred Torbaty"/>
        <s v="Juzo Mizuno"/>
        <s v="Ken Shollmier"/>
        <s v="Stephen Glogowski"/>
        <s v="Suzanne Rice"/>
        <s v="Jac Mac Phail Revocable Living Trust"/>
        <s v="Philipp Kreuser"/>
        <s v="GWI Enterprise Ltd."/>
        <s v="Ariadna Adijashvili"/>
        <s v="Mary Tam"/>
        <s v="Sharmilli Ghosh"/>
        <s v="Tom DiBiase"/>
        <s v="Howard Weisman"/>
        <s v="Irland James Stewart"/>
        <s v="Wu Chen Yueh Chiao"/>
        <s v="Shinu Gupta"/>
        <s v="Brenda Powell"/>
        <s v="Elliot Stamler"/>
        <s v="Daniel Hovasse"/>
        <s v="Leon Kurdziel, Jr."/>
        <s v="Arif Rawji"/>
        <s v="Shameela Rawji"/>
        <s v="Moustafa Zaatout"/>
        <s v="Dima Alghazzy"/>
        <s v="Shamcy Alghazzy"/>
        <s v="Willet Beavers"/>
        <s v="Nicholas Cammarato"/>
        <s v="Kapitalforeningen Laegernes Invest"/>
        <s v="Eiichi Takahara"/>
        <s v="Larry Milton"/>
        <s v="Wendy Beer"/>
        <s v="Joshua Pakdeljam"/>
        <s v="Justice Jiang"/>
        <s v="City of Warwick Municipal Employees Pension Fund"/>
        <s v="Markus Knittel"/>
        <s v="Jacques Fuhrer"/>
        <s v="John Sun"/>
        <s v="Jung Wei Chi"/>
        <s v="Tomasz Gomolinski"/>
        <s v="Ashwini Malhotra"/>
        <s v="BKW Living Trust, dated November 18, 1986"/>
        <s v="Marvin H. Schwartz"/>
        <s v="Glenn Ellis"/>
        <s v="Marcel Lecours, Jr."/>
        <s v="Adrian Parker"/>
        <s v="Anthony Sallustro"/>
        <s v="Joe Traylor"/>
        <s v="William Dubois"/>
        <s v="Yajun Zhai"/>
        <s v="Heather Salway"/>
        <s v="Norfolk Pension Fund"/>
        <s v="Carlo Caroti"/>
        <s v="Keith Kolish"/>
        <s v="Seth Burroughs"/>
        <s v="Kuberbhai M. Patel and Kanti K. Patel"/>
        <s v="Semir Ghamar"/>
        <s v="Vikram Sheth"/>
        <s v="Alice Twomey"/>
        <s v="Dmitri Karpov"/>
        <s v="Joseph McIntire"/>
        <s v="Ricky Elmore"/>
        <s v="William McCormick"/>
        <s v="Gregory Niehaus"/>
        <s v="John Free"/>
        <s v="Stephen Knauer"/>
        <s v="Richard Jacobson"/>
        <s v="Kenneth Rubenfeld"/>
        <s v="Radovan Rasa"/>
        <s v="Stephen Wise"/>
        <s v="Henry G. Bieryla"/>
        <s v="James L. Jordan"/>
        <s v="Konstantinos H. Tsiavos"/>
        <s v="Salvatore D. Fanelli"/>
        <s v="Thomas Nolan"/>
        <s v="Dennis Coleman"/>
        <s v="Richard Sousa"/>
        <s v="Operating Engineers Health and Welfare Trust Fund"/>
        <s v="Pensioned Operating Engineers Health and Welfare Trust Fund"/>
        <s v="Christakis Vrakas"/>
        <s v="Teamsters Local 237 Additional Security Benefit Fund, Supplemental Fund for Housing Authority Employees, Welfare Fund, and Welfare Fund Pension Plan"/>
        <s v="James OToole"/>
        <s v="Lindsey Schweighart"/>
        <s v="Mark Schweighart"/>
        <s v="Matt Schweighart"/>
        <s v="Michael Schweighart"/>
        <s v="Robert Anderson"/>
        <s v="Ryan Schweighart"/>
        <s v="Michelle Thai"/>
        <s v="Gerald W. Klein"/>
        <s v="Gary Vatter"/>
        <s v="David Garner"/>
        <s v="Roberta Garner"/>
        <s v="Sau Au"/>
        <s v="Nirav Shah"/>
        <s v="Dharmanand Shetty"/>
        <s v="Alexander Rizk"/>
        <s v="AW Bangayan, Inc."/>
        <s v="Veronika Prudnikova"/>
        <s v="Panthera Investment Fund L.P."/>
        <s v="James Emerson"/>
        <s v="November Family Trust DD 551983"/>
        <s v="Power Holding Corporation"/>
        <s v="The William T. Higgs Trust"/>
        <s v="Inter-Marketing Group USA, Inc."/>
        <s v="Amy Boatwright"/>
        <s v="Marleen Winer"/>
        <s v="Ronald Miller"/>
        <s v="Bruce Hislop"/>
        <s v="Cavalier Fundamental Growth Fund"/>
        <s v="Michel Dimian"/>
        <s v="Simon Scott"/>
        <s v="Jimmie O. Robinson"/>
        <s v="Gerald Cohen"/>
        <s v="Dwayne Barrett"/>
        <s v="Thomas Cosby"/>
        <s v="Cary Gathright"/>
        <s v="John Hyland"/>
        <s v="Burcin Ekser"/>
        <s v="Gianfilippo Mogavero"/>
        <s v="Steven Gerber"/>
        <s v="John Novack"/>
        <s v="Walter Aerts"/>
        <s v="Marina Azorsky"/>
        <s v="Chiru Mackert"/>
        <s v="Vikram Rao"/>
        <s v="Serghei Lungu"/>
        <s v="Faraj Touchan"/>
        <s v="Daniel DeYoe"/>
        <s v="Dennis Roof"/>
        <s v="Qiang Xie"/>
        <s v="Robert Szczodrowski"/>
        <s v="Tai Duong"/>
        <s v="Rehan Khan"/>
        <s v="Yuri Marakhovsky"/>
        <s v="Jason Montblanc"/>
        <s v="Jesse Wayne Pritchard"/>
        <s v="Jun Wang"/>
        <s v="Oregon Laborers Employers Pension Trust Fund"/>
        <s v="Kurt Friedman"/>
        <s v="St. Clair County Employees Retirement System"/>
        <s v="Janet Sullivan"/>
        <s v="Shannon Rowe"/>
        <s v="John DuBois"/>
        <s v="Gene R. Wills"/>
        <s v="Richard Linke"/>
        <s v="Raymond East, Jr."/>
        <s v="Michael Holub"/>
        <s v="Scott Bugbee"/>
        <s v="Stephen Doo"/>
        <s v="ATM Four, LLC"/>
        <s v="Anthony Lattarulo"/>
        <s v="Francis L. Ingram"/>
        <s v="Kevin &amp; Mary Jane M. Demet"/>
        <s v="Kevin Demet"/>
        <s v="Russell Smith"/>
        <s v="Edward J. Hopkins"/>
        <s v="Raff Family"/>
        <s v="Carlos Lagomarsino"/>
        <s v="Abraham Kassin"/>
        <s v="Best Pots, Inc."/>
        <s v="Edward Kobus"/>
        <s v="Hunter Family"/>
        <s v="Vardumyan Marine"/>
        <s v="Richard Schubert"/>
        <s v="Hou Liu &amp; Amy Fu"/>
        <s v="West Virginia Investment Management Board"/>
        <s v="Dominic Veneto"/>
        <s v="Kenneth Evans"/>
        <s v="Marshall Mullins"/>
        <s v="Richard McClure"/>
        <s v="John R. Atkinson III"/>
        <s v="Randye Hubsher"/>
        <s v="Rustam Mustafin"/>
        <s v="Julia Fattorini"/>
        <s v="Robert Dail"/>
        <s v="Henrik Thorring"/>
        <s v="Robert Brock"/>
        <s v="Roberta June Campbell"/>
        <s v="Robert Freedman"/>
        <s v="Wayne and Linda Mucha"/>
        <s v="Corpus Christi Firefighters Retirement System"/>
        <s v="Daniel E. Onishuk, Jr."/>
        <s v="Mohammed Kayyal"/>
      </sharedItems>
    </cacheField>
    <cacheField name="Individual/Institution" numFmtId="0">
      <sharedItems containsBlank="1"/>
    </cacheField>
    <cacheField name="Movant Loss" numFmtId="0">
      <sharedItems containsBlank="1" containsMixedTypes="1" containsNumber="1" minValue="72.72" maxValue="64910560" count="1921">
        <n v="51587.92"/>
        <n v="72994.42"/>
        <n v="1874878.85"/>
        <n v="2479669.9300000002"/>
        <n v="470000"/>
        <s v="***"/>
        <n v="446000"/>
        <n v="492329.36"/>
        <n v="146994"/>
        <n v="574679"/>
        <n v="1800842"/>
        <n v="969658"/>
        <n v="242"/>
        <n v="555"/>
        <n v="72.72"/>
        <n v="8711.56"/>
        <n v="9876.9"/>
        <n v="58983.85"/>
        <n v="29841.43"/>
        <n v="66930"/>
        <n v="138575.85999999999"/>
        <n v="4150.33"/>
        <n v="147.19999999999999"/>
        <n v="8585"/>
        <n v="10500"/>
        <n v="138077.06"/>
        <n v="303220.49"/>
        <n v="1312964.72"/>
        <n v="2714185.68"/>
        <n v="5210951.6399999997"/>
        <n v="1385425.03"/>
        <n v="33350.33"/>
        <n v="54022.239999999998"/>
        <n v="341090.39"/>
        <n v="8764"/>
        <n v="171061.2"/>
        <n v="2122805.2200000002"/>
        <n v="5037534"/>
        <n v="1219956.07"/>
        <n v="557554.63"/>
        <n v="81545.91"/>
        <n v="2521284"/>
        <n v="8866687"/>
        <n v="354569.34"/>
        <n v="70866.62"/>
        <n v="371761.79"/>
        <n v="20847078.41"/>
        <n v="34226005.310000002"/>
        <n v="5970378.1600000001"/>
        <n v="11815139.140000001"/>
        <n v="6006.17"/>
        <n v="1532303.25"/>
        <n v="375076.44"/>
        <n v="621586.21"/>
        <n v="234"/>
        <n v="5265.72"/>
        <n v="5297.64"/>
        <n v="10962.7"/>
        <n v="14040"/>
        <n v="19890"/>
        <n v="5134.5"/>
        <n v="9172"/>
        <n v="10270.85"/>
        <n v="14780.47"/>
        <n v="31436.35"/>
        <n v="991862.05"/>
        <n v="55053"/>
        <n v="30000"/>
        <n v="1800"/>
        <n v="869"/>
        <n v="85673"/>
        <n v="704617"/>
        <n v="53137"/>
        <n v="3630"/>
        <n v="894552.73"/>
        <n v="1315107.51"/>
        <n v="8392"/>
        <n v="69090.289999999994"/>
        <n v="3540"/>
        <n v="7836"/>
        <n v="17466"/>
        <n v="39632"/>
        <n v="101259"/>
        <n v="269914.83"/>
        <n v="291510.76"/>
        <n v="199927.17"/>
        <n v="202798.45"/>
        <n v="27024.54"/>
        <n v="11257.08"/>
        <n v="2185.75"/>
        <n v="3382"/>
        <n v="16254.39"/>
        <n v="20036.560000000001"/>
        <n v="29111.919999999998"/>
        <n v="28862.41"/>
        <n v="869253.27"/>
        <n v="10912.85"/>
        <n v="15369.9"/>
        <n v="60518.65"/>
        <n v="81752.42"/>
        <n v="545742.94999999995"/>
        <n v="2527.4"/>
        <n v="335053.02"/>
        <n v="4777"/>
        <n v="13902"/>
        <n v="506283.54"/>
        <n v="5465"/>
        <n v="10937.67"/>
        <n v="14131.96"/>
        <n v="48974.58"/>
        <n v="93176.71"/>
        <n v="146236.74"/>
        <n v="198710.96"/>
        <n v="363820.61"/>
        <n v="522742.97"/>
        <n v="193791.84"/>
        <n v="781711.56"/>
        <n v="13405"/>
        <n v="1118394"/>
        <n v="53760"/>
        <n v="260864"/>
        <n v="622628"/>
        <n v="5525.85"/>
        <n v="13300"/>
        <n v="18700"/>
        <n v="118388.95"/>
        <n v="1124.5"/>
        <n v="3050.71"/>
        <n v="7850"/>
        <n v="11538"/>
        <n v="5470011.8700000001"/>
        <n v="468903.39"/>
        <n v="422"/>
        <n v="603.84"/>
        <n v="38421.300000000003"/>
        <n v="97003.14"/>
        <n v="6441574.3799999999"/>
        <n v="1223044.21"/>
        <n v="2472959.11"/>
        <n v="36104.47"/>
        <n v="107051.15"/>
        <n v="43618.8"/>
        <n v="113565.32"/>
        <n v="80192.92"/>
        <n v="32179"/>
        <n v="118459"/>
        <n v="24956.68"/>
        <n v="448092.95"/>
        <n v="59773.440000000002"/>
        <n v="3527.25"/>
        <n v="71586.67"/>
        <n v="5840.74"/>
        <n v="115799.65"/>
        <n v="1404255.84"/>
        <n v="2037041.09"/>
        <n v="2832503.04"/>
        <n v="1388498.72"/>
        <n v="2619.92"/>
        <n v="5240.7299999999996"/>
        <n v="12102.27"/>
        <n v="6492"/>
        <n v="12243"/>
        <n v="12983"/>
        <n v="62320"/>
        <n v="94049.42"/>
        <n v="63636.12"/>
        <n v="69855.850000000006"/>
        <n v="32033"/>
        <n v="33927"/>
        <n v="51761"/>
        <n v="959025"/>
        <n v="217.5"/>
        <n v="2639.73"/>
        <n v="3495.63"/>
        <n v="3821"/>
        <n v="78515.73"/>
        <n v="184708.02"/>
        <n v="789293.15"/>
        <s v="SEE ABOVE"/>
        <n v="78290"/>
        <n v="243895"/>
        <n v="279285"/>
        <n v="1176064"/>
        <n v="36295.15"/>
        <n v="42275.06"/>
        <n v="268918.76"/>
        <n v="56365.54"/>
        <n v="99971.88"/>
        <n v="203588.48000000001"/>
        <n v="252517.86"/>
        <n v="24156.720000000001"/>
        <n v="297433.40000000002"/>
        <n v="4385.21"/>
        <n v="5915.83"/>
        <n v="6319.04"/>
        <n v="9654.85"/>
        <n v="23665.9"/>
        <n v="33145.03"/>
        <n v="39798.49"/>
        <n v="12535.07"/>
        <n v="21385.35"/>
        <n v="34214.9"/>
        <n v="41086.730000000003"/>
        <n v="56587.18"/>
        <n v="61029.24"/>
        <n v="4864.5200000000004"/>
        <n v="12450.75"/>
        <n v="15007.65"/>
        <n v="17601.560000000001"/>
        <n v="28027.59"/>
        <n v="990918.58"/>
        <n v="362"/>
        <n v="384"/>
        <n v="897"/>
        <n v="6373736.3899999997"/>
        <n v="328485.93"/>
        <n v="83746.28"/>
        <n v="778734.32"/>
        <n v="1028788.7"/>
        <n v="4124236.12"/>
        <n v="189645"/>
        <n v="2953426.02"/>
        <n v="465142.93"/>
        <n v="85792.92"/>
        <n v="987674.62"/>
        <n v="53496"/>
        <n v="53415"/>
        <n v="104705"/>
        <n v="178250"/>
        <n v="244043"/>
        <n v="339995"/>
        <n v="492656"/>
        <n v="794296"/>
        <n v="41827.14"/>
        <n v="85513"/>
        <n v="100225"/>
        <n v="1121628.47"/>
        <n v="289406.03000000003"/>
        <n v="74388"/>
        <n v="200282.76"/>
        <n v="214889.07"/>
        <n v="673790.92"/>
        <n v="89964.94"/>
        <n v="15393.02"/>
        <n v="16677.87"/>
        <n v="23749.5"/>
        <n v="27839.55"/>
        <n v="98282.66"/>
        <n v="33300"/>
        <n v="13731.98"/>
        <n v="18836.59"/>
        <n v="20282.43"/>
        <n v="58331.62"/>
        <n v="198570.14"/>
        <n v="8850.6200000000008"/>
        <n v="941"/>
        <n v="1273"/>
        <n v="45468.86"/>
        <s v="OMIT"/>
        <n v="4792.9399999999996"/>
        <n v="6853.51"/>
        <n v="118740.5"/>
        <n v="336508.75"/>
        <n v="65094.04"/>
        <n v="117195"/>
        <n v="197348"/>
        <n v="520838"/>
        <n v="11577603.26"/>
        <n v="27330"/>
        <n v="586922.36"/>
        <n v="1867012.77"/>
        <n v="3666926.38"/>
        <n v="30025.759999999998"/>
        <n v="24542"/>
        <n v="45110"/>
        <n v="762373.56"/>
        <n v="899452.65"/>
        <n v="397800.06"/>
        <n v="850127.1"/>
        <n v="3076000.83"/>
        <n v="1526000"/>
        <n v="1684612"/>
        <n v="501193.45"/>
        <n v="1670036.32"/>
        <n v="84834.13"/>
        <n v="9742"/>
        <n v="33303.61"/>
        <n v="176197"/>
        <n v="185199"/>
        <n v="235230"/>
        <n v="338647"/>
        <n v="307.60000000000002"/>
        <n v="10788.9"/>
        <n v="908180.74"/>
        <n v="365183.24"/>
        <n v="1271104.72"/>
        <n v="439206.99"/>
        <n v="1633650.84"/>
        <n v="111523"/>
        <n v="268278"/>
        <n v="22414.33"/>
        <n v="255988.21"/>
        <n v="21199"/>
        <n v="52448"/>
        <n v="12570.49"/>
        <n v="20512.79"/>
        <n v="12492"/>
        <n v="308.92"/>
        <n v="690"/>
        <n v="6012494.4800000004"/>
        <n v="7423927.8099999996"/>
        <n v="120400.95"/>
        <n v="125066.68"/>
        <n v="341454.65"/>
        <n v="98346"/>
        <n v="117161"/>
        <n v="63167.519999999997"/>
        <n v="1032089.48"/>
        <n v="1157170.83"/>
        <n v="20613"/>
        <n v="25668"/>
        <n v="50392"/>
        <n v="562800.43999999994"/>
        <n v="719756.4"/>
        <n v="10250.719999999999"/>
        <n v="126"/>
        <n v="885"/>
        <n v="1222"/>
        <n v="62643.93"/>
        <n v="21647.06"/>
        <n v="69836.25"/>
        <n v="24768.69"/>
        <n v="73006.63"/>
        <n v="53740.71"/>
        <n v="565150.41"/>
        <n v="628011.80000000005"/>
        <n v="27047956.370000001"/>
        <n v="2950"/>
        <n v="6903"/>
        <n v="3872591.3"/>
        <n v="318274.53999999998"/>
        <n v="344.75"/>
        <n v="1729.2"/>
        <n v="2517.56"/>
        <n v="2589.3000000000002"/>
        <n v="3449.2"/>
        <n v="171030.67"/>
        <n v="471529.17"/>
        <n v="30722.959999999999"/>
        <n v="60107.13"/>
        <n v="298963.78999999998"/>
        <n v="72196.53"/>
        <n v="22621.65"/>
        <n v="83621.279999999999"/>
        <n v="90461"/>
        <n v="92694"/>
        <n v="191991"/>
        <n v="21861.32"/>
        <n v="30197.09"/>
        <n v="256308.29"/>
        <n v="99047.16"/>
        <n v="30903.64"/>
        <n v="46703"/>
        <n v="55972"/>
        <n v="56335"/>
        <n v="1218651.21"/>
        <n v="7505.89"/>
        <n v="8470"/>
        <n v="9670"/>
        <n v="10472"/>
        <n v="3866.94"/>
        <n v="5380"/>
        <n v="49792.23"/>
        <n v="15108.97"/>
        <n v="313942.65999999997"/>
        <n v="84057"/>
        <n v="4052"/>
        <n v="1833.7"/>
        <n v="560622.32999999996"/>
        <n v="830737.37"/>
        <n v="1078041.5"/>
        <n v="2194.87"/>
        <n v="36072.29"/>
        <n v="43882.22"/>
        <n v="68684.800000000003"/>
        <n v="110410.7"/>
        <n v="123639.67999999999"/>
        <n v="266109"/>
        <n v="952101"/>
        <n v="33494.589999999997"/>
        <n v="1144164.2"/>
        <n v="539036.93999999994"/>
        <n v="122338.59"/>
        <n v="82377"/>
        <n v="140126"/>
        <n v="158793"/>
        <n v="179019"/>
        <n v="328077"/>
        <n v="599146.29"/>
        <n v="717"/>
        <n v="345280.15"/>
        <n v="112.06"/>
        <n v="2718014"/>
        <n v="278312.11"/>
        <n v="196984"/>
        <n v="290856"/>
        <n v="84274.43"/>
        <n v="322308.15000000002"/>
        <n v="20164.47"/>
        <n v="27734.5"/>
        <n v="50582.95"/>
        <n v="74204.350000000006"/>
        <n v="262921"/>
        <n v="47097.94"/>
        <n v="833.58"/>
        <n v="142016"/>
        <n v="7206832.9500000002"/>
        <n v="82243.05"/>
        <n v="425344.83"/>
        <n v="314649.42"/>
        <n v="15865"/>
        <n v="66896.160000000003"/>
        <n v="175866.88"/>
        <n v="97734.16"/>
        <n v="6899642.0099999998"/>
        <n v="31499.49"/>
        <n v="6863"/>
        <n v="7960"/>
        <n v="23194"/>
        <n v="159654"/>
        <n v="69137.2"/>
        <n v="71854.740000000005"/>
        <n v="233979.33"/>
        <n v="5283.57"/>
        <n v="17928.57"/>
        <n v="20286"/>
        <n v="667993.56000000006"/>
        <n v="1774255.72"/>
        <n v="1301"/>
        <n v="10705"/>
        <n v="11948"/>
        <n v="283462.5"/>
        <n v="141641"/>
        <n v="1413191.47"/>
        <n v="1174799.28"/>
        <n v="19715"/>
        <n v="23535.71"/>
        <n v="32927.22"/>
        <n v="2620"/>
        <n v="5814.98"/>
        <n v="15310"/>
        <n v="50020"/>
        <n v="159348"/>
        <n v="1475.64"/>
        <n v="59986.36"/>
        <n v="60752.62"/>
        <n v="78930.62"/>
        <n v="763963.33"/>
        <n v="1289871.51"/>
        <n v="116943"/>
        <n v="1646120.68"/>
        <n v="71400.89"/>
        <n v="323959"/>
        <n v="1589377.91"/>
        <n v="1650545.7"/>
        <n v="7697"/>
        <n v="15121"/>
        <n v="73751.23"/>
        <n v="47914"/>
        <n v="165837.10999999999"/>
        <n v="129610.69"/>
        <n v="238906.18"/>
        <n v="117661"/>
        <n v="632986.98"/>
        <n v="671998.37"/>
        <n v="721033.63"/>
        <n v="3393877.05"/>
        <n v="161169.89000000001"/>
        <n v="42248.08"/>
        <n v="181352.5"/>
        <n v="67132.800000000003"/>
        <n v="124159.2"/>
        <n v="29732.21"/>
        <n v="22020.28"/>
        <n v="252904"/>
        <n v="415940"/>
        <n v="1095791"/>
        <n v="50123636.979999997"/>
        <n v="1284592.46"/>
        <n v="835557.29"/>
        <n v="54831.47"/>
        <n v="12365"/>
        <n v="98058.41"/>
        <n v="8614.5499999999993"/>
        <n v="14251.97"/>
        <n v="15495.73"/>
        <n v="23091.82"/>
        <n v="76652"/>
        <n v="141865"/>
        <n v="215239.63"/>
        <n v="615557.28"/>
        <n v="130809.5"/>
        <n v="48660"/>
        <n v="122273"/>
        <n v="274900"/>
        <n v="312462"/>
        <n v="370663.04"/>
        <n v="212937.15"/>
        <n v="20847"/>
        <n v="140714"/>
        <n v="312521.3"/>
        <n v="314985.3"/>
        <n v="334720.58"/>
        <n v="130758.99"/>
        <n v="56702.82"/>
        <n v="189422"/>
        <n v="11770.5"/>
        <n v="215265.25"/>
        <n v="128045.84"/>
        <n v="65000"/>
        <n v="142774"/>
        <n v="148934"/>
        <n v="431373"/>
        <n v="156649.25"/>
        <n v="236558.66"/>
        <n v="548661"/>
        <n v="718568"/>
        <n v="791120"/>
        <n v="1117674"/>
        <n v="1036145"/>
        <n v="252957.67"/>
        <n v="867154.76"/>
        <n v="922784.46"/>
        <n v="144851.03"/>
        <n v="111790.66"/>
        <n v="153390.56"/>
        <n v="4597.96"/>
        <n v="71061"/>
        <n v="128952"/>
        <n v="30633.86"/>
        <n v="3578"/>
        <n v="226809.08"/>
        <n v="12114"/>
        <n v="20066"/>
        <n v="12272"/>
        <n v="104546.65"/>
        <n v="67769.42"/>
        <n v="1205"/>
        <n v="3823"/>
        <n v="3903"/>
        <n v="4857"/>
        <n v="3214.23"/>
        <n v="3236.61"/>
        <n v="17347.27"/>
        <n v="1236"/>
        <n v="1591"/>
        <n v="3517"/>
        <n v="149542.54999999999"/>
        <n v="455639.71"/>
        <n v="456460.27"/>
        <n v="913189.33"/>
        <n v="5153394.13"/>
        <n v="24011"/>
        <n v="42640"/>
        <n v="140567"/>
        <n v="302572.96000000002"/>
        <n v="35848.879999999997"/>
        <n v="555860.24"/>
        <n v="1776"/>
        <n v="193034.37"/>
        <n v="108405"/>
        <n v="27101.200000000001"/>
        <n v="9440.11"/>
        <n v="91339.46"/>
        <n v="16081.58"/>
        <n v="143810"/>
        <n v="537683.12"/>
        <n v="558432"/>
        <n v="40828"/>
        <n v="42895"/>
        <n v="103841"/>
        <n v="187951"/>
        <n v="960874.33"/>
        <n v="7793640"/>
        <n v="2165815.13"/>
        <n v="660"/>
        <n v="10108"/>
        <n v="5145.4399999999996"/>
        <n v="54489.120000000003"/>
        <n v="211675"/>
        <n v="215419.65"/>
        <n v="356952.13"/>
        <n v="557757.03"/>
        <n v="797816.64"/>
        <n v="17320.66"/>
        <n v="27811.09"/>
        <n v="29240.54"/>
        <n v="33902.160000000003"/>
        <n v="114271.86"/>
        <n v="18884.810000000001"/>
        <n v="8610"/>
        <n v="15894"/>
        <n v="100"/>
        <n v="17123"/>
        <n v="39153"/>
        <s v="SEE ABOVE?"/>
        <n v="144929.15"/>
        <n v="94760"/>
        <n v="144954.60999999999"/>
        <n v="60858.17"/>
        <n v="82257.919999999998"/>
        <n v="1407110.19"/>
        <n v="12505.96"/>
        <n v="16852.13"/>
        <n v="25974.01"/>
        <n v="33076.1"/>
        <n v="48670.77"/>
        <n v="12876.5"/>
        <n v="49761.7"/>
        <n v="25300"/>
        <n v="115000"/>
        <n v="31200.66"/>
        <n v="14867.4"/>
        <n v="20183.400000000001"/>
        <n v="26898.87"/>
        <n v="10433.57"/>
        <n v="24289.23"/>
        <n v="974"/>
        <n v="1524"/>
        <n v="385308.98"/>
        <n v="565677.18000000005"/>
        <n v="13387.59"/>
        <n v="9813.2099999999991"/>
        <n v="53066"/>
        <n v="280729.78000000003"/>
        <n v="3004.88"/>
        <n v="89093"/>
        <n v="258092.98"/>
        <n v="319629.46999999997"/>
        <n v="70326"/>
        <n v="79892.11"/>
        <n v="94408.08"/>
        <n v="121718.93"/>
        <n v="152177.04999999999"/>
        <n v="110110"/>
        <n v="218443"/>
        <n v="336128"/>
        <n v="1224405"/>
        <n v="111288.33"/>
        <n v="169083.06"/>
        <n v="42537.2"/>
        <n v="335125.94"/>
        <n v="52141"/>
        <n v="70893"/>
        <n v="80535"/>
        <n v="124070"/>
        <n v="904799.71"/>
        <n v="6259"/>
        <n v="156754.38"/>
        <n v="160552.54999999999"/>
        <n v="196413"/>
        <n v="249337.68"/>
        <n v="507718.75"/>
        <n v="691554.13"/>
        <n v="379202.22"/>
        <n v="76437.38"/>
        <n v="2102.83"/>
        <n v="4696.9399999999996"/>
        <n v="10599.94"/>
        <n v="64080"/>
        <n v="94687"/>
        <n v="97416"/>
        <n v="172414"/>
        <n v="40076.46"/>
        <n v="118039.13"/>
        <n v="332209.39"/>
        <n v="192986"/>
        <n v="12074.88"/>
        <n v="509.8"/>
        <n v="1963181.72"/>
        <n v="154632.54"/>
        <n v="315168.53000000003"/>
        <n v="1605496.09"/>
        <n v="895774.83"/>
        <n v="805.61"/>
        <n v="1949.02"/>
        <n v="250261.52"/>
        <n v="231937.55"/>
        <n v="292591.68"/>
        <n v="33995.43"/>
        <n v="74370"/>
        <n v="93317"/>
        <n v="164423"/>
        <n v="312009"/>
        <n v="189990.71"/>
        <n v="263456.39"/>
        <n v="47898.080000000002"/>
        <n v="44764"/>
        <n v="85019"/>
        <n v="149690"/>
        <n v="64109.3"/>
        <n v="239600.74"/>
        <n v="99550"/>
        <n v="12536.13"/>
        <n v="947025.72"/>
        <n v="14459"/>
        <n v="66040"/>
        <n v="93740"/>
        <n v="188202.2"/>
        <n v="132363.99"/>
        <n v="141238.78"/>
        <n v="391823.67"/>
        <n v="995212.56"/>
        <n v="4517"/>
        <n v="5624.8"/>
        <n v="522412"/>
        <n v="969048.71"/>
        <n v="77550"/>
        <n v="89692.4"/>
        <n v="4515"/>
        <n v="10583.5"/>
        <n v="162625.68"/>
        <n v="6424"/>
        <n v="41573.86"/>
        <n v="1898"/>
        <n v="41116.78"/>
        <n v="11608.11"/>
        <n v="15203.84"/>
        <n v="20349"/>
        <n v="23889.74"/>
        <n v="36122.720000000001"/>
        <n v="41081.480000000003"/>
        <n v="106306.16"/>
        <n v="773027.91"/>
        <n v="81450"/>
        <n v="8622"/>
        <n v="114762.22"/>
        <n v="4669"/>
        <n v="5830"/>
        <n v="5069"/>
        <n v="2017"/>
        <n v="56804.12"/>
        <n v="64511.17"/>
        <n v="12589.39"/>
        <n v="19681.75"/>
        <n v="2498"/>
        <n v="3989.5"/>
        <n v="7451.11"/>
        <n v="10528.21"/>
        <n v="124470.12"/>
        <n v="242970.55"/>
        <n v="211995.39"/>
        <n v="33401.9"/>
        <n v="51024.32"/>
        <n v="5941.08"/>
        <n v="10284.5"/>
        <n v="5040"/>
        <n v="2051.91"/>
        <n v="1422.63"/>
        <n v="263.58"/>
        <n v="286.22000000000003"/>
        <n v="6250.16"/>
        <n v="8346.44"/>
        <n v="8556.44"/>
        <n v="14309.95"/>
        <n v="25421.33"/>
        <n v="26192.89"/>
        <n v="132002"/>
        <n v="19060.189999999999"/>
        <n v="118720.62"/>
        <n v="7109"/>
        <n v="18072"/>
        <n v="18906"/>
        <n v="24510"/>
        <n v="63020"/>
        <n v="88646.69"/>
        <n v="140893.57"/>
        <n v="185011.11"/>
        <n v="253606.41"/>
        <n v="20116.150000000001"/>
        <n v="63211"/>
        <n v="153800"/>
        <n v="176325"/>
        <n v="222074"/>
        <n v="50126"/>
        <n v="1272092.6599999999"/>
        <n v="31200"/>
        <n v="1272099.01"/>
        <n v="42762.59"/>
        <n v="2232"/>
        <n v="5668.8"/>
        <n v="64904"/>
        <n v="72567.13"/>
        <n v="109288.7"/>
        <n v="125114.42"/>
        <n v="185301.25"/>
        <n v="24733.65"/>
        <n v="197110"/>
        <n v="56608.08"/>
        <n v="1285.78"/>
        <n v="237943.77"/>
        <n v="40900"/>
        <n v="22416.55"/>
        <n v="34402"/>
        <n v="123862"/>
        <n v="88472.42"/>
        <n v="114474.86"/>
        <n v="601702.18000000005"/>
        <n v="711490.28"/>
        <n v="45032"/>
        <n v="69514.240000000005"/>
        <n v="85924.24"/>
        <n v="146816.23000000001"/>
        <n v="226232.29"/>
        <n v="87584.94"/>
        <n v="7766749.8399999999"/>
        <n v="1499584.95"/>
        <n v="11486547"/>
        <n v="39959.800000000003"/>
        <n v="109157"/>
        <n v="119713"/>
        <n v="441911"/>
        <n v="12927820.08"/>
        <n v="8328633.21"/>
        <n v="7563.43"/>
        <n v="15392"/>
        <n v="26281"/>
        <n v="10185"/>
        <n v="13931.25"/>
        <n v="2222.19"/>
        <n v="8048.69"/>
        <n v="177583.84"/>
        <n v="3315"/>
        <n v="3414"/>
        <n v="12598"/>
        <n v="40382"/>
        <n v="4170"/>
        <n v="5154.8"/>
        <n v="73750"/>
        <n v="87908"/>
        <n v="100378"/>
        <n v="32617.25"/>
        <n v="78902.179999999993"/>
        <n v="77075.12"/>
        <n v="46378080"/>
        <n v="1793450.84"/>
        <n v="868084.55"/>
        <n v="94295.2"/>
        <n v="227140"/>
        <n v="501565"/>
        <n v="605592"/>
        <n v="80480"/>
        <n v="154709.20000000001"/>
        <n v="12153"/>
        <n v="11799.62"/>
        <n v="7382.55"/>
        <n v="13900"/>
        <n v="4826.08"/>
        <n v="2777"/>
        <n v="2827"/>
        <n v="9082"/>
        <n v="14009"/>
        <n v="1529"/>
        <n v="3678"/>
        <n v="43798.74"/>
        <n v="44853.27"/>
        <n v="67933"/>
        <n v="82926"/>
        <n v="9905.1200000000008"/>
        <n v="900439.59"/>
        <n v="337800"/>
        <n v="5065.5"/>
        <n v="24100"/>
        <n v="12052.77"/>
        <n v="25977.57"/>
        <n v="83424.31"/>
        <n v="302665.53000000003"/>
        <n v="21392815.18"/>
        <n v="11351169"/>
        <n v="12855132"/>
        <n v="28504352"/>
        <n v="124992.74"/>
        <n v="330916.58"/>
        <n v="81712.479999999996"/>
        <n v="10600"/>
        <n v="17490"/>
        <n v="22942.25"/>
        <n v="44241"/>
        <n v="51120"/>
        <n v="58670.1"/>
        <n v="177345.68"/>
        <n v="19803.88"/>
        <n v="234560.39"/>
        <n v="11709"/>
        <n v="24020"/>
        <n v="51441"/>
        <n v="86724"/>
        <n v="203274.51"/>
        <n v="16168"/>
        <n v="577268.01"/>
        <n v="739889.89"/>
        <n v="1075535.6299999999"/>
        <n v="1499854.51"/>
        <n v="84781.93"/>
        <n v="1125495.22"/>
        <n v="1234786.31"/>
        <n v="11209058.869999999"/>
        <n v="1177476.51"/>
        <n v="14604.02"/>
        <n v="3362"/>
        <n v="33693.89"/>
        <n v="18865.5"/>
        <n v="8428.34"/>
        <n v="2488"/>
        <n v="2550"/>
        <n v="2748"/>
        <n v="3097"/>
        <n v="24725.64"/>
        <n v="23130"/>
        <n v="41370"/>
        <n v="69390"/>
        <n v="262680.5"/>
        <n v="23682.46"/>
        <n v="34932"/>
        <n v="41241"/>
        <n v="59647.05"/>
        <n v="516839.38"/>
        <n v="1177771.58"/>
        <n v="12937"/>
        <n v="31831"/>
        <n v="71002"/>
        <n v="22591.55"/>
        <n v="4035"/>
        <n v="42032"/>
        <n v="179789"/>
        <n v="83736.19"/>
        <n v="9954.8799999999992"/>
        <n v="14619.57"/>
        <n v="90480"/>
        <n v="178620"/>
        <n v="35517"/>
        <n v="93775"/>
        <n v="40506.949999999997"/>
        <n v="202681.74"/>
        <n v="523217.91999999998"/>
        <n v="972889.98"/>
        <n v="1138553.33"/>
        <n v="1022233.79"/>
        <n v="52823"/>
        <n v="3983836.71"/>
        <n v="131758.64000000001"/>
        <n v="38548.21"/>
        <n v="151613.1"/>
        <n v="9512"/>
        <n v="28166"/>
        <n v="54203"/>
        <n v="663"/>
        <n v="811"/>
        <n v="881"/>
        <n v="1081"/>
        <n v="1266"/>
        <n v="1893"/>
        <n v="1926"/>
        <n v="24251.94"/>
        <n v="29732.25"/>
        <n v="3196.09"/>
        <n v="4925.6000000000004"/>
        <n v="6435.2"/>
        <n v="248489.8"/>
        <n v="4140587"/>
        <n v="20430"/>
        <n v="3561093"/>
        <n v="142078.46"/>
        <n v="200738.18"/>
        <n v="233962.03"/>
        <n v="522574.94"/>
        <n v="956114.62"/>
        <n v="1059702.3500000001"/>
        <n v="1004573.27"/>
        <n v="44430.15"/>
        <n v="245208.13"/>
        <n v="702842.81"/>
        <n v="71274.559999999998"/>
        <n v="129863.44"/>
        <n v="78112.19"/>
        <n v="396501.1"/>
        <n v="10819"/>
        <n v="31625"/>
        <n v="116762.1"/>
        <n v="1536"/>
        <n v="6017"/>
        <n v="8018"/>
        <n v="15502"/>
        <n v="66219"/>
        <n v="89885.49"/>
        <n v="11745"/>
        <n v="2162690.3199999998"/>
        <n v="89050"/>
        <n v="1408.84"/>
        <n v="568"/>
        <n v="11544"/>
        <n v="11602.65"/>
        <n v="44806.98"/>
        <n v="6970.7"/>
        <n v="12188.08"/>
        <n v="17348.41"/>
        <n v="380227.73"/>
        <n v="3714.82"/>
        <n v="9322.02"/>
        <n v="12119.27"/>
        <n v="4314"/>
        <n v="14462"/>
        <n v="232"/>
        <n v="269"/>
        <n v="5960.49"/>
        <n v="2481.61"/>
        <n v="4678.32"/>
        <n v="1149.07"/>
        <n v="39750"/>
        <n v="928077.31"/>
        <n v="444703"/>
        <n v="8725237"/>
        <n v="9913168"/>
        <n v="14291686"/>
        <n v="16501150"/>
        <n v="18286029"/>
        <n v="28630628.02"/>
        <n v="25873825.07"/>
        <n v="15009.09"/>
        <n v="86537.77"/>
        <n v="10972"/>
        <n v="11318.68"/>
        <n v="13834"/>
        <n v="13892.58"/>
        <n v="15472"/>
        <n v="47770"/>
        <n v="99431.7"/>
        <n v="200000"/>
        <n v="150"/>
        <n v="8625"/>
        <n v="20447.599999999999"/>
        <n v="2536.3000000000002"/>
        <n v="3089.78"/>
        <n v="10550"/>
        <n v="89172.75"/>
        <n v="266740.65999999997"/>
        <n v="366731.87"/>
        <n v="4077"/>
        <n v="4493"/>
        <n v="4688"/>
        <n v="4959"/>
        <n v="780479.54"/>
        <n v="63629.11"/>
        <n v="1798"/>
        <n v="2808"/>
        <n v="479279.77"/>
        <n v="2629594.62"/>
        <n v="1248176.04"/>
        <n v="8389.44"/>
        <n v="118494.07"/>
        <n v="146856.78"/>
        <n v="65308.160000000003"/>
        <n v="23502"/>
        <n v="40163"/>
        <n v="64313.49"/>
        <n v="9996.56"/>
        <n v="18970.669999999998"/>
        <n v="48255.56"/>
        <n v="107.7"/>
        <n v="122.8"/>
        <n v="242.32"/>
        <n v="290.39"/>
        <n v="599.23"/>
        <n v="1667"/>
        <n v="160.53"/>
        <n v="48682.559999999998"/>
        <n v="52349.53"/>
        <n v="61160.26"/>
        <n v="931119"/>
        <n v="1355286.87"/>
        <n v="4691.6000000000004"/>
        <n v="100566.8"/>
        <n v="502023.69"/>
        <n v="678583.47"/>
        <n v="382312"/>
        <n v="650415"/>
        <n v="264115"/>
        <n v="82725.7"/>
        <n v="2719251.99"/>
        <n v="7026313.5300000003"/>
        <n v="10697807.74"/>
        <n v="76851.679999999993"/>
        <n v="1105481.8899999999"/>
        <n v="28187"/>
        <n v="32460"/>
        <n v="121823"/>
        <n v="13663.17"/>
        <n v="37243.019999999997"/>
        <n v="20802.2"/>
        <n v="162909"/>
        <n v="39755.5"/>
        <n v="12039.74"/>
        <n v="50612.05"/>
        <n v="56313.14"/>
        <n v="53904"/>
        <n v="62087"/>
        <n v="116658"/>
        <n v="8530.7000000000007"/>
        <n v="12662.3"/>
        <n v="431940.9"/>
        <n v="108334.34"/>
        <n v="7003"/>
        <n v="8987"/>
        <n v="15529"/>
        <n v="44215.8"/>
        <n v="2244"/>
        <n v="6532.75"/>
        <n v="985"/>
        <n v="2344.3000000000002"/>
        <n v="3940"/>
        <n v="9850"/>
        <n v="35460"/>
        <n v="1706737.7"/>
        <n v="1888671.67"/>
        <n v="27403.61"/>
        <n v="20530"/>
        <n v="20545"/>
        <n v="20920"/>
        <n v="42945"/>
        <n v="367454.57"/>
        <n v="22912"/>
        <n v="2847"/>
        <n v="46444"/>
        <n v="13631.05"/>
        <n v="965.15"/>
        <n v="796029"/>
        <n v="35847.9"/>
        <n v="75632"/>
        <n v="100481.7"/>
        <n v="64669.23"/>
        <n v="39438"/>
        <n v="46800"/>
        <n v="72517.990000000005"/>
        <n v="10402.370000000001"/>
        <n v="64910560"/>
        <n v="5359"/>
        <n v="10070"/>
        <n v="8558.18"/>
        <n v="12148.02"/>
        <n v="10565.47"/>
        <n v="87662"/>
        <n v="2419.3000000000002"/>
        <n v="1792"/>
        <n v="141391.5"/>
        <n v="145062.79999999999"/>
        <n v="220719.5"/>
        <n v="22244.09"/>
        <n v="371038.5"/>
        <n v="176559.52"/>
        <n v="1050.8"/>
        <n v="2025.52"/>
        <n v="727910.44"/>
        <n v="53835"/>
        <n v="146769"/>
        <n v="539153.05000000005"/>
        <n v="46412"/>
        <n v="95185"/>
        <n v="1563260.3"/>
        <n v="23789.06"/>
        <n v="257606.16"/>
        <n v="672409.62"/>
        <n v="4364"/>
        <n v="1172.28"/>
        <n v="337.5"/>
        <n v="2702.42"/>
        <n v="5397.52"/>
        <n v="12570"/>
        <n v="7275"/>
        <n v="9197.5300000000007"/>
        <n v="15953"/>
        <n v="205357"/>
        <n v="1468932.56"/>
        <n v="11603934.529999999"/>
        <n v="44255.7"/>
        <n v="66887.539999999994"/>
        <n v="72088.759999999995"/>
        <n v="81923"/>
        <n v="409433.42"/>
        <n v="79776"/>
        <n v="93293.6"/>
        <n v="95464.15"/>
        <n v="130540"/>
        <n v="82449.63"/>
        <n v="67025.34"/>
        <n v="383449.3"/>
        <n v="300843.07"/>
        <n v="358963.75"/>
        <n v="1103079.48"/>
        <n v="72980"/>
        <n v="76209"/>
        <n v="148212"/>
        <n v="232820"/>
        <n v="235523"/>
        <n v="2280000"/>
        <n v="40947"/>
        <n v="82081.5"/>
        <n v="105651"/>
        <n v="135101.25"/>
        <n v="178233.76"/>
        <n v="7123.5"/>
        <n v="15883.8"/>
        <n v="28830.26"/>
        <n v="32571.97"/>
        <n v="105550"/>
        <n v="3816131.82"/>
        <n v="293541.74"/>
        <n v="8319268.9500000002"/>
        <n v="211390.35"/>
        <n v="223094.93"/>
        <n v="42840.5"/>
        <n v="1527751.8"/>
        <n v="2788907.9"/>
        <n v="441058.82"/>
        <n v="242278.66"/>
        <n v="2266558.56"/>
        <n v="205181"/>
        <n v="221509"/>
        <n v="806456"/>
        <n v="918517"/>
        <n v="1032379"/>
        <n v="287950"/>
        <n v="97245"/>
        <n v="241640"/>
        <n v="45780"/>
        <n v="84268.33"/>
        <n v="107967.21"/>
        <n v="171179.43"/>
        <n v="17692.04"/>
        <n v="31885.15"/>
        <n v="36144.68"/>
        <n v="83513.05"/>
        <n v="185674.5"/>
        <n v="35650"/>
        <n v="4886"/>
        <n v="6282"/>
        <n v="34900"/>
        <n v="203741"/>
        <n v="153219.51999999999"/>
        <n v="37223.18"/>
        <n v="18065"/>
        <n v="3097.25"/>
        <n v="122081"/>
        <n v="2467510"/>
        <n v="432072.78"/>
        <n v="9182"/>
        <n v="9671"/>
        <n v="11226"/>
        <n v="20578"/>
        <n v="39116"/>
        <n v="506002"/>
        <n v="720501"/>
        <n v="1166502.24"/>
        <n v="1943593.45"/>
        <n v="2096045.22"/>
        <n v="86900"/>
        <n v="106091.32"/>
        <n v="486994"/>
        <n v="16160.11"/>
        <n v="7710"/>
        <n v="282619.56"/>
        <n v="166256.29"/>
        <n v="18851"/>
        <n v="22759"/>
        <n v="5518"/>
        <n v="9001.23"/>
        <n v="2399"/>
        <n v="3289"/>
        <n v="6786"/>
        <n v="9118"/>
        <n v="204539.73"/>
        <n v="506482.14"/>
        <n v="25222.38"/>
        <n v="51456.18"/>
        <n v="3681.68"/>
        <n v="37833.58"/>
        <n v="3654.84"/>
        <n v="27844"/>
        <n v="32234"/>
        <n v="40617"/>
        <n v="85441.88"/>
        <n v="21302"/>
        <n v="41846"/>
        <n v="6975"/>
        <n v="15350"/>
        <n v="30481.05"/>
        <n v="42299"/>
        <n v="47552.62"/>
        <n v="166128.20000000001"/>
        <n v="198545"/>
        <n v="408827.78"/>
        <n v="1194554.3999999999"/>
        <n v="84305.62"/>
        <n v="502683.95"/>
        <n v="23236125.890000001"/>
        <n v="7553220.96"/>
        <n v="9888467.0899999999"/>
        <n v="30401950.190000001"/>
        <n v="42525806.719999999"/>
        <n v="99600.09"/>
        <n v="138744"/>
        <n v="575670.89"/>
        <n v="2303773.0099999998"/>
        <n v="24923.54"/>
        <n v="39607.94"/>
        <n v="395878.47"/>
        <n v="521472.69"/>
        <n v="303249.44"/>
        <n v="527690"/>
        <n v="64567.199999999997"/>
        <n v="207321"/>
        <n v="357096"/>
        <n v="13928"/>
        <n v="19163.16"/>
        <n v="822519.96"/>
        <n v="1548333.33"/>
        <n v="463804.31"/>
        <n v="125593"/>
        <n v="1608.86"/>
        <n v="20110.7"/>
        <n v="28154.98"/>
        <n v="37572.42"/>
        <n v="375237.5"/>
        <n v="7803.59"/>
        <n v="60445.59"/>
        <n v="23625"/>
        <n v="49669"/>
        <n v="1664.14"/>
        <n v="7121.4"/>
        <n v="10771"/>
        <n v="175974.71"/>
        <n v="326"/>
        <n v="1235.06"/>
        <n v="6415.67"/>
        <n v="6861.25"/>
        <n v="185712.7"/>
        <n v="21212"/>
        <n v="22757"/>
        <n v="88133"/>
        <n v="198000"/>
        <n v="66096.5"/>
        <n v="69318.14"/>
        <n v="5968"/>
        <n v="7122"/>
        <n v="13491"/>
        <n v="1306744.52"/>
        <n v="3383.28"/>
        <n v="20740.18"/>
        <n v="55373.61"/>
        <n v="60790.47"/>
        <n v="390105"/>
        <n v="8386.76"/>
        <n v="1502"/>
        <n v="4621"/>
        <n v="47644.68"/>
        <n v="8802"/>
        <n v="18333"/>
        <n v="41125"/>
        <n v="52539"/>
        <n v="55023.63"/>
        <n v="63379.01"/>
        <n v="126495"/>
        <n v="105691.72"/>
        <n v="123209.19"/>
        <n v="134642.06"/>
        <n v="194627.97"/>
        <n v="118287.99"/>
        <n v="5400.53"/>
        <n v="18985.810000000001"/>
        <n v="499516.84"/>
        <n v="1221355.8899999999"/>
        <n v="103671.28"/>
        <n v="107234.33"/>
        <n v="918.69"/>
        <n v="31199"/>
        <n v="67163.63"/>
        <n v="142162.07"/>
        <n v="5439420"/>
        <n v="139589.67000000001"/>
        <n v="101089.14"/>
        <n v="368697.36"/>
        <n v="379090.14"/>
        <n v="7179573.3600000003"/>
        <n v="9799353.5500000007"/>
        <n v="127903"/>
        <n v="140888"/>
        <n v="170882"/>
        <n v="177442"/>
        <n v="1558133.51"/>
        <n v="106577.46"/>
        <n v="437721"/>
        <n v="952715.77"/>
        <n v="2925150.66"/>
        <n v="2113.59"/>
        <n v="3387.37"/>
        <n v="46661.33"/>
        <n v="74464.25"/>
        <n v="162.81"/>
        <n v="795207.3"/>
        <n v="132000"/>
        <n v="522396"/>
        <n v="552522"/>
        <n v="8956650.5500000007"/>
        <n v="456576.58"/>
        <n v="722320.28"/>
        <n v="43190"/>
        <n v="205865.55"/>
        <n v="344258.22"/>
        <n v="820189.87"/>
        <n v="86042.06"/>
        <n v="28646"/>
        <n v="94270"/>
        <n v="183029"/>
        <n v="283886.95"/>
        <n v="23544.29"/>
        <n v="85520.33"/>
        <n v="32481"/>
        <n v="138419"/>
        <n v="3380.19"/>
        <n v="161101"/>
        <n v="2265462.1"/>
        <n v="13032285.99"/>
        <n v="293749"/>
        <n v="60574"/>
        <n v="74594"/>
        <n v="107420"/>
        <n v="294020"/>
        <n v="488238"/>
        <n v="204351.85"/>
        <n v="247136.76"/>
        <n v="262183.15000000002"/>
        <n v="354112"/>
        <n v="319372.34000000003"/>
        <n v="679339.06"/>
        <n v="22055"/>
        <n v="74614.19"/>
        <n v="198302.23"/>
        <n v="365285.04"/>
        <n v="43791"/>
        <n v="46086"/>
        <n v="87737.63"/>
        <n v="76042.19"/>
        <n v="258951.5"/>
        <n v="339133.77"/>
        <n v="2728.14"/>
        <n v="24534.44"/>
        <n v="8558"/>
        <n v="61765"/>
        <n v="66552.100000000006"/>
        <n v="20671.88"/>
        <n v="83796.350000000006"/>
        <n v="2947.41"/>
        <n v="3569.75"/>
        <n v="15939.07"/>
        <n v="84500"/>
        <n v="108681.76"/>
        <n v="145154.88"/>
        <n v="198772.03"/>
        <n v="193307.51"/>
        <n v="19894.8"/>
        <n v="21823.99"/>
        <n v="29638.46"/>
        <n v="44833.09"/>
        <n v="3027824.65"/>
        <n v="11041699.35"/>
        <n v="117169"/>
        <n v="42356"/>
        <n v="123345"/>
        <n v="31554"/>
        <n v="57783"/>
        <n v="12912"/>
        <n v="116561"/>
        <n v="5642096.6200000001"/>
        <n v="6783.94"/>
        <n v="9760"/>
        <n v="15182.5"/>
        <n v="111358.31"/>
        <n v="6157.93"/>
        <n v="7818.4"/>
        <n v="25930.240000000002"/>
        <n v="27812.45"/>
        <n v="102332.55"/>
        <n v="737324"/>
        <n v="8109.08"/>
        <n v="9859.59"/>
        <n v="23605.25"/>
        <n v="427384"/>
        <n v="1612283.42"/>
        <n v="102302.86"/>
        <n v="171890.15"/>
        <n v="320415"/>
        <n v="860474"/>
        <n v="39522.949999999997"/>
        <n v="40253.21"/>
        <n v="123865"/>
        <n v="218144"/>
        <n v="960"/>
        <n v="2171.83"/>
        <n v="2341.54"/>
        <s v="$5,090.00"/>
        <s v="$5,552.55"/>
        <s v="$2,828,044.92"/>
        <s v="$570.40"/>
        <s v="$4,396.92"/>
        <s v="$4,438.00"/>
        <s v="$9,948.00"/>
        <m/>
        <s v="701.00"/>
        <s v="2,939.77"/>
        <s v="1,509.00"/>
        <s v="4,757.28"/>
        <s v="42,089.15"/>
        <s v="40,499.15"/>
        <s v="68,611.71"/>
        <s v="52,665.28"/>
        <s v="106,044.00"/>
        <s v="90,224.00"/>
        <s v="188,525.00"/>
        <s v="201,349.57"/>
        <s v="120,367.22"/>
        <s v="2,089,405.00"/>
        <s v="74,374.14"/>
        <s v="191,526.20"/>
        <s v="125,619.63"/>
        <s v="129,606.05"/>
        <s v="209,448.68"/>
        <s v="22,251.11"/>
        <s v="534,046.43"/>
        <s v="313,386.43"/>
        <s v="318,014.25"/>
        <s v="2,326,778.65"/>
        <s v="462,076.69"/>
        <s v="162,402.41"/>
        <s v="1,090,255.50"/>
        <s v="150,714.70"/>
        <s v="85,692.00"/>
        <s v="77,974.61"/>
        <s v="89,548.78"/>
        <s v="143,025.57"/>
        <s v="88,260.00"/>
        <s v="26,933.31"/>
        <s v="24,662.98"/>
        <s v="9,651.00"/>
        <s v="10,445.00"/>
        <s v="16,804.00"/>
        <s v="59,598.00"/>
        <s v="1,601,663.00"/>
        <s v="39,614.13"/>
        <s v="36,374.56"/>
        <s v="48,734.13"/>
        <s v="17,681.00"/>
        <s v="22,900.00"/>
        <s v="2,225,875.48"/>
        <s v="14,238,109.76"/>
        <s v="5,128.00"/>
        <s v="64,123.26"/>
        <s v="235,118.60"/>
        <s v="11,114.00"/>
        <s v="37,042.00"/>
        <s v="30,353.50"/>
        <s v="53,852.00"/>
        <s v="22,617.00"/>
        <s v="13,289.00"/>
        <s v="1,896.00"/>
        <s v="224,684.76"/>
        <s v="333,386.96"/>
        <s v="114,311.52"/>
        <s v="6,070.00"/>
        <s v="5,175.00"/>
        <s v="11,753.00"/>
        <s v="6,425.00"/>
        <s v="31,607.94"/>
        <s v="637,132.62"/>
        <s v="1,034,149.28"/>
        <s v="61,600.00"/>
        <s v="104,792.11"/>
        <s v="20,134.00"/>
        <s v="108,303.00"/>
        <s v="35,968.00"/>
        <s v="1,209.47"/>
        <s v="45,948.00"/>
        <s v="2,280.00"/>
        <s v="3,439.66"/>
        <s v="53,472.00"/>
        <s v="48,153.53"/>
        <s v="1,626.40"/>
        <s v="2,083.11"/>
        <s v="358,632.77"/>
        <s v="324,552.52"/>
        <s v="352,143.00"/>
        <s v="906,386.83"/>
        <s v="635,118.00"/>
        <s v="235,699.65"/>
        <s v="417,690.00"/>
        <s v="88,978.50"/>
        <s v="110,911.67"/>
        <s v="34,287.62"/>
        <s v="56,000.00"/>
        <s v="518,590.77"/>
        <s v="40,065.51"/>
        <s v="670,325.43"/>
        <s v="498,021.80"/>
        <s v="446,288.81"/>
        <s v="352,544.60"/>
        <s v="3,344,034.11"/>
        <s v="1,721.00"/>
        <s v="168,154.74"/>
        <s v="422,385.73"/>
        <s v="607,910.75"/>
        <s v="101,615.77"/>
        <s v="15,952.00"/>
        <s v="35,474.00"/>
        <s v="784.86"/>
        <s v="6,442.54"/>
        <s v="119,161.97"/>
        <s v="912,734.41"/>
        <s v="371,023.15"/>
        <s v="50,099.00"/>
        <s v="66,395.00"/>
        <s v="1,413,202.66"/>
        <s v="102,970.00"/>
        <s v="191,224.82"/>
        <s v="6,820.00"/>
        <s v="208,278.50"/>
        <s v="156,029.83"/>
        <s v="1,538,925.00"/>
        <s v="122,718.68"/>
        <s v="182,902.67"/>
        <s v="39,996.93"/>
        <s v="530,031.02"/>
        <s v="170,149.91"/>
        <s v="142,637.22"/>
        <s v="239,616.51"/>
        <s v="678,204.61"/>
        <s v="117,016.85"/>
        <s v="2,254,438.63"/>
        <s v="254,357.62"/>
        <s v="195,089.01"/>
        <s v="396,529.04"/>
        <s v="3,820,881.00"/>
        <s v="303,781.00"/>
        <s v="1,098,304.00"/>
        <s v="516,400.00"/>
        <s v="103,713.65"/>
        <s v="117,363.79"/>
        <s v="19,064.54"/>
        <s v="9,195.00"/>
        <s v="127,589.98"/>
        <s v="97,498.00"/>
        <s v="112,800.00"/>
        <s v="11,297.00"/>
        <s v="41,298.08"/>
        <s v="42,544.83"/>
        <s v="18,682.35"/>
        <s v="107,525.00"/>
        <s v="94,041.47"/>
        <s v="85,914.47"/>
        <s v="87,167.00"/>
        <s v="81,404.00"/>
        <s v="91,973.00"/>
        <s v="43,258.83"/>
        <s v="1,276.00"/>
        <s v="7,239.50"/>
        <s v="48,909.89"/>
        <s v="67,310.83"/>
        <s v="35,101.00"/>
        <s v="52,083.00"/>
        <s v="10,950.00"/>
        <s v="7,242.00"/>
        <s v="1,332.00"/>
        <s v="3,664.00"/>
        <s v="8,964.00"/>
        <s v="336.60"/>
        <s v="8,962.40"/>
        <s v="7,563.72"/>
        <s v="16,154.02"/>
        <s v="25,988.25"/>
        <s v="52,250.67"/>
        <s v="45,825.90"/>
        <s v="152,918.32"/>
        <s v="171,849.00"/>
        <s v="85,543.00"/>
        <s v="446,401.18"/>
        <s v="600,640.70"/>
        <s v="13,166,113.43"/>
        <s v="6,894,049.86"/>
        <s v="1,243,105.39"/>
        <s v="15,306.08"/>
        <s v="67,332.40"/>
        <s v="820,939.62"/>
        <s v="203,546.93"/>
        <s v="205,201.00"/>
        <s v="7,544.00"/>
        <s v="6,879.00"/>
        <s v="43,530.64"/>
        <s v="2,859.20"/>
        <s v="23,128.12"/>
        <s v="36,933.95"/>
        <s v="1,130.00"/>
        <s v="4,966.87"/>
        <s v="12,595.00"/>
        <s v="1,467.34"/>
        <s v="2,860.00"/>
        <s v="849.00"/>
        <s v="908.00"/>
        <s v="200.00"/>
        <s v="7,490.00"/>
        <s v="139,815.78"/>
        <s v="24,935.00"/>
        <s v="65,800.37"/>
        <s v="18,198.00"/>
        <s v="57,318.00"/>
        <s v="19,717.00"/>
        <s v="106,724.50"/>
        <s v="343.00"/>
        <s v="400.00"/>
        <s v="66,600.00"/>
        <s v="294,666.00"/>
        <s v="73,726.32"/>
        <s v="56,442.17"/>
        <s v="30,036.14"/>
        <s v="67,167.35"/>
        <s v="75,836.44"/>
        <s v="171,363.00"/>
        <s v="284,094.00"/>
        <s v="37,900.00"/>
        <s v="17,692.04"/>
        <s v="48,249.19"/>
        <s v="88,217.30"/>
        <s v="185,674.50"/>
        <s v="368.65"/>
        <s v="1,047.38"/>
        <s v="385,918.25"/>
        <s v="49,084.98"/>
        <s v="21,760.00"/>
        <s v="252,387.33"/>
        <s v="308,999.79"/>
        <s v="38,678.00"/>
        <s v="149,829.00"/>
        <s v="87,983.00"/>
        <s v="96,986.00"/>
        <s v="1,017,273.01"/>
        <s v="3,161.01"/>
        <s v="187,188.91"/>
        <s v="57,198.96"/>
        <s v="320,889.00"/>
        <s v="152,925.00"/>
        <s v="26,568.00"/>
        <s v="52,049.00"/>
        <s v="20,472.18"/>
        <s v="15,894.40"/>
        <s v="159,321.36"/>
        <s v="14,099.06"/>
        <s v="183,033.55"/>
        <s v="6,811.00"/>
        <s v="159,478.00"/>
        <s v="2,479,769.76"/>
        <s v="22,505.08"/>
        <s v="73,644.28"/>
        <s v="24,838.00"/>
        <s v="304.00"/>
        <s v="1,379.00"/>
        <s v="7,112.00"/>
        <s v="3,926,958.93"/>
        <s v="7,341.00"/>
        <s v="37,577.98"/>
        <s v="14,765.00"/>
        <s v="28,307.00"/>
        <s v="5,154.00"/>
        <s v="96,686.67"/>
        <s v="45,864.72"/>
        <s v="17,720.00"/>
        <s v="465,144.71"/>
        <s v="212,461.69"/>
        <s v="23,760.00"/>
        <s v="229,343.58"/>
        <s v="24,000.00"/>
        <s v="46,525.83"/>
        <s v="134,572.34"/>
        <s v="2,025.52"/>
        <s v="1,050.80"/>
        <s v="25,045.00"/>
        <s v="3,610,647.72"/>
        <s v="1,513,194.40"/>
        <s v="8,529.95"/>
        <s v="6,000.00"/>
        <s v="73,094.32"/>
        <s v="844,886.00"/>
        <s v="177,040.00"/>
        <s v="486,053.75"/>
        <s v="74,621.40"/>
        <s v="30,112.62"/>
        <s v="16,368.78"/>
        <s v="1,812.00"/>
        <s v="8,270.00"/>
        <s v="1,228.92"/>
        <s v="3,648.00"/>
        <s v="8,172.39"/>
        <s v="4,647.14"/>
        <s v="1,215.10"/>
        <s v="4,612.31"/>
        <s v="25,327.85"/>
        <s v="33,820.55"/>
        <s v="6,230.00"/>
        <s v="201,250.00"/>
        <s v="269,212.00"/>
        <s v="126,950.00"/>
        <s v="379,781.00"/>
        <s v="192,299.00"/>
        <s v="64,950.93"/>
        <s v="165,812.66"/>
        <s v="499,245.37"/>
        <s v="2,989,482.59"/>
        <s v="407,235.36"/>
        <s v="$15,880.00"/>
        <s v="$570,118.73"/>
        <s v="$50,360.00"/>
        <s v="$79,706.00"/>
        <s v="$20,410.00"/>
        <s v="$338,601.83"/>
        <s v="$420,547.00"/>
        <s v="$165,634.00"/>
        <s v="$357,187.00"/>
        <s v="$325,864.00"/>
        <s v="$7,143.05"/>
        <s v="$4,989.00"/>
        <s v="$9,440.00"/>
        <s v="$6,210.00"/>
        <s v="$233,631.60"/>
        <s v="$283,211.60"/>
        <s v="$254,025.37"/>
        <s v="$16,811.41"/>
        <s v="$181,486.65"/>
        <s v="$3,782.17"/>
        <s v="$11,948.54"/>
        <s v="$9,562.04"/>
        <s v="$122,160.03"/>
        <s v="$97,497.50"/>
        <s v="$100,667.25"/>
        <s v="$25,915.76"/>
        <s v="$110,300.00"/>
        <s v="$41,505.47"/>
        <s v="$67,071.67"/>
        <s v="$58,108.92"/>
        <s v="$3,939.00"/>
        <s v="$13,362.14"/>
        <s v="$61,764.00"/>
        <s v="$49,236.66"/>
        <s v="$7,372.10"/>
        <s v="$4,164.08"/>
        <s v="$18,194.47"/>
        <s v="$8,914.59"/>
        <s v="$10,150.20"/>
        <s v="$12,867.60"/>
        <s v="479.00"/>
        <s v="898.54"/>
        <s v="2,216.04"/>
        <s v="45,224.62"/>
        <s v="112,547.86"/>
        <s v="103,368.00"/>
        <s v="1,237.00"/>
        <s v="616,622.00"/>
        <s v="539,992.00"/>
        <s v="6,058.00"/>
        <s v="1,084.00"/>
        <s v="470.00"/>
        <s v="738,463.03"/>
        <s v="640,604.47"/>
        <s v="356,375.85"/>
        <s v="596,583.97"/>
        <s v="633,757.38"/>
        <s v="807,368.00"/>
        <s v="2,159,909.00"/>
        <s v="2,284,277.10"/>
        <s v="117,772.80"/>
        <s v="40,800.00"/>
        <s v="335,800.00"/>
        <s v="90,273.84"/>
        <s v="86,743.68"/>
        <s v="161,291.46"/>
        <s v="293,877.86"/>
        <s v="309,939.77"/>
        <s v="2,780,849.71"/>
        <s v="5,180,258.19"/>
        <s v="950,736.47"/>
        <s v="449,138.00"/>
        <s v="671,611.38"/>
        <s v="617,760.00"/>
        <s v="468,202.53"/>
        <s v="58,229.85"/>
        <s v="109,656.73"/>
        <s v="166,765.26"/>
        <s v="1,947,527.75"/>
        <s v="2,456,300.79"/>
        <s v="30,832.00"/>
        <s v="24,101.00"/>
        <s v="51,208.00"/>
        <s v="17,981.49"/>
        <s v="9,181.94"/>
        <s v="35,790.38"/>
        <s v="25,481.13"/>
        <s v="51,603.00"/>
        <s v="2,289.00"/>
        <s v="225,351.00"/>
        <s v="2,973,692.22"/>
        <s v="16,876.00"/>
        <s v="25,000.00"/>
        <s v="10,096.81"/>
        <s v="27,990.81"/>
        <s v="18,616.53"/>
        <s v="13,089.00"/>
        <s v="54,748.98"/>
      </sharedItems>
    </cacheField>
    <cacheField name="Reported Type" numFmtId="0">
      <sharedItems containsBlank="1"/>
    </cacheField>
    <cacheField name="Movant ID" numFmtId="0">
      <sharedItems containsBlank="1"/>
    </cacheField>
    <cacheField name="# of Movant Groups" numFmtId="0">
      <sharedItems containsString="0" containsBlank="1" containsNumber="1" containsInteger="1" minValue="1" maxValue="12"/>
    </cacheField>
    <cacheField name="# of Movants in Group" numFmtId="0">
      <sharedItems containsString="0" containsBlank="1" containsNumber="1" containsInteger="1" minValue="1" maxValue="7"/>
    </cacheField>
    <cacheField name="Total Damages in Group" numFmtId="0">
      <sharedItems containsBlank="1" containsMixedTypes="1" containsNumber="1" minValue="0" maxValue="68161973"/>
    </cacheField>
    <cacheField name="% of Total Group Damages (in bps)" numFmtId="0">
      <sharedItems containsBlank="1" containsMixedTypes="1" containsNumber="1" minValue="0" maxValue="130809.5"/>
    </cacheField>
    <cacheField name="Firm Names - Movant" numFmtId="0">
      <sharedItems containsBlank="1" count="529">
        <s v="Cohen Milstein Sellers &amp; Toll PLLC; The Law Office of Jacob Sabo (local/liaison)"/>
        <s v="Glancy Prongay &amp; Murray, LLP"/>
        <s v="Bernstein Litowitz Berger &amp; Grossmann LLP; Kessler Topaz  Meltzer &amp; Check, LLP; Keil &amp; Goodson P.A. (local/liaison)Law Offices of George L. McWilliams, P.C. (local/liaison)"/>
        <s v="Glancy Prongay &amp; Murray, LLP; The Rosen Law Firm, P.A.; Kendall Law Group, LLP (local/liaison)"/>
        <s v="Kahn Swick &amp; Foti, LLC; Potter Minton (local/liaison)"/>
        <s v="Robbins, Geller, Rudman &amp; Dowd, LLP; Ward, Smith &amp; Hill, PLLC (local/liaison)"/>
        <s v="Saxena White P.A.; Barrett &amp; Tyler, LLP (local/liaison)"/>
        <s v="Pomerantz LLP; Goldberg Law PC (local/liaison)"/>
        <s v="The Rosen Law Firm, P.A."/>
        <s v="Glancy Prongay &amp; Murray, LLP; Carella, Byrne, Cecchi, Olstein, Brody &amp; Agnello P.C. (local/liaison)"/>
        <s v="Levi &amp; Korsinsky, LLP"/>
        <s v="Wolf Haldenstein Adler Freeman &amp; Herz LLP"/>
        <s v="Abraham, Fruchter &amp; Twersky, LLP; Shapiro Haber &amp; Urmy LLP (local/liaison)"/>
        <s v="Bernstein Litowitz Berger &amp; Grossmann LLP; Entwistle &amp; Cappucci LLP; Shapiro Haber &amp; Urmy LLP (local/liaison)"/>
        <s v="Finkelstein &amp; Krinsk LLP; Glancy Prongay &amp; Murray, LLP; Block &amp; Leviton LLP (local/liaison)"/>
        <s v="Labaton Sucharow LLP; Thornton Law Firm LLP (local/liaison)"/>
        <s v="Pomerantz LLP; Block &amp; Leviton LLP (local/liaison)"/>
        <s v="Robbins, Geller, Rudman &amp; Dowd, LLP; Cavanagh &amp; O'Hara (local/liaison)Hutchings, Barsamian, Mandelcorn, LLP (local/liaison)"/>
        <s v="Labaton Sucharow LLP; Motley Rice LLC"/>
        <s v="Robbins, Geller, Rudman &amp; Dowd, LLP; Diserio Martin O'Connor &amp; Castiglioni LLC (local/liaison)"/>
        <s v="Scott &amp; Scott,  LLP"/>
        <s v="Abraham, Fruchter &amp; Twersky, LLP"/>
        <s v="Ashman Law Offices, LLC; Keogh Law, Ltd.; The Law Office of Jeffrey E. Crane, LLC; McDaniel PC (local/liaison)"/>
        <s v="Berman DeValerio; Schnader Harrison Segal &amp; Lewis LLP (local/liaison)"/>
        <s v="Bleichmar Fonti &amp; Auld LLP; Calcagni &amp; Kanefsky (local/liaison)"/>
        <s v="Brower Piven; Lite Depalma Greenberg, LLC (local/liaison)"/>
        <s v="Faruqi &amp; Faruqi, LLP"/>
        <s v="Kessler Topaz  Meltzer &amp; Check, LLP; Motley Rice LLC"/>
        <s v="Lowey, Dannenberg, Cohen &amp; Hart, P.C."/>
        <s v="Robbins, Geller, Rudman &amp; Dowd, LLP; Cohn, Lifland, Pearlman, Herrmann,  &amp; Knopf,  LLP (local/liaison)"/>
        <s v="Safirstein Metcalf LLP; Kantrowitz, Goldhamer &amp; Graifman (local/liaison)Miller Law, LLC (local/liaison)"/>
        <s v="Spector Roseman Kodroff &amp; Willis, P.C."/>
        <s v="The Rosen Law Firm, P.A.; Bronstein, Gewirtz &amp; Grossman, LLC (local/liaison)Goldberg Law PC (local/liaison)"/>
        <s v="The Rosen Law Firm, P.A.; Pomerantz LLP (local/liaison)"/>
        <s v="Monteverde &amp; Associates PC; Wolf Popper LLP; Berman DeValerio (local/liaison)Block &amp; Leviton LLP (local/liaison)"/>
        <s v="Abraham, Fruchter &amp; Twersky, LLP; Tydings &amp; Rosenberg LLP (local/liaison)"/>
        <s v="Wolf Haldenstein Adler Freeman &amp; Herz LLP; Levi &amp; Korsinsky, LLP (local/liaison)"/>
        <s v="Goldberg Law PC; Pomerantz LLP; Hutchings, Barsamian, Mandelcorn, LLP (local/liaison)"/>
        <s v="Kirby McInerney LLP; Law Offices of Mark Booker (local/liaison)"/>
        <s v="The Rosen Law Firm, P.A.; Hutchings, Barsamian, Mandelcorn, LLP (local/liaison)"/>
        <s v="Wolf Popper LLP; Berman DeValerio (local/liaison)"/>
        <s v="Bernstein Liebhard LLP; Brent, Fiol &amp; Pratt LLP (local/liaison)"/>
        <s v="Cohen Milstein Sellers &amp; Toll PLLC; Glancy Prongay &amp; Murray, LLP (local/liaison)"/>
        <s v="Gainey McKenna &amp; Egleston; The Paskowitz Law Firm, P.C.; Roy Jacobs &amp; Associates (local/liaison)"/>
        <s v="Kahn Swick &amp; Foti, LLC"/>
        <s v="Pomerantz LLP; Bronstein, Gewirtz &amp; Grossman, LLC (local/liaison)Goldberg Law PC (local/liaison)"/>
        <s v="Robbins, Geller, Rudman &amp; Dowd, LLP"/>
        <s v="Shepherd, Finkelman, Miller &amp; Shah, LLP"/>
        <s v="The Miller Law Firm, P.C.; McCune Wright Arevalo, LLP (local/liaison)"/>
        <s v="The Rosen Law Firm, P.A.; Goldberg Law PC (local/liaison)"/>
        <s v="Glancy Prongay &amp; Murray, LLP; Pomerantz LLP"/>
        <s v="Lifshitz &amp; Miller; Reich Radcliffe &amp; Hoover LLP (local/liaison)"/>
        <s v="Bernstein Litowitz Berger &amp; Grossmann LLP; Tiffany &amp; Bosco, PA (local/liaison)"/>
        <s v="Glancy Prongay &amp; Murray, LLP; The Wilkins Law Firm, PLLC (local/liaison)"/>
        <s v="Kessler Topaz  Meltzer &amp; Check, LLP; James Christian, PLC (local/liaison)"/>
        <s v="Pomerantz LLP; Martin &amp; Bonnett, PLLC (local/liaison)"/>
        <s v="Goldberg Law PC; Pomerantz LLP"/>
        <s v="Levi &amp; Korsinsky, LLP; Ward Black Law (local/liaison)"/>
        <s v="Wolf Haldenstein Adler Freeman &amp; Herz LLP; The Law Office of Jean Sutton Martin PLLC (local/liaison)"/>
        <s v="Gainey McKenna &amp; Egleston; The Wagner Firm (local/liaison)"/>
        <s v="Pomerantz LLP; Bronstein, Gewirtz &amp; Grossman, LLC (local/liaison)Glancy Prongay &amp; Murray, LLP (local/liaison)"/>
        <s v="Johnson &amp; Weaver LLP; Hutchings, Barsamian, Mandelcorn, LLP (local/liaison)"/>
        <s v="Pomerantz LLP; The Rosen Law Firm, P.A.; Mirabella Law, LLC (local/liaison)"/>
        <s v="Kaplan Fox &amp; Kilsheimer LLP; Blue LLP (local/liaison)"/>
        <s v="Robbins, Geller, Rudman &amp; Dowd, LLP; McDaniel &amp; Anderson, LLP (local/liaison)"/>
        <s v="Glancy Prongay &amp; Murray, LLP; The Rosen Law Firm, P.A."/>
        <s v="Kessler Topaz  Meltzer &amp; Check, LLP; Rosman and Germain LLP (local/liaison)"/>
        <s v="Robbins, Geller, Rudman &amp; Dowd, LLP; Sullivan, Ward, Asher &amp; Patton, P.C. (local/liaison)"/>
        <s v="Kessler Topaz  Meltzer &amp; Check, LLP; Labaton Sucharow LLP (local/liaison)"/>
        <s v="Hagens Berman Sobol Shapiro LLP"/>
        <s v="Labaton Sucharow LLP"/>
        <s v="Pomerantz LLP; Bronstein, Gewirtz &amp; Grossman, LLC (local/liaison)The Rosen Law Firm, P.A. (local/liaison)"/>
        <s v="Goldberg Law PC; The Rosen Law Firm, P.A."/>
        <s v="Motley Rice LLC"/>
        <s v="Robbins, Geller, Rudman &amp; Dowd, LLP; Cypen &amp; Cypen (local/liaison)Hutchings, Barsamian, Mandelcorn, LLP (local/liaison)"/>
        <s v="Johnson &amp; Weaver LLP; Levi &amp; Korsinsky, LLP; McGaughey Erickson (local/liaison)"/>
        <s v="Bragar Eagel &amp; Squire, PC; Kirby McInerney LLP (local/liaison)"/>
        <s v="Bronstein, Gewirtz &amp; Grossman, LLC; Goldberg Law PC; Pomerantz LLP"/>
        <s v="Bernstein Litowitz Berger &amp; Grossmann LLP; Labaton Sucharow LLP"/>
        <s v="Saxena White P.A.; Law Offices of Curtis V. Trinko (local/liaison)"/>
        <s v="Robbins, Geller, Rudman &amp; Dowd, LLP; The Briscoe Law Firm, PLLC (local/liaison)"/>
        <s v="Bragar Eagel &amp; Squire, PC; The Wagner Firm (local/liaison)"/>
        <s v="Levi &amp; Korsinsky, LLP; Pomerantz LLP; Goldberg Law PC (local/liaison)"/>
        <s v="Brower Piven; Levi &amp; Korsinsky, LLP; Finkelstein Thompson LLP (local/liaison)"/>
        <s v="Bernstein Litowitz Berger &amp; Grossmann LLP"/>
        <s v="Labaton Sucharow LLP; The Wagner Firm (local/liaison)"/>
        <s v="Levi &amp; Korsinsky, LLP; Robbins Arroyo LLP; Johnson &amp; Weaver LLP (local/liaison)"/>
        <s v="Robbins, Geller, Rudman &amp; Dowd, LLP; Johnson &amp; Weaver LLP (local/liaison)"/>
        <s v="Motley Rice LLC; Robbins, Geller, Rudman &amp; Dowd, LLP (local/liaison)"/>
        <s v="Pomerantz LLP; The Rosen Law Firm, P.A.; Bronstein, Gewirtz &amp; Grossman, LLC (local/liaison)"/>
        <s v="Bernstein Liebhard LLP; Barrett Law Office, PLLC (local/liaison)"/>
        <s v="Block &amp; Leviton LLP; Bramlett Law Offices (local/liaison)"/>
        <s v="Kessler Topaz  Meltzer &amp; Check, LLP; Labaton Sucharow LLP; Branstetter Stranch &amp; Jennings PLLC (local/liaison)"/>
        <s v="Motley Rice LLC; Summers, Rufolo &amp; Rodgers, P.C. (local/liaison)"/>
        <s v="Pomerantz LLP; Bramlett Law Offices (local/liaison)"/>
        <s v="Robbins, Geller, Rudman &amp; Dowd, LLP; O'Donoghue &amp; O'Donoghue LLP (local/liaison)"/>
        <s v="Block &amp; Leviton LLP; Gardy &amp; Notis, LLP (local/liaison)"/>
        <s v="Pomerantz LLP; Bronstein, Gewirtz &amp; Grossman, LLC (local/liaison)"/>
        <s v="Brower Piven; Pomerantz LLP; Schiller &amp; Schiller, P.L.L.C. (local/liaison)"/>
        <s v="Glancy Prongay &amp; Murray, LLP; Whitfield Bryson &amp; Mason LLP (local/liaison)"/>
        <s v="Hagens Berman Sobol Shapiro LLP; Blue LLP (local/liaison)"/>
        <s v="Johnson &amp; Weaver LLP; Robbins, Geller, Rudman &amp; Dowd, LLP; McDaniel &amp; Anderson, LLP (local/liaison)"/>
        <s v="Levi &amp; Korsinsky, LLP; Scott &amp; Scott,  LLP; Ward Black Law (local/liaison)"/>
        <s v="Gainey McKenna &amp; Egleston"/>
        <s v="Levi &amp; Korsinsky, LLP; Bragar Eagel &amp; Squire, PC (local/liaison)"/>
        <s v="RM Law, P.C.; Saxena White P.A."/>
        <s v="Pomerantz LLP"/>
        <s v="Bragar Eagel &amp; Squire, PC; Glancy Prongay &amp; Murray, LLP"/>
        <s v="Kessler Topaz  Meltzer &amp; Check, LLP; Mattingly &amp; Roselius, PLLC (local/liaison)"/>
        <s v="Levi &amp; Korsinsky, LLP; Lee, Goodwin, Lee, Lewis &amp; Dobson (local/liaison)"/>
        <s v="Pomerantz LLP; Bronstein, Gewirtz &amp; Grossman, LLC (local/liaison)Federman &amp; Sherwood (local/liaison)Goldberg Law PC (local/liaison)"/>
        <s v="Spector Roseman Kodroff &amp; Willis, P.C.; Federman &amp; Sherwood (local/liaison)"/>
        <s v="The Rosen Law Firm, P.A.; Federman &amp; Sherwood (local/liaison)"/>
        <s v="Johnson &amp; Weaver LLP; Robbins, Geller, Rudman &amp; Dowd, LLP; Hutchings, Barsamian, Mandelcorn, LLP (local/liaison)"/>
        <s v="Barrack  Rodos &amp; Bacine; Kessler Topaz  Meltzer &amp; Check, LLP; Labaton Sucharow LLP"/>
        <s v="Brower Piven"/>
        <s v="Gardy &amp; Notis, LLP; Kroll, Heineman Carton, LLC (local/liaison)"/>
        <s v="Labaton Sucharow LLP; Spector Roseman Kodroff &amp; Willis, P.C."/>
        <s v="Motley Rice LLC; Robbins, Geller, Rudman &amp; Dowd, LLP"/>
        <s v="Labaton Sucharow LLP; Hurwitz, Sagarin, Slossberg &amp; Knuff, LLC (local/liaison)"/>
        <s v="Glancy Prongay &amp; Murray, LLP; Levi &amp; Korsinsky, LLP"/>
        <s v="The Rosen Law Firm, P.A.; Sanders Bajwa LLP (local/liaison)"/>
        <s v="Bernstein Litowitz Berger &amp; Grossmann LLP; Wheeler Trigg O'Donnell LLP (local/liaison)"/>
        <s v="Grant &amp; Eisenhofer, P.A.; Saxena White P.A.; The Shuman Law Firm (local/liaison)"/>
        <s v="Labaton Sucharow LLP; The Rosen Law Firm, P.A.; Condit Csajaghy, LLC (local/liaison)"/>
        <s v="Pomerantz LLP; Jeffrey M. Villanueva, P.C. (local/liaison)"/>
        <s v="Pomerantz LLP; The Rosen Law Firm, P.A.; Goldberg Law PC (local/liaison)"/>
        <s v="Bernstein Litowitz Berger &amp; Grossmann LLP; Motley Rice LLC; Lowenstein Sandler, LLP (local/liaison)"/>
        <s v="Goldberg Law PC; Pomerantz LLP; Lite Depalma Greenberg, LLC (local/liaison)"/>
        <s v="Kessler Topaz  Meltzer &amp; Check, LLP; Carella, Byrne, Cecchi, Olstein, Brody &amp; Agnello P.C. (local/liaison)"/>
        <s v="Labaton Sucharow LLP; Lite Depalma Greenberg, LLC (local/liaison)"/>
        <s v="Strauss Troy; The Rosen Law Firm, P.A."/>
        <s v="Bronstein, Gewirtz &amp; Grossman, LLC"/>
        <s v="Kessler Topaz  Meltzer &amp; Check, LLP"/>
        <s v="Kessler Topaz  Meltzer &amp; Check, LLP; Scott &amp; Cain, Attorneys at Law (local/liaison)"/>
        <s v="Levi &amp; Korsinsky, LLP; Holifield, Janich, Rachal &amp; Associates, PLLC (local/liaison)"/>
        <s v="Pomerantz LLP; The Rosen Law Firm, P.A.; Bramlett Law Offices (local/liaison)"/>
        <s v="Robbins, Geller, Rudman &amp; Dowd, LLP; Barrett Johnston Martin &amp; Garrison, LLC (local/liaison)"/>
        <s v="Kaplan Fox &amp; Kilsheimer LLP"/>
        <s v="Scott &amp; Scott,  LLP; Quinn, Connor, Weaver, Davies &amp; Rouco LLP (local/liaison)"/>
        <s v="Faruqi &amp; Faruqi, LLP; The Bilek Law Firm LLP (local/liaison)"/>
        <s v="Federman &amp; Sherwood"/>
        <s v="Gainey McKenna &amp; Egleston; Keller Rohrback L.L.P."/>
        <s v="Glancy Prongay &amp; Murray, LLP; The Rosen Law Firm, P.A.; Zwerling, Schachter, Zwerling LLP (local/liaison)"/>
        <s v="Goldberg Law PC; Pomerantz LLP; Law Offices of Clifford A. Cantor, P.C (local/liaison)"/>
        <s v="Holzer &amp; Holzer, LLC; Robbins, Geller, Rudman &amp; Dowd, LLP"/>
        <s v="Pomerantz LLP; The Rosen Law Firm, P.A."/>
        <s v="Bronstein, Gewirtz &amp; Grossman, LLC; Pomerantz LLP"/>
        <s v="Labaton Sucharow LLP; Glancy Prongay &amp; Murray, LLP (local/liaison)"/>
        <s v="Cera LLP; Abraham, Fruchter &amp; Twersky, LLP (local/liaison)"/>
        <s v="Saxena White P.A.; The Shuman Law Firm (local/liaison)"/>
        <s v="Bronstein, Gewirtz &amp; Grossman, LLC; The Rosen Law Firm, P.A."/>
        <s v="Saxena White P.A.; Law Office of Norman Rifkind (local/liaison)"/>
        <s v="Spector Roseman Kodroff &amp; Willis, P.C.; Wexler Wallace, LLP (local/liaison)"/>
        <s v="Glancy Prongay &amp; Murray, LLP; The Miller Law Firm, P.C. (local/liaison)"/>
        <s v="Robbins, Geller, Rudman &amp; Dowd, LLP; VanOverbeke Michaud &amp; Timmony, P.C. (local/liaison)"/>
        <s v="Bernstein Litowitz Berger &amp; Grossmann LLP; Entwistle &amp; Cappucci LLP; Friedlander &amp; Gorris, P.A. (local/liaison)"/>
        <s v="Brower Piven; Rigrodsky &amp; Long, PA (local/liaison)"/>
        <s v="Glancy Prongay &amp; Murray, LLP; Finger &amp; Slanina, LLC (local/liaison)"/>
        <s v="Motley Rice LLC; Rosenthal, Monhait &amp; Goddess, P.A. (local/liaison)"/>
        <s v="Kessler Topaz  Meltzer &amp; Check, LLP; Berke, Berke &amp; Berke (local/liaison)"/>
        <s v="Cohen Milstein Sellers &amp; Toll PLLC; Glancy Prongay &amp; Murray, LLP; Saxena White P.A. (local/liaison)"/>
        <s v="Levi &amp; Korsinsky, LLP; Cullin O'Brien Law, P.A. (local/liaison)"/>
        <s v="Levi &amp; Korsinsky, LLP; Shepherd, Finkelman, Miller &amp; Shah, LLP (local/liaison)"/>
        <s v="Kirby McInerney LLP"/>
        <s v="Grant &amp; Eisenhofer, P.A."/>
        <s v="Levi &amp; Korsinsky, LLP; Pomerantz LLP; O'Kelly &amp; Ernst, LLC (local/liaison)"/>
        <s v="The Grant Law Firm PLLC; Shapiro Haber &amp; Urmy LLP (local/liaison)"/>
        <s v="Robbins, Geller, Rudman &amp; Dowd, LLP; Brown Goldstein Levy, LLP (local/liaison)Klausner, Kaufman, Jensen &amp; Levinson (local/liaison)Rice Pugatch Robinson Storfer &amp; Cohen, PLLC (local/liaison)"/>
        <s v="Chimicles &amp; Tikellis LLP; Wolf Haldenstein Adler Freeman &amp; Herz LLP (local/liaison)"/>
        <s v="Glancy Prongay &amp; Murray, LLP; Cafferty Clobes Meriwether &amp; Sprengel LLP (local/liaison)"/>
        <s v="Kahn Swick &amp; Foti, LLC; Robbins, Geller, Rudman &amp; Dowd, LLP; Holzer &amp; Holzer, LLC (local/liaison)The Miller Law Firm, P.C. (local/liaison)"/>
        <s v="Kessler Topaz  Meltzer &amp; Check, LLP; Bronstein, Gewirtz &amp; Grossman, LLC (local/liaison)Sachs Waldman P.C. (local/liaison)"/>
        <s v="Levi &amp; Korsinsky, LLP; Sommers Schwartz, PC. (local/liaison)"/>
        <s v="Barrack  Rodos &amp; Bacine"/>
        <s v="Robbins, Geller, Rudman &amp; Dowd, LLP; Sugarman &amp; Susskind (local/liaison)"/>
        <s v="Robbins, Geller, Rudman &amp; Dowd, LLP; Kendall Law Group, LLP (local/liaison)Law Offices of Balon B. Bradley (local/liaison)"/>
        <s v="Robbins, Geller, Rudman &amp; Dowd, LLP; Cypen &amp; Cypen (local/liaison)Stoll Stoll Berne Lokting &amp; Schlachter P.C. (local/liaison)"/>
        <s v="Glancy Prongay &amp; Murray, LLP; Levi &amp; Korsinsky, LLP; Carella, Byrne, Cecchi, Olstein, Brody &amp; Agnello P.C. (local/liaison)"/>
        <s v="Glancy Prongay &amp; Murray, LLP; Kirby McInerney LLP; Bragar Eagel &amp; Squire, PC (local/liaison)"/>
        <s v="Kessler Topaz  Meltzer &amp; Check, LLP; The Miller Law Firm, P.C. (local/liaison)"/>
        <s v="Barrack  Rodos &amp; Bacine; Labaton Sucharow LLP; The Glorioso Law Firm (local/liaison)"/>
        <s v="Robbins, Geller, Rudman &amp; Dowd, LLP; Lemmon Law Firm (local/liaison)"/>
        <s v="Scott &amp; Scott,  LLP; Kessler Topaz  Meltzer &amp; Check, LLP (local/liaison)"/>
        <s v="Shapiro Haber &amp; Urmy LLP; Schubert Jonckheer &amp; Kolbe LLP (local/liaison)"/>
        <s v="Bernstein Litowitz Berger &amp; Grossmann LLP; Ajamie LLP (local/liaison)"/>
        <s v="Block &amp; Leviton LLP; The Briscoe Law Firm, PLLC (local/liaison)"/>
        <s v="Glancy Prongay &amp; Murray, LLP; Kendall Law Group, LLP (local/liaison)"/>
        <s v="Grant &amp; Eisenhofer, P.A.; Harry P. Susman, Esq. (local/liaison)"/>
        <s v="Levi &amp; Korsinsky, LLP; The Bilek Law Firm LLP (local/liaison)"/>
        <s v="Pomerantz LLP; Abraham, Watkins Nichols, Sorrels, Agosto &amp; Friend (local/liaison)"/>
        <s v="Robbins, Geller, Rudman &amp; Dowd, LLP; Sponsel Miller Greenberg PLLC (local/liaison)"/>
        <s v="Wolf Haldenstein Adler Freeman &amp; Herz LLP; The Bilek Law Firm LLP (local/liaison)"/>
        <s v="Glancy Prongay &amp; Murray, LLP; Johnson &amp; Weaver LLP"/>
        <s v="Faruqi &amp; Faruqi, LLP; James Christian, PLC (local/liaison)"/>
        <s v="Levi &amp; Korsinsky, LLP; Goldman &amp; Zwillinger PLLC (local/liaison)"/>
        <s v="Pomerantz LLP; Bronstein, Gewirtz &amp; Grossman, LLC (local/liaison)Martin &amp; Bonnett, PLLC (local/liaison)"/>
        <s v="Scott &amp; Scott,  LLP; Bonnett, Fairbourn, Friedman &amp; Balint, P.C. (local/liaison)"/>
        <s v="Robbins, Geller, Rudman &amp; Dowd, LLP; Carella, Byrne, Cecchi, Olstein, Brody &amp; Agnello P.C. (local/liaison)"/>
        <s v="Lifshitz &amp; Miller; Berens Law LLC (local/liaison)"/>
        <s v="Wolf Haldenstein Adler Freeman &amp; Herz LLP; Cody-Hopkins Law Firm (local/liaison)"/>
        <s v="Johnson &amp; Weaver LLP; Robbins, Geller, Rudman &amp; Dowd, LLP"/>
        <s v="Newman Ferrara LLP"/>
        <s v="Federman &amp; Sherwood; Kantrowitz, Goldhamer &amp; Graifman"/>
        <s v="Susman Godfrey, L.L.P.; Izard, Kindall &amp; Raabe, LLP (local/liaison)"/>
        <s v="Abraham, Fruchter &amp; Twersky, LLP; Busald Funk Zevely P.C. (local/liaison)"/>
        <s v="Kessler Topaz  Meltzer &amp; Check, LLP; Mehr, Fairbanks, &amp; Peterson Trial Lawyers, PLLC (local/liaison)"/>
        <s v="Pomerantz LLP; Bronstein, Gewirtz &amp; Grossman, LLC (local/liaison)Strauss Troy (local/liaison)"/>
        <s v="Faruqi &amp; Faruqi, LLP; Kahn Swick &amp; Foti, LLC; MeyerGoergen PC (local/liaison)Monteverde &amp; Associates PC (local/liaison)"/>
        <s v="Johnson &amp; Weaver LLP; Scott &amp; Scott,  LLP; Holzer &amp; Holzer, LLC (local/liaison)Shelley Cupp Schulte, P.C. (local/liaison)The Weiser Law Firm, PC (local/liaison)"/>
        <s v="Levi &amp; Korsinsky, LLP; Brower Piven (local/liaison)"/>
        <s v="Robbins, Geller, Rudman &amp; Dowd, LLP; Christiansen &amp; Dehner, P.A. (local/liaison)"/>
        <s v="Federman &amp; Sherwood; Green &amp; Noblin, P.C. (local/liaison)"/>
        <s v="Gainey McKenna &amp; Egleston; Stull, Stull &amp; Brody (local/liaison)"/>
        <s v="The Rosen Law Firm, P.A.; Bronstein, Gewirtz &amp; Grossman, LLC (local/liaison)"/>
        <s v="The Rosen Law Firm, P.A.; Goldberg Law PC (local/liaison)Pawar Law Group (local/liaison)"/>
        <s v="Goldberg Law PC; Pomerantz LLP; Bronstein, Gewirtz &amp; Grossman, LLC (local/liaison)"/>
        <s v="Robbins, Geller, Rudman &amp; Dowd, LLP; Johnson &amp; Weaver LLP (local/liaison)Motley Rice LLC (local/liaison)"/>
        <s v="Barrack  Rodos &amp; Bacine; Bernstein Litowitz Berger &amp; Grossmann LLP; Climaco, Wilcox, Peca, Tarantino &amp; Garofoli Co., L.P.A. (local/liaison)"/>
        <s v="Glancy Prongay &amp; Murray, LLP; Kooperman Mentel Ferguson Yaross Ltd. (local/liaison)"/>
        <s v="Motley Rice LLC; Robbins, Geller, Rudman &amp; Dowd, LLP; Landskroner, Grieco, Merriman, LLC (local/liaison)"/>
        <s v="Wolf Popper LLP"/>
        <s v="Glancy Prongay &amp; Murray, LLP; Kranenburg (local/liaison)Montgomery, McCracken, Walker &amp; Rhoads, LLP (local/liaison)The Wagner Firm (local/liaison)"/>
        <s v="Hagens Berman Sobol Shapiro LLP; Rigrodsky &amp; Long, PA (local/liaison)"/>
        <s v="Pomerantz LLP; The Rosen Law Firm, P.A.; Andrews &amp; Springer, LLC (local/liaison)Bronstein, Gewirtz &amp; Grossman, LLC (local/liaison)"/>
        <s v="Robbins Arroyo LLP; Cooch &amp; Taylor, PA (local/liaison)"/>
        <s v="Robbins, Geller, Rudman &amp; Dowd, LLP; Friedlander &amp; Gorris, P.A. (local/liaison)"/>
        <s v="Faruqi &amp; Faruqi, LLP; Heins Mills &amp; Olson, PLC (local/liaison)"/>
        <s v="Glancy Prongay &amp; Murray, LLP; Law Offices of Howard G. Smith (local/liaison)"/>
        <s v="Kessler Topaz  Meltzer &amp; Check, LLP; Robbins, Geller, Rudman &amp; Dowd, LLP (local/liaison)"/>
        <s v="Glancy Prongay &amp; Murray, LLP; Wolf Popper LLP"/>
        <s v="Hagens Berman Sobol Shapiro LLP; Lite Depalma Greenberg, LLC (local/liaison)"/>
        <s v="The Rosen Law Firm, P.A.; Block &amp; Leviton LLP (local/liaison)"/>
        <s v="Bragar Eagel &amp; Squire, PC; Levi &amp; Korsinsky, LLP (local/liaison)"/>
        <s v="Bronstein, Gewirtz &amp; Grossman, LLC; Wolf Haldenstein Adler Freeman &amp; Herz LLP; Levi &amp; Korsinsky, LLP (local/liaison)"/>
        <s v="Monteverde &amp; Associates PC; Block &amp; Leviton LLP (local/liaison)"/>
        <s v="Pomerantz LLP; The Rosen Law Firm, P.A.; Bronstein, Gewirtz &amp; Grossman, LLC (local/liaison)Goldberg Law PC (local/liaison)Lite Depalma Greenberg, LLC (local/liaison)"/>
        <s v="Kessler Topaz  Meltzer &amp; Check, LLP; Bonnett, Fairbourn, Friedman &amp; Balint, P.C. (local/liaison)"/>
        <s v="The Rosen Law Firm, P.A.; Tiffany &amp; Bosco, PA (local/liaison)"/>
        <s v="Robbins, Geller, Rudman &amp; Dowd, LLP; George &amp; Farinas, LLP (local/liaison)Johnson &amp; Weaver LLP (local/liaison)"/>
        <s v="Glancy Prongay &amp; Murray, LLP; Holzer &amp; Holzer, LLC"/>
        <s v="Robbins, Geller, Rudman &amp; Dowd, LLP; The Miller Law Firm, P.C. (local/liaison)VanOverbeke Michaud &amp; Timmony, P.C. (local/liaison)"/>
        <s v="Robbins, Geller, Rudman &amp; Dowd, LLP; Robbins Arroyo LLP (local/liaison)"/>
        <s v="Bragar Eagel &amp; Squire, PC; Glancy Prongay &amp; Murray, LLP; Pines Bach LLP (local/liaison)"/>
        <s v="Lockridge, Grindal, Nauen, PLLP; Wagner Law Group, S.C. (local/liaison)"/>
        <s v="Bronstein, Gewirtz &amp; Grossman, LLC; Bykhovsky Law, LLC (local/liaison)"/>
        <s v="Robbins, Geller, Rudman &amp; Dowd, LLP; Johnson &amp; Weaver LLP (local/liaison)Wagner Law Group, S.C. (local/liaison)"/>
        <s v="Block &amp; Leviton LLP; Glancy Prongay &amp; Murray, LLP; Tousley Brain Stephens PLLC (local/liaison)"/>
        <s v="Levi &amp; Korsinsky, LLP; Law Offices of Clifford A. Cantor, P.C (local/liaison)"/>
        <s v="Pomerantz LLP; Law Offices of Clifford A. Cantor, P.C (local/liaison)"/>
        <s v="Saxena White P.A.; The Wagner Firm (local/liaison)"/>
        <s v="Block &amp; Leviton LLP"/>
        <s v="Block &amp; Leviton LLP; Friedman Oster &amp; Tejtel PLLC (local/liaison)"/>
        <s v="Robbins, Geller, Rudman &amp; Dowd, LLP; Woodward &amp; Kelley, PLLC (local/liaison)"/>
        <s v="Robbins, Geller, Rudman &amp; Dowd, LLP; Allotta Farley Co., L.P.A. (local/liaison)"/>
        <s v="Abraham, Fruchter &amp; Twersky, LLP; Profy Promisloff &amp; Ciarlanto, P.C. (local/liaison)"/>
        <s v="Bernstein Liebhard LLP; The Weiser Law Firm, PC (local/liaison)"/>
        <s v="Gainey McKenna &amp; Egleston; Hynes Keller &amp; Hernandez, LLC (local/liaison)"/>
        <s v="Labaton Sucharow LLP; Pomerantz LLP; Griesing Law, LLC (local/liaison)"/>
        <s v="Levi &amp; Korsinsky, LLP; The Rosen Law Firm, P.A."/>
        <s v="Robbins, Geller, Rudman &amp; Dowd, LLP; Kaufman, Coren &amp; Ress, P.C. (local/liaison)"/>
        <s v="Chimicles &amp; Tikellis LLP; Wolf Haldenstein Adler Freeman &amp; Herz LLP"/>
        <s v="Spector Roseman Kodroff &amp; Willis, P.C.; Lieff Cabraser Heimann &amp; Bernstein, LLP (local/liaison)"/>
        <s v="Block &amp; Leviton LLP; Ban Law Offices PC (local/liaison)"/>
        <s v="Pomerantz LLP; Bronstein, Gewirtz &amp; Grossman, LLC (local/liaison)Christensen Young &amp; Associates, PLLC (local/liaison)Goldberg Law PC (local/liaison)"/>
        <s v="The Rosen Law Firm, P.A.; Hatch James &amp; Dodge PC (local/liaison)"/>
        <s v="Wolf Haldenstein Adler Freeman &amp; Herz LLP; Fischler &amp; Friedman, P.A. (local/liaison)"/>
        <s v="Bragar Eagel &amp; Squire, PC; Levi &amp; Korsinsky, LLP; Glancy Prongay &amp; Murray, LLP (local/liaison)"/>
        <s v="Robbins, Geller, Rudman &amp; Dowd, LLP; Andrews &amp; Springer, LLC (local/liaison)Cavanagh &amp; O'Hara (local/liaison)"/>
        <s v="Pomerantz LLP; Bronstein, Gewirtz &amp; Grossman, LLC (local/liaison)Lite Depalma Greenberg, LLC (local/liaison)"/>
        <s v="Barrack  Rodos &amp; Bacine; Murray Murphy Moul &amp; Basil, LLP (local/liaison)"/>
        <s v="Bleichmar Fonti &amp; Auld LLP; Law Offices of Susan R. Podolsky (local/liaison)"/>
        <s v="Kahn Swick &amp; Foti, LLC; Finkelstein Thompson LLP (local/liaison)"/>
        <s v="Pomerantz LLP; Saxena White P.A.; Cohen Milstein Sellers &amp; Toll PLLC (local/liaison)"/>
        <s v="Brower Piven; Brodsky &amp; Smith, LLC (local/liaison)"/>
        <s v="Bragar Eagel &amp; Squire, PC; Glancy Prongay &amp; Murray, LLP; Kendall Law Group, LLP (local/liaison)"/>
        <s v="Gainey McKenna &amp; Egleston; Lackey Hershman, LLP (local/liaison)"/>
        <s v="Levi &amp; Korsinsky, LLP; Deans &amp; Lyons LLP (local/liaison)"/>
        <s v="Pomerantz LLP; Bronstein, Gewirtz &amp; Grossman, LLC (local/liaison)McGaughey Erickson (local/liaison)"/>
        <s v="Robbins, Geller, Rudman &amp; Dowd, LLP; Stoll Stoll Berne Lokting &amp; Schlachter P.C. (local/liaison)"/>
        <s v="Block &amp; Leviton LLP; Wolf Haldenstein Adler Freeman &amp; Herz LLP (local/liaison)"/>
        <s v="Gordon Ball PLLC"/>
        <s v="Robbins, Geller, Rudman &amp; Dowd, LLP; Barrett Johnston Martin &amp; Garrison, LLC (local/liaison)Kranenburg (local/liaison)Law Offices of Curtis V. Trinko (local/liaison)"/>
        <s v="Brodsky &amp; Smith, LLC; Levi &amp; Korsinsky, LLP"/>
        <s v="Bernstein Liebhard LLP"/>
        <s v="Gibbs Law Group LLP; The Kehoe Law Firm"/>
        <s v="Levi &amp; Korsinsky, LLP; Bragar Eagel &amp; Squire, PC (local/liaison)Glancy Prongay &amp; Murray, LLP (local/liaison)"/>
        <s v="Bragar Eagel &amp; Squire, PC; Pomerantz LLP; Glancy Prongay &amp; Murray, LLP (local/liaison)"/>
        <s v="Bernstein Litowitz Berger &amp; Grossmann LLP; Friedlander &amp; Gorris, P.A. (local/liaison)"/>
        <s v="Lieff Cabraser Heimann &amp; Bernstein, LLP; Morris and Morris LLC (local/liaison)"/>
        <s v="Robbins, Geller, Rudman &amp; Dowd, LLP; Cypen &amp; Cypen (local/liaison)Rosenthal, Monhait &amp; Goddess, P.A. (local/liaison)"/>
        <s v="Saxena White P.A."/>
        <s v="Finkelstein &amp; Krinsk LLP; Kahn Swick &amp; Foti, LLC"/>
        <s v="Bragar Eagel &amp; Squire, PC; Glancy Prongay &amp; Murray, LLP; Carella, Byrne, Cecchi, Olstein, Brody &amp; Agnello P.C. (local/liaison)"/>
        <s v="The Rosen Law Firm, P.A.; Wolf Haldenstein Adler Freeman &amp; Herz LLP"/>
        <s v="Labaton Sucharow LLP; Berman DeValerio (local/liaison)"/>
        <s v="Pomerantz LLP; The Briscoe Law Firm, PLLC (local/liaison)"/>
        <s v="Glancy Prongay &amp; Murray, LLP; Kirby McInerney LLP"/>
        <s v="Lifshitz &amp; Miller"/>
        <s v="Faruqi &amp; Faruqi, LLP; Monteverde &amp; Associates PC; DeConcini McDonald Yetwin &amp; Lacy, P.C. (local/liaison)"/>
        <s v="Bernstein Litowitz Berger &amp; Grossmann LLP; Saxena White P.A.; Carella, Byrne, Cecchi, Olstein, Brody &amp; Agnello P.C. (local/liaison)"/>
        <s v="Pomerantz LLP; Lite Depalma Greenberg, LLC (local/liaison)"/>
        <s v="Robbins, Geller, Rudman &amp; Dowd, LLP; Seeger Weiss LLP (local/liaison)"/>
        <s v="Abraham, Fruchter &amp; Twersky, LLP; Vianale &amp; Vianale LLP (local/liaison)"/>
        <s v="Glancy Prongay &amp; Murray, LLP; Levi &amp; Korsinsky, LLP; Berman DeValerio (local/liaison)"/>
        <s v="Pomerantz LLP; Bronstein, Gewirtz &amp; Grossman, LLC (local/liaison)Shepherd, Finkelman, Miller &amp; Shah, LLP (local/liaison)"/>
        <s v="Robbins, Geller, Rudman &amp; Dowd, LLP; Marino Associates (local/liaison)"/>
        <s v="Frank Sims Stolper LLP; Wolf Popper LLP (local/liaison)"/>
        <s v="Levi &amp; Korsinsky, LLP; Scott &amp; Scott,  LLP"/>
        <s v="Chimicles &amp; Tikellis LLP; Cohon &amp; Pollak, LLP (local/liaison)"/>
        <s v="Cohen Milstein Sellers &amp; Toll PLLC; Glancy &amp; Binkow LLP (local/liaison)"/>
        <s v="Johnson &amp; Weaver LLP"/>
        <s v="Kessler Topaz  Meltzer &amp; Check, LLP; Labaton Sucharow LLP; Law Offices of Susan R. Podolsky (local/liaison)"/>
        <s v="Pomerantz LLP; Bronstein, Gewirtz &amp; Grossman, LLC (local/liaison)Cohen Milstein Sellers &amp; Toll PLLC (local/liaison)"/>
        <s v="Robbins, Geller, Rudman &amp; Dowd, LLP; Law Offices of Craig C. Reilly (local/liaison)"/>
        <s v="Bronstein, Gewirtz &amp; Grossman, LLC; Whiteford, Taylor and Preston (local/liaison)"/>
        <s v="Hagens Berman Sobol Shapiro LLP; Hirschler Fleischer, P.C. (local/liaison)"/>
        <s v="Robbins, Geller, Rudman &amp; Dowd, LLP; Johnson &amp; Weaver LLP (local/liaison)Stritmatter Kessler Whelan Koehler Moore Kahler (local/liaison)"/>
        <s v="WeissLaw, LLP; Breskin Johnson &amp; Townsend PLLC (local/liaison)"/>
        <s v="Robbins, Geller, Rudman &amp; Dowd, LLP; Law Office of Alan L. Kovacs (local/liaison)"/>
        <s v="Kessler Topaz  Meltzer &amp; Check, LLP; Johnson &amp; Weaver LLP (local/liaison)"/>
        <s v="Berger &amp; Montague, P.C.; Bronstein, Gewirtz &amp; Grossman, LLC"/>
        <s v="Bragar Eagel &amp; Squire, PC"/>
        <s v="Cohen Milstein Sellers &amp; Toll PLLC; O'Donoghue &amp; O'Donoghue LLP (local/liaison)"/>
        <s v="Bernstein Litowitz Berger &amp; Grossmann LLP; Pomerantz LLP; Lowenstein Sandler, LLP (local/liaison)"/>
        <s v="Safirstein Metcalf LLP; Kantrowitz, Goldhamer &amp; Graifman (local/liaison)"/>
        <s v="Kahn Swick &amp; Foti, LLC; The Shuman Law Firm (local/liaison)"/>
        <s v="Bernstein Litowitz Berger &amp; Grossmann LLP; Kessler Topaz  Meltzer &amp; Check, LLP; Chestnut &amp; Cambronne (local/liaison)"/>
        <s v="Glancy Prongay &amp; Murray, LLP; Law Offices of Howard G. Smith (local/liaison)Zimmerman Reed, PLLP (local/liaison)"/>
        <s v="Pomerantz LLP; The Rosen Law Firm, P.A.; Lockridge, Grindal, Nauen, PLLP (local/liaison)"/>
        <s v="Robbins, Geller, Rudman &amp; Dowd, LLP; Hellmuth &amp; Johnson, PLLC (local/liaison)"/>
        <s v="Glancy Prongay &amp; Murray, LLP; Lawrence, Kamin, Saunders &amp; Uhlenhop LLC (local/liaison)"/>
        <s v="Berger &amp; Montague, P.C.; Robbins, Geller, Rudman &amp; Dowd, LLP; Cavanagh &amp; O'Hara (local/liaison)Stoll Stoll Berne Lokting &amp; Schlachter P.C. (local/liaison)"/>
        <s v="Kessler Topaz  Meltzer &amp; Check, LLP; Labaton Sucharow LLP; Garvey Schubert Barer (local/liaison)"/>
        <s v="Motley Rice LLC; Black Helterline LLP (local/liaison)"/>
        <s v="Robbins, Geller, Rudman &amp; Dowd, LLP; Law Offices of Marc Henzel (local/liaison)"/>
        <s v="Bragar Eagel &amp; Squire, PC; Glancy Prongay &amp; Murray, LLP; Levi &amp; Korsinsky, LLP (local/liaison)"/>
        <s v="Holzer &amp; Holzer, LLC; Pomerantz LLP; Hutchings, Barsamian, Mandelcorn, LLP (local/liaison)"/>
        <s v="Labaton Sucharow LLP; Carella, Byrne, Cecchi, Olstein, Brody &amp; Agnello P.C. (local/liaison)"/>
        <s v="Motley Rice LLC; Seeger Weiss LLP (local/liaison)"/>
        <s v="Bernstein Litowitz Berger &amp; Grossmann LLP; Motley Rice LLC"/>
        <s v="Kessler Topaz  Meltzer &amp; Check, LLP; Labaton Sucharow LLP; Johnson &amp; Weaver LLP (local/liaison)"/>
        <s v="Motley Rice LLC; Glancy Prongay &amp; Murray, LLP (local/liaison)"/>
        <s v="Barrett Johnston Martin &amp; Garrison, LLC; Robbins, Geller, Rudman &amp; Dowd, LLP; Macala &amp; Piatt, LLC (local/liaison)"/>
        <s v="Glancy Prongay &amp; Murray, LLP; Davies, Humphreys &amp; Reese (local/liaison)"/>
        <s v="Goldberg Law PC; Pomerantz LLP; Bramlett Law Offices (local/liaison)"/>
        <s v="Johnson &amp; Weaver LLP; Gilbert Russell McWherter Scott &amp; Bobbitt PLC (local/liaison)"/>
        <s v="Abraham, Fruchter &amp; Twersky, LLP; Susman Godfrey, L.L.P. (local/liaison)"/>
        <s v="Labaton Sucharow LLP; Hicks Davis Wynn, PC (local/liaison)"/>
        <s v="The Rosen Law Firm, P.A.; Pomerantz LLP (local/liaison)Steckler Gresham Cochran (local/liaison)"/>
        <s v="Gardy &amp; Notis, LLP; Block &amp; Leviton LLP (local/liaison)"/>
        <s v="Pomerantz LLP; Shapiro Haber &amp; Urmy LLP (local/liaison)"/>
        <s v="Robbins, Geller, Rudman &amp; Dowd, LLP; Hagens Berman Sobol Shapiro LLP (local/liaison)"/>
        <s v="Kahn Swick &amp; Foti, LLC; Wagner Law Group, S.C. (local/liaison)"/>
        <s v="Pomerantz LLP; Ademi &amp; O'Reilly, LLP (local/liaison)Goldberg Law PC (local/liaison)"/>
        <s v="The Rosen Law Firm, P.A.; Ademi &amp; O'Reilly, LLP (local/liaison)"/>
        <s v="Robbins, Geller, Rudman &amp; Dowd, LLP; Andrews &amp; Springer, LLC (local/liaison)Sullivan, Ward, Asher &amp; Patton, P.C. (local/liaison)"/>
        <s v="Glancy Prongay &amp; Murray, LLP; The Briscoe Law Firm, PLLC (local/liaison)"/>
        <s v="The Rosen Law Firm, P.A.; Gresham PC (local/liaison)"/>
        <s v="Faruqi &amp; Faruqi, LLP; Levi &amp; Korsinsky, LLP; Monteverde &amp; Associates PC"/>
        <s v="Cohen Milstein Sellers &amp; Toll PLLC; Hagens Berman Sobol Shapiro LLP"/>
        <s v="Glancy Prongay &amp; Murray, LLP; Kenneth Reich Law, LLC (local/liaison)"/>
        <s v="The Rosen Law Firm, P.A.; Mirabella Law, LLC (local/liaison)"/>
        <s v="Faruqi &amp; Faruqi, LLP; Monteverde &amp; Associates PC; Edwards Sutarwalla PLLC (local/liaison)"/>
        <s v="Ryan &amp; Maniskas, LLP; Saxena White P.A.; Cohne Kinghorn, P.C. (local/liaison)"/>
        <s v="Newman Ferrara LLP; Schubert Jonckheer &amp; Kolbe LLP"/>
        <s v="Robbins, Geller, Rudman &amp; Dowd, LLP; Boulette Golden &amp; Marin L.L.P. (local/liaison)Law Offices of Marc Henzel (local/liaison)"/>
        <s v="Bleichmar Fonti &amp; Auld LLP; Cooksey, Toolen, Gage, Duffy &amp; Woog (local/liaison)"/>
        <s v="Bronstein, Gewirtz &amp; Grossman, LLC; The Rosen Law Firm, P.A.; Leverty &amp; Associates Law CHTD (local/liaison)"/>
        <s v="Berman DeValerio; Pomerantz LLP (local/liaison)"/>
        <s v="Bragar Eagel &amp; Squire, PC; Levi &amp; Korsinsky, LLP; Pribanic &amp; Pribanic (local/liaison)"/>
        <s v="Labaton Sucharow LLP; Kessler Topaz  Meltzer &amp; Check, LLP (local/liaison)"/>
        <s v="The Weiser Law Firm, PC"/>
        <s v="Wolf Haldenstein Adler Freeman &amp; Herz LLP; Griesing Law, LLC (local/liaison)"/>
        <s v="Glancy Prongay &amp; Murray, LLP; Schnader Harrison Segal &amp; Lewis LLP (local/liaison)"/>
        <s v="Kessler Topaz  Meltzer &amp; Check, LLP; Seeger Weiss LLP (local/liaison)"/>
        <s v="Bernstein Litowitz Berger &amp; Grossmann LLP; Gray, Ritter &amp; Graham, P.C. (local/liaison)"/>
        <s v="Gardy &amp; Notis, LLP; Carey, Danis &amp; Lowe (local/liaison)"/>
        <s v="Hagens Berman Sobol Shapiro LLP; Stueve Siegel Hanson LLP (local/liaison)"/>
        <s v="Levi &amp; Korsinsky, LLP; Swanson Midgley LLC (local/liaison)"/>
        <s v="Motley Rice LLC; Simmons Hanly Conroy (local/liaison)"/>
        <s v="Pomerantz LLP; Cuneo, Gilbert &amp; LaDuca, LLP (local/liaison)Goldberg Law PC (local/liaison)"/>
        <s v="Brower Piven; Finkelstein Thompson LLP (local/liaison)"/>
        <s v="The Rosen Law Firm, P.A.; Glancy Prongay &amp; Murray, LLP (local/liaison)"/>
        <s v="Kahn Swick &amp; Foti, LLC; Robbins, Geller, Rudman &amp; Dowd, LLP"/>
        <s v="Bragar Eagel &amp; Squire, PC; Kirby McInerney LLP; The Wagner Firm (local/liaison)"/>
        <s v="Grant &amp; Eisenhofer, P.A.; Carella, Byrne, Cecchi, Olstein, Brody &amp; Agnello P.C. (local/liaison)"/>
        <s v="Pomerantz LLP; The Rosen Law Firm, P.A.; Bronstein, Gewirtz &amp; Grossman, LLC (local/liaison)Lite Depalma Greenberg, LLC (local/liaison)"/>
        <s v="Saxena White P.A.; Carella, Byrne, Cecchi, Olstein, Brody &amp; Agnello P.C. (local/liaison)"/>
        <s v="Bernstein Liebhard LLP; The Bilek Law Firm LLP (local/liaison)"/>
        <s v="Robbins, Geller, Rudman &amp; Dowd, LLP; Edison, McDowell &amp; Hetherington, LLP (local/liaison)"/>
        <s v="The Miller Law Firm, P.C.; Wolf Haldenstein Adler Freeman &amp; Herz LLP; The Bilek Law Firm LLP (local/liaison)"/>
        <s v="Robbins, Geller, Rudman &amp; Dowd, LLP; Shea Aiello, PLLC (local/liaison)VanOverbeke Michaud &amp; Timmony, P.C. (local/liaison)"/>
        <s v="Finkelstein &amp; Krinsk LLP; The Rosen Law Firm, P.A."/>
        <s v="Labaton Sucharow LLP; Robbins, Geller, Rudman &amp; Dowd, LLP; Cavanagh &amp; O'Hara (local/liaison)Zimmerman Reed, PLLP (local/liaison)"/>
        <s v="Kahn Swick &amp; Foti, LLC; Robbins, Geller, Rudman &amp; Dowd, LLP; Diserio Martin O'Connor &amp; Castiglioni LLC (local/liaison)"/>
        <s v="Kessler Topaz  Meltzer &amp; Check, LLP; Izard Nobel LLP (local/liaison)"/>
        <s v="Pomerantz LLP; The Rosen Law Firm, P.A.; Gresham PC (local/liaison)"/>
        <s v="Pomerantz LLP; Cohen Milstein Sellers &amp; Toll PLLC (local/liaison)"/>
        <s v="Levi &amp; Korsinsky, LLP; Pomerantz LLP; The Rosen Law Firm, P.A. (local/liaison)"/>
        <s v="Gainey McKenna &amp; Egleston; Smith Duggan Buell &amp; Rufo, LLP (local/liaison)"/>
        <s v="Goldberg Law PC; The Rosen Law Firm, P.A.; Block &amp; Leviton LLP (local/liaison)"/>
        <s v="Robbins, Geller, Rudman &amp; Dowd, LLP; Hutchings, Barsamian, Mandelcorn, LLP (local/liaison)"/>
        <s v="Bleichmar Fonti &amp; Auld LLP"/>
        <s v="Cohen Milstein Sellers &amp; Toll PLLC; Pomerantz LLP"/>
        <s v="Labaton Sucharow LLP; Pomerantz LLP (local/liaison)"/>
        <s v="Brower Piven; Wilson Ratledge, PLLC (local/liaison)"/>
        <s v="Kessler Topaz  Meltzer &amp; Check, LLP; Salpeter Gitkin, LLP (local/liaison)"/>
        <s v="Glancy Prongay &amp; Murray, LLP; Law Offices of Howard G. Smith"/>
        <s v="Goldberg Law PC; Labaton Sucharow LLP"/>
        <s v="Kessler Topaz  Meltzer &amp; Check, LLP; Bernstein Litowitz Berger &amp; Grossmann LLP (local/liaison)"/>
        <s v="Glancy Prongay &amp; Murray, LLP; Desmond Law Firm, P.C. (local/liaison)"/>
        <s v="Cera LLP"/>
        <s v="Robbins, Geller, Rudman &amp; Dowd, LLP; Sachs Waldman P.C. (local/liaison)"/>
        <s v="Bronstein, Gewirtz &amp; Grossman, LLC; Schiller &amp; Schiller, P.L.L.C. (local/liaison)"/>
        <s v="Glancy Prongay &amp; Murray, LLP; The Rosen Law Firm, P.A.; Whitfield Bryson &amp; Mason LLP (local/liaison)"/>
        <s v="Holzer &amp; Holzer, LLC; Robbins, Geller, Rudman &amp; Dowd, LLP; McDaniel &amp; Anderson, LLP (local/liaison)"/>
        <s v="Kahn Swick &amp; Foti, LLC; Blue LLP (local/liaison)"/>
        <s v="Labaton Sucharow LLP; Wilson &amp; Ratledge, PLLC (local/liaison)"/>
        <s v="Levi &amp; Korsinsky, LLP; S. Ranchor Harris III (local/liaison)"/>
        <s v="Levi &amp; Korsinsky, LLP; DiTommaso Lubin, PC (local/liaison)"/>
        <s v="Wolf Popper LLP; Robinson Curley &amp; Clayton, P.C (local/liaison)"/>
        <s v="Motley Rice LLC; Bleichmar Fonti &amp; Auld LLP (local/liaison)"/>
        <s v="Bragar Eagel &amp; Squire, PC; Levi &amp; Korsinsky, LLP; Gruber, Elrod, Johansen, Hail &amp; Shank, LLP (local/liaison)"/>
        <s v="Labaton Sucharow LLP; Goldman &amp; Minton, P.C. (local/liaison)"/>
        <s v="Levi &amp; Korsinsky, LLP; Pomerantz LLP; Brower Piven (local/liaison)"/>
        <s v="Robbins, Geller, Rudman &amp; Dowd, LLP; Silverman Thompson Slutkin &amp; White LLC (local/liaison)"/>
        <s v="Hagens Berman Sobol Shapiro LLP; Stanley Law Group (local/liaison)"/>
        <s v="Labaton Sucharow LLP; Goldberg Law PC (local/liaison)"/>
        <s v="Robbins, Geller, Rudman &amp; Dowd, LLP; Koskie Minsky LLP (local/liaison)"/>
        <s v="Saxena White P.A.; Glancy Prongay &amp; Murray, LLP (local/liaison)"/>
        <s v="Bottini &amp; Bottini, Inc.; Bernstein Liebhard LLP (local/liaison)"/>
        <s v="Glancy Prongay &amp; Murray, LLP; The Rosen Law Firm, P.A. (local/liaison)"/>
        <s v="Glancy Prongay &amp; Murray, LLP; Goebel Anderson PC  (local/liaison)"/>
        <s v="Robbins, Geller, Rudman &amp; Dowd, LLP; Harper Law, PLC (local/liaison)"/>
        <s v="Wolf Haldenstein Adler Freeman &amp; Herz LLP; Anderson &amp; Karrenberg (local/liaison)Pitta LLP (local/liaison)"/>
        <s v="Pomerantz LLP; The Rosen Law Firm, P.A. (local/liaison)Wehrle Law, LLC (local/liaison)"/>
        <s v="Gainey McKenna &amp; Egleston; Donovan Litigation Group, LLC (local/liaison)"/>
        <s v="Gardy &amp; Notis, LLP; Burg Simpson Eldredge Hersh &amp; Jardine, P.C. (local/liaison)"/>
        <s v="Glancy Prongay &amp; Murray, LLP; The Shuman Law Firm (local/liaison)"/>
        <s v="Spector Roseman Kodroff &amp; Willis, P.C.; Saveri &amp; Saveri, Inc. (local/liaison)"/>
        <s v="Berger &amp; Montague, P.C."/>
        <s v="Labaton Sucharow LLP; Federman &amp; Sherwood (local/liaison)"/>
        <s v="Bragar Eagel &amp; Squire, PC; Levi &amp; Korsinsky, LLP"/>
        <s v="Bronstein, Gewirtz &amp; Grossman, LLC; Abraham, Watkins Nichols, Sorrels, Agosto &amp; Friend (local/liaison)"/>
        <s v="The Rosen Law Firm, P.A.; Payne Mitchell Law Group (local/liaison)"/>
        <s v="Glancy Prongay &amp; Murray, LLP; Katz &amp; Korin, PC (local/liaison)"/>
        <s v="Labaton Sucharow LLP; Kaplan Fox &amp; Kilsheimer LLP (local/liaison)"/>
        <m/>
        <s v="Robbins, Geller, Rudman &amp; Dowd, LLP; Silverman Thompson Slutkin &amp; White LLC (local/liaison)The Briscoe Law Firm, PLLC (local/liaison)"/>
        <s v="Levi &amp; Korsinsky, LLP; O'Kelly Ernst &amp; Joyce, LLC (local/liaison)"/>
        <s v="Robbins Arroyo LLP; Profy Promisloff &amp; Ciarlanto, P.C. (local/liaison)"/>
        <s v="Kahn Swick &amp; Foti, LLC; Weisbrod Matteis &amp; Copley PLLC (local/liaison)"/>
        <s v="Scott &amp; Scott,  LLP; Hynes Keller &amp; Hernandez, LLC (local/liaison)"/>
        <s v="Cohen Milstein Sellers &amp; Toll PLLC"/>
        <s v="Bottini &amp; Bottini, Inc.; Wolf Haldenstein Adler Freeman &amp; Herz LLP"/>
        <s v="Robbins, Geller, Rudman &amp; Dowd, LLP; Holzer &amp; Holzer, LLC (local/liaison)Johnson Fistel, LLP (local/liaison)"/>
        <s v="Robbins, Geller, Rudman &amp; Dowd, LLP; Barrett Johnston Martin &amp; Garrison, LLC (local/liaison)Sachs Waldman P.C. (local/liaison)"/>
        <s v="Glancy Prongay &amp; Murray, LLP; Block &amp; Leviton LLP (local/liaison)"/>
        <s v="Matorin Law Office, LLC; Monteverde &amp; Associates PC"/>
        <s v="Pomerantz LLP; Hutchings, Barsamian, Mandelcorn, LLP (local/liaison)"/>
        <s v="Berman Tabacco"/>
        <s v="Block &amp; Leviton LLP; Kendall Law Group, LLP (local/liaison)"/>
        <s v="Saxena White P.A.; Climaco, Wilcox, Peca, Tarantino &amp; Garofoli Co., L.P.A. (local/liaison)"/>
        <s v="Robbins, Geller, Rudman &amp; Dowd, LLP; Landskroner, Grieco, Merriman, LLC (local/liaison)"/>
        <s v="Labaton Sucharow LLP; Law Offices of Susan R. Podolsky (local/liaison)"/>
        <s v="Pomerantz LLP; The Rosen Law Firm, P.A.; Steckler Gresham Cochran (local/liaison)"/>
        <s v="Levi &amp; Korsinsky, LLP; Kendall Law Group, LLP (local/liaison)"/>
        <s v="Johnson Fistel, LLP; Robbins, Geller, Rudman &amp; Dowd, LLP; Edison, McDowell &amp; Hetherington, LLP (local/liaison)"/>
        <s v="Sponsel Miller Greenberg PLLC; Zeldes, Haeggquist &amp; Eck LLP"/>
        <s v="Monteverde &amp; Associates PC"/>
        <s v="Rigrodsky &amp; Long, PA; Phillip N. Elbert, Esq. (local/liaison)"/>
        <s v="Kessler Topaz  Meltzer &amp; Check, LLP; Saxena White P.A.; Lieff Cabraser Heimann &amp; Bernstein, LLP (local/liaison)"/>
        <s v="Scott &amp; Scott,  LLP; Branstetter Stranch &amp; Jennings PLLC (local/liaison)"/>
        <s v="The Miller Law Firm, P.C.; Greg Coleman Law, P.C. (local/liaison)"/>
        <s v="Levi &amp; Korsinsky, LLP; Robbins, Geller, Rudman &amp; Dowd, LLP; Hutchings, Barsamian, Mandelcorn, LLP (local/liaison)"/>
        <s v="Frank LLP"/>
        <s v="Berger &amp; Montague, P.C.; Cohen Tauber Spievack &amp; Wagner P.C. (local/liaison)"/>
        <s v="Stull, Stull &amp; Brody"/>
        <s v="Glancy Prongay &amp; Murray, LLP; Mazzeo Song P.C. (local/liaison)"/>
        <s v="Scott &amp; Scott,  LLP; Levi &amp; Korsinsky, LLP (local/liaison)"/>
        <s v="Saxena White P.A.; Lindsey &amp; Lacy, PC (local/liaison)"/>
        <s v="Cohen Milstein Sellers &amp; Toll PLLC; Carr &amp; Weatherby LLP (local/liaison)"/>
        <s v="Bottini &amp; Bottini, Inc."/>
        <s v="Levi &amp; Korsinsky, LLP; Muehlbauer Law Office, Ltd. (local/liaison)"/>
        <s v="Brower Piven; Pomerantz LLP; Bronstein, Gewirtz &amp; Grossman, LLC (local/liaison)"/>
        <s v="Kirby McInerney LLP; Labaton Sucharow LLP; Fishman Haygood L.L.P. (local/liaison)"/>
        <s v="Motley Rice LLC; Domengeaux Wright Roy &amp; Edwards (local/liaison)"/>
        <s v="Bernstein Litowitz Berger &amp; Grossmann LLP; Stoll Berne; Nelson, Zentner, Sartor &amp; Snellings, LLC (local/liaison)"/>
        <s v="Gainey McKenna &amp; Egleston; Pendley, Baudin &amp; Coffin (local/liaison)"/>
        <s v="Glancy Prongay &amp; Murray, LLP; Pomerantz LLP; Houck &amp; Riggle, LLC (local/liaison)"/>
        <s v="Bernstein Litowitz Berger &amp; Grossmann LLP; Bondurant Mixson &amp; Elmore, LLP (local/liaison)"/>
        <s v="Levi &amp; Korsinsky, LLP; Monteverde &amp; Associates PC"/>
        <s v="Gibbs Law Group LLP"/>
        <s v="Motley Rice LLC; Gasiorek, Morgan, Greco, McCauley &amp; Kotzian, PC (local/liaison)"/>
        <s v="Robbins, Geller, Rudman &amp; Dowd, LLP; Evans &amp; McFarland, LLC (local/liaison)"/>
        <s v="Bragar Eagel &amp; Squire, PC; Pomerantz LLP; Gardy &amp; Notis, LLP (local/liaison)"/>
        <s v="Levi &amp; Korsinsky, LLP; Pomerantz LLP"/>
        <s v="Labaton Sucharow LLP; Robbins, Geller, Rudman &amp; Dowd, LLP (local/liaison)"/>
        <s v="Glancy Prongay &amp; Murray, LLP; Pomerantz LLP; Bronstein, Gewirtz &amp; Grossman, LLC (local/liaison)"/>
        <s v="Robbins, Geller, Rudman &amp; Dowd, LLP; Reinhardt Wendorf &amp; Blanchfield (local/liaison)"/>
        <s v="Lifshitz &amp; Miller; Aldrich Law Firm, Ltd. (local/liaison)"/>
        <s v="The Rosen Law Firm, P.A.; Steckler Gresham Cochran (local/liaison)"/>
        <s v="Pomerantz LLP; Pribanic &amp; Pribanic (local/liaison)"/>
        <s v="Fishman Haygood L.L.P.; Kirby McInerney LLP; Glancy Prongay &amp; Murray, LLP (local/liaison)"/>
        <s v="Federman &amp; Sherwood; Sangisetty Law Firm (local/liaison)"/>
        <s v="Pomerantz LLP; Scott &amp; Scott,  LLP"/>
        <s v="Glancy Prongay &amp; Murray, LLP; Andrews DeValerio LLP (local/liaison)"/>
        <s v="Pomerantz LLP; Robbins, Geller, Rudman &amp; Dowd, LLP; Law Office Of Alfred G. Yates, Jr. PC (local/liaison)"/>
        <s v="Robbins, Geller, Rudman &amp; Dowd, LLP; Cavanagh &amp; O'Hara (local/liaison)Dickinson Wright PLLC (local/liaison)"/>
        <s v="Monteverde &amp; Associates PC; Levi &amp; Korsinsky, LLP (local/liaison)"/>
        <s v="The Rosen Law Firm, P.A.; Faxon Law Group, LLC (local/liaison)"/>
        <s v="Kessler Topaz  Meltzer &amp; Check, LLP; Brenner, Saltzman &amp; Wallman (local/liaison)"/>
        <s v="Kahn Swick &amp; Foti, LLC; Law Office of Nicole A. Veno, LLC (local/liaison)"/>
        <s v="Faruqi &amp; Faruqi, LLP; Shepherd, Finkelman, Miller &amp; Shah, LLP (local/liaison)"/>
        <s v="Kirby McInerney LLP; Ury &amp; Moskow LLC (local/liaison)"/>
        <s v="Pomerantz LLP; Levi &amp; Korsinsky, LLP (local/liaison)"/>
        <s v="Brower Piven; Rome McGuigan, P.C. (local/liaison)"/>
        <s v="Robbins, Geller, Rudman &amp; Dowd, LLP; Izard, Kindall &amp; Raabe, LLP (local/liaison)VanOverbeke Michaud &amp; Timmony, P.C. (local/liaison)"/>
        <s v="Bernstein Litowitz Berger &amp; Grossmann LLP; Motley Rice LLC (local/liaison)"/>
        <s v="Abraham, Fruchter &amp; Twersky, LLP; Geddings Law Firm P.A. (local/liaison)"/>
        <s v="Bernstein Litowitz Berger &amp; Grossmann LLP; Labaton Sucharow LLP; Motley Rice LLC (local/liaison)"/>
        <s v="Pomerantz LLP; Law Offices of Robert Dodson, P.A. (local/liaison)"/>
        <s v="Bronstein, Gewirtz &amp; Grossman, LLC; Cohen Milstein Sellers &amp; Toll PLLC"/>
        <s v="The Rosen Law Firm, P.A.; Holzer &amp; Holzer, LLC (local/liaison)"/>
        <s v="Labaton Sucharow LLP; Law Offices of David A. Bain, LLC (local/liaison)"/>
        <s v="Pomerantz LLP; Bronstein, Gewirtz &amp; Grossman, LLC (local/liaison)Carr &amp; Weatherby LLP (local/liaison)"/>
        <s v="Finkelstein &amp; Krinsk LLP"/>
        <s v="Glancy Prongay &amp; Murray, LLP; Scott &amp; Scott,  LLP; Schnader Harrison Segal &amp; Lewis LLP (local/liaison)"/>
      </sharedItems>
    </cacheField>
    <cacheField name="Contested/_x000a_Uncontested" numFmtId="0">
      <sharedItems containsBlank="1"/>
    </cacheField>
    <cacheField name="Type(Ind, Ins, G-Ind, G-Ins, G-Mix)" numFmtId="0">
      <sharedItems containsBlank="1"/>
    </cacheField>
    <cacheField name="Investor Frequent Flyer" numFmtId="0">
      <sharedItems count="2">
        <s v=""/>
        <s v="FF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12">
  <r>
    <x v="0"/>
    <s v="ABIL"/>
    <s v="New York Southern District Court"/>
    <s v="05/25/2016"/>
    <s v="07/25/2016"/>
    <x v="0"/>
    <s v="Institution"/>
    <x v="0"/>
    <m/>
    <s v="ABIL.1"/>
    <n v="2"/>
    <n v="1"/>
    <n v="51587.92"/>
    <n v="0.34391946666666662"/>
    <x v="0"/>
    <s v="Contested"/>
    <s v="Ins"/>
    <x v="0"/>
  </r>
  <r>
    <x v="0"/>
    <s v="ABIL"/>
    <s v="New York Southern District Court"/>
    <s v="05/25/2016"/>
    <s v="07/25/2016"/>
    <x v="1"/>
    <s v="Individual"/>
    <x v="1"/>
    <m/>
    <s v="ABIL.2"/>
    <m/>
    <n v="1"/>
    <n v="72994.42"/>
    <n v="0.48662946666666662"/>
    <x v="1"/>
    <s v="Contested"/>
    <s v="Ind"/>
    <x v="0"/>
  </r>
  <r>
    <x v="1"/>
    <s v="ADPT"/>
    <s v="Texas Eastern District Court"/>
    <s v="10/27/2016"/>
    <s v="12/27/2016"/>
    <x v="2"/>
    <s v="Institution"/>
    <x v="2"/>
    <m/>
    <s v="ADPT.1.a"/>
    <n v="5"/>
    <n v="2"/>
    <n v="4354548.78"/>
    <n v="13.6079649375"/>
    <x v="2"/>
    <s v="Contested"/>
    <s v="G-Ins"/>
    <x v="1"/>
  </r>
  <r>
    <x v="1"/>
    <s v="ADPT"/>
    <s v="Texas Eastern District Court"/>
    <s v="10/27/2016"/>
    <s v="12/27/2016"/>
    <x v="3"/>
    <s v="Institution"/>
    <x v="3"/>
    <m/>
    <s v="ADPT.1.b"/>
    <m/>
    <m/>
    <m/>
    <m/>
    <x v="2"/>
    <s v="Contested"/>
    <s v="G-Ins"/>
    <x v="1"/>
  </r>
  <r>
    <x v="1"/>
    <s v="ADPT"/>
    <s v="Texas Eastern District Court"/>
    <s v="10/27/2016"/>
    <s v="12/27/2016"/>
    <x v="4"/>
    <s v="Individual"/>
    <x v="4"/>
    <s v="Group Total"/>
    <s v="ADPT.2.a"/>
    <m/>
    <n v="4"/>
    <n v="470000"/>
    <n v="1.46875"/>
    <x v="3"/>
    <s v="Contested"/>
    <s v="G-Ind"/>
    <x v="0"/>
  </r>
  <r>
    <x v="1"/>
    <s v="ADPT"/>
    <s v="Texas Eastern District Court"/>
    <s v="10/27/2016"/>
    <s v="12/27/2016"/>
    <x v="5"/>
    <s v="Individual"/>
    <x v="5"/>
    <m/>
    <s v="ADPT.2.b"/>
    <m/>
    <m/>
    <m/>
    <m/>
    <x v="3"/>
    <s v="Contested"/>
    <s v="G-Ind"/>
    <x v="0"/>
  </r>
  <r>
    <x v="1"/>
    <s v="ADPT"/>
    <s v="Texas Eastern District Court"/>
    <s v="10/27/2016"/>
    <s v="12/27/2016"/>
    <x v="6"/>
    <s v="Individual"/>
    <x v="5"/>
    <m/>
    <s v="ADPT.2.c"/>
    <m/>
    <m/>
    <m/>
    <m/>
    <x v="3"/>
    <s v="Contested"/>
    <s v="G-Ind"/>
    <x v="0"/>
  </r>
  <r>
    <x v="1"/>
    <s v="ADPT"/>
    <s v="Texas Eastern District Court"/>
    <s v="10/27/2016"/>
    <s v="12/27/2016"/>
    <x v="7"/>
    <s v="Individual"/>
    <x v="5"/>
    <m/>
    <s v="ADPT.2.d"/>
    <m/>
    <m/>
    <m/>
    <m/>
    <x v="3"/>
    <s v="Contested"/>
    <s v="G-Ind"/>
    <x v="0"/>
  </r>
  <r>
    <x v="1"/>
    <s v="ADPT"/>
    <s v="Texas Eastern District Court"/>
    <s v="10/27/2016"/>
    <s v="12/27/2016"/>
    <x v="8"/>
    <s v="Individual"/>
    <x v="6"/>
    <m/>
    <s v="ADPT.3"/>
    <m/>
    <n v="1"/>
    <n v="446000"/>
    <n v="1.39375"/>
    <x v="4"/>
    <s v="Contested"/>
    <s v="Ind"/>
    <x v="0"/>
  </r>
  <r>
    <x v="1"/>
    <s v="ADPT"/>
    <s v="Texas Eastern District Court"/>
    <s v="10/27/2016"/>
    <s v="12/27/2016"/>
    <x v="9"/>
    <s v="Institution"/>
    <x v="7"/>
    <m/>
    <s v="ADPT.4"/>
    <m/>
    <n v="1"/>
    <n v="492329.36"/>
    <n v="1.5385292500000001"/>
    <x v="5"/>
    <s v="Contested"/>
    <s v="Ins"/>
    <x v="0"/>
  </r>
  <r>
    <x v="1"/>
    <s v="ADPT"/>
    <s v="Texas Eastern District Court"/>
    <s v="10/27/2016"/>
    <s v="12/27/2016"/>
    <x v="10"/>
    <s v="Institution"/>
    <x v="8"/>
    <s v="FIFO/LIFO"/>
    <s v="ADPT.5.a"/>
    <m/>
    <n v="4"/>
    <n v="3492173"/>
    <n v="10.913040625000001"/>
    <x v="6"/>
    <s v="Contested"/>
    <s v="G-Mix"/>
    <x v="0"/>
  </r>
  <r>
    <x v="1"/>
    <s v="ADPT"/>
    <s v="Texas Eastern District Court"/>
    <s v="10/27/2016"/>
    <s v="12/27/2016"/>
    <x v="11"/>
    <s v="Individual"/>
    <x v="9"/>
    <s v="FIFO/LIFO"/>
    <s v="ADPT.5.b"/>
    <m/>
    <m/>
    <m/>
    <m/>
    <x v="6"/>
    <s v="Contested"/>
    <s v="G-Mix"/>
    <x v="0"/>
  </r>
  <r>
    <x v="1"/>
    <s v="ADPT"/>
    <s v="Texas Eastern District Court"/>
    <s v="10/27/2016"/>
    <s v="12/27/2016"/>
    <x v="12"/>
    <s v="Individual"/>
    <x v="10"/>
    <s v="Family Total/FIFO/LIFO"/>
    <s v="ADPT.5.c"/>
    <m/>
    <m/>
    <m/>
    <m/>
    <x v="6"/>
    <s v="Contested"/>
    <s v="G-Mix"/>
    <x v="0"/>
  </r>
  <r>
    <x v="1"/>
    <s v="ADPT"/>
    <s v="Texas Eastern District Court"/>
    <s v="10/27/2016"/>
    <s v="12/27/2016"/>
    <x v="13"/>
    <s v="Individual"/>
    <x v="11"/>
    <m/>
    <s v="ADPT.5.d"/>
    <m/>
    <m/>
    <m/>
    <m/>
    <x v="6"/>
    <s v="Contested"/>
    <s v="G-Mix"/>
    <x v="0"/>
  </r>
  <r>
    <x v="2"/>
    <s v="ACM"/>
    <s v="California Central District Court"/>
    <s v="09/01/2016"/>
    <s v="10/31/2016"/>
    <x v="14"/>
    <s v="Individual"/>
    <x v="12"/>
    <m/>
    <s v="ACM.1.a"/>
    <n v="1"/>
    <n v="2"/>
    <n v="797"/>
    <n v="2.2771428571428574E-3"/>
    <x v="7"/>
    <s v="Uncontested"/>
    <s v="G-Ind"/>
    <x v="0"/>
  </r>
  <r>
    <x v="2"/>
    <s v="ACM"/>
    <s v="California Central District Court"/>
    <s v="09/01/2016"/>
    <s v="10/31/2016"/>
    <x v="15"/>
    <s v="Individual"/>
    <x v="13"/>
    <m/>
    <s v="ACM.1.b"/>
    <m/>
    <m/>
    <m/>
    <m/>
    <x v="7"/>
    <s v="Uncontested"/>
    <s v="G-Ind"/>
    <x v="0"/>
  </r>
  <r>
    <x v="3"/>
    <s v="AJRD"/>
    <s v="California Central District Court"/>
    <s v="02/11/2016"/>
    <s v="04/11/2016"/>
    <x v="16"/>
    <s v="Individual"/>
    <x v="14"/>
    <m/>
    <s v="AJRD.1"/>
    <n v="1"/>
    <n v="1"/>
    <n v="72.72"/>
    <n v="3.4628571428571428E-4"/>
    <x v="8"/>
    <s v="Uncontested"/>
    <s v="Ind"/>
    <x v="0"/>
  </r>
  <r>
    <x v="4"/>
    <s v="AGRX"/>
    <s v="New Jersey District Court"/>
    <s v="01/06/2017"/>
    <s v="03/07/2017"/>
    <x v="17"/>
    <s v="Individual"/>
    <x v="15"/>
    <s v="FIFO"/>
    <s v="AGRX.1.a"/>
    <n v="3"/>
    <n v="2"/>
    <n v="18588.46"/>
    <n v="0.15490383333333332"/>
    <x v="9"/>
    <s v="Uncontested"/>
    <s v="G-Ind"/>
    <x v="0"/>
  </r>
  <r>
    <x v="4"/>
    <s v="AGRX"/>
    <s v="New Jersey District Court"/>
    <s v="01/06/2017"/>
    <s v="03/07/2017"/>
    <x v="18"/>
    <s v="Individual"/>
    <x v="16"/>
    <s v="FIFO/LIFO"/>
    <s v="AGRX.1.b"/>
    <m/>
    <m/>
    <m/>
    <m/>
    <x v="9"/>
    <s v="Uncontested"/>
    <s v="G-Ind"/>
    <x v="0"/>
  </r>
  <r>
    <x v="4"/>
    <s v="AGRX"/>
    <s v="New Jersey District Court"/>
    <s v="01/06/2017"/>
    <s v="03/07/2017"/>
    <x v="19"/>
    <s v="Individual"/>
    <x v="17"/>
    <m/>
    <s v="AGRX.2"/>
    <m/>
    <n v="1"/>
    <n v="58983.85"/>
    <n v="0.49153208333333326"/>
    <x v="10"/>
    <s v="Contested"/>
    <s v="Ind"/>
    <x v="0"/>
  </r>
  <r>
    <x v="4"/>
    <s v="AGRX"/>
    <s v="New Jersey District Court"/>
    <s v="01/06/2017"/>
    <s v="03/07/2017"/>
    <x v="20"/>
    <s v="Individual"/>
    <x v="18"/>
    <m/>
    <s v="AGRX.3"/>
    <m/>
    <n v="1"/>
    <n v="29841.43"/>
    <n v="0.24867858333333334"/>
    <x v="8"/>
    <s v="Contested"/>
    <s v="Ind"/>
    <x v="0"/>
  </r>
  <r>
    <x v="5"/>
    <s v="GRO"/>
    <s v="New Jersey District Court"/>
    <s v="11/09/2016"/>
    <s v="01/09/2017"/>
    <x v="21"/>
    <s v="Individual"/>
    <x v="19"/>
    <m/>
    <s v="GRO.1.a"/>
    <n v="1"/>
    <n v="2"/>
    <n v="205505.86"/>
    <n v="0.5871596"/>
    <x v="8"/>
    <s v="Uncontested"/>
    <s v="G-Ind"/>
    <x v="0"/>
  </r>
  <r>
    <x v="5"/>
    <s v="GRO"/>
    <s v="New Jersey District Court"/>
    <s v="11/09/2016"/>
    <s v="01/09/2017"/>
    <x v="22"/>
    <s v="Individual"/>
    <x v="20"/>
    <m/>
    <s v="GRO.1.b"/>
    <m/>
    <m/>
    <m/>
    <n v="0"/>
    <x v="8"/>
    <s v="Uncontested"/>
    <s v="G-Ind"/>
    <x v="0"/>
  </r>
  <r>
    <x v="6"/>
    <s v="AIXNY"/>
    <s v="New York Southern District Court"/>
    <s v="01/04/2016"/>
    <s v="03/04/2016"/>
    <x v="23"/>
    <s v="Individual"/>
    <x v="21"/>
    <m/>
    <s v="AIXNY.1"/>
    <n v="2"/>
    <n v="1"/>
    <n v="4150.33"/>
    <n v="6.9172166666666673E-2"/>
    <x v="1"/>
    <s v="Contested"/>
    <s v="Ind"/>
    <x v="0"/>
  </r>
  <r>
    <x v="6"/>
    <s v="AIXNY"/>
    <s v="New York Southern District Court"/>
    <s v="01/04/2016"/>
    <s v="03/04/2016"/>
    <x v="24"/>
    <s v="Individual"/>
    <x v="22"/>
    <m/>
    <s v="AIXNY.2"/>
    <m/>
    <n v="1"/>
    <n v="147.19999999999999"/>
    <n v="2.453333333333333E-3"/>
    <x v="8"/>
    <s v="Contested"/>
    <s v="Ind"/>
    <x v="0"/>
  </r>
  <r>
    <x v="7"/>
    <s v="ADHD"/>
    <s v="New York Southern District Court"/>
    <s v="02/17/2017"/>
    <s v="04/18/2017"/>
    <x v="25"/>
    <s v="Individual"/>
    <x v="23"/>
    <m/>
    <s v="ADHD.1.a"/>
    <n v="1"/>
    <n v="2"/>
    <n v="19085"/>
    <n v="3.1808333333333334E-2"/>
    <x v="11"/>
    <s v="Uncontested"/>
    <s v="G-Ind"/>
    <x v="0"/>
  </r>
  <r>
    <x v="7"/>
    <s v="ADHD"/>
    <s v="New York Southern District Court"/>
    <s v="02/17/2017"/>
    <s v="04/18/2017"/>
    <x v="26"/>
    <s v="Individual"/>
    <x v="24"/>
    <m/>
    <s v="ADHD.1.b"/>
    <m/>
    <m/>
    <m/>
    <m/>
    <x v="11"/>
    <s v="Uncontested"/>
    <s v="G-Ind"/>
    <x v="0"/>
  </r>
  <r>
    <x v="8"/>
    <s v="ALR"/>
    <s v="Massachusetts District Court"/>
    <s v="04/21/2016"/>
    <s v="06/20/2016"/>
    <x v="27"/>
    <s v="Institution"/>
    <x v="25"/>
    <m/>
    <s v="ALR.1.a"/>
    <n v="5"/>
    <n v="5"/>
    <n v="9679399.5899999999"/>
    <n v="1.9358799180000001"/>
    <x v="12"/>
    <s v="Contested"/>
    <s v="G-Ins"/>
    <x v="0"/>
  </r>
  <r>
    <x v="8"/>
    <s v="ALR"/>
    <s v="Massachusetts District Court"/>
    <s v="04/21/2016"/>
    <s v="06/20/2016"/>
    <x v="28"/>
    <s v="Institution"/>
    <x v="26"/>
    <m/>
    <s v="ALR.1.b"/>
    <m/>
    <m/>
    <m/>
    <m/>
    <x v="12"/>
    <s v="Contested"/>
    <s v="G-Ins"/>
    <x v="0"/>
  </r>
  <r>
    <x v="8"/>
    <s v="ALR"/>
    <s v="Massachusetts District Court"/>
    <s v="04/21/2016"/>
    <s v="06/20/2016"/>
    <x v="29"/>
    <s v="Institution"/>
    <x v="27"/>
    <m/>
    <s v="ALR.1.c"/>
    <m/>
    <m/>
    <m/>
    <m/>
    <x v="12"/>
    <s v="Contested"/>
    <s v="G-Ins"/>
    <x v="0"/>
  </r>
  <r>
    <x v="8"/>
    <s v="ALR"/>
    <s v="Massachusetts District Court"/>
    <s v="04/21/2016"/>
    <s v="06/20/2016"/>
    <x v="30"/>
    <s v="Institution"/>
    <x v="28"/>
    <m/>
    <s v="ALR.1.d"/>
    <m/>
    <m/>
    <m/>
    <m/>
    <x v="12"/>
    <s v="Contested"/>
    <s v="G-Ins"/>
    <x v="0"/>
  </r>
  <r>
    <x v="8"/>
    <s v="ALR"/>
    <s v="Massachusetts District Court"/>
    <s v="04/21/2016"/>
    <s v="06/20/2016"/>
    <x v="31"/>
    <s v="Institution"/>
    <x v="29"/>
    <m/>
    <s v="ALR.1.e"/>
    <m/>
    <m/>
    <m/>
    <m/>
    <x v="12"/>
    <s v="Contested"/>
    <s v="G-Ins"/>
    <x v="0"/>
  </r>
  <r>
    <x v="8"/>
    <s v="ALR"/>
    <s v="Massachusetts District Court"/>
    <s v="04/21/2016"/>
    <s v="06/20/2016"/>
    <x v="32"/>
    <s v="Institution"/>
    <x v="30"/>
    <m/>
    <s v="ALR.2"/>
    <m/>
    <n v="1"/>
    <n v="1385425.03"/>
    <n v="0.27708500600000002"/>
    <x v="13"/>
    <s v="Contested"/>
    <s v="Ins"/>
    <x v="0"/>
  </r>
  <r>
    <x v="8"/>
    <s v="ALR"/>
    <s v="Massachusetts District Court"/>
    <s v="04/21/2016"/>
    <s v="06/20/2016"/>
    <x v="33"/>
    <s v="Institution"/>
    <x v="31"/>
    <m/>
    <s v="ALR.3.a"/>
    <m/>
    <n v="2"/>
    <n v="87372.57"/>
    <n v="1.7474514E-2"/>
    <x v="14"/>
    <s v="Contested"/>
    <s v="G-Mix"/>
    <x v="1"/>
  </r>
  <r>
    <x v="8"/>
    <s v="ALR"/>
    <s v="Massachusetts District Court"/>
    <s v="04/21/2016"/>
    <s v="06/20/2016"/>
    <x v="34"/>
    <s v="Individual"/>
    <x v="32"/>
    <m/>
    <s v="ALR.3.b"/>
    <m/>
    <m/>
    <m/>
    <n v="0"/>
    <x v="14"/>
    <s v="Contested"/>
    <s v="G-Mix"/>
    <x v="0"/>
  </r>
  <r>
    <x v="8"/>
    <s v="ALR"/>
    <s v="Massachusetts District Court"/>
    <s v="04/21/2016"/>
    <s v="06/20/2016"/>
    <x v="35"/>
    <s v="Institution"/>
    <x v="33"/>
    <s v="LIFO"/>
    <s v="ALR.4"/>
    <m/>
    <n v="1"/>
    <n v="341090.39"/>
    <n v="6.8218078000000001E-2"/>
    <x v="15"/>
    <s v="Contested"/>
    <s v="Ins"/>
    <x v="0"/>
  </r>
  <r>
    <x v="8"/>
    <s v="ALR"/>
    <s v="Massachusetts District Court"/>
    <s v="04/21/2016"/>
    <s v="06/20/2016"/>
    <x v="36"/>
    <s v="Individual"/>
    <x v="34"/>
    <m/>
    <s v="ALR.5"/>
    <m/>
    <n v="1"/>
    <n v="8764"/>
    <n v="1.7527999999999999E-3"/>
    <x v="16"/>
    <s v="Contested"/>
    <s v="Ind"/>
    <x v="0"/>
  </r>
  <r>
    <x v="8"/>
    <s v="ALR"/>
    <s v="Massachusetts District Court"/>
    <s v="04/21/2016"/>
    <s v="06/20/2016"/>
    <x v="37"/>
    <s v="Institution"/>
    <x v="35"/>
    <m/>
    <s v="ALR.6"/>
    <m/>
    <n v="1"/>
    <n v="171061.2"/>
    <n v="3.4212240000000005E-2"/>
    <x v="17"/>
    <s v="Contested"/>
    <s v="Ins"/>
    <x v="1"/>
  </r>
  <r>
    <x v="9"/>
    <s v="ALXN"/>
    <s v="Connecticut District Court"/>
    <s v="12/29/2016"/>
    <s v="01/17/2017"/>
    <x v="38"/>
    <s v="Institution"/>
    <x v="36"/>
    <s v="LIFO"/>
    <s v="ALXN.1.a"/>
    <n v="3"/>
    <n v="2"/>
    <n v="7160339.2200000007"/>
    <n v="0.22376060062500003"/>
    <x v="18"/>
    <s v="Contested"/>
    <s v="G-Ins"/>
    <x v="1"/>
  </r>
  <r>
    <x v="9"/>
    <s v="ALXN"/>
    <s v="Connecticut District Court"/>
    <s v="12/29/2016"/>
    <s v="01/17/2017"/>
    <x v="39"/>
    <s v="Institution"/>
    <x v="37"/>
    <s v="LIFO"/>
    <s v="ALXN.1.b"/>
    <m/>
    <n v="1"/>
    <m/>
    <m/>
    <x v="18"/>
    <s v="Contested"/>
    <s v="G-Ins"/>
    <x v="0"/>
  </r>
  <r>
    <x v="9"/>
    <s v="ALXN"/>
    <s v="Connecticut District Court"/>
    <s v="12/29/2016"/>
    <s v="01/17/2017"/>
    <x v="40"/>
    <s v="Institution"/>
    <x v="38"/>
    <m/>
    <s v="ALXN.2"/>
    <m/>
    <n v="1"/>
    <n v="1219956.07"/>
    <n v="3.8123627187500002E-2"/>
    <x v="19"/>
    <s v="Contested"/>
    <s v="Ins"/>
    <x v="0"/>
  </r>
  <r>
    <x v="9"/>
    <s v="ALXN"/>
    <s v="Connecticut District Court"/>
    <s v="12/29/2016"/>
    <s v="01/17/2017"/>
    <x v="41"/>
    <s v="Institution"/>
    <x v="39"/>
    <s v="LIFO"/>
    <s v="ALXN.3"/>
    <m/>
    <n v="1"/>
    <n v="557554.63"/>
    <n v="1.7423582187500002E-2"/>
    <x v="20"/>
    <s v="Contested"/>
    <s v="Ins"/>
    <x v="0"/>
  </r>
  <r>
    <x v="10"/>
    <s v="AGN"/>
    <s v="New Jersey District Court"/>
    <s v="12/22/2016"/>
    <s v="01/03/2017"/>
    <x v="42"/>
    <s v="Individual"/>
    <x v="5"/>
    <m/>
    <s v="AGN.1"/>
    <n v="12"/>
    <n v="1"/>
    <s v="***"/>
    <e v="#VALUE!"/>
    <x v="21"/>
    <s v="Contested"/>
    <s v="Ind"/>
    <x v="0"/>
  </r>
  <r>
    <x v="10"/>
    <s v="AGN"/>
    <s v="New Jersey District Court"/>
    <s v="12/22/2016"/>
    <s v="01/03/2017"/>
    <x v="43"/>
    <s v="Individual"/>
    <x v="40"/>
    <m/>
    <s v="AGN.2"/>
    <m/>
    <n v="1"/>
    <n v="81545.91"/>
    <n v="8.154591000000001E-3"/>
    <x v="22"/>
    <s v="Contested"/>
    <s v="Ind"/>
    <x v="0"/>
  </r>
  <r>
    <x v="10"/>
    <s v="AGN"/>
    <s v="New Jersey District Court"/>
    <s v="12/22/2016"/>
    <s v="01/03/2017"/>
    <x v="44"/>
    <s v="Institution"/>
    <x v="41"/>
    <s v="FIFO"/>
    <s v="AGN.3.a"/>
    <m/>
    <n v="2"/>
    <n v="11387971"/>
    <n v="1.1387971000000001"/>
    <x v="23"/>
    <s v="Contested"/>
    <s v="G-Ins"/>
    <x v="1"/>
  </r>
  <r>
    <x v="10"/>
    <s v="AGN"/>
    <s v="New Jersey District Court"/>
    <s v="12/22/2016"/>
    <s v="01/03/2017"/>
    <x v="45"/>
    <s v="Institution"/>
    <x v="42"/>
    <s v="FIFO"/>
    <s v="AGN.3.b"/>
    <m/>
    <m/>
    <m/>
    <n v="0"/>
    <x v="23"/>
    <s v="Contested"/>
    <s v="G-Ins"/>
    <x v="1"/>
  </r>
  <r>
    <x v="10"/>
    <s v="AGN"/>
    <s v="New Jersey District Court"/>
    <s v="12/22/2016"/>
    <s v="01/03/2017"/>
    <x v="46"/>
    <s v="Institution"/>
    <x v="43"/>
    <s v="FIFO/LIFO"/>
    <s v="AGN.4"/>
    <m/>
    <n v="1"/>
    <n v="354569.34"/>
    <n v="3.5456934000000002E-2"/>
    <x v="24"/>
    <s v="Contested"/>
    <s v="Ins"/>
    <x v="0"/>
  </r>
  <r>
    <x v="10"/>
    <s v="AGN"/>
    <s v="New Jersey District Court"/>
    <s v="12/22/2016"/>
    <s v="01/03/2017"/>
    <x v="47"/>
    <s v="Individual"/>
    <x v="44"/>
    <m/>
    <s v="AGN.5"/>
    <m/>
    <n v="1"/>
    <n v="70866.62"/>
    <n v="7.0866619999999996E-3"/>
    <x v="25"/>
    <s v="Contested"/>
    <s v="Ind"/>
    <x v="0"/>
  </r>
  <r>
    <x v="10"/>
    <s v="AGN"/>
    <s v="New Jersey District Court"/>
    <s v="12/22/2016"/>
    <s v="01/03/2017"/>
    <x v="48"/>
    <s v="Institution"/>
    <x v="45"/>
    <s v="LIFO"/>
    <s v="AGN.6"/>
    <m/>
    <n v="1"/>
    <n v="371761.79"/>
    <n v="3.7176178999999997E-2"/>
    <x v="26"/>
    <s v="Contested"/>
    <s v="Ins"/>
    <x v="0"/>
  </r>
  <r>
    <x v="10"/>
    <s v="AGN"/>
    <s v="New Jersey District Court"/>
    <s v="12/22/2016"/>
    <s v="01/03/2017"/>
    <x v="49"/>
    <s v="Institution"/>
    <x v="46"/>
    <s v="FIFO"/>
    <s v="AGN.7.a"/>
    <m/>
    <n v="2"/>
    <n v="55073083.719999999"/>
    <n v="5.5073083719999998"/>
    <x v="27"/>
    <s v="Contested"/>
    <s v="G-Ins"/>
    <x v="1"/>
  </r>
  <r>
    <x v="10"/>
    <s v="AGN"/>
    <s v="New Jersey District Court"/>
    <s v="12/22/2016"/>
    <s v="01/03/2017"/>
    <x v="50"/>
    <s v="Institution"/>
    <x v="47"/>
    <s v="FIFO/LIFO"/>
    <s v="AGN.7.b"/>
    <m/>
    <m/>
    <m/>
    <m/>
    <x v="27"/>
    <s v="Contested"/>
    <s v="G-Ins"/>
    <x v="1"/>
  </r>
  <r>
    <x v="10"/>
    <s v="AGN"/>
    <s v="New Jersey District Court"/>
    <s v="12/22/2016"/>
    <s v="01/03/2017"/>
    <x v="51"/>
    <s v="Institution"/>
    <x v="48"/>
    <s v="FIFO"/>
    <s v="AGN.8"/>
    <m/>
    <n v="1"/>
    <n v="5970378.1600000001"/>
    <n v="0.59703781600000005"/>
    <x v="28"/>
    <s v="Contested"/>
    <s v="Ins"/>
    <x v="1"/>
  </r>
  <r>
    <x v="10"/>
    <s v="AGN"/>
    <s v="New Jersey District Court"/>
    <s v="12/22/2016"/>
    <s v="01/03/2017"/>
    <x v="52"/>
    <s v="Institution"/>
    <x v="49"/>
    <m/>
    <s v="AGN.9"/>
    <m/>
    <n v="1"/>
    <n v="11815139.140000001"/>
    <n v="1.1815139139999999"/>
    <x v="29"/>
    <s v="Contested"/>
    <s v="Ins"/>
    <x v="1"/>
  </r>
  <r>
    <x v="10"/>
    <s v="AGN"/>
    <s v="New Jersey District Court"/>
    <s v="12/22/2016"/>
    <s v="01/03/2017"/>
    <x v="53"/>
    <s v="Individual"/>
    <x v="50"/>
    <m/>
    <s v="AGN.10"/>
    <m/>
    <n v="1"/>
    <n v="6006.17"/>
    <n v="6.0061700000000001E-4"/>
    <x v="30"/>
    <s v="Contested"/>
    <s v="Ind"/>
    <x v="1"/>
  </r>
  <r>
    <x v="10"/>
    <s v="AGN"/>
    <s v="New Jersey District Court"/>
    <s v="12/22/2016"/>
    <s v="01/03/2017"/>
    <x v="54"/>
    <s v="Institution"/>
    <x v="51"/>
    <s v="LIFO/FIFO"/>
    <s v="AGN.11"/>
    <m/>
    <n v="1"/>
    <n v="1532303.25"/>
    <n v="0.153230325"/>
    <x v="31"/>
    <s v="Contested"/>
    <s v="Ins"/>
    <x v="1"/>
  </r>
  <r>
    <x v="10"/>
    <s v="AGN"/>
    <s v="New Jersey District Court"/>
    <s v="12/22/2016"/>
    <s v="01/03/2017"/>
    <x v="55"/>
    <s v="Individual"/>
    <x v="52"/>
    <m/>
    <s v="AGN.12.a"/>
    <m/>
    <n v="2"/>
    <n v="996662.64999999991"/>
    <n v="9.966626499999999E-2"/>
    <x v="8"/>
    <s v="Contested"/>
    <s v="G-Ind"/>
    <x v="0"/>
  </r>
  <r>
    <x v="10"/>
    <s v="AGN"/>
    <s v="New Jersey District Court"/>
    <s v="12/22/2016"/>
    <s v="01/03/2017"/>
    <x v="56"/>
    <s v="Individual"/>
    <x v="53"/>
    <m/>
    <s v="AGN.12.b"/>
    <m/>
    <m/>
    <m/>
    <n v="0"/>
    <x v="8"/>
    <s v="Contested"/>
    <s v="G-Ind"/>
    <x v="0"/>
  </r>
  <r>
    <x v="11"/>
    <s v="AMMA"/>
    <s v="New Jersey District Court"/>
    <s v="04/17/2017"/>
    <s v="06/16/2017"/>
    <x v="57"/>
    <s v="Individual"/>
    <x v="54"/>
    <m/>
    <s v="AMMA.1"/>
    <n v="2"/>
    <n v="1"/>
    <n v="234"/>
    <n v="4.6800000000000001E-2"/>
    <x v="10"/>
    <s v="Contested"/>
    <s v="Ind"/>
    <x v="0"/>
  </r>
  <r>
    <x v="11"/>
    <s v="AMMA"/>
    <s v="New Jersey District Court"/>
    <s v="04/17/2017"/>
    <s v="06/16/2017"/>
    <x v="58"/>
    <s v="Individual"/>
    <x v="55"/>
    <m/>
    <s v="AMMA.2.a"/>
    <m/>
    <n v="5"/>
    <n v="55456.06"/>
    <n v="11.091211999999999"/>
    <x v="32"/>
    <s v="Contested"/>
    <s v="G-Ind"/>
    <x v="0"/>
  </r>
  <r>
    <x v="11"/>
    <s v="AMMA"/>
    <s v="New Jersey District Court"/>
    <s v="04/17/2017"/>
    <s v="06/16/2017"/>
    <x v="59"/>
    <s v="Individual"/>
    <x v="56"/>
    <m/>
    <s v="AMMA.2.b"/>
    <m/>
    <m/>
    <m/>
    <m/>
    <x v="32"/>
    <s v="Contested"/>
    <s v="G-Ind"/>
    <x v="0"/>
  </r>
  <r>
    <x v="11"/>
    <s v="AMMA"/>
    <s v="New Jersey District Court"/>
    <s v="04/17/2017"/>
    <s v="06/16/2017"/>
    <x v="60"/>
    <s v="Individual"/>
    <x v="57"/>
    <m/>
    <s v="AMMA.2.c"/>
    <m/>
    <m/>
    <m/>
    <m/>
    <x v="32"/>
    <s v="Contested"/>
    <s v="G-Ind"/>
    <x v="0"/>
  </r>
  <r>
    <x v="11"/>
    <s v="AMMA"/>
    <s v="New Jersey District Court"/>
    <s v="04/17/2017"/>
    <s v="06/16/2017"/>
    <x v="61"/>
    <s v="Individual"/>
    <x v="58"/>
    <m/>
    <s v="AMMA.2.d"/>
    <m/>
    <m/>
    <m/>
    <m/>
    <x v="32"/>
    <s v="Contested"/>
    <s v="G-Ind"/>
    <x v="0"/>
  </r>
  <r>
    <x v="11"/>
    <s v="AMMA"/>
    <s v="New Jersey District Court"/>
    <s v="04/17/2017"/>
    <s v="06/16/2017"/>
    <x v="62"/>
    <s v="Individual"/>
    <x v="59"/>
    <m/>
    <s v="AMMA.2.e"/>
    <m/>
    <m/>
    <m/>
    <m/>
    <x v="32"/>
    <s v="Contested"/>
    <s v="G-Ind"/>
    <x v="0"/>
  </r>
  <r>
    <x v="12"/>
    <s v="AYA"/>
    <s v="New Jersey District Court"/>
    <s v="04/05/2016"/>
    <s v="05/24/2016"/>
    <x v="63"/>
    <s v="Individual"/>
    <x v="60"/>
    <m/>
    <s v="AYA.1"/>
    <n v="2"/>
    <n v="1"/>
    <n v="5134.5"/>
    <n v="2.0537999999999997E-2"/>
    <x v="9"/>
    <s v="Contested"/>
    <s v="Ind"/>
    <x v="0"/>
  </r>
  <r>
    <x v="12"/>
    <s v="AYA"/>
    <s v="New Jersey District Court"/>
    <s v="04/05/2016"/>
    <s v="05/24/2016"/>
    <x v="64"/>
    <s v="Individual"/>
    <x v="61"/>
    <m/>
    <s v="AYA.2.a"/>
    <m/>
    <n v="4"/>
    <n v="65659.67"/>
    <n v="0.26263868000000001"/>
    <x v="33"/>
    <s v="Contested"/>
    <s v="Ind"/>
    <x v="0"/>
  </r>
  <r>
    <x v="12"/>
    <s v="AYA"/>
    <s v="New Jersey District Court"/>
    <s v="04/05/2016"/>
    <s v="05/24/2016"/>
    <x v="65"/>
    <s v="Individual"/>
    <x v="62"/>
    <m/>
    <s v="AYA.2.b"/>
    <m/>
    <m/>
    <m/>
    <m/>
    <x v="33"/>
    <s v="Contested"/>
    <s v="Ind"/>
    <x v="0"/>
  </r>
  <r>
    <x v="12"/>
    <s v="AYA"/>
    <s v="New Jersey District Court"/>
    <s v="04/05/2016"/>
    <s v="05/24/2016"/>
    <x v="66"/>
    <s v="Individual"/>
    <x v="63"/>
    <m/>
    <s v="AYA.2.c"/>
    <m/>
    <m/>
    <m/>
    <m/>
    <x v="33"/>
    <s v="Contested"/>
    <s v="Ind"/>
    <x v="0"/>
  </r>
  <r>
    <x v="12"/>
    <s v="AYA"/>
    <s v="New Jersey District Court"/>
    <s v="04/05/2016"/>
    <s v="05/24/2016"/>
    <x v="67"/>
    <s v="Individual"/>
    <x v="64"/>
    <m/>
    <s v="AYA.2.d"/>
    <m/>
    <m/>
    <m/>
    <m/>
    <x v="33"/>
    <s v="Contested"/>
    <s v="Ind"/>
    <x v="0"/>
  </r>
  <r>
    <x v="13"/>
    <s v="AMBC"/>
    <s v="New York Southern District Court"/>
    <s v="06/28/2016"/>
    <s v="08/29/2016"/>
    <x v="68"/>
    <s v="Individual"/>
    <x v="65"/>
    <m/>
    <s v="AMBC.1"/>
    <n v="1"/>
    <n v="1"/>
    <n v="991862.05"/>
    <n v="0.38148540384615387"/>
    <x v="10"/>
    <s v="Uncontested"/>
    <s v="Ind"/>
    <x v="0"/>
  </r>
  <r>
    <x v="14"/>
    <s v="ADGE"/>
    <s v="Massachusetts District Court"/>
    <s v="02/15/2017"/>
    <s v="04/21/2017"/>
    <x v="69"/>
    <s v="Individual"/>
    <x v="66"/>
    <s v="Holdings"/>
    <s v="ADGE.1"/>
    <n v="1"/>
    <n v="1"/>
    <n v="55053"/>
    <e v="#VALUE!"/>
    <x v="34"/>
    <s v="Uncontested"/>
    <s v="Ind"/>
    <x v="0"/>
  </r>
  <r>
    <x v="15"/>
    <s v="ARCP"/>
    <s v="Maryland District Court"/>
    <s v="01/13/2017"/>
    <s v="04/03/2017"/>
    <x v="70"/>
    <s v="Individual"/>
    <x v="67"/>
    <s v="Holdings"/>
    <s v="ARCP.1"/>
    <n v="2"/>
    <n v="1"/>
    <n v="30000"/>
    <n v="1.8749999999999999E-3"/>
    <x v="35"/>
    <s v="Contested"/>
    <s v="Ind"/>
    <x v="0"/>
  </r>
  <r>
    <x v="15"/>
    <s v="ARCP"/>
    <s v="Maryland District Court"/>
    <s v="01/13/2017"/>
    <s v="04/03/2017"/>
    <x v="71"/>
    <s v="Individual"/>
    <x v="68"/>
    <s v="Holdings"/>
    <s v="ARCP.2"/>
    <m/>
    <n v="1"/>
    <n v="1800"/>
    <n v="1.125E-4"/>
    <x v="36"/>
    <s v="Contested"/>
    <s v="Ind"/>
    <x v="0"/>
  </r>
  <r>
    <x v="16"/>
    <s v="ARA"/>
    <s v="Massachusetts District Court"/>
    <s v="09/02/2016"/>
    <s v="10/31/2016"/>
    <x v="72"/>
    <s v="Individual"/>
    <x v="69"/>
    <m/>
    <s v="ARA.1"/>
    <n v="4"/>
    <n v="1"/>
    <n v="869"/>
    <n v="2.8966666666666667E-3"/>
    <x v="37"/>
    <s v="Contested"/>
    <s v="Ind"/>
    <x v="0"/>
  </r>
  <r>
    <x v="16"/>
    <s v="ARA"/>
    <s v="Massachusetts District Court"/>
    <s v="09/02/2016"/>
    <s v="10/31/2016"/>
    <x v="73"/>
    <s v="Individual"/>
    <x v="70"/>
    <m/>
    <s v="ARA.2.a"/>
    <m/>
    <n v="2"/>
    <n v="790290"/>
    <n v="2.6342999999999996"/>
    <x v="38"/>
    <s v="Contested"/>
    <s v="G-Mix"/>
    <x v="0"/>
  </r>
  <r>
    <x v="16"/>
    <s v="ARA"/>
    <s v="Massachusetts District Court"/>
    <s v="09/02/2016"/>
    <s v="10/31/2016"/>
    <x v="74"/>
    <s v="Institution"/>
    <x v="71"/>
    <m/>
    <s v="ARA.2.b"/>
    <m/>
    <m/>
    <m/>
    <m/>
    <x v="38"/>
    <s v="Contested"/>
    <s v="G-Mix"/>
    <x v="0"/>
  </r>
  <r>
    <x v="16"/>
    <s v="ARA"/>
    <s v="Massachusetts District Court"/>
    <s v="09/02/2016"/>
    <s v="10/31/2016"/>
    <x v="75"/>
    <s v="Individual"/>
    <x v="72"/>
    <m/>
    <s v="ARA.3"/>
    <m/>
    <n v="1"/>
    <n v="53137"/>
    <n v="0.17712333333333333"/>
    <x v="39"/>
    <s v="Contested"/>
    <s v="Ind"/>
    <x v="0"/>
  </r>
  <r>
    <x v="16"/>
    <s v="ARA"/>
    <s v="Massachusetts District Court"/>
    <s v="09/02/2016"/>
    <s v="10/31/2016"/>
    <x v="76"/>
    <s v="Individual"/>
    <x v="73"/>
    <m/>
    <s v="ARA.4"/>
    <m/>
    <n v="1"/>
    <n v="3630"/>
    <n v="1.21E-2"/>
    <x v="40"/>
    <s v="Contested"/>
    <s v="Ind"/>
    <x v="0"/>
  </r>
  <r>
    <x v="17"/>
    <s v="AFSI"/>
    <s v="California Central District Court"/>
    <s v="02/28/2017"/>
    <s v="05/01/2017"/>
    <x v="77"/>
    <s v="Institution"/>
    <x v="74"/>
    <s v="FIFO"/>
    <s v="AFSI.1"/>
    <n v="9"/>
    <n v="1"/>
    <n v="894552.73"/>
    <n v="0.18636515208333332"/>
    <x v="41"/>
    <s v="Contested"/>
    <s v="Ins"/>
    <x v="0"/>
  </r>
  <r>
    <x v="17"/>
    <s v="AFSI"/>
    <s v="California Central District Court"/>
    <s v="02/28/2017"/>
    <s v="05/01/2017"/>
    <x v="78"/>
    <s v="Institution"/>
    <x v="75"/>
    <s v="LIFO"/>
    <s v="AFSI.2"/>
    <m/>
    <n v="1"/>
    <n v="1315107.51"/>
    <n v="0.27398073125"/>
    <x v="42"/>
    <s v="Contested"/>
    <s v="Ins"/>
    <x v="1"/>
  </r>
  <r>
    <x v="17"/>
    <s v="AFSI"/>
    <s v="California Central District Court"/>
    <s v="02/28/2017"/>
    <s v="05/01/2017"/>
    <x v="79"/>
    <s v="Individual"/>
    <x v="76"/>
    <m/>
    <s v="AFSI.3"/>
    <m/>
    <n v="1"/>
    <n v="8392"/>
    <n v="1.7483333333333333E-3"/>
    <x v="43"/>
    <s v="Contested"/>
    <s v="Ind"/>
    <x v="0"/>
  </r>
  <r>
    <x v="17"/>
    <s v="AFSI"/>
    <s v="California Central District Court"/>
    <s v="02/28/2017"/>
    <s v="05/01/2017"/>
    <x v="80"/>
    <s v="Individual"/>
    <x v="77"/>
    <m/>
    <s v="AFSI.4"/>
    <m/>
    <n v="1"/>
    <n v="69090.289999999994"/>
    <n v="1.4393810416666665E-2"/>
    <x v="44"/>
    <s v="Contested"/>
    <s v="Ind"/>
    <x v="0"/>
  </r>
  <r>
    <x v="17"/>
    <s v="AFSI"/>
    <s v="California Central District Court"/>
    <s v="02/28/2017"/>
    <s v="05/01/2017"/>
    <x v="81"/>
    <s v="Individual"/>
    <x v="78"/>
    <m/>
    <s v="AFSI.5.a"/>
    <m/>
    <n v="5"/>
    <n v="169733"/>
    <n v="3.5361041666666669E-2"/>
    <x v="45"/>
    <s v="Contested"/>
    <s v="G-Mix"/>
    <x v="0"/>
  </r>
  <r>
    <x v="17"/>
    <s v="AFSI"/>
    <s v="California Central District Court"/>
    <s v="02/28/2017"/>
    <s v="05/01/2017"/>
    <x v="82"/>
    <s v="Individual"/>
    <x v="79"/>
    <m/>
    <s v="AFSI.5.b"/>
    <m/>
    <m/>
    <m/>
    <m/>
    <x v="45"/>
    <s v="Contested"/>
    <s v="G-Mix"/>
    <x v="0"/>
  </r>
  <r>
    <x v="17"/>
    <s v="AFSI"/>
    <s v="California Central District Court"/>
    <s v="02/28/2017"/>
    <s v="05/01/2017"/>
    <x v="83"/>
    <s v="Individual"/>
    <x v="80"/>
    <m/>
    <s v="AFSI.5.c"/>
    <m/>
    <m/>
    <m/>
    <m/>
    <x v="45"/>
    <s v="Contested"/>
    <s v="G-Mix"/>
    <x v="0"/>
  </r>
  <r>
    <x v="17"/>
    <s v="AFSI"/>
    <s v="California Central District Court"/>
    <s v="02/28/2017"/>
    <s v="05/01/2017"/>
    <x v="84"/>
    <s v="Individual"/>
    <x v="81"/>
    <m/>
    <s v="AFSI.5.d"/>
    <m/>
    <m/>
    <m/>
    <m/>
    <x v="45"/>
    <s v="Contested"/>
    <s v="G-Mix"/>
    <x v="0"/>
  </r>
  <r>
    <x v="17"/>
    <s v="AFSI"/>
    <s v="California Central District Court"/>
    <s v="02/28/2017"/>
    <s v="05/01/2017"/>
    <x v="85"/>
    <s v="Individual"/>
    <x v="82"/>
    <m/>
    <s v="AFSI.5.e"/>
    <m/>
    <m/>
    <m/>
    <m/>
    <x v="45"/>
    <s v="Contested"/>
    <s v="G-Mix"/>
    <x v="0"/>
  </r>
  <r>
    <x v="17"/>
    <s v="AFSI"/>
    <s v="California Central District Court"/>
    <s v="02/28/2017"/>
    <s v="05/01/2017"/>
    <x v="86"/>
    <s v="Institution"/>
    <x v="83"/>
    <m/>
    <s v="AFSI.6.a"/>
    <m/>
    <n v="2"/>
    <n v="561425.59000000008"/>
    <n v="0.11696366458333336"/>
    <x v="46"/>
    <s v="Contested"/>
    <s v="G-Ins"/>
    <x v="0"/>
  </r>
  <r>
    <x v="17"/>
    <s v="AFSI"/>
    <s v="California Central District Court"/>
    <s v="02/28/2017"/>
    <s v="05/01/2017"/>
    <x v="87"/>
    <s v="Institution"/>
    <x v="84"/>
    <m/>
    <s v="AFSI.6.b"/>
    <m/>
    <m/>
    <m/>
    <n v="0"/>
    <x v="46"/>
    <s v="Contested"/>
    <s v="G-Ins"/>
    <x v="0"/>
  </r>
  <r>
    <x v="17"/>
    <s v="AFSI"/>
    <s v="California Central District Court"/>
    <s v="02/28/2017"/>
    <s v="05/01/2017"/>
    <x v="88"/>
    <s v="Institution"/>
    <x v="85"/>
    <m/>
    <s v="AFSI.7"/>
    <m/>
    <n v="1"/>
    <n v="199927.17"/>
    <n v="4.1651493750000004E-2"/>
    <x v="47"/>
    <s v="Contested"/>
    <s v="Ins"/>
    <x v="1"/>
  </r>
  <r>
    <x v="17"/>
    <s v="AFSI"/>
    <s v="California Central District Court"/>
    <s v="02/28/2017"/>
    <s v="05/01/2017"/>
    <x v="89"/>
    <s v="Institution"/>
    <x v="86"/>
    <s v="LIFO/FIFO"/>
    <s v="AFSI.8"/>
    <m/>
    <n v="1"/>
    <n v="202798.45"/>
    <n v="4.224967708333334E-2"/>
    <x v="48"/>
    <s v="Contested"/>
    <s v="Ins"/>
    <x v="1"/>
  </r>
  <r>
    <x v="17"/>
    <s v="AFSI"/>
    <s v="California Central District Court"/>
    <s v="02/28/2017"/>
    <s v="05/01/2017"/>
    <x v="90"/>
    <s v="Institution"/>
    <x v="87"/>
    <m/>
    <s v="AFSI.9"/>
    <m/>
    <n v="1"/>
    <n v="27024.54"/>
    <n v="5.6301125000000002E-3"/>
    <x v="8"/>
    <s v="Contested"/>
    <s v="Ins"/>
    <x v="0"/>
  </r>
  <r>
    <x v="18"/>
    <s v="AMRS "/>
    <s v="California Northern District Court"/>
    <s v="04/20/2017"/>
    <s v="06/19/2017"/>
    <x v="91"/>
    <s v="Individual"/>
    <x v="88"/>
    <s v="LIFO"/>
    <s v="AMRS.1"/>
    <n v="2"/>
    <n v="1"/>
    <n v="11257.08"/>
    <n v="0.75047200000000003"/>
    <x v="10"/>
    <s v="Contested"/>
    <s v="Ind"/>
    <x v="0"/>
  </r>
  <r>
    <x v="18"/>
    <s v="AMRS "/>
    <s v="California Northern District Court"/>
    <s v="04/20/2017"/>
    <s v="06/19/2017"/>
    <x v="92"/>
    <s v="Individual"/>
    <x v="89"/>
    <m/>
    <s v="AMRS.2.a"/>
    <m/>
    <n v="2"/>
    <n v="5567.75"/>
    <n v="0.37118333333333337"/>
    <x v="49"/>
    <s v="Contested"/>
    <s v="G-Ind"/>
    <x v="0"/>
  </r>
  <r>
    <x v="18"/>
    <s v="AMRS "/>
    <s v="California Northern District Court"/>
    <s v="04/20/2017"/>
    <s v="06/19/2017"/>
    <x v="93"/>
    <s v="Individual"/>
    <x v="90"/>
    <m/>
    <s v="AMRS.2.b"/>
    <m/>
    <m/>
    <m/>
    <m/>
    <x v="49"/>
    <s v="Contested"/>
    <s v="G-Ind"/>
    <x v="0"/>
  </r>
  <r>
    <x v="19"/>
    <s v="AXVL"/>
    <s v="New York Southern District Court"/>
    <s v="12/30/2015"/>
    <s v="02/29/2016"/>
    <x v="94"/>
    <s v="Individual"/>
    <x v="91"/>
    <m/>
    <s v="AXVL.1.a"/>
    <n v="3"/>
    <n v="2"/>
    <n v="36290.949999999997"/>
    <n v="8.0646555555555541E-2"/>
    <x v="50"/>
    <s v="Contested"/>
    <s v="G-Ind"/>
    <x v="0"/>
  </r>
  <r>
    <x v="19"/>
    <s v="AXVL"/>
    <s v="New York Southern District Court"/>
    <s v="12/30/2015"/>
    <s v="02/29/2016"/>
    <x v="95"/>
    <s v="Individual"/>
    <x v="92"/>
    <m/>
    <s v="AXVL.1.b"/>
    <m/>
    <m/>
    <m/>
    <n v="0"/>
    <x v="50"/>
    <s v="Contested"/>
    <s v="G-Ind"/>
    <x v="0"/>
  </r>
  <r>
    <x v="19"/>
    <s v="AXVL"/>
    <s v="New York Southern District Court"/>
    <s v="12/30/2015"/>
    <s v="02/29/2016"/>
    <x v="96"/>
    <s v="Individual"/>
    <x v="93"/>
    <m/>
    <s v="AXVL.2"/>
    <m/>
    <n v="1"/>
    <n v="29111.919999999998"/>
    <n v="6.4693155555555562E-2"/>
    <x v="10"/>
    <s v="Contested"/>
    <s v="Ind"/>
    <x v="0"/>
  </r>
  <r>
    <x v="19"/>
    <s v="AXVL"/>
    <s v="New York Southern District Court"/>
    <s v="12/30/2015"/>
    <s v="02/29/2016"/>
    <x v="97"/>
    <s v="Individual"/>
    <x v="94"/>
    <s v="LIFO"/>
    <s v="AXVL.3"/>
    <m/>
    <n v="1"/>
    <n v="28862.41"/>
    <n v="6.4138688888888892E-2"/>
    <x v="20"/>
    <s v="Contested"/>
    <s v="Ind"/>
    <x v="0"/>
  </r>
  <r>
    <x v="20"/>
    <s v="ANTH"/>
    <s v="California Northern District Court"/>
    <s v="02/13/2017"/>
    <s v="04/17/2017"/>
    <x v="98"/>
    <s v="Individual"/>
    <x v="95"/>
    <m/>
    <s v="ANTH.1"/>
    <n v="2"/>
    <n v="1"/>
    <n v="869253.27"/>
    <n v="1.4487554499999999"/>
    <x v="10"/>
    <s v="Uncontested"/>
    <s v="Ind"/>
    <x v="0"/>
  </r>
  <r>
    <x v="20"/>
    <s v="ANTH"/>
    <s v="California Northern District Court"/>
    <s v="02/13/2017"/>
    <s v="04/17/2017"/>
    <x v="99"/>
    <s v="Individual"/>
    <x v="96"/>
    <m/>
    <s v="ANTH.2.a"/>
    <m/>
    <n v="4"/>
    <n v="168553.82"/>
    <n v="0.28092303333333335"/>
    <x v="51"/>
    <s v="Uncontested"/>
    <s v="G-Ind"/>
    <x v="0"/>
  </r>
  <r>
    <x v="20"/>
    <s v="ANTH"/>
    <s v="California Northern District Court"/>
    <s v="02/13/2017"/>
    <s v="04/17/2017"/>
    <x v="100"/>
    <s v="Individual"/>
    <x v="97"/>
    <m/>
    <s v="ANTH.2.b"/>
    <m/>
    <m/>
    <m/>
    <m/>
    <x v="51"/>
    <s v="Uncontested"/>
    <s v="G-Ind"/>
    <x v="0"/>
  </r>
  <r>
    <x v="20"/>
    <s v="ANTH"/>
    <s v="California Northern District Court"/>
    <s v="02/13/2017"/>
    <s v="04/17/2017"/>
    <x v="101"/>
    <s v="Individual"/>
    <x v="98"/>
    <m/>
    <s v="ANTH.2.c"/>
    <m/>
    <m/>
    <m/>
    <m/>
    <x v="51"/>
    <s v="Uncontested"/>
    <s v="G-Ind"/>
    <x v="0"/>
  </r>
  <r>
    <x v="20"/>
    <s v="ANTH"/>
    <s v="California Northern District Court"/>
    <s v="02/13/2017"/>
    <s v="04/17/2017"/>
    <x v="102"/>
    <s v="Individual"/>
    <x v="99"/>
    <m/>
    <s v="ANTH.2.d"/>
    <m/>
    <m/>
    <m/>
    <m/>
    <x v="51"/>
    <s v="Uncontested"/>
    <s v="G-Ind"/>
    <x v="0"/>
  </r>
  <r>
    <x v="21"/>
    <s v="APOL"/>
    <s v="Arizona District Court"/>
    <s v="03/14/2016"/>
    <s v="05/13/2016"/>
    <x v="103"/>
    <s v="Institution"/>
    <x v="100"/>
    <m/>
    <s v="APOL.1"/>
    <n v="5"/>
    <n v="1"/>
    <n v="545742.94999999995"/>
    <n v="0.41980226923076919"/>
    <x v="52"/>
    <s v="Contested"/>
    <s v="Ins"/>
    <x v="0"/>
  </r>
  <r>
    <x v="21"/>
    <s v="APOL"/>
    <s v="Arizona District Court"/>
    <s v="03/14/2016"/>
    <s v="05/13/2016"/>
    <x v="104"/>
    <s v="Individual"/>
    <x v="101"/>
    <m/>
    <s v="APOL.2"/>
    <m/>
    <n v="2"/>
    <n v="2527.4"/>
    <n v="1.9441538461538461E-3"/>
    <x v="53"/>
    <s v="Contested"/>
    <s v="Ind"/>
    <x v="0"/>
  </r>
  <r>
    <x v="21"/>
    <s v="APOL"/>
    <s v="Arizona District Court"/>
    <s v="03/14/2016"/>
    <s v="05/13/2016"/>
    <x v="105"/>
    <s v="Institution"/>
    <x v="102"/>
    <s v="FIFO/LIFO"/>
    <s v="APOL.3"/>
    <m/>
    <n v="3"/>
    <n v="335053.02"/>
    <n v="0.25773309230769231"/>
    <x v="54"/>
    <s v="Contested"/>
    <s v="Ins"/>
    <x v="1"/>
  </r>
  <r>
    <x v="21"/>
    <s v="APOL"/>
    <s v="Arizona District Court"/>
    <s v="03/14/2016"/>
    <s v="05/13/2016"/>
    <x v="106"/>
    <s v="Individual"/>
    <x v="103"/>
    <m/>
    <s v="APOL.4.a"/>
    <m/>
    <n v="2"/>
    <n v="18679"/>
    <n v="1.4368461538461538E-2"/>
    <x v="55"/>
    <s v="Contested"/>
    <s v="G-Ind"/>
    <x v="0"/>
  </r>
  <r>
    <x v="21"/>
    <s v="APOL"/>
    <s v="Arizona District Court"/>
    <s v="03/14/2016"/>
    <s v="05/13/2016"/>
    <x v="107"/>
    <s v="Individual"/>
    <x v="104"/>
    <m/>
    <s v="APOL.4.b"/>
    <m/>
    <m/>
    <m/>
    <n v="0"/>
    <x v="55"/>
    <s v="Contested"/>
    <s v="G-Ind"/>
    <x v="0"/>
  </r>
  <r>
    <x v="21"/>
    <s v="APOL"/>
    <s v="Arizona District Court"/>
    <s v="03/14/2016"/>
    <s v="05/13/2016"/>
    <x v="108"/>
    <s v="Institution"/>
    <x v="105"/>
    <m/>
    <s v="APOL.5"/>
    <m/>
    <n v="5"/>
    <n v="506283.54"/>
    <n v="0.38944887692307689"/>
    <x v="46"/>
    <s v="Contested"/>
    <s v="Ins"/>
    <x v="0"/>
  </r>
  <r>
    <x v="22"/>
    <s v="PETX"/>
    <s v="New York Southern District Court"/>
    <s v="02/06/2017"/>
    <s v="04/07/2017"/>
    <x v="109"/>
    <s v="Individual"/>
    <x v="106"/>
    <m/>
    <s v="PETX.1"/>
    <n v="2"/>
    <n v="1"/>
    <n v="5465"/>
    <n v="1.8216666666666666E-2"/>
    <x v="56"/>
    <s v="Contested"/>
    <s v="Ind"/>
    <x v="0"/>
  </r>
  <r>
    <x v="22"/>
    <s v="PETX"/>
    <s v="New York Southern District Court"/>
    <s v="02/06/2017"/>
    <s v="04/07/2017"/>
    <x v="110"/>
    <s v="Individual"/>
    <x v="107"/>
    <m/>
    <s v="PETX.2.a"/>
    <m/>
    <n v="3"/>
    <n v="74044.209999999992"/>
    <n v="0.24681403333333329"/>
    <x v="10"/>
    <s v="Contested"/>
    <s v="G-Ind"/>
    <x v="0"/>
  </r>
  <r>
    <x v="22"/>
    <s v="PETX"/>
    <s v="New York Southern District Court"/>
    <s v="02/06/2017"/>
    <s v="04/07/2017"/>
    <x v="111"/>
    <s v="Individual"/>
    <x v="108"/>
    <m/>
    <s v="PETX.2.b"/>
    <m/>
    <m/>
    <m/>
    <m/>
    <x v="10"/>
    <s v="Contested"/>
    <s v="G-Ind"/>
    <x v="0"/>
  </r>
  <r>
    <x v="22"/>
    <s v="PETX"/>
    <s v="New York Southern District Court"/>
    <s v="02/06/2017"/>
    <s v="04/07/2017"/>
    <x v="112"/>
    <s v="Individual"/>
    <x v="109"/>
    <m/>
    <s v="PETX.2.c"/>
    <m/>
    <m/>
    <m/>
    <m/>
    <x v="10"/>
    <s v="Contested"/>
    <s v="G-Ind"/>
    <x v="1"/>
  </r>
  <r>
    <x v="23"/>
    <s v="ARGS "/>
    <s v="North Carolina Middle District Court"/>
    <s v="03/14/2017"/>
    <s v="05/15/2017"/>
    <x v="113"/>
    <s v="Individual"/>
    <x v="110"/>
    <m/>
    <s v="ARGS.1.a"/>
    <n v="2"/>
    <n v="5"/>
    <n v="1324687.99"/>
    <n v="3.3117199749999999"/>
    <x v="57"/>
    <s v="Contested"/>
    <s v="G-Ind"/>
    <x v="0"/>
  </r>
  <r>
    <x v="23"/>
    <s v="ARGS "/>
    <s v="North Carolina Middle District Court"/>
    <s v="03/14/2017"/>
    <s v="05/15/2017"/>
    <x v="114"/>
    <s v="Individual"/>
    <x v="111"/>
    <s v="LIFO"/>
    <s v="ARGS.1.b"/>
    <m/>
    <m/>
    <m/>
    <m/>
    <x v="57"/>
    <s v="Contested"/>
    <s v="G-Ind"/>
    <x v="0"/>
  </r>
  <r>
    <x v="23"/>
    <s v="ARGS "/>
    <s v="North Carolina Middle District Court"/>
    <s v="03/14/2017"/>
    <s v="05/15/2017"/>
    <x v="115"/>
    <s v="Individual"/>
    <x v="112"/>
    <s v="LIFO"/>
    <s v="ARGS.1.c"/>
    <m/>
    <m/>
    <m/>
    <m/>
    <x v="57"/>
    <s v="Contested"/>
    <s v="G-Ind"/>
    <x v="0"/>
  </r>
  <r>
    <x v="23"/>
    <s v="ARGS "/>
    <s v="North Carolina Middle District Court"/>
    <s v="03/14/2017"/>
    <s v="05/15/2017"/>
    <x v="116"/>
    <s v="Individual"/>
    <x v="113"/>
    <s v="LIFO"/>
    <s v="ARGS.1.d"/>
    <m/>
    <m/>
    <m/>
    <m/>
    <x v="57"/>
    <s v="Contested"/>
    <s v="G-Ind"/>
    <x v="0"/>
  </r>
  <r>
    <x v="23"/>
    <s v="ARGS "/>
    <s v="North Carolina Middle District Court"/>
    <s v="03/14/2017"/>
    <s v="05/15/2017"/>
    <x v="117"/>
    <s v="Individual"/>
    <x v="114"/>
    <s v="LIFO"/>
    <s v="ARGS.1.e"/>
    <m/>
    <m/>
    <m/>
    <m/>
    <x v="57"/>
    <s v="Contested"/>
    <s v="G-Ind"/>
    <x v="0"/>
  </r>
  <r>
    <x v="23"/>
    <s v="ARGS "/>
    <s v="North Carolina Middle District Court"/>
    <s v="03/14/2017"/>
    <s v="05/15/2017"/>
    <x v="118"/>
    <s v="Individual"/>
    <x v="115"/>
    <m/>
    <s v="ARGS.2.a"/>
    <m/>
    <n v="2"/>
    <n v="975503.4"/>
    <n v="2.4387585000000001"/>
    <x v="58"/>
    <s v="Contested"/>
    <s v="G-Ind"/>
    <x v="0"/>
  </r>
  <r>
    <x v="23"/>
    <s v="ARGS "/>
    <s v="North Carolina Middle District Court"/>
    <s v="03/14/2017"/>
    <s v="05/15/2017"/>
    <x v="119"/>
    <s v="Individual"/>
    <x v="116"/>
    <m/>
    <s v="ARGS.2.b"/>
    <m/>
    <m/>
    <m/>
    <m/>
    <x v="58"/>
    <s v="Contested"/>
    <s v="G-Ind"/>
    <x v="0"/>
  </r>
  <r>
    <x v="24"/>
    <s v="ARWR"/>
    <s v="California Central District Court"/>
    <s v="11/15/2016"/>
    <s v="01/17/2017"/>
    <x v="120"/>
    <s v="Individual"/>
    <x v="117"/>
    <m/>
    <s v="ARWR.1"/>
    <n v="4"/>
    <n v="1"/>
    <n v="13405"/>
    <n v="1.4894444444444445E-2"/>
    <x v="59"/>
    <s v="Contested"/>
    <s v="Ind"/>
    <x v="0"/>
  </r>
  <r>
    <x v="24"/>
    <s v="ARWR"/>
    <s v="California Central District Court"/>
    <s v="11/15/2016"/>
    <s v="01/17/2017"/>
    <x v="121"/>
    <s v="Individual"/>
    <x v="118"/>
    <m/>
    <s v="ARWR.2"/>
    <m/>
    <n v="1"/>
    <n v="1118394"/>
    <n v="1.2426599999999999"/>
    <x v="10"/>
    <s v="Contested"/>
    <s v="Ind"/>
    <x v="0"/>
  </r>
  <r>
    <x v="24"/>
    <s v="ARWR"/>
    <s v="California Central District Court"/>
    <s v="11/15/2016"/>
    <s v="01/17/2017"/>
    <x v="122"/>
    <s v="Individual"/>
    <x v="119"/>
    <m/>
    <s v="ARWR.3.a"/>
    <m/>
    <n v="3"/>
    <n v="937252"/>
    <n v="1.0413911111111112"/>
    <x v="60"/>
    <s v="Contested"/>
    <s v="G-Ind"/>
    <x v="0"/>
  </r>
  <r>
    <x v="24"/>
    <s v="ARWR"/>
    <s v="California Central District Court"/>
    <s v="11/15/2016"/>
    <s v="01/17/2017"/>
    <x v="123"/>
    <s v="Individual"/>
    <x v="120"/>
    <m/>
    <s v="ARWR.3.b"/>
    <m/>
    <m/>
    <m/>
    <m/>
    <x v="60"/>
    <s v="Contested"/>
    <s v="G-Ind"/>
    <x v="0"/>
  </r>
  <r>
    <x v="24"/>
    <s v="ARWR"/>
    <s v="California Central District Court"/>
    <s v="11/15/2016"/>
    <s v="01/17/2017"/>
    <x v="124"/>
    <s v="Individual"/>
    <x v="121"/>
    <m/>
    <s v="ARWR.3.c"/>
    <m/>
    <m/>
    <m/>
    <m/>
    <x v="60"/>
    <s v="Contested"/>
    <s v="G-Ind"/>
    <x v="0"/>
  </r>
  <r>
    <x v="24"/>
    <s v="ARWR"/>
    <s v="California Central District Court"/>
    <s v="11/15/2016"/>
    <s v="01/17/2017"/>
    <x v="125"/>
    <s v="Individual"/>
    <x v="122"/>
    <m/>
    <s v="ARWR.4.a"/>
    <m/>
    <n v="3"/>
    <n v="37525.85"/>
    <n v="4.1695388888888886E-2"/>
    <x v="8"/>
    <s v="Contested"/>
    <s v="G-Ind"/>
    <x v="0"/>
  </r>
  <r>
    <x v="24"/>
    <s v="ARWR"/>
    <s v="California Central District Court"/>
    <s v="11/15/2016"/>
    <s v="01/17/2017"/>
    <x v="126"/>
    <s v="Individual"/>
    <x v="123"/>
    <m/>
    <s v="ARWR.4.b"/>
    <m/>
    <m/>
    <m/>
    <m/>
    <x v="8"/>
    <s v="Contested"/>
    <s v="G-Ind"/>
    <x v="0"/>
  </r>
  <r>
    <x v="24"/>
    <s v="ARWR"/>
    <s v="California Central District Court"/>
    <s v="11/15/2016"/>
    <s v="01/17/2017"/>
    <x v="127"/>
    <s v="Individual"/>
    <x v="124"/>
    <m/>
    <s v="ARWR.4.c"/>
    <m/>
    <m/>
    <m/>
    <m/>
    <x v="8"/>
    <s v="Contested"/>
    <s v="G-Ind"/>
    <x v="0"/>
  </r>
  <r>
    <x v="25"/>
    <s v="AVID"/>
    <s v="Massachusetts District Court"/>
    <s v="11/21/2016"/>
    <s v="01/20/2017"/>
    <x v="128"/>
    <s v="Individual"/>
    <x v="125"/>
    <m/>
    <s v="AVID.1"/>
    <n v="2"/>
    <n v="1"/>
    <n v="118388.95"/>
    <n v="0.56375690476190476"/>
    <x v="61"/>
    <s v="Contested"/>
    <s v="Ind"/>
    <x v="0"/>
  </r>
  <r>
    <x v="25"/>
    <s v="AVID"/>
    <s v="Massachusetts District Court"/>
    <s v="11/21/2016"/>
    <s v="01/20/2017"/>
    <x v="129"/>
    <s v="Individual"/>
    <x v="126"/>
    <m/>
    <s v="AVID.2.a"/>
    <m/>
    <n v="4"/>
    <n v="23563.21"/>
    <n v="0.11220576190476191"/>
    <x v="62"/>
    <s v="Contested"/>
    <s v="G-Ind"/>
    <x v="0"/>
  </r>
  <r>
    <x v="25"/>
    <s v="AVID"/>
    <s v="Massachusetts District Court"/>
    <s v="11/21/2016"/>
    <s v="01/20/2017"/>
    <x v="130"/>
    <s v="Individual"/>
    <x v="127"/>
    <m/>
    <s v="AVID.2.b"/>
    <m/>
    <m/>
    <m/>
    <m/>
    <x v="62"/>
    <s v="Contested"/>
    <s v="G-Ind"/>
    <x v="0"/>
  </r>
  <r>
    <x v="25"/>
    <s v="AVID"/>
    <s v="Massachusetts District Court"/>
    <s v="11/21/2016"/>
    <s v="01/20/2017"/>
    <x v="131"/>
    <s v="Individual"/>
    <x v="128"/>
    <m/>
    <s v="AVID.2.c"/>
    <m/>
    <m/>
    <m/>
    <m/>
    <x v="62"/>
    <s v="Contested"/>
    <s v="G-Ind"/>
    <x v="0"/>
  </r>
  <r>
    <x v="25"/>
    <s v="AVID"/>
    <s v="Massachusetts District Court"/>
    <s v="11/21/2016"/>
    <s v="01/20/2017"/>
    <x v="132"/>
    <s v="Individual"/>
    <x v="129"/>
    <m/>
    <s v="AVID.2.d"/>
    <m/>
    <m/>
    <m/>
    <m/>
    <x v="62"/>
    <s v="Contested"/>
    <s v="G-Ind"/>
    <x v="0"/>
  </r>
  <r>
    <x v="26"/>
    <s v="BW"/>
    <s v="North Carolina Western District Court"/>
    <s v="03/03/2017"/>
    <s v="05/02/2017"/>
    <x v="2"/>
    <s v="Institution"/>
    <x v="130"/>
    <s v="LIFO"/>
    <s v="BW.1"/>
    <n v="2"/>
    <n v="1"/>
    <n v="5470011.8700000001"/>
    <n v="2.2791716124999999"/>
    <x v="63"/>
    <s v="Contested"/>
    <s v="Ins"/>
    <x v="1"/>
  </r>
  <r>
    <x v="26"/>
    <s v="BW"/>
    <s v="North Carolina Western District Court"/>
    <s v="03/03/2017"/>
    <s v="05/02/2017"/>
    <x v="133"/>
    <s v="Institution"/>
    <x v="131"/>
    <m/>
    <s v="BW.2"/>
    <m/>
    <n v="1"/>
    <n v="468903.39"/>
    <n v="0.19537641250000001"/>
    <x v="64"/>
    <s v="Contested"/>
    <s v="Ins"/>
    <x v="1"/>
  </r>
  <r>
    <x v="27"/>
    <s v="BANC"/>
    <s v="California Central District Court"/>
    <s v="01/23/2017"/>
    <s v="03/24/2017"/>
    <x v="134"/>
    <s v="Individual"/>
    <x v="132"/>
    <m/>
    <s v="BANC.1.a"/>
    <n v="3"/>
    <n v="2"/>
    <n v="1025.8400000000001"/>
    <n v="1.0258400000000001E-3"/>
    <x v="65"/>
    <s v="Contested"/>
    <s v="G-Ind"/>
    <x v="0"/>
  </r>
  <r>
    <x v="27"/>
    <s v="BANC"/>
    <s v="California Central District Court"/>
    <s v="01/23/2017"/>
    <s v="03/24/2017"/>
    <x v="135"/>
    <s v="Individual"/>
    <x v="133"/>
    <m/>
    <s v="BANC.1.b"/>
    <m/>
    <m/>
    <m/>
    <m/>
    <x v="65"/>
    <s v="Contested"/>
    <s v="G-Ind"/>
    <x v="0"/>
  </r>
  <r>
    <x v="27"/>
    <s v="BANC"/>
    <s v="California Central District Court"/>
    <s v="01/23/2017"/>
    <s v="03/24/2017"/>
    <x v="136"/>
    <s v="Individual"/>
    <x v="134"/>
    <s v="FIFO"/>
    <s v="BANC.2"/>
    <m/>
    <n v="1"/>
    <n v="38421.300000000003"/>
    <n v="3.8421299999999999E-2"/>
    <x v="66"/>
    <s v="Contested"/>
    <s v="Ind"/>
    <x v="0"/>
  </r>
  <r>
    <x v="27"/>
    <s v="BANC"/>
    <s v="California Central District Court"/>
    <s v="01/23/2017"/>
    <s v="03/24/2017"/>
    <x v="137"/>
    <s v="Institution"/>
    <x v="135"/>
    <m/>
    <s v="BANC.3"/>
    <m/>
    <n v="1"/>
    <n v="97003.14"/>
    <n v="9.7003140000000002E-2"/>
    <x v="67"/>
    <s v="Contested"/>
    <s v="Ins"/>
    <x v="1"/>
  </r>
  <r>
    <x v="28"/>
    <s v="BBD"/>
    <s v="New York Southern District Court"/>
    <s v="06/03/2016"/>
    <s v="08/02/2016"/>
    <x v="138"/>
    <s v="Institution"/>
    <x v="136"/>
    <s v="FIFO/LIFO"/>
    <s v="BBD.1"/>
    <n v="3"/>
    <n v="1"/>
    <n v="6441574.3799999999"/>
    <n v="0.214719146"/>
    <x v="68"/>
    <s v="Contested"/>
    <s v="Ins"/>
    <x v="1"/>
  </r>
  <r>
    <x v="28"/>
    <s v="BBD"/>
    <s v="New York Southern District Court"/>
    <s v="06/03/2016"/>
    <s v="08/02/2016"/>
    <x v="139"/>
    <s v="Institution"/>
    <x v="137"/>
    <s v="FIFO"/>
    <s v="BBD.2.a"/>
    <m/>
    <n v="2"/>
    <n v="3696003.32"/>
    <n v="0.12320011066666665"/>
    <x v="31"/>
    <s v="Contested"/>
    <s v="G-Ins"/>
    <x v="1"/>
  </r>
  <r>
    <x v="28"/>
    <s v="BBD"/>
    <s v="New York Southern District Court"/>
    <s v="06/03/2016"/>
    <s v="08/02/2016"/>
    <x v="140"/>
    <s v="Institution"/>
    <x v="138"/>
    <s v="FIFO"/>
    <s v="BBD.2.b"/>
    <m/>
    <m/>
    <m/>
    <n v="0"/>
    <x v="31"/>
    <s v="Contested"/>
    <s v="G-Ins"/>
    <x v="1"/>
  </r>
  <r>
    <x v="28"/>
    <s v="BBD"/>
    <s v="New York Southern District Court"/>
    <s v="06/03/2016"/>
    <s v="08/02/2016"/>
    <x v="141"/>
    <s v="Individual"/>
    <x v="139"/>
    <m/>
    <s v="BBD.3"/>
    <m/>
    <n v="1"/>
    <n v="36104.47"/>
    <n v="1.2034823333333332E-3"/>
    <x v="8"/>
    <s v="Contested"/>
    <s v="Ind"/>
    <x v="0"/>
  </r>
  <r>
    <x v="29"/>
    <s v="BHP/BBL"/>
    <s v="New York Southern District Court"/>
    <s v="02/24/2016"/>
    <s v="04/25/2016"/>
    <x v="142"/>
    <s v="Individual"/>
    <x v="140"/>
    <s v="LIFO"/>
    <s v="BHP/BBL.1"/>
    <n v="7"/>
    <n v="1"/>
    <n v="107051.15"/>
    <n v="4.2820459999999994E-3"/>
    <x v="26"/>
    <s v="Contested"/>
    <s v="Ind"/>
    <x v="0"/>
  </r>
  <r>
    <x v="29"/>
    <s v="BHP/BBL"/>
    <s v="New York Southern District Court"/>
    <s v="02/24/2016"/>
    <s v="04/25/2016"/>
    <x v="143"/>
    <s v="Individual"/>
    <x v="141"/>
    <m/>
    <s v="BHP/BBL.2"/>
    <m/>
    <n v="1"/>
    <n v="43618.8"/>
    <n v="1.744752E-3"/>
    <x v="1"/>
    <s v="Contested"/>
    <s v="Ind"/>
    <x v="0"/>
  </r>
  <r>
    <x v="29"/>
    <s v="BHP/BBL"/>
    <s v="New York Southern District Court"/>
    <s v="02/24/2016"/>
    <s v="04/25/2016"/>
    <x v="144"/>
    <s v="Individual"/>
    <x v="142"/>
    <m/>
    <s v="BHP/BBL.3"/>
    <m/>
    <n v="1"/>
    <n v="113565.32"/>
    <n v="4.5426128000000008E-3"/>
    <x v="69"/>
    <s v="Contested"/>
    <s v="Ind"/>
    <x v="1"/>
  </r>
  <r>
    <x v="29"/>
    <s v="BHP/BBL"/>
    <s v="New York Southern District Court"/>
    <s v="02/24/2016"/>
    <s v="04/25/2016"/>
    <x v="145"/>
    <s v="Institution"/>
    <x v="143"/>
    <s v="LIFO"/>
    <s v="BHP/BBL.4"/>
    <m/>
    <n v="1"/>
    <n v="80192.92"/>
    <n v="3.2077167999999996E-3"/>
    <x v="70"/>
    <s v="Contested"/>
    <s v="Ins"/>
    <x v="0"/>
  </r>
  <r>
    <x v="29"/>
    <s v="BHP/BBL"/>
    <s v="New York Southern District Court"/>
    <s v="02/24/2016"/>
    <s v="04/25/2016"/>
    <x v="146"/>
    <s v="Individual"/>
    <x v="144"/>
    <m/>
    <s v="BHP/BBL.5.a"/>
    <m/>
    <n v="2"/>
    <n v="150638"/>
    <n v="6.0255199999999995E-3"/>
    <x v="71"/>
    <s v="Contested"/>
    <s v="G-Ind"/>
    <x v="0"/>
  </r>
  <r>
    <x v="29"/>
    <s v="BHP/BBL"/>
    <s v="New York Southern District Court"/>
    <s v="02/24/2016"/>
    <s v="04/25/2016"/>
    <x v="144"/>
    <s v="Individual"/>
    <x v="145"/>
    <m/>
    <s v="BHP/BBL.5.b"/>
    <m/>
    <m/>
    <m/>
    <m/>
    <x v="71"/>
    <s v="Contested"/>
    <s v="G-Ind"/>
    <x v="1"/>
  </r>
  <r>
    <x v="29"/>
    <s v="BHP/BBL"/>
    <s v="New York Southern District Court"/>
    <s v="02/24/2016"/>
    <s v="04/25/2016"/>
    <x v="147"/>
    <s v="Institution"/>
    <x v="146"/>
    <m/>
    <s v="BHP/BBL.6.a"/>
    <m/>
    <n v="2"/>
    <n v="448092.95"/>
    <n v="1.7923718000000002E-2"/>
    <x v="46"/>
    <s v="Contested"/>
    <s v="G-Ins"/>
    <x v="0"/>
  </r>
  <r>
    <x v="29"/>
    <s v="BHP/BBL"/>
    <s v="New York Southern District Court"/>
    <s v="02/24/2016"/>
    <s v="04/25/2016"/>
    <x v="133"/>
    <s v="Institution"/>
    <x v="147"/>
    <m/>
    <s v="BHP/BBL.6.b"/>
    <m/>
    <m/>
    <m/>
    <m/>
    <x v="46"/>
    <s v="Contested"/>
    <s v="G-Ins"/>
    <x v="1"/>
  </r>
  <r>
    <x v="29"/>
    <s v="BHP/BBL"/>
    <s v="New York Southern District Court"/>
    <s v="02/24/2016"/>
    <s v="04/25/2016"/>
    <x v="148"/>
    <s v="Individual"/>
    <x v="148"/>
    <m/>
    <s v="BHP/BBL.7"/>
    <m/>
    <n v="1"/>
    <n v="59773.440000000002"/>
    <n v="2.3909375999999999E-3"/>
    <x v="8"/>
    <s v="Contested"/>
    <s v="Ind"/>
    <x v="0"/>
  </r>
  <r>
    <x v="30"/>
    <s v="BIOA "/>
    <s v="New York Eastern District Court"/>
    <s v="03/18/2017"/>
    <s v="05/17/2017"/>
    <x v="149"/>
    <s v="Individual"/>
    <x v="149"/>
    <m/>
    <s v="BIOA.1"/>
    <n v="3"/>
    <n v="1"/>
    <n v="3527.25"/>
    <n v="6.4131818181818179E-2"/>
    <x v="1"/>
    <s v="Contested"/>
    <s v="Ind"/>
    <x v="0"/>
  </r>
  <r>
    <x v="30"/>
    <s v="BIOA "/>
    <s v="New York Eastern District Court"/>
    <s v="03/18/2017"/>
    <s v="05/17/2017"/>
    <x v="150"/>
    <s v="Individual"/>
    <x v="150"/>
    <m/>
    <s v="BIOA.2"/>
    <m/>
    <n v="1"/>
    <n v="71586.67"/>
    <n v="1.301575818181818"/>
    <x v="72"/>
    <s v="Contested"/>
    <s v="Ind"/>
    <x v="0"/>
  </r>
  <r>
    <x v="30"/>
    <s v="BIOA "/>
    <s v="New York Eastern District Court"/>
    <s v="03/18/2017"/>
    <s v="05/17/2017"/>
    <x v="151"/>
    <s v="Individual"/>
    <x v="151"/>
    <s v="LIFO"/>
    <s v="BIOA.3"/>
    <m/>
    <n v="1"/>
    <n v="5840.74"/>
    <n v="0.10619527272727272"/>
    <x v="10"/>
    <s v="Contested"/>
    <s v="Ind"/>
    <x v="0"/>
  </r>
  <r>
    <x v="31"/>
    <s v="BIIB"/>
    <s v="Massachusetts District Court"/>
    <s v="10/20/2016"/>
    <s v="12/23/2016"/>
    <x v="152"/>
    <s v="Institution"/>
    <x v="152"/>
    <s v="Group / LIFO"/>
    <s v="BIIB.1.a"/>
    <n v="3"/>
    <n v="2"/>
    <n v="1520055.49"/>
    <n v="1.1922003843137255E-2"/>
    <x v="70"/>
    <s v="Contested"/>
    <s v="G-Ins"/>
    <x v="0"/>
  </r>
  <r>
    <x v="31"/>
    <s v="BIIB"/>
    <s v="Massachusetts District Court"/>
    <s v="10/20/2016"/>
    <s v="12/23/2016"/>
    <x v="153"/>
    <s v="Institution"/>
    <x v="153"/>
    <m/>
    <s v="BIIB.1.b"/>
    <m/>
    <m/>
    <m/>
    <m/>
    <x v="70"/>
    <s v="Contested"/>
    <s v="G-Ins"/>
    <x v="1"/>
  </r>
  <r>
    <x v="31"/>
    <s v="BIIB"/>
    <s v="Massachusetts District Court"/>
    <s v="10/20/2016"/>
    <s v="12/23/2016"/>
    <x v="154"/>
    <s v="Institution"/>
    <x v="154"/>
    <s v="FIFO"/>
    <s v="BIIB.2.a"/>
    <m/>
    <n v="2"/>
    <n v="2037041.09"/>
    <n v="1.5976792862745098E-2"/>
    <x v="73"/>
    <s v="Contested"/>
    <s v="G-Ins"/>
    <x v="1"/>
  </r>
  <r>
    <x v="31"/>
    <s v="BIIB"/>
    <s v="Massachusetts District Court"/>
    <s v="10/20/2016"/>
    <s v="12/23/2016"/>
    <x v="38"/>
    <s v="Institution"/>
    <x v="155"/>
    <s v="Group / FIFO"/>
    <s v="BIIB.2.b"/>
    <m/>
    <m/>
    <m/>
    <m/>
    <x v="73"/>
    <s v="Contested"/>
    <s v="G-Ins"/>
    <x v="1"/>
  </r>
  <r>
    <x v="31"/>
    <s v="BIIB"/>
    <s v="Massachusetts District Court"/>
    <s v="10/20/2016"/>
    <s v="12/23/2016"/>
    <x v="155"/>
    <s v="Institution"/>
    <x v="156"/>
    <m/>
    <s v="BIIB.3"/>
    <m/>
    <n v="1"/>
    <n v="1388498.72"/>
    <n v="1.0890186039215686E-2"/>
    <x v="74"/>
    <s v="Contested"/>
    <s v="G-Ins"/>
    <x v="1"/>
  </r>
  <r>
    <x v="32"/>
    <s v="BLT"/>
    <s v="Oregon District Court"/>
    <s v="03/21/2016"/>
    <s v="06/10/2016"/>
    <x v="156"/>
    <s v="Individual"/>
    <x v="5"/>
    <m/>
    <s v="BLT.1.a"/>
    <n v="1"/>
    <n v="2"/>
    <n v="0"/>
    <e v="#VALUE!"/>
    <x v="75"/>
    <s v="Uncontested"/>
    <s v="G-Ind"/>
    <x v="0"/>
  </r>
  <r>
    <x v="32"/>
    <s v="BLT"/>
    <s v="Oregon District Court"/>
    <s v="03/21/2016"/>
    <s v="06/10/2016"/>
    <x v="157"/>
    <s v="Individual"/>
    <x v="5"/>
    <m/>
    <s v="BLT.1.b"/>
    <m/>
    <m/>
    <m/>
    <m/>
    <x v="75"/>
    <s v="Uncontested"/>
    <s v="G-Ind"/>
    <x v="0"/>
  </r>
  <r>
    <x v="33"/>
    <s v="BOFI "/>
    <s v="California Southern District Court"/>
    <s v="04/03/2017"/>
    <s v="06/02/2017"/>
    <x v="158"/>
    <s v="Individual"/>
    <x v="157"/>
    <s v="LIFO"/>
    <s v="BOFI.1.a"/>
    <n v="3"/>
    <n v="3"/>
    <n v="19962.919999999998"/>
    <n v="1.1742894117647059E-2"/>
    <x v="76"/>
    <s v="Contested"/>
    <s v="G-Ind"/>
    <x v="0"/>
  </r>
  <r>
    <x v="33"/>
    <s v="BOFI "/>
    <s v="California Southern District Court"/>
    <s v="04/03/2017"/>
    <s v="06/02/2017"/>
    <x v="159"/>
    <s v="Individual"/>
    <x v="158"/>
    <s v="LIFO"/>
    <s v="BOFI.1.b"/>
    <m/>
    <m/>
    <m/>
    <m/>
    <x v="76"/>
    <s v="Contested"/>
    <s v="G-Ind"/>
    <x v="0"/>
  </r>
  <r>
    <x v="33"/>
    <s v="BOFI "/>
    <s v="California Southern District Court"/>
    <s v="04/03/2017"/>
    <s v="06/02/2017"/>
    <x v="160"/>
    <s v="Individual"/>
    <x v="159"/>
    <s v="LIFO"/>
    <s v="BOFI.1.c"/>
    <m/>
    <m/>
    <m/>
    <m/>
    <x v="76"/>
    <s v="Contested"/>
    <s v="G-Ind"/>
    <x v="0"/>
  </r>
  <r>
    <x v="33"/>
    <s v="BOFI "/>
    <s v="California Southern District Court"/>
    <s v="04/03/2017"/>
    <s v="06/02/2017"/>
    <x v="161"/>
    <s v="Individual"/>
    <x v="160"/>
    <m/>
    <s v="BOFI.2.a"/>
    <m/>
    <n v="4"/>
    <n v="94038"/>
    <n v="5.53164705882353E-2"/>
    <x v="77"/>
    <s v="Contested"/>
    <s v="G-Ind"/>
    <x v="0"/>
  </r>
  <r>
    <x v="33"/>
    <s v="BOFI "/>
    <s v="California Southern District Court"/>
    <s v="04/03/2017"/>
    <s v="06/02/2017"/>
    <x v="162"/>
    <s v="Individual"/>
    <x v="161"/>
    <m/>
    <s v="BOFI.2.b"/>
    <m/>
    <m/>
    <m/>
    <m/>
    <x v="77"/>
    <s v="Contested"/>
    <s v="G-Ind"/>
    <x v="0"/>
  </r>
  <r>
    <x v="33"/>
    <s v="BOFI "/>
    <s v="California Southern District Court"/>
    <s v="04/03/2017"/>
    <s v="06/02/2017"/>
    <x v="163"/>
    <s v="Individual"/>
    <x v="162"/>
    <m/>
    <s v="BOFI.2.c"/>
    <m/>
    <m/>
    <m/>
    <m/>
    <x v="77"/>
    <s v="Contested"/>
    <s v="G-Ind"/>
    <x v="0"/>
  </r>
  <r>
    <x v="33"/>
    <s v="BOFI "/>
    <s v="California Southern District Court"/>
    <s v="04/03/2017"/>
    <s v="06/02/2017"/>
    <x v="164"/>
    <s v="Individual"/>
    <x v="163"/>
    <m/>
    <s v="BOFI.2.d"/>
    <m/>
    <m/>
    <m/>
    <m/>
    <x v="77"/>
    <s v="Contested"/>
    <s v="G-Ind"/>
    <x v="0"/>
  </r>
  <r>
    <x v="33"/>
    <s v="BOFI "/>
    <s v="California Southern District Court"/>
    <s v="04/03/2017"/>
    <s v="06/02/2017"/>
    <x v="165"/>
    <s v="Individual"/>
    <x v="164"/>
    <m/>
    <s v="BOFI .3"/>
    <m/>
    <n v="1"/>
    <n v="94049.42"/>
    <n v="5.532318823529412E-2"/>
    <x v="10"/>
    <s v="Contested"/>
    <s v="Ind"/>
    <x v="0"/>
  </r>
  <r>
    <x v="34"/>
    <s v="BRX"/>
    <s v="New York Southern District Court"/>
    <s v="03/31/2016"/>
    <s v="05/31/2016"/>
    <x v="166"/>
    <s v="Institution"/>
    <x v="165"/>
    <s v="LIFO"/>
    <s v="BRX.1.a"/>
    <n v="2"/>
    <n v="2"/>
    <n v="133491.97"/>
    <n v="2.9664882222222223E-2"/>
    <x v="78"/>
    <s v="Contested"/>
    <s v="G-Ins"/>
    <x v="1"/>
  </r>
  <r>
    <x v="34"/>
    <s v="BRX"/>
    <s v="New York Southern District Court"/>
    <s v="03/31/2016"/>
    <s v="05/31/2016"/>
    <x v="167"/>
    <s v="Institution"/>
    <x v="166"/>
    <s v="LIFO"/>
    <s v="BRX.1.b"/>
    <m/>
    <m/>
    <m/>
    <m/>
    <x v="78"/>
    <s v="Contested"/>
    <s v="G-Ins"/>
    <x v="1"/>
  </r>
  <r>
    <x v="34"/>
    <s v="BRX"/>
    <s v="New York Southern District Court"/>
    <s v="03/31/2016"/>
    <s v="05/31/2016"/>
    <x v="168"/>
    <s v="Institution"/>
    <x v="167"/>
    <s v="FIFO/LIFO"/>
    <s v="BRX.2.a"/>
    <m/>
    <n v="3"/>
    <n v="117721"/>
    <n v="2.6160222222222224E-2"/>
    <x v="79"/>
    <s v="Contested"/>
    <s v="G-Ins"/>
    <x v="0"/>
  </r>
  <r>
    <x v="34"/>
    <s v="BRX"/>
    <s v="New York Southern District Court"/>
    <s v="03/31/2016"/>
    <s v="05/31/2016"/>
    <x v="169"/>
    <s v="Institution"/>
    <x v="168"/>
    <s v="FIFO"/>
    <s v="BRX.2.b"/>
    <m/>
    <m/>
    <m/>
    <m/>
    <x v="79"/>
    <s v="Contested"/>
    <s v="G-Ins"/>
    <x v="1"/>
  </r>
  <r>
    <x v="34"/>
    <s v="BRX"/>
    <s v="New York Southern District Court"/>
    <s v="03/31/2016"/>
    <s v="05/31/2016"/>
    <x v="133"/>
    <s v="Institution"/>
    <x v="169"/>
    <s v="LIFO"/>
    <s v="BRX.2.c"/>
    <m/>
    <m/>
    <m/>
    <m/>
    <x v="79"/>
    <s v="Contested"/>
    <s v="G-Ins"/>
    <x v="1"/>
  </r>
  <r>
    <x v="35"/>
    <s v="BRCD"/>
    <s v="California Northern District Court"/>
    <s v="12/12/2016"/>
    <s v="03/03/2017"/>
    <x v="170"/>
    <s v="Institution"/>
    <x v="170"/>
    <s v="HELD"/>
    <s v="BRCD.1"/>
    <n v="1"/>
    <n v="1"/>
    <n v="959025"/>
    <n v="0.59939062500000007"/>
    <x v="80"/>
    <s v="Uncontested"/>
    <s v="Ins"/>
    <x v="0"/>
  </r>
  <r>
    <x v="36"/>
    <s v="BT"/>
    <s v="New York Southern District Court"/>
    <s v="01/25/2017"/>
    <s v="03/27/2017"/>
    <x v="171"/>
    <s v="Individual"/>
    <x v="171"/>
    <m/>
    <s v="BT.1.a"/>
    <n v="2"/>
    <n v="4"/>
    <n v="10173.86"/>
    <n v="2.0347719999999998E-3"/>
    <x v="50"/>
    <s v="Contested"/>
    <s v="G-Ind"/>
    <x v="0"/>
  </r>
  <r>
    <x v="36"/>
    <s v="BT"/>
    <s v="New York Southern District Court"/>
    <s v="01/25/2017"/>
    <s v="03/27/2017"/>
    <x v="172"/>
    <s v="Individual"/>
    <x v="172"/>
    <m/>
    <s v="BT.1.b"/>
    <m/>
    <m/>
    <m/>
    <m/>
    <x v="50"/>
    <s v="Contested"/>
    <s v="G-Ind"/>
    <x v="0"/>
  </r>
  <r>
    <x v="36"/>
    <s v="BT"/>
    <s v="New York Southern District Court"/>
    <s v="01/25/2017"/>
    <s v="03/27/2017"/>
    <x v="173"/>
    <s v="Individual"/>
    <x v="173"/>
    <m/>
    <s v="BT.1.c"/>
    <m/>
    <m/>
    <m/>
    <m/>
    <x v="50"/>
    <s v="Contested"/>
    <s v="G-Ind"/>
    <x v="0"/>
  </r>
  <r>
    <x v="36"/>
    <s v="BT"/>
    <s v="New York Southern District Court"/>
    <s v="01/25/2017"/>
    <s v="03/27/2017"/>
    <x v="174"/>
    <s v="Individual"/>
    <x v="174"/>
    <m/>
    <s v="BT.1.d"/>
    <m/>
    <m/>
    <m/>
    <m/>
    <x v="50"/>
    <s v="Contested"/>
    <s v="G-Ind"/>
    <x v="0"/>
  </r>
  <r>
    <x v="36"/>
    <s v="BT"/>
    <s v="New York Southern District Court"/>
    <s v="01/25/2017"/>
    <s v="03/27/2017"/>
    <x v="175"/>
    <s v="Institution"/>
    <x v="175"/>
    <m/>
    <s v="BT.2"/>
    <m/>
    <n v="1"/>
    <n v="78515.73"/>
    <n v="1.5703146000000001E-2"/>
    <x v="46"/>
    <s v="Contested"/>
    <s v="Ins"/>
    <x v="0"/>
  </r>
  <r>
    <x v="37"/>
    <s v="CPST"/>
    <s v="California Central District Court"/>
    <s v="11/16/2015"/>
    <s v="01/15/2016"/>
    <x v="176"/>
    <s v="Individual"/>
    <x v="176"/>
    <s v="FIFO"/>
    <s v="CPST.1"/>
    <n v="4"/>
    <n v="1"/>
    <n v="184708.02"/>
    <n v="0.48607373684210525"/>
    <x v="81"/>
    <s v="Contested"/>
    <s v="Ind"/>
    <x v="0"/>
  </r>
  <r>
    <x v="37"/>
    <s v="CPST"/>
    <s v="California Central District Court"/>
    <s v="11/16/2015"/>
    <s v="01/15/2016"/>
    <x v="177"/>
    <s v="Individual"/>
    <x v="177"/>
    <s v="LIFO"/>
    <s v="CPST.2.a"/>
    <m/>
    <n v="2"/>
    <n v="789293.15"/>
    <n v="2.0770872368421052"/>
    <x v="1"/>
    <s v="Contested"/>
    <s v="G-Ind"/>
    <x v="0"/>
  </r>
  <r>
    <x v="37"/>
    <s v="CPST"/>
    <s v="California Central District Court"/>
    <s v="11/16/2015"/>
    <s v="01/15/2016"/>
    <x v="178"/>
    <s v="Individual"/>
    <x v="178"/>
    <m/>
    <s v="CPST.2.b"/>
    <m/>
    <m/>
    <m/>
    <m/>
    <x v="1"/>
    <s v="Contested"/>
    <s v="G-Ind"/>
    <x v="0"/>
  </r>
  <r>
    <x v="37"/>
    <s v="CPST"/>
    <s v="California Central District Court"/>
    <s v="11/16/2015"/>
    <s v="01/15/2016"/>
    <x v="179"/>
    <s v="Individual"/>
    <x v="179"/>
    <s v="FIFO"/>
    <s v="CPST.3.a"/>
    <m/>
    <n v="3"/>
    <n v="1777534"/>
    <n v="4.6777210526315791"/>
    <x v="82"/>
    <s v="Contested"/>
    <s v="G-Ind"/>
    <x v="0"/>
  </r>
  <r>
    <x v="37"/>
    <s v="CPST"/>
    <s v="California Central District Court"/>
    <s v="11/16/2015"/>
    <s v="01/15/2016"/>
    <x v="180"/>
    <s v="Individual"/>
    <x v="180"/>
    <s v="FIFO"/>
    <s v="CPST.3.b"/>
    <m/>
    <m/>
    <m/>
    <m/>
    <x v="82"/>
    <s v="Contested"/>
    <s v="G-Ind"/>
    <x v="0"/>
  </r>
  <r>
    <x v="37"/>
    <s v="CPST"/>
    <s v="California Central District Court"/>
    <s v="11/16/2015"/>
    <s v="01/15/2016"/>
    <x v="181"/>
    <s v="Individual"/>
    <x v="181"/>
    <s v="FIFO"/>
    <s v="CPST.3.c"/>
    <m/>
    <m/>
    <m/>
    <m/>
    <x v="82"/>
    <s v="Contested"/>
    <s v="G-Ind"/>
    <x v="0"/>
  </r>
  <r>
    <x v="37"/>
    <s v="CPST"/>
    <s v="California Central District Court"/>
    <s v="11/16/2015"/>
    <s v="01/15/2016"/>
    <x v="182"/>
    <s v="Individual"/>
    <x v="182"/>
    <s v="FIFO"/>
    <s v="CPST.3.d"/>
    <m/>
    <m/>
    <m/>
    <m/>
    <x v="82"/>
    <s v="Contested"/>
    <s v="G-Ind"/>
    <x v="0"/>
  </r>
  <r>
    <x v="37"/>
    <s v="CPST"/>
    <s v="California Central District Court"/>
    <s v="11/16/2015"/>
    <s v="01/15/2016"/>
    <x v="183"/>
    <s v="Individual"/>
    <x v="183"/>
    <s v="LIFO/FIFO"/>
    <s v="CPST.4.a"/>
    <m/>
    <n v="2"/>
    <n v="78570.209999999992"/>
    <n v="0.20676371052631579"/>
    <x v="11"/>
    <s v="Contested"/>
    <s v="G-Ind"/>
    <x v="0"/>
  </r>
  <r>
    <x v="37"/>
    <s v="CPST"/>
    <s v="California Central District Court"/>
    <s v="11/16/2015"/>
    <s v="01/15/2016"/>
    <x v="184"/>
    <s v="Individual"/>
    <x v="184"/>
    <s v="LIFO/FIFO"/>
    <s v="CPST.4.b"/>
    <m/>
    <m/>
    <m/>
    <m/>
    <x v="11"/>
    <s v="Contested"/>
    <s v="G-Ind"/>
    <x v="0"/>
  </r>
  <r>
    <x v="38"/>
    <s v="CFNL"/>
    <s v="Virginia Eastern District Court"/>
    <s v="12/20/2016"/>
    <s v="03/06/2017"/>
    <x v="185"/>
    <s v="Individual"/>
    <x v="5"/>
    <m/>
    <s v="CFNL.1.a"/>
    <n v="1"/>
    <n v="2"/>
    <n v="0"/>
    <e v="#VALUE!"/>
    <x v="83"/>
    <s v="Uncontested"/>
    <s v="G-Ind"/>
    <x v="0"/>
  </r>
  <r>
    <x v="38"/>
    <s v="CFNL"/>
    <s v="Virginia Eastern District Court"/>
    <s v="12/20/2016"/>
    <s v="03/06/2017"/>
    <x v="186"/>
    <s v="Individual"/>
    <x v="5"/>
    <m/>
    <s v="CFNL.1.b"/>
    <m/>
    <m/>
    <m/>
    <m/>
    <x v="83"/>
    <s v="Uncontested"/>
    <s v="G-Ind"/>
    <x v="0"/>
  </r>
  <r>
    <x v="39"/>
    <s v="CSII"/>
    <s v="Minnesota District Court"/>
    <s v="03/04/2016"/>
    <s v="04/12/2016"/>
    <x v="155"/>
    <s v="Institution"/>
    <x v="185"/>
    <m/>
    <s v="CSII.1"/>
    <n v="4"/>
    <n v="1"/>
    <n v="268918.76"/>
    <n v="0.17020174683544304"/>
    <x v="84"/>
    <s v="Contested"/>
    <s v="Ins"/>
    <x v="1"/>
  </r>
  <r>
    <x v="39"/>
    <s v="CSII"/>
    <s v="Minnesota District Court"/>
    <s v="03/04/2016"/>
    <s v="04/12/2016"/>
    <x v="187"/>
    <s v="Institution"/>
    <x v="186"/>
    <s v="FIFO/LIFO"/>
    <s v="CSII.2.a"/>
    <m/>
    <n v="2"/>
    <n v="156337.42000000001"/>
    <n v="9.8947734177215196E-2"/>
    <x v="66"/>
    <s v="Contested"/>
    <s v="G-Ins"/>
    <x v="0"/>
  </r>
  <r>
    <x v="39"/>
    <s v="CSII"/>
    <s v="Minnesota District Court"/>
    <s v="03/04/2016"/>
    <s v="04/12/2016"/>
    <x v="188"/>
    <s v="Institution"/>
    <x v="187"/>
    <s v="FIFO/LIFO"/>
    <s v="CSII.2.b"/>
    <m/>
    <m/>
    <m/>
    <m/>
    <x v="66"/>
    <s v="Contested"/>
    <s v="G-Ins"/>
    <x v="0"/>
  </r>
  <r>
    <x v="39"/>
    <s v="CSII"/>
    <s v="Minnesota District Court"/>
    <s v="03/04/2016"/>
    <s v="04/12/2016"/>
    <x v="189"/>
    <s v="Institution"/>
    <x v="188"/>
    <s v="LIFO"/>
    <s v="CSII.3.a"/>
    <m/>
    <n v="2"/>
    <n v="456106.33999999997"/>
    <n v="0.28867489873417718"/>
    <x v="85"/>
    <s v="Contested"/>
    <s v="G-Ins"/>
    <x v="0"/>
  </r>
  <r>
    <x v="39"/>
    <s v="CSII"/>
    <s v="Minnesota District Court"/>
    <s v="03/04/2016"/>
    <s v="04/12/2016"/>
    <x v="89"/>
    <s v="Institution"/>
    <x v="189"/>
    <s v="LIFO"/>
    <s v="CSII.3.b"/>
    <m/>
    <m/>
    <m/>
    <m/>
    <x v="85"/>
    <s v="Contested"/>
    <s v="G-Ins"/>
    <x v="1"/>
  </r>
  <r>
    <x v="39"/>
    <s v="CSII"/>
    <s v="Minnesota District Court"/>
    <s v="03/04/2016"/>
    <s v="04/12/2016"/>
    <x v="190"/>
    <s v="Individual"/>
    <x v="190"/>
    <m/>
    <s v="CSII.4"/>
    <m/>
    <n v="1"/>
    <n v="24156.720000000001"/>
    <n v="1.5289063291139241E-2"/>
    <x v="8"/>
    <s v="Contested"/>
    <s v="Ind"/>
    <x v="0"/>
  </r>
  <r>
    <x v="40"/>
    <s v="CKEC"/>
    <s v="Georgia Middle District Court"/>
    <s v="04/25/2016"/>
    <s v="06/27/2016"/>
    <x v="191"/>
    <s v="Individual"/>
    <x v="5"/>
    <m/>
    <s v="CKEC.1.a"/>
    <n v="2"/>
    <n v="2"/>
    <n v="0"/>
    <e v="#VALUE!"/>
    <x v="86"/>
    <s v="Uncontested"/>
    <s v="G-Ind"/>
    <x v="0"/>
  </r>
  <r>
    <x v="40"/>
    <s v="CKEC"/>
    <s v="Georgia Middle District Court"/>
    <s v="04/25/2016"/>
    <s v="06/27/2016"/>
    <x v="192"/>
    <s v="Individual"/>
    <x v="5"/>
    <m/>
    <s v="CKEC.1.b"/>
    <m/>
    <m/>
    <m/>
    <m/>
    <x v="86"/>
    <s v="Uncontested"/>
    <s v="G-Ind"/>
    <x v="0"/>
  </r>
  <r>
    <x v="41"/>
    <s v="HFXAX"/>
    <s v="New York Eastern District Court"/>
    <s v="04/28/2017"/>
    <s v="06/27/2017"/>
    <x v="193"/>
    <s v="Individual"/>
    <x v="191"/>
    <m/>
    <s v="HFXAX.1"/>
    <n v="4"/>
    <n v="1"/>
    <n v="297433.40000000002"/>
    <n v="4.4064207407407414E-2"/>
    <x v="70"/>
    <s v="Contested"/>
    <s v="G-Ind"/>
    <x v="0"/>
  </r>
  <r>
    <x v="41"/>
    <s v="HFXAX"/>
    <s v="New York Eastern District Court"/>
    <s v="04/28/2017"/>
    <s v="06/27/2017"/>
    <x v="194"/>
    <s v="Individual"/>
    <x v="192"/>
    <m/>
    <s v="HFXAX.2.a"/>
    <m/>
    <n v="7"/>
    <n v="122884.35"/>
    <n v="1.8205088888888891E-2"/>
    <x v="10"/>
    <s v="Contested"/>
    <s v="G-Ind"/>
    <x v="0"/>
  </r>
  <r>
    <x v="41"/>
    <s v="HFXAX"/>
    <s v="New York Eastern District Court"/>
    <s v="04/28/2017"/>
    <s v="06/27/2017"/>
    <x v="195"/>
    <s v="Individual"/>
    <x v="193"/>
    <m/>
    <s v="HFXAX.2.b"/>
    <m/>
    <m/>
    <m/>
    <m/>
    <x v="10"/>
    <s v="Contested"/>
    <s v="G-Ind"/>
    <x v="0"/>
  </r>
  <r>
    <x v="41"/>
    <s v="HFXAX"/>
    <s v="New York Eastern District Court"/>
    <s v="04/28/2017"/>
    <s v="06/27/2017"/>
    <x v="196"/>
    <s v="Individual"/>
    <x v="194"/>
    <m/>
    <s v="HFXAX.2.c"/>
    <m/>
    <m/>
    <m/>
    <m/>
    <x v="10"/>
    <s v="Contested"/>
    <s v="G-Ind"/>
    <x v="0"/>
  </r>
  <r>
    <x v="41"/>
    <s v="HFXAX"/>
    <s v="New York Eastern District Court"/>
    <s v="04/28/2017"/>
    <s v="06/27/2017"/>
    <x v="197"/>
    <s v="Individual"/>
    <x v="195"/>
    <m/>
    <s v="HFXAX.2.d"/>
    <m/>
    <m/>
    <m/>
    <m/>
    <x v="10"/>
    <s v="Contested"/>
    <s v="G-Ind"/>
    <x v="0"/>
  </r>
  <r>
    <x v="41"/>
    <s v="HFXAX"/>
    <s v="New York Eastern District Court"/>
    <s v="04/28/2017"/>
    <s v="06/27/2017"/>
    <x v="198"/>
    <s v="Individual"/>
    <x v="196"/>
    <m/>
    <s v="HFXAX.2.e"/>
    <m/>
    <m/>
    <m/>
    <m/>
    <x v="10"/>
    <s v="Contested"/>
    <s v="G-Ind"/>
    <x v="0"/>
  </r>
  <r>
    <x v="41"/>
    <s v="HFXAX"/>
    <s v="New York Eastern District Court"/>
    <s v="04/28/2017"/>
    <s v="06/27/2017"/>
    <x v="199"/>
    <s v="Individual"/>
    <x v="197"/>
    <m/>
    <s v="HFXAX.2.f"/>
    <m/>
    <m/>
    <m/>
    <m/>
    <x v="10"/>
    <s v="Contested"/>
    <s v="G-Ind"/>
    <x v="0"/>
  </r>
  <r>
    <x v="41"/>
    <s v="HFXAX"/>
    <s v="New York Eastern District Court"/>
    <s v="04/28/2017"/>
    <s v="06/27/2017"/>
    <x v="200"/>
    <s v="Individual"/>
    <x v="198"/>
    <m/>
    <s v="HFXAX.2.g"/>
    <m/>
    <m/>
    <m/>
    <m/>
    <x v="10"/>
    <s v="Contested"/>
    <s v="G-Ind"/>
    <x v="0"/>
  </r>
  <r>
    <x v="41"/>
    <s v="HFXAX"/>
    <s v="New York Eastern District Court"/>
    <s v="04/28/2017"/>
    <s v="06/27/2017"/>
    <x v="201"/>
    <s v="Individual"/>
    <x v="199"/>
    <m/>
    <s v="HFXAX.3.a"/>
    <m/>
    <n v="6"/>
    <n v="226838.47"/>
    <n v="3.3605699259259256E-2"/>
    <x v="87"/>
    <s v="Contested"/>
    <s v="G-Ind"/>
    <x v="0"/>
  </r>
  <r>
    <x v="41"/>
    <s v="HFXAX"/>
    <s v="New York Eastern District Court"/>
    <s v="04/28/2017"/>
    <s v="06/27/2017"/>
    <x v="202"/>
    <s v="Individual"/>
    <x v="200"/>
    <m/>
    <s v="HFXAX.3.b"/>
    <m/>
    <m/>
    <m/>
    <m/>
    <x v="87"/>
    <s v="Contested"/>
    <s v="G-Ind"/>
    <x v="0"/>
  </r>
  <r>
    <x v="41"/>
    <s v="HFXAX"/>
    <s v="New York Eastern District Court"/>
    <s v="04/28/2017"/>
    <s v="06/27/2017"/>
    <x v="203"/>
    <s v="Individual"/>
    <x v="201"/>
    <m/>
    <s v="HFXAX.3.c"/>
    <m/>
    <m/>
    <m/>
    <m/>
    <x v="87"/>
    <s v="Contested"/>
    <s v="G-Ind"/>
    <x v="0"/>
  </r>
  <r>
    <x v="41"/>
    <s v="HFXAX"/>
    <s v="New York Eastern District Court"/>
    <s v="04/28/2017"/>
    <s v="06/27/2017"/>
    <x v="204"/>
    <s v="Individual"/>
    <x v="202"/>
    <m/>
    <s v="HFXAX.3.d"/>
    <m/>
    <m/>
    <m/>
    <m/>
    <x v="87"/>
    <s v="Contested"/>
    <s v="G-Ind"/>
    <x v="0"/>
  </r>
  <r>
    <x v="41"/>
    <s v="HFXAX"/>
    <s v="New York Eastern District Court"/>
    <s v="04/28/2017"/>
    <s v="06/27/2017"/>
    <x v="205"/>
    <s v="Individual"/>
    <x v="203"/>
    <m/>
    <s v="HFXAX.3.e"/>
    <m/>
    <m/>
    <m/>
    <m/>
    <x v="87"/>
    <s v="Contested"/>
    <s v="G-Ind"/>
    <x v="0"/>
  </r>
  <r>
    <x v="41"/>
    <s v="HFXAX"/>
    <s v="New York Eastern District Court"/>
    <s v="04/28/2017"/>
    <s v="06/27/2017"/>
    <x v="206"/>
    <s v="Individual"/>
    <x v="204"/>
    <m/>
    <s v="HFXAX.3.f"/>
    <m/>
    <m/>
    <m/>
    <m/>
    <x v="87"/>
    <s v="Contested"/>
    <s v="G-Ind"/>
    <x v="0"/>
  </r>
  <r>
    <x v="41"/>
    <s v="HFXAX"/>
    <s v="New York Eastern District Court"/>
    <s v="04/28/2017"/>
    <s v="06/27/2017"/>
    <x v="207"/>
    <s v="Individual"/>
    <x v="205"/>
    <m/>
    <s v="HFXAX.4.a"/>
    <m/>
    <n v="5"/>
    <n v="77952.069999999992"/>
    <n v="1.1548454814814814E-2"/>
    <x v="32"/>
    <s v="Contested"/>
    <s v="G-Ind"/>
    <x v="0"/>
  </r>
  <r>
    <x v="41"/>
    <s v="HFXAX"/>
    <s v="New York Eastern District Court"/>
    <s v="04/28/2017"/>
    <s v="06/27/2017"/>
    <x v="208"/>
    <s v="Individual"/>
    <x v="206"/>
    <m/>
    <s v="HFXAX.4.b"/>
    <m/>
    <m/>
    <m/>
    <m/>
    <x v="32"/>
    <s v="Contested"/>
    <s v="G-Ind"/>
    <x v="0"/>
  </r>
  <r>
    <x v="41"/>
    <s v="HFXAX"/>
    <s v="New York Eastern District Court"/>
    <s v="04/28/2017"/>
    <s v="06/27/2017"/>
    <x v="209"/>
    <s v="Individual"/>
    <x v="207"/>
    <m/>
    <s v="HFXAX.4.c"/>
    <m/>
    <m/>
    <m/>
    <m/>
    <x v="32"/>
    <s v="Contested"/>
    <s v="G-Ind"/>
    <x v="0"/>
  </r>
  <r>
    <x v="41"/>
    <s v="HFXAX"/>
    <s v="New York Eastern District Court"/>
    <s v="04/28/2017"/>
    <s v="06/27/2017"/>
    <x v="210"/>
    <s v="Individual"/>
    <x v="208"/>
    <m/>
    <s v="HFXAX.4.d"/>
    <m/>
    <m/>
    <m/>
    <m/>
    <x v="32"/>
    <s v="Contested"/>
    <s v="G-Ind"/>
    <x v="0"/>
  </r>
  <r>
    <x v="41"/>
    <s v="HFXAX"/>
    <s v="New York Eastern District Court"/>
    <s v="04/28/2017"/>
    <s v="06/27/2017"/>
    <x v="211"/>
    <s v="Individual"/>
    <x v="209"/>
    <m/>
    <s v="HFXAX.4.e"/>
    <m/>
    <m/>
    <m/>
    <m/>
    <x v="32"/>
    <s v="Contested"/>
    <s v="G-Ind"/>
    <x v="0"/>
  </r>
  <r>
    <x v="42"/>
    <s v="CAT"/>
    <s v="Illinois Northern District Court"/>
    <s v="03/03/2017"/>
    <s v="05/02/2017"/>
    <x v="212"/>
    <s v="Institution"/>
    <x v="210"/>
    <s v="LIFO"/>
    <s v="CAT.1"/>
    <n v="2"/>
    <n v="1"/>
    <n v="990918.58"/>
    <n v="0.28311959428571432"/>
    <x v="88"/>
    <s v="Contested"/>
    <s v="Ins"/>
    <x v="1"/>
  </r>
  <r>
    <x v="42"/>
    <s v="CAT"/>
    <s v="Illinois Northern District Court"/>
    <s v="03/03/2017"/>
    <s v="05/02/2017"/>
    <x v="213"/>
    <s v="Individual"/>
    <x v="211"/>
    <m/>
    <s v="CAT.2.a"/>
    <m/>
    <n v="3"/>
    <n v="1643"/>
    <n v="4.6942857142857143E-4"/>
    <x v="89"/>
    <s v="Contested"/>
    <s v="G-Ind"/>
    <x v="0"/>
  </r>
  <r>
    <x v="42"/>
    <s v="CAT"/>
    <s v="Illinois Northern District Court"/>
    <s v="03/03/2017"/>
    <s v="05/02/2017"/>
    <x v="214"/>
    <s v="Individual"/>
    <x v="212"/>
    <m/>
    <s v="CAT.2.b"/>
    <m/>
    <m/>
    <m/>
    <m/>
    <x v="89"/>
    <s v="Contested"/>
    <s v="G-Ind"/>
    <x v="0"/>
  </r>
  <r>
    <x v="42"/>
    <s v="CAT"/>
    <s v="Illinois Northern District Court"/>
    <s v="03/03/2017"/>
    <s v="05/02/2017"/>
    <x v="215"/>
    <s v="Individual"/>
    <x v="213"/>
    <m/>
    <s v="CAT.2.c"/>
    <m/>
    <m/>
    <m/>
    <m/>
    <x v="89"/>
    <s v="Contested"/>
    <s v="G-Ind"/>
    <x v="0"/>
  </r>
  <r>
    <x v="43"/>
    <s v="CBL"/>
    <s v="Tennessee Eastern District Court"/>
    <s v="05/27/2016"/>
    <s v="07/26/2016"/>
    <x v="216"/>
    <s v="Institution"/>
    <x v="214"/>
    <s v="FIFO"/>
    <s v="CBL.1"/>
    <n v="6"/>
    <n v="1"/>
    <n v="6373736.3899999997"/>
    <n v="4.9028741461538461"/>
    <x v="90"/>
    <s v="Contested"/>
    <s v="Ins"/>
    <x v="0"/>
  </r>
  <r>
    <x v="43"/>
    <s v="CBL"/>
    <s v="Tennessee Eastern District Court"/>
    <s v="05/27/2016"/>
    <s v="07/26/2016"/>
    <x v="217"/>
    <s v="Institution"/>
    <x v="215"/>
    <s v="FIFO"/>
    <s v="CBL.2.a"/>
    <m/>
    <n v="2"/>
    <n v="412232.20999999996"/>
    <n v="0.31710169999999993"/>
    <x v="91"/>
    <s v="Contested"/>
    <s v="G-Ins"/>
    <x v="0"/>
  </r>
  <r>
    <x v="43"/>
    <s v="CBL"/>
    <s v="Tennessee Eastern District Court"/>
    <s v="05/27/2016"/>
    <s v="07/26/2016"/>
    <x v="218"/>
    <s v="Institution"/>
    <x v="216"/>
    <m/>
    <s v="CBL.2.b"/>
    <m/>
    <m/>
    <m/>
    <m/>
    <x v="91"/>
    <s v="Contested"/>
    <s v="G-Ins"/>
    <x v="1"/>
  </r>
  <r>
    <x v="43"/>
    <s v="CBL"/>
    <s v="Tennessee Eastern District Court"/>
    <s v="05/27/2016"/>
    <s v="07/26/2016"/>
    <x v="219"/>
    <s v="Institution"/>
    <x v="217"/>
    <s v="FIFO"/>
    <s v="CBL.3.a"/>
    <m/>
    <n v="2"/>
    <n v="1807523.02"/>
    <n v="1.3904023230769231"/>
    <x v="92"/>
    <s v="Contested"/>
    <s v="G-Ins"/>
    <x v="1"/>
  </r>
  <r>
    <x v="43"/>
    <s v="CBL"/>
    <s v="Tennessee Eastern District Court"/>
    <s v="05/27/2016"/>
    <s v="07/26/2016"/>
    <x v="220"/>
    <s v="Institution"/>
    <x v="218"/>
    <s v="LIFO/FIFO"/>
    <s v="CBL.3.b"/>
    <m/>
    <m/>
    <m/>
    <m/>
    <x v="92"/>
    <s v="Contested"/>
    <s v="G-Ins"/>
    <x v="0"/>
  </r>
  <r>
    <x v="43"/>
    <s v="CBL"/>
    <s v="Tennessee Eastern District Court"/>
    <s v="05/27/2016"/>
    <s v="07/26/2016"/>
    <x v="212"/>
    <s v="Institution"/>
    <x v="219"/>
    <s v="FIFO/LIFO"/>
    <s v="CBL.4"/>
    <m/>
    <n v="1"/>
    <n v="4124236.12"/>
    <n v="3.1724893230769236"/>
    <x v="93"/>
    <s v="Contested"/>
    <s v="Ins"/>
    <x v="1"/>
  </r>
  <r>
    <x v="43"/>
    <s v="CBL"/>
    <s v="Tennessee Eastern District Court"/>
    <s v="05/27/2016"/>
    <s v="07/26/2016"/>
    <x v="221"/>
    <s v="Individual"/>
    <x v="220"/>
    <m/>
    <s v="CBL.5"/>
    <m/>
    <n v="1"/>
    <n v="189645"/>
    <n v="0.14588076923076923"/>
    <x v="94"/>
    <s v="Contested"/>
    <s v="Ind"/>
    <x v="0"/>
  </r>
  <r>
    <x v="43"/>
    <s v="CBL"/>
    <s v="Tennessee Eastern District Court"/>
    <s v="05/27/2016"/>
    <s v="07/26/2016"/>
    <x v="222"/>
    <s v="Institution"/>
    <x v="221"/>
    <s v="FIFO"/>
    <s v="CBL.6"/>
    <m/>
    <n v="1"/>
    <n v="2953426.02"/>
    <n v="2.2718661692307691"/>
    <x v="95"/>
    <s v="Contested"/>
    <s v="Ins"/>
    <x v="1"/>
  </r>
  <r>
    <x v="44"/>
    <s v="CGI "/>
    <s v="New York Southern District Court"/>
    <s v="04/19/2017"/>
    <s v="06/19/2017"/>
    <x v="223"/>
    <s v="Individual"/>
    <x v="222"/>
    <s v="FIFO"/>
    <s v="CGI.1"/>
    <n v="4"/>
    <n v="1"/>
    <n v="465142.93"/>
    <n v="3.1009528666666668"/>
    <x v="96"/>
    <s v="Contested"/>
    <s v="Ind"/>
    <x v="0"/>
  </r>
  <r>
    <x v="44"/>
    <s v="CGI "/>
    <s v="New York Southern District Court"/>
    <s v="04/19/2017"/>
    <s v="06/19/2017"/>
    <x v="224"/>
    <s v="Institution"/>
    <x v="223"/>
    <s v="LIFO"/>
    <s v="CGI.2.a"/>
    <m/>
    <n v="2"/>
    <n v="1073467.54"/>
    <n v="7.1564502666666669"/>
    <x v="70"/>
    <s v="Contested"/>
    <s v="G-Ins"/>
    <x v="1"/>
  </r>
  <r>
    <x v="44"/>
    <s v="CGI "/>
    <s v="New York Southern District Court"/>
    <s v="04/19/2017"/>
    <s v="06/19/2017"/>
    <x v="2"/>
    <s v="Institution"/>
    <x v="224"/>
    <s v="LIFO"/>
    <s v="CGI.2.b"/>
    <m/>
    <m/>
    <m/>
    <m/>
    <x v="70"/>
    <s v="Contested"/>
    <s v="G-Ins"/>
    <x v="1"/>
  </r>
  <r>
    <x v="44"/>
    <s v="CGI "/>
    <s v="New York Southern District Court"/>
    <s v="04/19/2017"/>
    <s v="06/19/2017"/>
    <x v="225"/>
    <s v="Individual"/>
    <x v="225"/>
    <m/>
    <s v="CGI.3"/>
    <m/>
    <n v="1"/>
    <n v="53496"/>
    <n v="0.35664000000000001"/>
    <x v="10"/>
    <s v="Contested"/>
    <s v="Ind"/>
    <x v="0"/>
  </r>
  <r>
    <x v="44"/>
    <s v="CGI "/>
    <s v="New York Southern District Court"/>
    <s v="04/19/2017"/>
    <s v="06/19/2017"/>
    <x v="226"/>
    <s v="Individual"/>
    <x v="226"/>
    <m/>
    <s v="CGI.4"/>
    <m/>
    <n v="1"/>
    <n v="53415"/>
    <n v="0.35609999999999997"/>
    <x v="97"/>
    <s v="Contested"/>
    <s v="Ind"/>
    <x v="0"/>
  </r>
  <r>
    <x v="45"/>
    <s v="CEMP"/>
    <s v="North Carolina Middle District Court"/>
    <s v="11/04/2016"/>
    <s v="01/03/2017"/>
    <x v="227"/>
    <s v="Individual"/>
    <x v="227"/>
    <m/>
    <s v="CEMP.1.a"/>
    <n v="5"/>
    <n v="1"/>
    <n v="1359649"/>
    <n v="0.5438596"/>
    <x v="98"/>
    <s v="Contested"/>
    <s v="G-Ind"/>
    <x v="0"/>
  </r>
  <r>
    <x v="45"/>
    <s v="CEMP"/>
    <s v="North Carolina Middle District Court"/>
    <s v="11/04/2016"/>
    <s v="01/03/2017"/>
    <x v="228"/>
    <s v="Individual"/>
    <x v="228"/>
    <m/>
    <s v="CEMP.1.b"/>
    <m/>
    <m/>
    <m/>
    <m/>
    <x v="98"/>
    <s v="Contested"/>
    <s v="G-Ind"/>
    <x v="0"/>
  </r>
  <r>
    <x v="45"/>
    <s v="CEMP"/>
    <s v="North Carolina Middle District Court"/>
    <s v="11/04/2016"/>
    <s v="01/03/2017"/>
    <x v="229"/>
    <s v="Individual"/>
    <x v="229"/>
    <m/>
    <s v="CEMP.1.c"/>
    <m/>
    <m/>
    <m/>
    <m/>
    <x v="98"/>
    <s v="Contested"/>
    <s v="G-Ind"/>
    <x v="0"/>
  </r>
  <r>
    <x v="45"/>
    <s v="CEMP"/>
    <s v="North Carolina Middle District Court"/>
    <s v="11/04/2016"/>
    <s v="01/03/2017"/>
    <x v="230"/>
    <s v="Individual"/>
    <x v="230"/>
    <m/>
    <s v="CEMP.1.d"/>
    <m/>
    <m/>
    <m/>
    <m/>
    <x v="98"/>
    <s v="Contested"/>
    <s v="G-Ind"/>
    <x v="0"/>
  </r>
  <r>
    <x v="45"/>
    <s v="CEMP"/>
    <s v="North Carolina Middle District Court"/>
    <s v="11/04/2016"/>
    <s v="01/03/2017"/>
    <x v="231"/>
    <s v="Individual"/>
    <x v="231"/>
    <m/>
    <s v="CEMP.1.e"/>
    <m/>
    <m/>
    <m/>
    <m/>
    <x v="98"/>
    <s v="Contested"/>
    <s v="G-Ind"/>
    <x v="0"/>
  </r>
  <r>
    <x v="45"/>
    <s v="CEMP"/>
    <s v="North Carolina Middle District Court"/>
    <s v="11/04/2016"/>
    <s v="01/03/2017"/>
    <x v="232"/>
    <s v="Institution"/>
    <x v="232"/>
    <m/>
    <s v="CEMP.2"/>
    <m/>
    <n v="1"/>
    <n v="794296"/>
    <n v="0.31771840000000001"/>
    <x v="99"/>
    <s v="Contested"/>
    <s v="Ins"/>
    <x v="0"/>
  </r>
  <r>
    <x v="45"/>
    <s v="CEMP"/>
    <s v="North Carolina Middle District Court"/>
    <s v="11/04/2016"/>
    <s v="01/03/2017"/>
    <x v="233"/>
    <s v="Individual"/>
    <x v="233"/>
    <m/>
    <s v="CEMP.3.a"/>
    <m/>
    <n v="3"/>
    <n v="227565.14"/>
    <n v="9.1026056000000008E-2"/>
    <x v="100"/>
    <s v="Contested"/>
    <s v="G-Ind"/>
    <x v="0"/>
  </r>
  <r>
    <x v="45"/>
    <s v="CEMP"/>
    <s v="North Carolina Middle District Court"/>
    <s v="11/04/2016"/>
    <s v="01/03/2017"/>
    <x v="234"/>
    <s v="Individual"/>
    <x v="234"/>
    <m/>
    <s v="CEMP.3.b"/>
    <m/>
    <m/>
    <m/>
    <m/>
    <x v="100"/>
    <s v="Contested"/>
    <s v="G-Ind"/>
    <x v="0"/>
  </r>
  <r>
    <x v="45"/>
    <s v="CEMP"/>
    <s v="North Carolina Middle District Court"/>
    <s v="11/04/2016"/>
    <s v="01/03/2017"/>
    <x v="235"/>
    <s v="Individual"/>
    <x v="235"/>
    <m/>
    <s v="CEMP.3.c"/>
    <m/>
    <m/>
    <m/>
    <m/>
    <x v="100"/>
    <s v="Contested"/>
    <s v="G-Ind"/>
    <x v="0"/>
  </r>
  <r>
    <x v="45"/>
    <s v="CEMP"/>
    <s v="North Carolina Middle District Court"/>
    <s v="11/04/2016"/>
    <s v="01/03/2017"/>
    <x v="236"/>
    <s v="Individual"/>
    <x v="236"/>
    <s v="Group Total"/>
    <s v="CEMP.4.a"/>
    <m/>
    <n v="2"/>
    <n v="1411034.5"/>
    <n v="0.56441379999999997"/>
    <x v="101"/>
    <s v="Contested"/>
    <s v="G-Ind"/>
    <x v="0"/>
  </r>
  <r>
    <x v="45"/>
    <s v="CEMP"/>
    <s v="North Carolina Middle District Court"/>
    <s v="11/04/2016"/>
    <s v="01/03/2017"/>
    <x v="237"/>
    <s v="Individual"/>
    <x v="237"/>
    <m/>
    <s v="CEMP.4.b"/>
    <m/>
    <m/>
    <m/>
    <m/>
    <x v="101"/>
    <s v="Contested"/>
    <s v="G-Ind"/>
    <x v="0"/>
  </r>
  <r>
    <x v="45"/>
    <s v="CEMP"/>
    <s v="North Carolina Middle District Court"/>
    <s v="11/04/2016"/>
    <s v="01/03/2017"/>
    <x v="238"/>
    <s v="Individual"/>
    <x v="238"/>
    <s v="LIFO"/>
    <s v="CEMP.5.a"/>
    <m/>
    <n v="4"/>
    <n v="1163350.75"/>
    <n v="0.46534030000000004"/>
    <x v="102"/>
    <s v="Contested"/>
    <s v="G-Mix"/>
    <x v="0"/>
  </r>
  <r>
    <x v="45"/>
    <s v="CEMP"/>
    <s v="North Carolina Middle District Court"/>
    <s v="11/04/2016"/>
    <s v="01/03/2017"/>
    <x v="239"/>
    <s v="Institution"/>
    <x v="239"/>
    <s v="LIFO"/>
    <s v="CEMP.5.b"/>
    <m/>
    <m/>
    <m/>
    <m/>
    <x v="102"/>
    <s v="Contested"/>
    <s v="G-Mix"/>
    <x v="1"/>
  </r>
  <r>
    <x v="45"/>
    <s v="CEMP"/>
    <s v="North Carolina Middle District Court"/>
    <s v="11/04/2016"/>
    <s v="01/03/2017"/>
    <x v="240"/>
    <s v="Individual"/>
    <x v="240"/>
    <s v="LIFO"/>
    <s v="CEMP.5.c"/>
    <m/>
    <m/>
    <m/>
    <m/>
    <x v="102"/>
    <s v="Contested"/>
    <s v="G-Mix"/>
    <x v="0"/>
  </r>
  <r>
    <x v="45"/>
    <s v="CEMP"/>
    <s v="North Carolina Middle District Court"/>
    <s v="11/04/2016"/>
    <s v="01/03/2017"/>
    <x v="241"/>
    <s v="Individual"/>
    <x v="241"/>
    <s v="LIFO"/>
    <s v="CEMP.5.d"/>
    <m/>
    <m/>
    <m/>
    <m/>
    <x v="102"/>
    <s v="Contested"/>
    <s v="G-Mix"/>
    <x v="0"/>
  </r>
  <r>
    <x v="46"/>
    <s v="CETX"/>
    <s v="New York Eastern District Court"/>
    <s v="02/24/2017"/>
    <s v="04/25/2017"/>
    <x v="242"/>
    <s v="Individual"/>
    <x v="242"/>
    <m/>
    <s v="CETX.1"/>
    <n v="4"/>
    <n v="1"/>
    <n v="89964.94"/>
    <n v="2.9988313333333334"/>
    <x v="103"/>
    <s v="Contested"/>
    <s v="G-Ind"/>
    <x v="0"/>
  </r>
  <r>
    <x v="46"/>
    <s v="CETX"/>
    <s v="New York Eastern District Court"/>
    <s v="02/24/2017"/>
    <s v="04/25/2017"/>
    <x v="243"/>
    <s v="Individual"/>
    <x v="243"/>
    <s v="LIFO"/>
    <s v="CETX.2.a"/>
    <m/>
    <n v="5"/>
    <n v="181942.6"/>
    <n v="6.0647533333333339"/>
    <x v="104"/>
    <s v="Contested"/>
    <s v="G-Ind"/>
    <x v="0"/>
  </r>
  <r>
    <x v="46"/>
    <s v="CETX"/>
    <s v="New York Eastern District Court"/>
    <s v="02/24/2017"/>
    <s v="04/25/2017"/>
    <x v="244"/>
    <s v="Individual"/>
    <x v="244"/>
    <s v="LIFO"/>
    <s v="CETX.2.b"/>
    <m/>
    <m/>
    <m/>
    <m/>
    <x v="104"/>
    <s v="Contested"/>
    <s v="G-Ind"/>
    <x v="0"/>
  </r>
  <r>
    <x v="46"/>
    <s v="CETX"/>
    <s v="New York Eastern District Court"/>
    <s v="02/24/2017"/>
    <s v="04/25/2017"/>
    <x v="245"/>
    <s v="Individual"/>
    <x v="245"/>
    <s v="LIFO"/>
    <s v="CETX.2.c"/>
    <m/>
    <m/>
    <m/>
    <m/>
    <x v="104"/>
    <s v="Contested"/>
    <s v="G-Ind"/>
    <x v="0"/>
  </r>
  <r>
    <x v="46"/>
    <s v="CETX"/>
    <s v="New York Eastern District Court"/>
    <s v="02/24/2017"/>
    <s v="04/25/2017"/>
    <x v="246"/>
    <s v="Individual"/>
    <x v="246"/>
    <s v="LIFO"/>
    <s v="CETX.2.d"/>
    <m/>
    <m/>
    <m/>
    <m/>
    <x v="104"/>
    <s v="Contested"/>
    <s v="G-Ind"/>
    <x v="0"/>
  </r>
  <r>
    <x v="46"/>
    <s v="CETX"/>
    <s v="New York Eastern District Court"/>
    <s v="02/24/2017"/>
    <s v="04/25/2017"/>
    <x v="247"/>
    <s v="Individual"/>
    <x v="247"/>
    <s v="LIFO"/>
    <s v="CETX.2.e"/>
    <m/>
    <m/>
    <m/>
    <m/>
    <x v="104"/>
    <s v="Contested"/>
    <s v="G-Ind"/>
    <x v="0"/>
  </r>
  <r>
    <x v="46"/>
    <s v="CETX"/>
    <s v="New York Eastern District Court"/>
    <s v="02/24/2017"/>
    <s v="04/25/2017"/>
    <x v="248"/>
    <s v="Individual"/>
    <x v="248"/>
    <s v="FIFO/LIFO"/>
    <s v="CETX.3"/>
    <m/>
    <n v="1"/>
    <n v="33300"/>
    <n v="1.1100000000000001"/>
    <x v="105"/>
    <s v="Contested"/>
    <s v="Ind"/>
    <x v="0"/>
  </r>
  <r>
    <x v="46"/>
    <s v="CETX"/>
    <s v="New York Eastern District Court"/>
    <s v="02/24/2017"/>
    <s v="04/25/2017"/>
    <x v="249"/>
    <s v="Individual"/>
    <x v="249"/>
    <m/>
    <s v="CETX.4.a"/>
    <m/>
    <n v="5"/>
    <n v="139022.17000000001"/>
    <n v="4.634072333333334"/>
    <x v="49"/>
    <s v="Contested"/>
    <s v="G-Ind"/>
    <x v="0"/>
  </r>
  <r>
    <x v="46"/>
    <s v="CETX"/>
    <s v="New York Eastern District Court"/>
    <s v="02/24/2017"/>
    <s v="04/25/2017"/>
    <x v="250"/>
    <s v="Individual"/>
    <x v="250"/>
    <m/>
    <s v="CETX.4.b"/>
    <m/>
    <m/>
    <m/>
    <m/>
    <x v="49"/>
    <s v="Contested"/>
    <s v="G-Ind"/>
    <x v="0"/>
  </r>
  <r>
    <x v="46"/>
    <s v="CETX"/>
    <s v="New York Eastern District Court"/>
    <s v="02/24/2017"/>
    <s v="04/25/2017"/>
    <x v="251"/>
    <s v="Individual"/>
    <x v="251"/>
    <m/>
    <s v="CETX.4.c"/>
    <m/>
    <m/>
    <m/>
    <m/>
    <x v="49"/>
    <s v="Contested"/>
    <s v="G-Ind"/>
    <x v="0"/>
  </r>
  <r>
    <x v="46"/>
    <s v="CETX"/>
    <s v="New York Eastern District Court"/>
    <s v="02/24/2017"/>
    <s v="04/25/2017"/>
    <x v="252"/>
    <s v="Individual"/>
    <x v="246"/>
    <m/>
    <s v="CETX.4.d"/>
    <m/>
    <m/>
    <m/>
    <m/>
    <x v="49"/>
    <s v="Contested"/>
    <s v="G-Ind"/>
    <x v="0"/>
  </r>
  <r>
    <x v="46"/>
    <s v="CETX"/>
    <s v="New York Eastern District Court"/>
    <s v="02/24/2017"/>
    <s v="04/25/2017"/>
    <x v="253"/>
    <s v="Individual"/>
    <x v="252"/>
    <m/>
    <s v="CETX.4.e"/>
    <m/>
    <m/>
    <m/>
    <m/>
    <x v="49"/>
    <s v="Contested"/>
    <s v="G-Ind"/>
    <x v="0"/>
  </r>
  <r>
    <x v="47"/>
    <s v="CNC"/>
    <s v="Missouri Eastern District Court"/>
    <s v="11/14/2016"/>
    <s v="01/13/2017"/>
    <x v="254"/>
    <s v="Institution"/>
    <x v="253"/>
    <s v="LIFO"/>
    <s v="CNC.1"/>
    <n v="4"/>
    <n v="1"/>
    <n v="198570.14"/>
    <n v="3.3095023333333334E-2"/>
    <x v="84"/>
    <s v="Contested"/>
    <s v="Ins"/>
    <x v="1"/>
  </r>
  <r>
    <x v="47"/>
    <s v="CNC"/>
    <s v="Missouri Eastern District Court"/>
    <s v="11/14/2016"/>
    <s v="01/13/2017"/>
    <x v="255"/>
    <s v="Individual"/>
    <x v="254"/>
    <m/>
    <s v="CNC.2"/>
    <m/>
    <n v="1"/>
    <n v="8850.6200000000008"/>
    <n v="1.4751033333333336E-3"/>
    <x v="1"/>
    <s v="Contested"/>
    <s v="Ind"/>
    <x v="0"/>
  </r>
  <r>
    <x v="47"/>
    <s v="CNC"/>
    <s v="Missouri Eastern District Court"/>
    <s v="11/14/2016"/>
    <s v="01/13/2017"/>
    <x v="256"/>
    <s v="Individual"/>
    <x v="255"/>
    <m/>
    <s v="CNC.3.a"/>
    <m/>
    <n v="2"/>
    <n v="2214"/>
    <n v="3.6899999999999997E-4"/>
    <x v="106"/>
    <s v="Contested"/>
    <s v="G-Ind"/>
    <x v="0"/>
  </r>
  <r>
    <x v="47"/>
    <s v="CNC"/>
    <s v="Missouri Eastern District Court"/>
    <s v="11/14/2016"/>
    <s v="01/13/2017"/>
    <x v="257"/>
    <s v="Individual"/>
    <x v="256"/>
    <m/>
    <s v="CNC.3.b"/>
    <m/>
    <m/>
    <m/>
    <m/>
    <x v="106"/>
    <s v="Contested"/>
    <s v="G-Ind"/>
    <x v="0"/>
  </r>
  <r>
    <x v="47"/>
    <s v="CNC"/>
    <s v="Missouri Eastern District Court"/>
    <s v="11/14/2016"/>
    <s v="01/13/2017"/>
    <x v="258"/>
    <s v="Institution"/>
    <x v="257"/>
    <m/>
    <s v="CNC.4"/>
    <m/>
    <n v="1"/>
    <n v="45468.86"/>
    <n v="7.5781433333333339E-3"/>
    <x v="46"/>
    <s v="Contested"/>
    <s v="Ins"/>
    <x v="1"/>
  </r>
  <r>
    <x v="48"/>
    <s v="SCHW"/>
    <s v="California Northern District Court"/>
    <s v="07/13/2016"/>
    <s v="09/16/2016"/>
    <x v="259"/>
    <s v="Individual"/>
    <x v="258"/>
    <m/>
    <s v="SCHW.1.a"/>
    <n v="2"/>
    <n v="2"/>
    <n v="0"/>
    <n v="0"/>
    <x v="107"/>
    <s v="Contested"/>
    <s v="G-Ind"/>
    <x v="0"/>
  </r>
  <r>
    <x v="48"/>
    <s v="SCHW"/>
    <s v="California Northern District Court"/>
    <s v="07/13/2016"/>
    <s v="09/16/2016"/>
    <x v="260"/>
    <s v="Individual"/>
    <x v="258"/>
    <m/>
    <s v="SCHW.1.b"/>
    <m/>
    <m/>
    <m/>
    <m/>
    <x v="107"/>
    <s v="Contested"/>
    <s v="G-Ind"/>
    <x v="0"/>
  </r>
  <r>
    <x v="48"/>
    <s v="SCHW"/>
    <s v="California Northern District Court"/>
    <s v="07/13/2016"/>
    <s v="09/16/2016"/>
    <x v="261"/>
    <s v="Individual"/>
    <x v="258"/>
    <m/>
    <s v="SCHW.2"/>
    <m/>
    <n v="1"/>
    <s v="OMIT"/>
    <e v="#VALUE!"/>
    <x v="10"/>
    <s v="Contested"/>
    <s v="Ind"/>
    <x v="0"/>
  </r>
  <r>
    <x v="49"/>
    <s v="CKP"/>
    <s v="New Jersey District Court"/>
    <s v="11/11/2015"/>
    <s v="01/11/2016"/>
    <x v="262"/>
    <s v="Individual"/>
    <x v="259"/>
    <m/>
    <s v="CKP.1"/>
    <n v="2"/>
    <n v="1"/>
    <n v="4792.9399999999996"/>
    <n v="1.0197744680851063E-2"/>
    <x v="72"/>
    <s v="Contested"/>
    <s v="Ind"/>
    <x v="0"/>
  </r>
  <r>
    <x v="49"/>
    <s v="CKP"/>
    <s v="New Jersey District Court"/>
    <s v="11/11/2015"/>
    <s v="01/11/2016"/>
    <x v="263"/>
    <s v="Individual"/>
    <x v="260"/>
    <m/>
    <s v="CKP.2"/>
    <m/>
    <n v="1"/>
    <n v="6853.51"/>
    <n v="1.4581936170212766E-2"/>
    <x v="10"/>
    <s v="Contested"/>
    <s v="Ind"/>
    <x v="0"/>
  </r>
  <r>
    <x v="50"/>
    <s v="CHK"/>
    <s v="Oklahoma Western District Court"/>
    <s v="10/04/2016"/>
    <s v="12/05/2016"/>
    <x v="264"/>
    <s v="Individual"/>
    <x v="261"/>
    <s v="FIFO/LIFO"/>
    <s v="CHK.1.a"/>
    <n v="5"/>
    <n v="2"/>
    <n v="455249.25"/>
    <n v="0.25291625000000001"/>
    <x v="108"/>
    <s v="Contested"/>
    <s v="G-Ind"/>
    <x v="0"/>
  </r>
  <r>
    <x v="50"/>
    <s v="CHK"/>
    <s v="Oklahoma Western District Court"/>
    <s v="10/04/2016"/>
    <s v="12/05/2016"/>
    <x v="265"/>
    <s v="Individual"/>
    <x v="262"/>
    <s v="FIFO/LIFO"/>
    <s v="CHK.1.b"/>
    <m/>
    <m/>
    <m/>
    <m/>
    <x v="108"/>
    <s v="Contested"/>
    <s v="G-Ind"/>
    <x v="0"/>
  </r>
  <r>
    <x v="50"/>
    <s v="CHK"/>
    <s v="Oklahoma Western District Court"/>
    <s v="10/04/2016"/>
    <s v="12/05/2016"/>
    <x v="266"/>
    <s v="Individual"/>
    <x v="263"/>
    <m/>
    <s v="CHK.2"/>
    <m/>
    <n v="1"/>
    <n v="65094.04"/>
    <n v="3.6163355555555554E-2"/>
    <x v="109"/>
    <s v="Contested"/>
    <s v="Ind"/>
    <x v="0"/>
  </r>
  <r>
    <x v="50"/>
    <s v="CHK"/>
    <s v="Oklahoma Western District Court"/>
    <s v="10/04/2016"/>
    <s v="12/05/2016"/>
    <x v="267"/>
    <s v="Individual"/>
    <x v="264"/>
    <m/>
    <s v="CHK.3.a"/>
    <m/>
    <n v="3"/>
    <n v="835381"/>
    <n v="0.46410055555555557"/>
    <x v="110"/>
    <s v="Contested"/>
    <s v="G-Ind"/>
    <x v="0"/>
  </r>
  <r>
    <x v="50"/>
    <s v="CHK"/>
    <s v="Oklahoma Western District Court"/>
    <s v="10/04/2016"/>
    <s v="12/05/2016"/>
    <x v="268"/>
    <s v="Individual"/>
    <x v="265"/>
    <m/>
    <s v="CHK.3.b"/>
    <m/>
    <m/>
    <m/>
    <m/>
    <x v="110"/>
    <s v="Contested"/>
    <s v="G-Ind"/>
    <x v="0"/>
  </r>
  <r>
    <x v="50"/>
    <s v="CHK"/>
    <s v="Oklahoma Western District Court"/>
    <s v="10/04/2016"/>
    <s v="12/05/2016"/>
    <x v="269"/>
    <s v="Individual"/>
    <x v="266"/>
    <m/>
    <s v="CHK.3.c"/>
    <m/>
    <m/>
    <m/>
    <m/>
    <x v="110"/>
    <s v="Contested"/>
    <s v="G-Ind"/>
    <x v="0"/>
  </r>
  <r>
    <x v="50"/>
    <s v="CHK"/>
    <s v="Oklahoma Western District Court"/>
    <s v="10/04/2016"/>
    <s v="12/05/2016"/>
    <x v="45"/>
    <s v="Institution"/>
    <x v="267"/>
    <s v="LIFO"/>
    <s v="CHK.4"/>
    <m/>
    <n v="1"/>
    <n v="11577603.26"/>
    <n v="6.4320018111111112"/>
    <x v="111"/>
    <s v="Contested"/>
    <s v="Ins"/>
    <x v="1"/>
  </r>
  <r>
    <x v="50"/>
    <s v="CHK"/>
    <s v="Oklahoma Western District Court"/>
    <s v="10/04/2016"/>
    <s v="12/05/2016"/>
    <x v="270"/>
    <s v="Individual"/>
    <x v="268"/>
    <m/>
    <s v="CHK.5"/>
    <m/>
    <n v="1"/>
    <n v="27330"/>
    <n v="1.5183333333333333E-2"/>
    <x v="112"/>
    <s v="Contested"/>
    <s v="Ind"/>
    <x v="0"/>
  </r>
  <r>
    <x v="51"/>
    <s v="CHMA"/>
    <s v="Massachusetts District Court"/>
    <s v="06/10/2016"/>
    <s v="08/08/2016"/>
    <x v="271"/>
    <s v="Institution"/>
    <x v="269"/>
    <m/>
    <s v="CHMA.1.a"/>
    <n v="3"/>
    <n v="3"/>
    <n v="6120861.5099999998"/>
    <n v="6.8009572333333335"/>
    <x v="113"/>
    <s v="Contested"/>
    <s v="G-Mix"/>
    <x v="0"/>
  </r>
  <r>
    <x v="51"/>
    <s v="CHMA"/>
    <s v="Massachusetts District Court"/>
    <s v="06/10/2016"/>
    <s v="08/08/2016"/>
    <x v="272"/>
    <s v="Individual"/>
    <x v="270"/>
    <m/>
    <s v="CHMA.1.b"/>
    <m/>
    <m/>
    <m/>
    <m/>
    <x v="113"/>
    <s v="Contested"/>
    <s v="G-Mix"/>
    <x v="0"/>
  </r>
  <r>
    <x v="51"/>
    <s v="CHMA"/>
    <s v="Massachusetts District Court"/>
    <s v="06/10/2016"/>
    <s v="08/08/2016"/>
    <x v="273"/>
    <s v="Individual"/>
    <x v="271"/>
    <m/>
    <s v="CHMA.1.c"/>
    <m/>
    <m/>
    <m/>
    <m/>
    <x v="113"/>
    <s v="Contested"/>
    <s v="G-Mix"/>
    <x v="0"/>
  </r>
  <r>
    <x v="51"/>
    <s v="CHMA"/>
    <s v="Massachusetts District Court"/>
    <s v="06/10/2016"/>
    <s v="08/08/2016"/>
    <x v="274"/>
    <s v="Institution"/>
    <x v="272"/>
    <m/>
    <s v="CHMA.2"/>
    <m/>
    <n v="1"/>
    <n v="30025.759999999998"/>
    <n v="3.3361955555555559E-2"/>
    <x v="10"/>
    <s v="Contested"/>
    <s v="Ins"/>
    <x v="0"/>
  </r>
  <r>
    <x v="51"/>
    <s v="CHMA"/>
    <s v="Massachusetts District Court"/>
    <s v="06/10/2016"/>
    <s v="08/08/2016"/>
    <x v="275"/>
    <s v="Individual"/>
    <x v="273"/>
    <m/>
    <s v="CHMA.3.a"/>
    <m/>
    <n v="2"/>
    <n v="69652"/>
    <n v="7.7391111111111119E-2"/>
    <x v="16"/>
    <s v="Contested"/>
    <s v="G-Ind"/>
    <x v="0"/>
  </r>
  <r>
    <x v="51"/>
    <s v="CHMA"/>
    <s v="Massachusetts District Court"/>
    <s v="06/10/2016"/>
    <s v="08/08/2016"/>
    <x v="276"/>
    <s v="Individual"/>
    <x v="274"/>
    <m/>
    <s v="CHMA.3.b"/>
    <m/>
    <m/>
    <m/>
    <m/>
    <x v="16"/>
    <s v="Contested"/>
    <s v="G-Ind"/>
    <x v="1"/>
  </r>
  <r>
    <x v="52"/>
    <s v="CBI"/>
    <s v="New York Southern District Court"/>
    <s v="03/02/2017"/>
    <s v="05/01/2017"/>
    <x v="277"/>
    <s v="Institution"/>
    <x v="275"/>
    <s v="LIFO"/>
    <s v="CBI.6.a"/>
    <n v="6"/>
    <n v="2"/>
    <n v="1661826.21"/>
    <n v="0.19550896588235292"/>
    <x v="114"/>
    <s v="Contested"/>
    <s v="G-Ins"/>
    <x v="0"/>
  </r>
  <r>
    <x v="52"/>
    <s v="CBI"/>
    <s v="New York Southern District Court"/>
    <s v="03/02/2017"/>
    <s v="05/01/2017"/>
    <x v="278"/>
    <s v="Institution"/>
    <x v="276"/>
    <s v="LIFO"/>
    <s v="CBI.6.b"/>
    <m/>
    <m/>
    <m/>
    <m/>
    <x v="114"/>
    <s v="Contested"/>
    <s v="G-Ins"/>
    <x v="1"/>
  </r>
  <r>
    <x v="52"/>
    <s v="CBI"/>
    <s v="New York Southern District Court"/>
    <s v="03/02/2017"/>
    <s v="05/01/2017"/>
    <x v="279"/>
    <s v="Institution"/>
    <x v="277"/>
    <m/>
    <s v="CBI.1"/>
    <m/>
    <n v="1"/>
    <n v="397800.06"/>
    <n v="4.6800007058823527E-2"/>
    <x v="115"/>
    <s v="Contested"/>
    <s v="Ins"/>
    <x v="0"/>
  </r>
  <r>
    <x v="52"/>
    <s v="CBI"/>
    <s v="New York Southern District Court"/>
    <s v="03/02/2017"/>
    <s v="05/01/2017"/>
    <x v="280"/>
    <s v="Institution"/>
    <x v="278"/>
    <m/>
    <s v="CBI.2"/>
    <m/>
    <n v="1"/>
    <n v="850127.1"/>
    <n v="0.10001495294117647"/>
    <x v="116"/>
    <s v="Contested"/>
    <s v="Ins"/>
    <x v="0"/>
  </r>
  <r>
    <x v="52"/>
    <s v="CBI"/>
    <s v="New York Southern District Court"/>
    <s v="03/02/2017"/>
    <s v="05/01/2017"/>
    <x v="281"/>
    <s v="Institution"/>
    <x v="279"/>
    <m/>
    <s v="CBI.3"/>
    <m/>
    <n v="1"/>
    <n v="3076000.83"/>
    <n v="0.36188245058823532"/>
    <x v="44"/>
    <s v="Contested"/>
    <s v="Ins"/>
    <x v="0"/>
  </r>
  <r>
    <x v="52"/>
    <s v="CBI"/>
    <s v="New York Southern District Court"/>
    <s v="03/02/2017"/>
    <s v="05/01/2017"/>
    <x v="282"/>
    <s v="Institution"/>
    <x v="280"/>
    <s v="FIFO/LIFO"/>
    <s v="CBI.4.a"/>
    <m/>
    <n v="2"/>
    <n v="3210612"/>
    <n v="0.37771905882352941"/>
    <x v="106"/>
    <s v="Contested"/>
    <s v="G-Ins"/>
    <x v="1"/>
  </r>
  <r>
    <x v="52"/>
    <s v="CBI"/>
    <s v="New York Southern District Court"/>
    <s v="03/02/2017"/>
    <s v="05/01/2017"/>
    <x v="283"/>
    <s v="Institution"/>
    <x v="281"/>
    <s v="FIFO"/>
    <s v="CBI.4.b"/>
    <m/>
    <m/>
    <m/>
    <m/>
    <x v="106"/>
    <s v="Contested"/>
    <s v="G-Ins"/>
    <x v="1"/>
  </r>
  <r>
    <x v="52"/>
    <s v="CBI"/>
    <s v="New York Southern District Court"/>
    <s v="03/02/2017"/>
    <s v="05/01/2017"/>
    <x v="284"/>
    <s v="Institution"/>
    <x v="282"/>
    <m/>
    <s v="CBI.5.a"/>
    <m/>
    <n v="2"/>
    <n v="2171229.77"/>
    <n v="0.25543879647058826"/>
    <x v="46"/>
    <s v="Contested"/>
    <s v="G-Ins"/>
    <x v="1"/>
  </r>
  <r>
    <x v="52"/>
    <s v="CBI"/>
    <s v="New York Southern District Court"/>
    <s v="03/02/2017"/>
    <s v="05/01/2017"/>
    <x v="285"/>
    <s v="Institution"/>
    <x v="283"/>
    <m/>
    <s v="CBI.5.b"/>
    <m/>
    <m/>
    <m/>
    <m/>
    <x v="46"/>
    <s v="Contested"/>
    <s v="G-Ins"/>
    <x v="1"/>
  </r>
  <r>
    <x v="53"/>
    <s v="CMGE"/>
    <s v="New York Southern District Court"/>
    <s v="06/20/2014"/>
    <s v="05/16/2016"/>
    <x v="286"/>
    <s v="Institution"/>
    <x v="284"/>
    <s v="LIFO"/>
    <s v="CMGE.1.a"/>
    <n v="4"/>
    <n v="2"/>
    <n v="94576.13"/>
    <n v="0.24888455263157894"/>
    <x v="26"/>
    <s v="Contested"/>
    <s v="Ins"/>
    <x v="0"/>
  </r>
  <r>
    <x v="53"/>
    <s v="CMGE"/>
    <s v="New York Southern District Court"/>
    <s v="06/20/2014"/>
    <s v="05/16/2016"/>
    <x v="287"/>
    <s v="Individual"/>
    <x v="285"/>
    <m/>
    <s v="CMGE.1.b"/>
    <m/>
    <m/>
    <m/>
    <m/>
    <x v="103"/>
    <s v="Contested"/>
    <s v="Ind"/>
    <x v="0"/>
  </r>
  <r>
    <x v="53"/>
    <s v="CMGE"/>
    <s v="New York Southern District Court"/>
    <s v="06/20/2014"/>
    <s v="05/16/2016"/>
    <x v="288"/>
    <s v="Individual"/>
    <x v="286"/>
    <m/>
    <s v="CMGE.2"/>
    <m/>
    <n v="1"/>
    <n v="33303.61"/>
    <n v="8.7641078947368417E-2"/>
    <x v="1"/>
    <s v="Contested"/>
    <s v="Ind"/>
    <x v="0"/>
  </r>
  <r>
    <x v="53"/>
    <s v="CMGE"/>
    <s v="New York Southern District Court"/>
    <s v="06/20/2014"/>
    <s v="05/16/2016"/>
    <x v="289"/>
    <s v="Individual"/>
    <x v="287"/>
    <m/>
    <s v="CMGE.3.a"/>
    <m/>
    <n v="4"/>
    <n v="935273"/>
    <n v="2.4612447368421053"/>
    <x v="106"/>
    <s v="Contested"/>
    <s v="G-Ind"/>
    <x v="0"/>
  </r>
  <r>
    <x v="53"/>
    <s v="CMGE"/>
    <s v="New York Southern District Court"/>
    <s v="06/20/2014"/>
    <s v="05/16/2016"/>
    <x v="290"/>
    <s v="Individual"/>
    <x v="288"/>
    <m/>
    <s v="CMGE.3.b"/>
    <m/>
    <m/>
    <m/>
    <m/>
    <x v="106"/>
    <s v="Contested"/>
    <s v="G-Ind"/>
    <x v="0"/>
  </r>
  <r>
    <x v="53"/>
    <s v="CMGE"/>
    <s v="New York Southern District Court"/>
    <s v="06/20/2014"/>
    <s v="05/16/2016"/>
    <x v="291"/>
    <s v="Individual"/>
    <x v="289"/>
    <m/>
    <s v="CMGE.3.c"/>
    <m/>
    <m/>
    <m/>
    <m/>
    <x v="106"/>
    <s v="Contested"/>
    <s v="G-Ind"/>
    <x v="0"/>
  </r>
  <r>
    <x v="53"/>
    <s v="CMGE"/>
    <s v="New York Southern District Court"/>
    <s v="06/20/2014"/>
    <s v="05/16/2016"/>
    <x v="292"/>
    <s v="Individual"/>
    <x v="290"/>
    <m/>
    <s v="CMGE.3.d"/>
    <m/>
    <m/>
    <m/>
    <m/>
    <x v="106"/>
    <s v="Contested"/>
    <s v="G-Ind"/>
    <x v="0"/>
  </r>
  <r>
    <x v="53"/>
    <s v="CMGE"/>
    <s v="New York Southern District Court"/>
    <s v="06/20/2014"/>
    <s v="05/16/2016"/>
    <x v="293"/>
    <s v="Individual"/>
    <x v="291"/>
    <m/>
    <s v="CMGE.4.a"/>
    <m/>
    <n v="3"/>
    <n v="95930.63"/>
    <n v="0.25244902631578947"/>
    <x v="8"/>
    <s v="Contested"/>
    <s v="G-Ind"/>
    <x v="0"/>
  </r>
  <r>
    <x v="53"/>
    <s v="CMGE"/>
    <s v="New York Southern District Court"/>
    <s v="06/20/2014"/>
    <s v="05/16/2016"/>
    <x v="294"/>
    <s v="Individual"/>
    <x v="292"/>
    <m/>
    <s v="CMGE.4.b"/>
    <m/>
    <m/>
    <m/>
    <m/>
    <x v="8"/>
    <s v="Contested"/>
    <s v="G-Ind"/>
    <x v="0"/>
  </r>
  <r>
    <x v="53"/>
    <s v="CMGE"/>
    <s v="New York Southern District Court"/>
    <s v="06/20/2014"/>
    <s v="05/16/2016"/>
    <x v="295"/>
    <s v="Institution"/>
    <x v="284"/>
    <m/>
    <s v="CMGE.4.c"/>
    <m/>
    <m/>
    <m/>
    <m/>
    <x v="8"/>
    <s v="Contested"/>
    <s v="Ins"/>
    <x v="0"/>
  </r>
  <r>
    <x v="54"/>
    <s v="CMG"/>
    <s v="New York Southern District Court"/>
    <s v="01/08/2016"/>
    <s v="03/08/2016"/>
    <x v="2"/>
    <s v="Institution"/>
    <x v="293"/>
    <s v="LIFO"/>
    <s v="CMG.1"/>
    <n v="5"/>
    <n v="1"/>
    <n v="908180.74"/>
    <n v="0.12109076533333334"/>
    <x v="84"/>
    <s v="Contested"/>
    <s v="Ins"/>
    <x v="1"/>
  </r>
  <r>
    <x v="54"/>
    <s v="CMG"/>
    <s v="New York Southern District Court"/>
    <s v="01/08/2016"/>
    <s v="03/08/2016"/>
    <x v="296"/>
    <s v="Institution"/>
    <x v="294"/>
    <s v="LIFO/FIFO"/>
    <s v="CMG.2.a"/>
    <m/>
    <n v="2"/>
    <n v="1636287.96"/>
    <n v="0.21817172799999998"/>
    <x v="117"/>
    <s v="Contested"/>
    <s v="G-Ins"/>
    <x v="1"/>
  </r>
  <r>
    <x v="54"/>
    <s v="CMG"/>
    <s v="New York Southern District Court"/>
    <s v="01/08/2016"/>
    <s v="03/08/2016"/>
    <x v="140"/>
    <s v="Institution"/>
    <x v="295"/>
    <s v="FIFO"/>
    <s v="CMG.2.b"/>
    <m/>
    <m/>
    <m/>
    <m/>
    <x v="117"/>
    <s v="Contested"/>
    <s v="G-Ins"/>
    <x v="1"/>
  </r>
  <r>
    <x v="54"/>
    <s v="CMG"/>
    <s v="New York Southern District Court"/>
    <s v="01/08/2016"/>
    <s v="03/08/2016"/>
    <x v="297"/>
    <s v="Institution"/>
    <x v="296"/>
    <m/>
    <s v="CMG.3.a"/>
    <m/>
    <n v="2"/>
    <n v="2072857.83"/>
    <n v="0.27638104400000002"/>
    <x v="118"/>
    <s v="Contested"/>
    <s v="G-Ins"/>
    <x v="1"/>
  </r>
  <r>
    <x v="54"/>
    <s v="CMG"/>
    <s v="New York Southern District Court"/>
    <s v="01/08/2016"/>
    <s v="03/08/2016"/>
    <x v="154"/>
    <s v="Institution"/>
    <x v="297"/>
    <m/>
    <s v="CMG.3.b"/>
    <m/>
    <m/>
    <m/>
    <m/>
    <x v="118"/>
    <s v="Contested"/>
    <s v="G-Ins"/>
    <x v="1"/>
  </r>
  <r>
    <x v="54"/>
    <s v="CMG"/>
    <s v="New York Southern District Court"/>
    <s v="01/08/2016"/>
    <s v="03/08/2016"/>
    <x v="298"/>
    <s v="Institution"/>
    <x v="298"/>
    <m/>
    <s v="CMG.4.a"/>
    <m/>
    <n v="2"/>
    <n v="379801"/>
    <n v="5.0640133333333337E-2"/>
    <x v="106"/>
    <s v="Contested"/>
    <s v="G-Mix"/>
    <x v="1"/>
  </r>
  <r>
    <x v="54"/>
    <s v="CMG"/>
    <s v="New York Southern District Court"/>
    <s v="01/08/2016"/>
    <s v="03/08/2016"/>
    <x v="299"/>
    <s v="Individual"/>
    <x v="299"/>
    <m/>
    <s v="CMG.4.b"/>
    <m/>
    <m/>
    <m/>
    <m/>
    <x v="106"/>
    <s v="Contested"/>
    <s v="G-Mix"/>
    <x v="0"/>
  </r>
  <r>
    <x v="54"/>
    <s v="CMG"/>
    <s v="New York Southern District Court"/>
    <s v="01/08/2016"/>
    <s v="03/08/2016"/>
    <x v="300"/>
    <s v="Individual"/>
    <x v="300"/>
    <m/>
    <s v="CMG.5"/>
    <m/>
    <n v="1"/>
    <n v="22414.33"/>
    <n v="2.9885773333333337E-3"/>
    <x v="8"/>
    <s v="Contested"/>
    <s v="Ind"/>
    <x v="0"/>
  </r>
  <r>
    <x v="55"/>
    <s v="CI"/>
    <s v="Connecticut District Court"/>
    <s v="02/04/2016"/>
    <s v="04/04/2016"/>
    <x v="301"/>
    <s v="Individual"/>
    <x v="301"/>
    <s v="LIFO"/>
    <s v="CI.1"/>
    <n v="2"/>
    <n v="1"/>
    <n v="255988.21"/>
    <n v="5.1197642000000002E-2"/>
    <x v="119"/>
    <s v="Contested"/>
    <s v="Ind"/>
    <x v="0"/>
  </r>
  <r>
    <x v="55"/>
    <s v="CI"/>
    <s v="Connecticut District Court"/>
    <s v="02/04/2016"/>
    <s v="04/04/2016"/>
    <x v="302"/>
    <s v="Individual"/>
    <x v="302"/>
    <m/>
    <s v="CI.2.a"/>
    <m/>
    <n v="2"/>
    <n v="73647"/>
    <n v="1.4729399999999998E-2"/>
    <x v="106"/>
    <s v="Contested"/>
    <s v="G-Ind"/>
    <x v="0"/>
  </r>
  <r>
    <x v="55"/>
    <s v="CI"/>
    <s v="Connecticut District Court"/>
    <s v="02/04/2016"/>
    <s v="04/04/2016"/>
    <x v="303"/>
    <s v="Individual"/>
    <x v="303"/>
    <m/>
    <s v="CI.2.b"/>
    <m/>
    <m/>
    <m/>
    <m/>
    <x v="106"/>
    <s v="Contested"/>
    <s v="G-Ind"/>
    <x v="0"/>
  </r>
  <r>
    <x v="56"/>
    <s v="CFG"/>
    <s v="New York Southern District Court"/>
    <s v="04/25/2017"/>
    <s v="06/26/2017"/>
    <x v="304"/>
    <s v="Individual"/>
    <x v="304"/>
    <m/>
    <s v="CFG.1.a"/>
    <n v="2"/>
    <n v="2"/>
    <n v="33083.279999999999"/>
    <n v="4.4111040000000004E-2"/>
    <x v="120"/>
    <s v="Contested"/>
    <s v="G-Ind"/>
    <x v="1"/>
  </r>
  <r>
    <x v="56"/>
    <s v="CFG"/>
    <s v="New York Southern District Court"/>
    <s v="04/25/2017"/>
    <s v="06/26/2017"/>
    <x v="305"/>
    <s v="Individual"/>
    <x v="305"/>
    <m/>
    <s v="CFG.1.b"/>
    <m/>
    <m/>
    <m/>
    <m/>
    <x v="120"/>
    <s v="Contested"/>
    <s v="G-Ind"/>
    <x v="0"/>
  </r>
  <r>
    <x v="56"/>
    <s v="CFG"/>
    <s v="New York Southern District Court"/>
    <s v="04/25/2017"/>
    <s v="06/26/2017"/>
    <x v="304"/>
    <s v="Individual"/>
    <x v="306"/>
    <m/>
    <s v="CFG.2"/>
    <m/>
    <m/>
    <n v="12492"/>
    <n v="1.6656000000000001E-2"/>
    <x v="7"/>
    <s v="Contested"/>
    <s v="Ind"/>
    <x v="1"/>
  </r>
  <r>
    <x v="57"/>
    <s v="CIA"/>
    <s v="Texas Western District Court"/>
    <s v="03/16/2017"/>
    <s v="05/15/2017"/>
    <x v="306"/>
    <s v="Individual"/>
    <x v="307"/>
    <m/>
    <s v="CIA.1.a"/>
    <n v="1"/>
    <n v="2"/>
    <n v="998.92000000000007"/>
    <n v="1.9978400000000004E-2"/>
    <x v="121"/>
    <s v="Uncontested"/>
    <s v="G-Ind"/>
    <x v="0"/>
  </r>
  <r>
    <x v="57"/>
    <s v="CIA"/>
    <s v="Texas Western District Court"/>
    <s v="03/16/2017"/>
    <s v="05/15/2017"/>
    <x v="307"/>
    <s v="Individual"/>
    <x v="308"/>
    <m/>
    <s v="CIA.1.b"/>
    <m/>
    <m/>
    <m/>
    <m/>
    <x v="121"/>
    <s v="Uncontested"/>
    <s v="G-Ind"/>
    <x v="0"/>
  </r>
  <r>
    <x v="58"/>
    <s v="CLVS"/>
    <s v="Colorado District Court"/>
    <s v="11/19/2015"/>
    <s v="01/19/2016"/>
    <x v="308"/>
    <s v="Institution"/>
    <x v="309"/>
    <m/>
    <s v="CLVS.1.a"/>
    <n v="6"/>
    <n v="2"/>
    <n v="13436422.289999999"/>
    <n v="1.5355911188571427"/>
    <x v="122"/>
    <s v="Contested"/>
    <s v="G-Ins"/>
    <x v="0"/>
  </r>
  <r>
    <x v="58"/>
    <s v="CLVS"/>
    <s v="Colorado District Court"/>
    <s v="11/19/2015"/>
    <s v="01/19/2016"/>
    <x v="309"/>
    <s v="Institution"/>
    <x v="310"/>
    <m/>
    <s v="CLVS.1.b"/>
    <m/>
    <m/>
    <m/>
    <m/>
    <x v="122"/>
    <s v="Contested"/>
    <s v="G-Ins"/>
    <x v="0"/>
  </r>
  <r>
    <x v="58"/>
    <s v="CLVS"/>
    <s v="Colorado District Court"/>
    <s v="11/19/2015"/>
    <s v="01/19/2016"/>
    <x v="310"/>
    <s v="Individual"/>
    <x v="311"/>
    <m/>
    <s v="CLVS.2.a"/>
    <m/>
    <n v="3"/>
    <n v="586922.28"/>
    <n v="6.7076832000000003E-2"/>
    <x v="120"/>
    <s v="Contested"/>
    <s v="G-Ind"/>
    <x v="0"/>
  </r>
  <r>
    <x v="58"/>
    <s v="CLVS"/>
    <s v="Colorado District Court"/>
    <s v="11/19/2015"/>
    <s v="01/19/2016"/>
    <x v="311"/>
    <s v="Individual"/>
    <x v="312"/>
    <m/>
    <s v="CLVS.2.b"/>
    <m/>
    <m/>
    <m/>
    <m/>
    <x v="120"/>
    <s v="Contested"/>
    <s v="G-Ind"/>
    <x v="0"/>
  </r>
  <r>
    <x v="58"/>
    <s v="CLVS"/>
    <s v="Colorado District Court"/>
    <s v="11/19/2015"/>
    <s v="01/19/2016"/>
    <x v="312"/>
    <s v="Individual"/>
    <x v="313"/>
    <m/>
    <s v="CLVS.2.c"/>
    <m/>
    <m/>
    <m/>
    <m/>
    <x v="120"/>
    <s v="Contested"/>
    <s v="G-Ind"/>
    <x v="0"/>
  </r>
  <r>
    <x v="58"/>
    <s v="CLVS"/>
    <s v="Colorado District Court"/>
    <s v="11/19/2015"/>
    <s v="01/19/2016"/>
    <x v="313"/>
    <s v="Institution"/>
    <x v="314"/>
    <s v="FIFO/LIFO"/>
    <s v="CLVS.3.a"/>
    <m/>
    <n v="2"/>
    <n v="215507"/>
    <n v="2.4629371428571432E-2"/>
    <x v="123"/>
    <s v="Contested"/>
    <s v="G-Ins"/>
    <x v="0"/>
  </r>
  <r>
    <x v="58"/>
    <s v="CLVS"/>
    <s v="Colorado District Court"/>
    <s v="11/19/2015"/>
    <s v="01/19/2016"/>
    <x v="314"/>
    <s v="Institution"/>
    <x v="315"/>
    <s v="FIFO/LIFO"/>
    <s v="CLVS.3.b"/>
    <m/>
    <m/>
    <m/>
    <m/>
    <x v="123"/>
    <s v="Contested"/>
    <s v="G-Ins"/>
    <x v="0"/>
  </r>
  <r>
    <x v="58"/>
    <s v="CLVS"/>
    <s v="Colorado District Court"/>
    <s v="11/19/2015"/>
    <s v="01/19/2016"/>
    <x v="315"/>
    <s v="Individual"/>
    <x v="316"/>
    <m/>
    <s v="CLVS.4"/>
    <m/>
    <n v="1"/>
    <n v="63167.519999999997"/>
    <n v="7.2191451428571434E-3"/>
    <x v="69"/>
    <s v="Contested"/>
    <s v="G-Ind"/>
    <x v="0"/>
  </r>
  <r>
    <x v="58"/>
    <s v="CLVS"/>
    <s v="Colorado District Court"/>
    <s v="11/19/2015"/>
    <s v="01/19/2016"/>
    <x v="316"/>
    <s v="Individual"/>
    <x v="317"/>
    <s v="LIFO"/>
    <s v="CLVS.5.a"/>
    <m/>
    <n v="2"/>
    <n v="2189260.31"/>
    <n v="0.25020117828571431"/>
    <x v="124"/>
    <s v="Contested"/>
    <s v="G-Ind"/>
    <x v="0"/>
  </r>
  <r>
    <x v="58"/>
    <s v="CLVS"/>
    <s v="Colorado District Court"/>
    <s v="11/19/2015"/>
    <s v="01/19/2016"/>
    <x v="317"/>
    <s v="Individual"/>
    <x v="318"/>
    <s v="LIFO"/>
    <s v="CLVS.5.b"/>
    <m/>
    <m/>
    <m/>
    <m/>
    <x v="124"/>
    <s v="Contested"/>
    <s v="G-Ind"/>
    <x v="0"/>
  </r>
  <r>
    <x v="58"/>
    <s v="CLVS"/>
    <s v="Colorado District Court"/>
    <s v="11/19/2015"/>
    <s v="01/19/2016"/>
    <x v="318"/>
    <s v="Individual"/>
    <x v="319"/>
    <m/>
    <s v="CLVS.6.a"/>
    <m/>
    <n v="2"/>
    <n v="96673"/>
    <n v="1.1048342857142858E-2"/>
    <x v="125"/>
    <s v="Contested"/>
    <s v="G-Ind"/>
    <x v="0"/>
  </r>
  <r>
    <x v="58"/>
    <s v="CLVS"/>
    <s v="Colorado District Court"/>
    <s v="11/19/2015"/>
    <s v="01/19/2016"/>
    <x v="319"/>
    <s v="Individual"/>
    <x v="320"/>
    <m/>
    <s v="CLVS.6.b"/>
    <m/>
    <m/>
    <m/>
    <m/>
    <x v="125"/>
    <s v="Contested"/>
    <s v="G-Ind"/>
    <x v="0"/>
  </r>
  <r>
    <x v="58"/>
    <s v="CLVS"/>
    <s v="Colorado District Court"/>
    <s v="11/19/2015"/>
    <s v="01/19/2016"/>
    <x v="320"/>
    <s v="Individual"/>
    <x v="321"/>
    <m/>
    <s v="CLVS.6.c"/>
    <m/>
    <m/>
    <m/>
    <m/>
    <x v="125"/>
    <s v="Contested"/>
    <s v="G-Ind"/>
    <x v="0"/>
  </r>
  <r>
    <x v="59"/>
    <s v="CNV"/>
    <s v="New York Southern District Court"/>
    <s v="01/20/2016"/>
    <s v="03/21/2016"/>
    <x v="321"/>
    <s v="Individual"/>
    <x v="322"/>
    <m/>
    <s v="CNV.1.a"/>
    <n v="4"/>
    <n v="2"/>
    <n v="1282556.8399999999"/>
    <n v="0.99423010852713167"/>
    <x v="115"/>
    <s v="Contested"/>
    <s v="G-Ind"/>
    <x v="0"/>
  </r>
  <r>
    <x v="59"/>
    <s v="CNV"/>
    <s v="New York Southern District Court"/>
    <s v="01/20/2016"/>
    <s v="03/21/2016"/>
    <x v="322"/>
    <s v="Individual"/>
    <x v="323"/>
    <m/>
    <s v="CNV.1.b"/>
    <m/>
    <m/>
    <m/>
    <m/>
    <x v="115"/>
    <s v="Contested"/>
    <s v="G-Ind"/>
    <x v="0"/>
  </r>
  <r>
    <x v="59"/>
    <s v="CNV"/>
    <s v="New York Southern District Court"/>
    <s v="01/20/2016"/>
    <s v="03/21/2016"/>
    <x v="323"/>
    <s v="Individual"/>
    <x v="324"/>
    <m/>
    <s v="CNV.2"/>
    <m/>
    <n v="1"/>
    <n v="10250.719999999999"/>
    <n v="7.9462945736434101E-3"/>
    <x v="1"/>
    <s v="Contested"/>
    <s v="Ind"/>
    <x v="0"/>
  </r>
  <r>
    <x v="59"/>
    <s v="CNV"/>
    <s v="New York Southern District Court"/>
    <s v="01/20/2016"/>
    <s v="03/21/2016"/>
    <x v="324"/>
    <s v="Individual"/>
    <x v="325"/>
    <m/>
    <s v="CNV.3.a"/>
    <m/>
    <n v="3"/>
    <n v="2233"/>
    <n v="1.7310077519379844E-3"/>
    <x v="106"/>
    <s v="Contested"/>
    <s v="G-Ind"/>
    <x v="0"/>
  </r>
  <r>
    <x v="59"/>
    <s v="CNV"/>
    <s v="New York Southern District Court"/>
    <s v="01/20/2016"/>
    <s v="03/21/2016"/>
    <x v="325"/>
    <s v="Individual"/>
    <x v="326"/>
    <m/>
    <s v="CNV.3.b"/>
    <m/>
    <m/>
    <m/>
    <m/>
    <x v="106"/>
    <s v="Contested"/>
    <s v="G-Ind"/>
    <x v="0"/>
  </r>
  <r>
    <x v="59"/>
    <s v="CNV"/>
    <s v="New York Southern District Court"/>
    <s v="01/20/2016"/>
    <s v="03/21/2016"/>
    <x v="326"/>
    <s v="Individual"/>
    <x v="327"/>
    <m/>
    <s v="CNV.3.c"/>
    <m/>
    <m/>
    <m/>
    <m/>
    <x v="106"/>
    <s v="Contested"/>
    <s v="G-Ind"/>
    <x v="0"/>
  </r>
  <r>
    <x v="59"/>
    <s v="CNV"/>
    <s v="New York Southern District Court"/>
    <s v="01/20/2016"/>
    <s v="03/21/2016"/>
    <x v="327"/>
    <s v="Individual"/>
    <x v="328"/>
    <s v="LIFO"/>
    <s v="CNV.4"/>
    <m/>
    <n v="1"/>
    <n v="62643.93"/>
    <n v="4.8561186046511627E-2"/>
    <x v="20"/>
    <s v="Contested"/>
    <s v="Ind"/>
    <x v="0"/>
  </r>
  <r>
    <x v="60"/>
    <s v="CDRB"/>
    <s v="New York Southern District Court"/>
    <s v="05/10/2016"/>
    <s v="07/11/2016"/>
    <x v="328"/>
    <s v="Individual"/>
    <x v="329"/>
    <m/>
    <s v="CDRB.1"/>
    <n v="4"/>
    <n v="1"/>
    <n v="21647.06"/>
    <n v="0.21647060000000001"/>
    <x v="1"/>
    <s v="Contested"/>
    <s v="Ind"/>
    <x v="0"/>
  </r>
  <r>
    <x v="60"/>
    <s v="CDRB"/>
    <s v="New York Southern District Court"/>
    <s v="05/10/2016"/>
    <s v="07/11/2016"/>
    <x v="329"/>
    <s v="Individual"/>
    <x v="330"/>
    <m/>
    <s v="CDRB.2"/>
    <m/>
    <n v="1"/>
    <n v="69836.25"/>
    <n v="0.6983625"/>
    <x v="10"/>
    <s v="Contested"/>
    <s v="Ind"/>
    <x v="0"/>
  </r>
  <r>
    <x v="60"/>
    <s v="CDRB"/>
    <s v="New York Southern District Court"/>
    <s v="05/10/2016"/>
    <s v="07/11/2016"/>
    <x v="330"/>
    <s v="Individual"/>
    <x v="331"/>
    <m/>
    <s v="CDRB.3.a"/>
    <m/>
    <n v="2"/>
    <n v="97775.32"/>
    <n v="0.97775319999999999"/>
    <x v="126"/>
    <s v="Contested"/>
    <s v="G-Ind"/>
    <x v="0"/>
  </r>
  <r>
    <x v="60"/>
    <s v="CDRB"/>
    <s v="New York Southern District Court"/>
    <s v="05/10/2016"/>
    <s v="07/11/2016"/>
    <x v="331"/>
    <s v="Individual"/>
    <x v="332"/>
    <m/>
    <s v="CDRB.3.b"/>
    <m/>
    <m/>
    <m/>
    <m/>
    <x v="126"/>
    <s v="Contested"/>
    <s v="G-Ind"/>
    <x v="0"/>
  </r>
  <r>
    <x v="60"/>
    <s v="CDRB"/>
    <s v="New York Southern District Court"/>
    <s v="05/10/2016"/>
    <s v="07/11/2016"/>
    <x v="332"/>
    <s v="Individual"/>
    <x v="333"/>
    <m/>
    <s v="CDRB.4"/>
    <m/>
    <n v="1"/>
    <n v="53740.71"/>
    <n v="0.53740710000000003"/>
    <x v="11"/>
    <s v="Contested"/>
    <s v="G-Ind"/>
    <x v="0"/>
  </r>
  <r>
    <x v="61"/>
    <s v="CTSH"/>
    <s v="New Jersey District Court"/>
    <s v="10/05/2016"/>
    <s v="12/05/2016"/>
    <x v="333"/>
    <s v="Institution"/>
    <x v="334"/>
    <s v="FIFO"/>
    <s v="CTSH.1.a"/>
    <n v="5"/>
    <n v="3"/>
    <n v="28241118.580000002"/>
    <n v="1.4120559290000001"/>
    <x v="127"/>
    <s v="Contested"/>
    <s v="G-Ins"/>
    <x v="0"/>
  </r>
  <r>
    <x v="61"/>
    <s v="CTSH"/>
    <s v="New Jersey District Court"/>
    <s v="10/05/2016"/>
    <s v="12/05/2016"/>
    <x v="51"/>
    <s v="Institution"/>
    <x v="335"/>
    <s v="FIFO"/>
    <s v="CTSH.1.b"/>
    <m/>
    <m/>
    <m/>
    <m/>
    <x v="127"/>
    <s v="Contested"/>
    <s v="G-Ins"/>
    <x v="1"/>
  </r>
  <r>
    <x v="61"/>
    <s v="CTSH"/>
    <s v="New Jersey District Court"/>
    <s v="10/05/2016"/>
    <s v="12/05/2016"/>
    <x v="50"/>
    <s v="Institution"/>
    <x v="336"/>
    <s v="FIFO"/>
    <s v="CTSH.1.c"/>
    <m/>
    <m/>
    <m/>
    <m/>
    <x v="127"/>
    <s v="Contested"/>
    <s v="G-Ins"/>
    <x v="1"/>
  </r>
  <r>
    <x v="61"/>
    <s v="CTSH"/>
    <s v="New Jersey District Court"/>
    <s v="10/05/2016"/>
    <s v="12/05/2016"/>
    <x v="334"/>
    <s v="Individual"/>
    <x v="337"/>
    <s v="LIFO"/>
    <s v="CTSH.2.a"/>
    <m/>
    <n v="2"/>
    <n v="9853"/>
    <n v="4.9264999999999997E-4"/>
    <x v="128"/>
    <s v="Contested"/>
    <s v="G-Ind"/>
    <x v="0"/>
  </r>
  <r>
    <x v="61"/>
    <s v="CTSH"/>
    <s v="New Jersey District Court"/>
    <s v="10/05/2016"/>
    <s v="12/05/2016"/>
    <x v="335"/>
    <s v="Individual"/>
    <x v="338"/>
    <s v="FIFO/LIFO"/>
    <s v="CTSH.2.b"/>
    <m/>
    <m/>
    <m/>
    <m/>
    <x v="128"/>
    <s v="Contested"/>
    <s v="G-Ind"/>
    <x v="0"/>
  </r>
  <r>
    <x v="61"/>
    <s v="CTSH"/>
    <s v="New Jersey District Court"/>
    <s v="10/05/2016"/>
    <s v="12/05/2016"/>
    <x v="336"/>
    <s v="Institution"/>
    <x v="339"/>
    <s v="FIFO"/>
    <s v="CTSH.3"/>
    <m/>
    <n v="1"/>
    <n v="3872591.3"/>
    <n v="0.193629565"/>
    <x v="129"/>
    <s v="Contested"/>
    <s v="Ins"/>
    <x v="0"/>
  </r>
  <r>
    <x v="61"/>
    <s v="CTSH"/>
    <s v="New Jersey District Court"/>
    <s v="10/05/2016"/>
    <s v="12/05/2016"/>
    <x v="337"/>
    <s v="Institution"/>
    <x v="340"/>
    <s v="LIFO"/>
    <s v="CTSH.4"/>
    <m/>
    <n v="1"/>
    <n v="318274.53999999998"/>
    <n v="1.5913726999999999E-2"/>
    <x v="130"/>
    <s v="Contested"/>
    <s v="Ins"/>
    <x v="1"/>
  </r>
  <r>
    <x v="61"/>
    <s v="CTSH"/>
    <s v="New Jersey District Court"/>
    <s v="10/05/2016"/>
    <s v="12/05/2016"/>
    <x v="338"/>
    <s v="Individual"/>
    <x v="341"/>
    <m/>
    <s v="CTSH.5.a"/>
    <m/>
    <n v="5"/>
    <n v="10630.01"/>
    <n v="5.3150050000000003E-4"/>
    <x v="131"/>
    <s v="Contested"/>
    <s v="G-Mix"/>
    <x v="0"/>
  </r>
  <r>
    <x v="61"/>
    <s v="CTSH"/>
    <s v="New Jersey District Court"/>
    <s v="10/05/2016"/>
    <s v="12/05/2016"/>
    <x v="339"/>
    <s v="Individual"/>
    <x v="342"/>
    <m/>
    <s v="CTSH.5.b"/>
    <m/>
    <m/>
    <m/>
    <m/>
    <x v="131"/>
    <s v="Contested"/>
    <s v="G-Mix"/>
    <x v="0"/>
  </r>
  <r>
    <x v="61"/>
    <s v="CTSH"/>
    <s v="New Jersey District Court"/>
    <s v="10/05/2016"/>
    <s v="12/05/2016"/>
    <x v="340"/>
    <s v="Individual"/>
    <x v="343"/>
    <m/>
    <s v="CTSH.5.c"/>
    <m/>
    <m/>
    <m/>
    <m/>
    <x v="131"/>
    <s v="Contested"/>
    <s v="G-Mix"/>
    <x v="0"/>
  </r>
  <r>
    <x v="61"/>
    <s v="CTSH"/>
    <s v="New Jersey District Court"/>
    <s v="10/05/2016"/>
    <s v="12/05/2016"/>
    <x v="341"/>
    <s v="Individual"/>
    <x v="344"/>
    <m/>
    <s v="CTSH.5.d"/>
    <m/>
    <m/>
    <m/>
    <m/>
    <x v="131"/>
    <s v="Contested"/>
    <s v="G-Mix"/>
    <x v="0"/>
  </r>
  <r>
    <x v="61"/>
    <s v="CTSH"/>
    <s v="New Jersey District Court"/>
    <s v="10/05/2016"/>
    <s v="12/05/2016"/>
    <x v="342"/>
    <s v="Institution"/>
    <x v="345"/>
    <m/>
    <s v="CTSH.5.e"/>
    <m/>
    <m/>
    <m/>
    <m/>
    <x v="131"/>
    <s v="Contested"/>
    <s v="G-Mix"/>
    <x v="0"/>
  </r>
  <r>
    <x v="62"/>
    <s v="SCOR"/>
    <s v="New York Southern District Court"/>
    <s v="03/10/2016"/>
    <s v="05/09/2016"/>
    <x v="343"/>
    <s v="Institution"/>
    <x v="346"/>
    <s v="FIFO"/>
    <s v="SCOR.1.a"/>
    <n v="5"/>
    <n v="3"/>
    <n v="673282.79999999993"/>
    <n v="0.19236651428571427"/>
    <x v="84"/>
    <s v="Contested"/>
    <s v="G-Ins"/>
    <x v="0"/>
  </r>
  <r>
    <x v="62"/>
    <s v="SCOR"/>
    <s v="New York Southern District Court"/>
    <s v="03/10/2016"/>
    <s v="05/09/2016"/>
    <x v="44"/>
    <s v="Institution"/>
    <x v="347"/>
    <s v="FIFO/LIFO"/>
    <s v="SCOR.1.b"/>
    <m/>
    <m/>
    <m/>
    <m/>
    <x v="84"/>
    <s v="Contested"/>
    <s v="G-Ins"/>
    <x v="1"/>
  </r>
  <r>
    <x v="62"/>
    <s v="SCOR"/>
    <s v="New York Southern District Court"/>
    <s v="03/10/2016"/>
    <s v="05/09/2016"/>
    <x v="344"/>
    <s v="Individual"/>
    <x v="348"/>
    <m/>
    <s v="SCOR.1.c"/>
    <m/>
    <m/>
    <m/>
    <m/>
    <x v="132"/>
    <s v="Contested"/>
    <s v="Ind"/>
    <x v="0"/>
  </r>
  <r>
    <x v="62"/>
    <s v="SCOR"/>
    <s v="New York Southern District Court"/>
    <s v="03/10/2016"/>
    <s v="05/09/2016"/>
    <x v="345"/>
    <s v="Individual"/>
    <x v="349"/>
    <m/>
    <s v="SCOR.2"/>
    <m/>
    <n v="1"/>
    <n v="60107.13"/>
    <n v="1.7173465714285713E-2"/>
    <x v="1"/>
    <s v="Contested"/>
    <s v="Ind"/>
    <x v="0"/>
  </r>
  <r>
    <x v="62"/>
    <s v="SCOR"/>
    <s v="New York Southern District Court"/>
    <s v="03/10/2016"/>
    <s v="05/09/2016"/>
    <x v="346"/>
    <s v="Individual"/>
    <x v="350"/>
    <s v="FIFO/LIFO"/>
    <s v="SCOR.3"/>
    <m/>
    <n v="1"/>
    <n v="298963.78999999998"/>
    <n v="8.5418225714285714E-2"/>
    <x v="133"/>
    <s v="Contested"/>
    <s v="Ind"/>
    <x v="0"/>
  </r>
  <r>
    <x v="62"/>
    <s v="SCOR"/>
    <s v="New York Southern District Court"/>
    <s v="03/10/2016"/>
    <s v="05/09/2016"/>
    <x v="137"/>
    <s v="Institution"/>
    <x v="351"/>
    <m/>
    <s v="SCOR.4"/>
    <m/>
    <n v="1"/>
    <n v="72196.53"/>
    <n v="2.062758E-2"/>
    <x v="67"/>
    <s v="Contested"/>
    <s v="Ins"/>
    <x v="1"/>
  </r>
  <r>
    <x v="62"/>
    <s v="SCOR"/>
    <s v="New York Southern District Court"/>
    <s v="03/10/2016"/>
    <s v="05/09/2016"/>
    <x v="347"/>
    <s v="Individual"/>
    <x v="352"/>
    <m/>
    <s v="SCOR.5"/>
    <m/>
    <n v="1"/>
    <n v="22621.65"/>
    <n v="6.463328571428572E-3"/>
    <x v="8"/>
    <s v="Contested"/>
    <s v="Ind"/>
    <x v="0"/>
  </r>
  <r>
    <x v="63"/>
    <s v="CXR"/>
    <s v="New York Southern District Court"/>
    <s v="08/15/2016"/>
    <s v="10/14/2016"/>
    <x v="348"/>
    <s v="Individual"/>
    <x v="353"/>
    <m/>
    <s v="CXR.1"/>
    <n v="4"/>
    <n v="1"/>
    <n v="83621.279999999999"/>
    <n v="5.2924860759493667E-2"/>
    <x v="1"/>
    <s v="Contested"/>
    <s v="Ind"/>
    <x v="0"/>
  </r>
  <r>
    <x v="63"/>
    <s v="CXR"/>
    <s v="New York Southern District Court"/>
    <s v="08/15/2016"/>
    <s v="10/14/2016"/>
    <x v="349"/>
    <s v="Individual"/>
    <x v="354"/>
    <m/>
    <s v="CXR.2.a"/>
    <m/>
    <n v="3"/>
    <n v="375146"/>
    <n v="0.23743417721518986"/>
    <x v="56"/>
    <s v="Contested"/>
    <s v="G-Ind"/>
    <x v="0"/>
  </r>
  <r>
    <x v="63"/>
    <s v="CXR"/>
    <s v="New York Southern District Court"/>
    <s v="08/15/2016"/>
    <s v="10/14/2016"/>
    <x v="350"/>
    <s v="Individual"/>
    <x v="355"/>
    <m/>
    <s v="CXR.2.b"/>
    <m/>
    <m/>
    <m/>
    <m/>
    <x v="56"/>
    <s v="Contested"/>
    <s v="G-Ind"/>
    <x v="0"/>
  </r>
  <r>
    <x v="63"/>
    <s v="CXR"/>
    <s v="New York Southern District Court"/>
    <s v="08/15/2016"/>
    <s v="10/14/2016"/>
    <x v="351"/>
    <s v="Individual"/>
    <x v="356"/>
    <m/>
    <s v="CXR.2.c"/>
    <m/>
    <m/>
    <m/>
    <m/>
    <x v="56"/>
    <s v="Contested"/>
    <s v="G-Ind"/>
    <x v="0"/>
  </r>
  <r>
    <x v="63"/>
    <s v="CXR"/>
    <s v="New York Southern District Court"/>
    <s v="08/15/2016"/>
    <s v="10/14/2016"/>
    <x v="352"/>
    <s v="Individual"/>
    <x v="357"/>
    <m/>
    <s v="CXR.3.a"/>
    <m/>
    <n v="2"/>
    <n v="52058.41"/>
    <n v="3.2948360759493672E-2"/>
    <x v="10"/>
    <s v="Contested"/>
    <s v="G-Ind"/>
    <x v="0"/>
  </r>
  <r>
    <x v="63"/>
    <s v="CXR"/>
    <s v="New York Southern District Court"/>
    <s v="08/15/2016"/>
    <s v="10/14/2016"/>
    <x v="353"/>
    <s v="Individual"/>
    <x v="358"/>
    <m/>
    <s v="CXR.3.b"/>
    <m/>
    <m/>
    <m/>
    <m/>
    <x v="10"/>
    <s v="Contested"/>
    <s v="G-Ind"/>
    <x v="0"/>
  </r>
  <r>
    <x v="63"/>
    <s v="CXR"/>
    <s v="New York Southern District Court"/>
    <s v="08/15/2016"/>
    <s v="10/14/2016"/>
    <x v="354"/>
    <s v="Individual"/>
    <x v="359"/>
    <m/>
    <s v="CXR.4"/>
    <m/>
    <n v="1"/>
    <n v="256308.29"/>
    <n v="0.16222043670886077"/>
    <x v="8"/>
    <s v="Contested"/>
    <s v="Ind"/>
    <x v="0"/>
  </r>
  <r>
    <x v="64"/>
    <s v="CXW"/>
    <s v="Tennessee Middle District Court"/>
    <s v="08/23/2016"/>
    <s v="10/24/2016"/>
    <x v="355"/>
    <s v="Individual"/>
    <x v="360"/>
    <s v="FIFO/LIFO"/>
    <s v="CXW.1"/>
    <n v="4"/>
    <n v="1"/>
    <n v="99047.16"/>
    <n v="9.9047159999999992E-3"/>
    <x v="134"/>
    <s v="Contested"/>
    <s v="Ind"/>
    <x v="0"/>
  </r>
  <r>
    <x v="64"/>
    <s v="CXW"/>
    <s v="Tennessee Middle District Court"/>
    <s v="08/23/2016"/>
    <s v="10/24/2016"/>
    <x v="356"/>
    <s v="Individual"/>
    <x v="361"/>
    <m/>
    <s v="CXW.2"/>
    <m/>
    <n v="1"/>
    <n v="30903.64"/>
    <n v="3.0903639999999995E-3"/>
    <x v="135"/>
    <s v="Contested"/>
    <s v="Ind"/>
    <x v="0"/>
  </r>
  <r>
    <x v="64"/>
    <s v="CXW"/>
    <s v="Tennessee Middle District Court"/>
    <s v="08/23/2016"/>
    <s v="10/24/2016"/>
    <x v="357"/>
    <s v="Individual"/>
    <x v="362"/>
    <m/>
    <s v="CXW.3.a"/>
    <m/>
    <n v="3"/>
    <n v="159010"/>
    <n v="1.5901000000000002E-2"/>
    <x v="136"/>
    <s v="Contested"/>
    <s v="G-Ind"/>
    <x v="0"/>
  </r>
  <r>
    <x v="64"/>
    <s v="CXW"/>
    <s v="Tennessee Middle District Court"/>
    <s v="08/23/2016"/>
    <s v="10/24/2016"/>
    <x v="358"/>
    <s v="Individual"/>
    <x v="363"/>
    <m/>
    <s v="CXW.3.b"/>
    <m/>
    <m/>
    <m/>
    <m/>
    <x v="136"/>
    <s v="Contested"/>
    <s v="G-Ind"/>
    <x v="0"/>
  </r>
  <r>
    <x v="64"/>
    <s v="CXW"/>
    <s v="Tennessee Middle District Court"/>
    <s v="08/23/2016"/>
    <s v="10/24/2016"/>
    <x v="359"/>
    <s v="Individual"/>
    <x v="364"/>
    <m/>
    <s v="CXW.3.c"/>
    <m/>
    <m/>
    <m/>
    <m/>
    <x v="136"/>
    <s v="Contested"/>
    <s v="G-Ind"/>
    <x v="0"/>
  </r>
  <r>
    <x v="64"/>
    <s v="CXW"/>
    <s v="Tennessee Middle District Court"/>
    <s v="08/23/2016"/>
    <s v="10/24/2016"/>
    <x v="51"/>
    <s v="Institution"/>
    <x v="365"/>
    <m/>
    <s v="CXW.4"/>
    <m/>
    <n v="1"/>
    <n v="1218651.21"/>
    <n v="0.12186512099999999"/>
    <x v="137"/>
    <s v="Contested"/>
    <s v="Ins"/>
    <x v="1"/>
  </r>
  <r>
    <x v="65"/>
    <s v="PMTS"/>
    <s v="New York Southern District Court"/>
    <s v="06/15/2016"/>
    <s v="08/15/2016"/>
    <x v="360"/>
    <s v="Individual"/>
    <x v="366"/>
    <m/>
    <s v="PMTS.1.a"/>
    <n v="8"/>
    <n v="4"/>
    <n v="36117.89"/>
    <n v="3.9258576086956522E-2"/>
    <x v="132"/>
    <s v="Contested"/>
    <s v="G-Ind"/>
    <x v="0"/>
  </r>
  <r>
    <x v="65"/>
    <s v="PMTS"/>
    <s v="New York Southern District Court"/>
    <s v="06/15/2016"/>
    <s v="08/15/2016"/>
    <x v="361"/>
    <s v="Individual"/>
    <x v="367"/>
    <m/>
    <s v="PMTS.1.b"/>
    <m/>
    <m/>
    <m/>
    <m/>
    <x v="132"/>
    <s v="Contested"/>
    <s v="G-Ind"/>
    <x v="0"/>
  </r>
  <r>
    <x v="65"/>
    <s v="PMTS"/>
    <s v="New York Southern District Court"/>
    <s v="06/15/2016"/>
    <s v="08/15/2016"/>
    <x v="362"/>
    <s v="Individual"/>
    <x v="368"/>
    <m/>
    <s v="PMTS.1.c"/>
    <m/>
    <m/>
    <m/>
    <m/>
    <x v="132"/>
    <s v="Contested"/>
    <s v="G-Ind"/>
    <x v="0"/>
  </r>
  <r>
    <x v="65"/>
    <s v="PMTS"/>
    <s v="New York Southern District Court"/>
    <s v="06/15/2016"/>
    <s v="08/15/2016"/>
    <x v="363"/>
    <s v="Individual"/>
    <x v="369"/>
    <m/>
    <s v="PMTS.1.d"/>
    <m/>
    <m/>
    <m/>
    <m/>
    <x v="132"/>
    <s v="Contested"/>
    <s v="G-Ind"/>
    <x v="0"/>
  </r>
  <r>
    <x v="65"/>
    <s v="PMTS"/>
    <s v="New York Southern District Court"/>
    <s v="06/15/2016"/>
    <s v="08/15/2016"/>
    <x v="364"/>
    <s v="Individual"/>
    <x v="370"/>
    <m/>
    <s v="PMTS.2.a"/>
    <m/>
    <n v="2"/>
    <n v="9246.94"/>
    <n v="1.0051021739130436E-2"/>
    <x v="1"/>
    <s v="Contested"/>
    <s v="G-Ind"/>
    <x v="0"/>
  </r>
  <r>
    <x v="65"/>
    <s v="PMTS"/>
    <s v="New York Southern District Court"/>
    <s v="06/15/2016"/>
    <s v="08/15/2016"/>
    <x v="365"/>
    <s v="Individual"/>
    <x v="371"/>
    <m/>
    <s v="PMTS.2.b"/>
    <m/>
    <m/>
    <m/>
    <m/>
    <x v="1"/>
    <s v="Contested"/>
    <s v="G-Ind"/>
    <x v="0"/>
  </r>
  <r>
    <x v="65"/>
    <s v="PMTS"/>
    <s v="New York Southern District Court"/>
    <s v="06/15/2016"/>
    <s v="08/15/2016"/>
    <x v="366"/>
    <s v="Individual"/>
    <x v="372"/>
    <m/>
    <s v="PMTS.3"/>
    <m/>
    <n v="1"/>
    <n v="49792.23"/>
    <n v="5.4121989130434783E-2"/>
    <x v="44"/>
    <s v="Contested"/>
    <s v="G-Ind"/>
    <x v="0"/>
  </r>
  <r>
    <x v="65"/>
    <s v="PMTS"/>
    <s v="New York Southern District Court"/>
    <s v="06/15/2016"/>
    <s v="08/15/2016"/>
    <x v="367"/>
    <s v="Individual"/>
    <x v="373"/>
    <m/>
    <s v="PMTS.4"/>
    <m/>
    <n v="1"/>
    <n v="15108.97"/>
    <n v="1.642279347826087E-2"/>
    <x v="138"/>
    <s v="Contested"/>
    <s v="Ind"/>
    <x v="0"/>
  </r>
  <r>
    <x v="65"/>
    <s v="PMTS"/>
    <s v="New York Southern District Court"/>
    <s v="06/15/2016"/>
    <s v="08/15/2016"/>
    <x v="368"/>
    <s v="Individual"/>
    <x v="374"/>
    <s v="LIFO"/>
    <s v="PMTS.5"/>
    <m/>
    <n v="1"/>
    <n v="313942.65999999997"/>
    <n v="0.34124202173913037"/>
    <x v="70"/>
    <s v="Contested"/>
    <s v="Ind"/>
    <x v="0"/>
  </r>
  <r>
    <x v="65"/>
    <s v="PMTS"/>
    <s v="New York Southern District Court"/>
    <s v="06/15/2016"/>
    <s v="08/15/2016"/>
    <x v="369"/>
    <s v="Individual"/>
    <x v="375"/>
    <m/>
    <s v="PMTS.6"/>
    <m/>
    <n v="1"/>
    <n v="84057"/>
    <n v="9.1366304347826097E-2"/>
    <x v="46"/>
    <s v="Contested"/>
    <s v="Ind"/>
    <x v="0"/>
  </r>
  <r>
    <x v="65"/>
    <s v="PMTS"/>
    <s v="New York Southern District Court"/>
    <s v="06/15/2016"/>
    <s v="08/15/2016"/>
    <x v="370"/>
    <s v="Individual"/>
    <x v="5"/>
    <m/>
    <s v="PMTS.7.a"/>
    <m/>
    <n v="2"/>
    <n v="0"/>
    <n v="0"/>
    <x v="139"/>
    <s v="Contested"/>
    <s v="G-Ind"/>
    <x v="0"/>
  </r>
  <r>
    <x v="65"/>
    <s v="PMTS"/>
    <s v="New York Southern District Court"/>
    <s v="06/15/2016"/>
    <s v="08/15/2016"/>
    <x v="371"/>
    <s v="Individual"/>
    <x v="5"/>
    <m/>
    <s v="PMTS.7.b"/>
    <m/>
    <m/>
    <m/>
    <m/>
    <x v="139"/>
    <s v="Contested"/>
    <s v="G-Ind"/>
    <x v="0"/>
  </r>
  <r>
    <x v="65"/>
    <s v="PMTS"/>
    <s v="New York Southern District Court"/>
    <s v="06/15/2016"/>
    <s v="08/15/2016"/>
    <x v="372"/>
    <s v="Individual"/>
    <x v="376"/>
    <m/>
    <s v="PMTS.8"/>
    <m/>
    <n v="1"/>
    <n v="4052"/>
    <n v="4.4043478260869569E-3"/>
    <x v="8"/>
    <s v="Contested"/>
    <s v="Ind"/>
    <x v="0"/>
  </r>
  <r>
    <x v="66"/>
    <s v="CRESY"/>
    <s v="New York Southern District Court"/>
    <s v="04/29/2016"/>
    <s v="06/28/2016"/>
    <x v="373"/>
    <s v="Individual"/>
    <x v="377"/>
    <m/>
    <s v="CRESY.1"/>
    <n v="1"/>
    <n v="1"/>
    <n v="1833.7"/>
    <n v="2.6195714285714287E-2"/>
    <x v="8"/>
    <s v="Uncontested"/>
    <s v="Ind"/>
    <x v="0"/>
  </r>
  <r>
    <x v="67"/>
    <s v="CST"/>
    <s v="Texas Western District Court"/>
    <s v="09/26/2016"/>
    <s v="12/13/2016"/>
    <x v="374"/>
    <s v="Individual"/>
    <x v="5"/>
    <m/>
    <s v="CST.1"/>
    <n v="1"/>
    <n v="1"/>
    <s v="***"/>
    <e v="#VALUE!"/>
    <x v="140"/>
    <s v="Uncontested"/>
    <s v="Ind"/>
    <x v="0"/>
  </r>
  <r>
    <x v="68"/>
    <s v="CTIC"/>
    <s v="Washington Western District Court"/>
    <s v="02/12/2016"/>
    <s v="04/11/2016"/>
    <x v="375"/>
    <s v="Institution"/>
    <x v="378"/>
    <m/>
    <s v="CTIC.1.a"/>
    <n v="6"/>
    <n v="2"/>
    <n v="1391359.7"/>
    <n v="1.8551462666666667"/>
    <x v="84"/>
    <s v="Contested"/>
    <s v="G-Ins"/>
    <x v="0"/>
  </r>
  <r>
    <x v="68"/>
    <s v="CTIC"/>
    <s v="Washington Western District Court"/>
    <s v="02/12/2016"/>
    <s v="04/11/2016"/>
    <x v="376"/>
    <s v="Institution"/>
    <x v="379"/>
    <m/>
    <s v="CTIC.1.b"/>
    <m/>
    <m/>
    <m/>
    <m/>
    <x v="84"/>
    <s v="Contested"/>
    <s v="G-Ins"/>
    <x v="0"/>
  </r>
  <r>
    <x v="68"/>
    <s v="CTIC"/>
    <s v="Washington Western District Court"/>
    <s v="02/12/2016"/>
    <s v="04/11/2016"/>
    <x v="377"/>
    <s v="Institution"/>
    <x v="380"/>
    <m/>
    <s v="CTIC.2"/>
    <m/>
    <n v="1"/>
    <n v="1078041.5"/>
    <n v="1.4373886666666666"/>
    <x v="141"/>
    <s v="Contested"/>
    <s v="Ins"/>
    <x v="0"/>
  </r>
  <r>
    <x v="68"/>
    <s v="CTIC"/>
    <s v="Washington Western District Court"/>
    <s v="02/12/2016"/>
    <s v="04/11/2016"/>
    <x v="378"/>
    <s v="Individual"/>
    <x v="381"/>
    <m/>
    <s v="CTIC.3.a"/>
    <m/>
    <n v="2"/>
    <n v="38267.160000000003"/>
    <n v="5.102288E-2"/>
    <x v="142"/>
    <s v="Contested"/>
    <s v="G-Ind"/>
    <x v="0"/>
  </r>
  <r>
    <x v="68"/>
    <s v="CTIC"/>
    <s v="Washington Western District Court"/>
    <s v="02/12/2016"/>
    <s v="04/11/2016"/>
    <x v="379"/>
    <s v="Individual"/>
    <x v="382"/>
    <m/>
    <s v="CTIC.3.b"/>
    <m/>
    <m/>
    <m/>
    <m/>
    <x v="142"/>
    <s v="Contested"/>
    <s v="G-Ind"/>
    <x v="0"/>
  </r>
  <r>
    <x v="68"/>
    <s v="CTIC"/>
    <s v="Washington Western District Court"/>
    <s v="02/12/2016"/>
    <s v="04/11/2016"/>
    <x v="380"/>
    <s v="Individual"/>
    <x v="383"/>
    <m/>
    <s v="CTIC.4.a"/>
    <m/>
    <n v="4"/>
    <n v="346617.4"/>
    <n v="0.46215653333333334"/>
    <x v="143"/>
    <s v="Contested"/>
    <s v="G-Ind"/>
    <x v="0"/>
  </r>
  <r>
    <x v="68"/>
    <s v="CTIC"/>
    <s v="Washington Western District Court"/>
    <s v="02/12/2016"/>
    <s v="04/11/2016"/>
    <x v="381"/>
    <s v="Individual"/>
    <x v="384"/>
    <m/>
    <s v="CTIC.4.b"/>
    <m/>
    <m/>
    <m/>
    <m/>
    <x v="143"/>
    <s v="Contested"/>
    <s v="G-Ind"/>
    <x v="0"/>
  </r>
  <r>
    <x v="68"/>
    <s v="CTIC"/>
    <s v="Washington Western District Court"/>
    <s v="02/12/2016"/>
    <s v="04/11/2016"/>
    <x v="382"/>
    <s v="Individual"/>
    <x v="385"/>
    <m/>
    <s v="CTIC.4.c"/>
    <m/>
    <m/>
    <m/>
    <m/>
    <x v="143"/>
    <s v="Contested"/>
    <s v="G-Ind"/>
    <x v="0"/>
  </r>
  <r>
    <x v="68"/>
    <s v="CTIC"/>
    <s v="Washington Western District Court"/>
    <s v="02/12/2016"/>
    <s v="04/11/2016"/>
    <x v="383"/>
    <s v="Individual"/>
    <x v="386"/>
    <m/>
    <s v="CTIC.4.d"/>
    <m/>
    <m/>
    <m/>
    <m/>
    <x v="143"/>
    <s v="Contested"/>
    <s v="G-Ind"/>
    <x v="0"/>
  </r>
  <r>
    <x v="68"/>
    <s v="CTIC"/>
    <s v="Washington Western District Court"/>
    <s v="02/12/2016"/>
    <s v="04/11/2016"/>
    <x v="384"/>
    <s v="Individual"/>
    <x v="387"/>
    <m/>
    <s v="CTIC.5.a"/>
    <m/>
    <n v="1"/>
    <n v="1218210"/>
    <n v="1.6242800000000002"/>
    <x v="144"/>
    <s v="Contested"/>
    <s v="G-Mix"/>
    <x v="0"/>
  </r>
  <r>
    <x v="68"/>
    <s v="CTIC"/>
    <s v="Washington Western District Court"/>
    <s v="02/12/2016"/>
    <s v="04/11/2016"/>
    <x v="385"/>
    <s v="Institution"/>
    <x v="388"/>
    <m/>
    <s v="CTIC.5.b"/>
    <m/>
    <m/>
    <m/>
    <m/>
    <x v="144"/>
    <s v="Contested"/>
    <s v="G-Mix"/>
    <x v="1"/>
  </r>
  <r>
    <x v="68"/>
    <s v="CTIC"/>
    <s v="Washington Western District Court"/>
    <s v="02/12/2016"/>
    <s v="04/11/2016"/>
    <x v="386"/>
    <s v="Individual"/>
    <x v="389"/>
    <m/>
    <s v="CTIC.6"/>
    <m/>
    <n v="1"/>
    <n v="33494.589999999997"/>
    <n v="4.4659453333333328E-2"/>
    <x v="10"/>
    <s v="Contested"/>
    <s v="Ind"/>
    <x v="0"/>
  </r>
  <r>
    <x v="69"/>
    <s v="CYTR"/>
    <s v="California Central District Court"/>
    <s v="07/25/2016"/>
    <s v="09/23/2016"/>
    <x v="387"/>
    <s v="Individual"/>
    <x v="390"/>
    <m/>
    <s v="CYTR.1"/>
    <n v="4"/>
    <n v="1"/>
    <n v="1144164.2"/>
    <n v="3.8138806666666665"/>
    <x v="1"/>
    <s v="Contested"/>
    <s v="Ind"/>
    <x v="0"/>
  </r>
  <r>
    <x v="69"/>
    <s v="CYTR"/>
    <s v="California Central District Court"/>
    <s v="07/25/2016"/>
    <s v="09/23/2016"/>
    <x v="388"/>
    <s v="Individual"/>
    <x v="391"/>
    <m/>
    <s v="CYTR.2"/>
    <m/>
    <n v="1"/>
    <n v="539036.93999999994"/>
    <n v="1.7967898"/>
    <x v="145"/>
    <s v="Contested"/>
    <s v="Ind"/>
    <x v="0"/>
  </r>
  <r>
    <x v="69"/>
    <s v="CYTR"/>
    <s v="California Central District Court"/>
    <s v="07/25/2016"/>
    <s v="09/23/2016"/>
    <x v="389"/>
    <s v="Individual"/>
    <x v="392"/>
    <m/>
    <s v="CYTR.4"/>
    <m/>
    <n v="1"/>
    <n v="122338.59"/>
    <n v="0.40779529999999997"/>
    <x v="10"/>
    <s v="Contested"/>
    <s v="Ind"/>
    <x v="0"/>
  </r>
  <r>
    <x v="69"/>
    <s v="CYTR"/>
    <s v="California Central District Court"/>
    <s v="07/25/2016"/>
    <s v="09/23/2016"/>
    <x v="390"/>
    <s v="Individual"/>
    <x v="393"/>
    <s v="LIFO/FIFO"/>
    <s v="CYTR.3.a"/>
    <m/>
    <n v="6"/>
    <n v="888392"/>
    <n v="2.9613066666666668"/>
    <x v="146"/>
    <s v="Contested"/>
    <s v="G-Ind"/>
    <x v="0"/>
  </r>
  <r>
    <x v="69"/>
    <s v="CYTR"/>
    <s v="California Central District Court"/>
    <s v="07/25/2016"/>
    <s v="09/23/2016"/>
    <x v="391"/>
    <s v="Individual"/>
    <x v="394"/>
    <s v="LIFO/FIFO"/>
    <s v="CYTR.3.b"/>
    <m/>
    <m/>
    <m/>
    <m/>
    <x v="146"/>
    <s v="Contested"/>
    <s v="G-Ind"/>
    <x v="0"/>
  </r>
  <r>
    <x v="69"/>
    <s v="CYTR"/>
    <s v="California Central District Court"/>
    <s v="07/25/2016"/>
    <s v="09/23/2016"/>
    <x v="112"/>
    <s v="Individual"/>
    <x v="395"/>
    <s v="FIFO"/>
    <s v="CYTR.3.c"/>
    <m/>
    <m/>
    <m/>
    <m/>
    <x v="146"/>
    <s v="Contested"/>
    <s v="G-Ind"/>
    <x v="1"/>
  </r>
  <r>
    <x v="69"/>
    <s v="CYTR"/>
    <s v="California Central District Court"/>
    <s v="07/25/2016"/>
    <s v="09/23/2016"/>
    <x v="392"/>
    <s v="Individual"/>
    <x v="396"/>
    <s v="LIFO/FIFO"/>
    <s v="CYTR.3.d"/>
    <m/>
    <m/>
    <m/>
    <m/>
    <x v="146"/>
    <s v="Contested"/>
    <s v="G-Ind"/>
    <x v="0"/>
  </r>
  <r>
    <x v="69"/>
    <s v="CYTR"/>
    <s v="California Central District Court"/>
    <s v="07/25/2016"/>
    <s v="09/23/2016"/>
    <x v="393"/>
    <s v="Individual"/>
    <x v="397"/>
    <s v="LIFO/FIFO"/>
    <s v="CYTR.3.e"/>
    <m/>
    <m/>
    <m/>
    <m/>
    <x v="146"/>
    <s v="Contested"/>
    <s v="G-Ind"/>
    <x v="0"/>
  </r>
  <r>
    <x v="69"/>
    <s v="CYTR"/>
    <s v="California Central District Court"/>
    <s v="07/25/2016"/>
    <s v="09/23/2016"/>
    <x v="394"/>
    <s v="Individual"/>
    <x v="398"/>
    <m/>
    <s v="CYTR,3.f"/>
    <m/>
    <m/>
    <m/>
    <m/>
    <x v="146"/>
    <s v="Contested"/>
    <s v="G-Ind"/>
    <x v="0"/>
  </r>
  <r>
    <x v="70"/>
    <s v="DDAIY/DDAIF"/>
    <s v="California Central District Court"/>
    <s v="04/29/2016"/>
    <s v="06/28/2016"/>
    <x v="395"/>
    <s v="Individual"/>
    <x v="399"/>
    <m/>
    <s v="DDAIY/DDAIF.1"/>
    <n v="3"/>
    <n v="1"/>
    <n v="717"/>
    <n v="4.2176470588235299E-4"/>
    <x v="147"/>
    <s v="Contested"/>
    <s v="Ind"/>
    <x v="0"/>
  </r>
  <r>
    <x v="70"/>
    <s v="DDAIY/DDAIF"/>
    <s v="California Central District Court"/>
    <s v="04/29/2016"/>
    <s v="06/28/2016"/>
    <x v="396"/>
    <s v="Institution"/>
    <x v="400"/>
    <s v="LIFO"/>
    <s v="DDAIY/DDAIF.2"/>
    <m/>
    <n v="1"/>
    <n v="345280.15"/>
    <n v="0.20310597058823529"/>
    <x v="148"/>
    <s v="Contested"/>
    <s v="Ins"/>
    <x v="0"/>
  </r>
  <r>
    <x v="70"/>
    <s v="DDAIY/DDAIF"/>
    <s v="California Central District Court"/>
    <s v="04/29/2016"/>
    <s v="06/28/2016"/>
    <x v="397"/>
    <s v="Institution"/>
    <x v="401"/>
    <m/>
    <s v="DDAIY/DDAIF.3"/>
    <m/>
    <n v="1"/>
    <n v="112.06"/>
    <n v="6.5917647058823527E-5"/>
    <x v="8"/>
    <s v="Contested"/>
    <s v="Ins"/>
    <x v="0"/>
  </r>
  <r>
    <x v="71"/>
    <s v="DAKPQ"/>
    <s v="New York Southern District Court"/>
    <s v="12/16/2016"/>
    <s v="02/14/2017"/>
    <x v="398"/>
    <s v="Individual"/>
    <x v="402"/>
    <m/>
    <s v="DAKPQ.1"/>
    <n v="2"/>
    <n v="1"/>
    <n v="2718014"/>
    <n v="10.872055999999999"/>
    <x v="149"/>
    <s v="Contested"/>
    <s v="Ind"/>
    <x v="0"/>
  </r>
  <r>
    <x v="71"/>
    <s v="DAKPQ"/>
    <s v="New York Southern District Court"/>
    <s v="12/16/2016"/>
    <s v="02/14/2017"/>
    <x v="399"/>
    <s v="Individual"/>
    <x v="403"/>
    <m/>
    <s v="DAKPQ.2"/>
    <m/>
    <n v="1"/>
    <n v="278312.11"/>
    <n v="1.11324844"/>
    <x v="8"/>
    <s v="Contested"/>
    <s v="Ind"/>
    <x v="0"/>
  </r>
  <r>
    <x v="72"/>
    <s v="DVA"/>
    <s v="Colorado District Court"/>
    <s v="02/01/2017"/>
    <s v="04/03/2017"/>
    <x v="400"/>
    <s v="Institution"/>
    <x v="404"/>
    <s v="FIFO/LIFO"/>
    <s v="DVA.1.a"/>
    <n v="1"/>
    <n v="2"/>
    <n v="487840"/>
    <e v="#VALUE!"/>
    <x v="150"/>
    <s v="Uncontested"/>
    <s v="G-Ins"/>
    <x v="0"/>
  </r>
  <r>
    <x v="72"/>
    <s v="DVA"/>
    <s v="Colorado District Court"/>
    <s v="02/01/2017"/>
    <s v="04/03/2017"/>
    <x v="401"/>
    <s v="Institution"/>
    <x v="405"/>
    <s v="FIFO"/>
    <s v="DVA.1.b"/>
    <m/>
    <m/>
    <m/>
    <m/>
    <x v="150"/>
    <s v="Uncontested"/>
    <s v="G-Ins"/>
    <x v="1"/>
  </r>
  <r>
    <x v="73"/>
    <s v="HOMEX "/>
    <s v="New York Eastern District Court"/>
    <s v="03/14/2017"/>
    <s v="05/15/2017"/>
    <x v="402"/>
    <s v="Individual"/>
    <x v="406"/>
    <m/>
    <s v="HOMEX.1"/>
    <n v="2"/>
    <n v="1"/>
    <n v="84274.43"/>
    <n v="2.1068607499999999E-2"/>
    <x v="151"/>
    <s v="Contested"/>
    <s v="Ind"/>
    <x v="0"/>
  </r>
  <r>
    <x v="73"/>
    <s v="HOMEX "/>
    <s v="New York Eastern District Court"/>
    <s v="03/14/2017"/>
    <s v="05/15/2017"/>
    <x v="403"/>
    <s v="Individual"/>
    <x v="407"/>
    <m/>
    <s v="HOMEX.2"/>
    <m/>
    <n v="1"/>
    <n v="322308.15000000002"/>
    <n v="8.0577037500000004E-2"/>
    <x v="10"/>
    <s v="Contested"/>
    <s v="Ind"/>
    <x v="0"/>
  </r>
  <r>
    <x v="74"/>
    <s v="DB"/>
    <s v="New York Southern District Court"/>
    <s v="05/10/2016"/>
    <s v="07/11/2016"/>
    <x v="404"/>
    <s v="Individual"/>
    <x v="408"/>
    <s v="LIFO"/>
    <s v="DB.1.a"/>
    <n v="5"/>
    <n v="3"/>
    <n v="98481.919999999998"/>
    <n v="8.2068266666666667E-3"/>
    <x v="70"/>
    <s v="Contested"/>
    <s v="G-Ind"/>
    <x v="0"/>
  </r>
  <r>
    <x v="74"/>
    <s v="DB"/>
    <s v="New York Southern District Court"/>
    <s v="05/10/2016"/>
    <s v="07/11/2016"/>
    <x v="405"/>
    <s v="Individual"/>
    <x v="409"/>
    <s v="LIFO"/>
    <s v="DB.1.b"/>
    <m/>
    <m/>
    <m/>
    <m/>
    <x v="70"/>
    <s v="Contested"/>
    <s v="G-Ind"/>
    <x v="0"/>
  </r>
  <r>
    <x v="74"/>
    <s v="DB"/>
    <s v="New York Southern District Court"/>
    <s v="05/10/2016"/>
    <s v="07/11/2016"/>
    <x v="406"/>
    <s v="Individual"/>
    <x v="410"/>
    <s v="LIFO"/>
    <s v="DB.1.c"/>
    <m/>
    <m/>
    <m/>
    <m/>
    <x v="70"/>
    <s v="Contested"/>
    <s v="G-Ind"/>
    <x v="0"/>
  </r>
  <r>
    <x v="74"/>
    <s v="DB"/>
    <s v="New York Southern District Court"/>
    <s v="05/10/2016"/>
    <s v="07/11/2016"/>
    <x v="407"/>
    <s v="Individual"/>
    <x v="411"/>
    <m/>
    <s v="DB.2"/>
    <m/>
    <n v="1"/>
    <n v="74204.350000000006"/>
    <n v="6.1836958333333341E-3"/>
    <x v="10"/>
    <s v="Contested"/>
    <s v="Ind"/>
    <x v="0"/>
  </r>
  <r>
    <x v="74"/>
    <s v="DB"/>
    <s v="New York Southern District Court"/>
    <s v="05/10/2016"/>
    <s v="07/11/2016"/>
    <x v="408"/>
    <s v="Individual"/>
    <x v="412"/>
    <s v="FIFO"/>
    <s v="DB.3"/>
    <m/>
    <n v="1"/>
    <n v="262921"/>
    <n v="2.1910083333333333E-2"/>
    <x v="97"/>
    <s v="Contested"/>
    <s v="Ind"/>
    <x v="0"/>
  </r>
  <r>
    <x v="74"/>
    <s v="DB"/>
    <s v="New York Southern District Court"/>
    <s v="05/10/2016"/>
    <s v="07/11/2016"/>
    <x v="167"/>
    <s v="Institution"/>
    <x v="413"/>
    <m/>
    <s v="DB.4"/>
    <m/>
    <n v="1"/>
    <n v="47097.94"/>
    <n v="3.924828333333334E-3"/>
    <x v="46"/>
    <s v="Contested"/>
    <s v="Ins"/>
    <x v="1"/>
  </r>
  <r>
    <x v="74"/>
    <s v="DB"/>
    <s v="New York Southern District Court"/>
    <s v="05/10/2016"/>
    <s v="07/11/2016"/>
    <x v="409"/>
    <s v="Individual"/>
    <x v="414"/>
    <m/>
    <s v="DB.5"/>
    <m/>
    <n v="1"/>
    <n v="833.58"/>
    <n v="6.9465E-5"/>
    <x v="8"/>
    <s v="Contested"/>
    <s v="Ind"/>
    <x v="0"/>
  </r>
  <r>
    <x v="75"/>
    <s v="DV"/>
    <s v="Illinois Northern District Court"/>
    <s v="05/13/2016"/>
    <s v="07/12/2016"/>
    <x v="410"/>
    <s v="Institution"/>
    <x v="415"/>
    <s v="FIFO"/>
    <s v="DV.1"/>
    <n v="2"/>
    <n v="1"/>
    <n v="142016"/>
    <n v="7.2828717948717939E-2"/>
    <x v="152"/>
    <s v="Contested"/>
    <s v="Ins"/>
    <x v="1"/>
  </r>
  <r>
    <x v="75"/>
    <s v="DV"/>
    <s v="Illinois Northern District Court"/>
    <s v="05/13/2016"/>
    <s v="07/12/2016"/>
    <x v="45"/>
    <s v="Institution"/>
    <x v="416"/>
    <s v="FIFO"/>
    <s v="DV.2"/>
    <m/>
    <n v="1"/>
    <n v="7206832.9500000002"/>
    <n v="3.6958117692307697"/>
    <x v="153"/>
    <s v="Contested"/>
    <s v="Ins"/>
    <x v="1"/>
  </r>
  <r>
    <x v="76"/>
    <s v="DPLO"/>
    <s v="Michigan Eastern District"/>
    <s v="11/10/2016"/>
    <s v="01/09/2017"/>
    <x v="411"/>
    <s v="Individual"/>
    <x v="417"/>
    <m/>
    <s v="DPLO.1.a"/>
    <n v="2"/>
    <n v="2"/>
    <n v="507587.88"/>
    <n v="0.11279730666666668"/>
    <x v="154"/>
    <s v="Contested"/>
    <s v="G-Ind"/>
    <x v="0"/>
  </r>
  <r>
    <x v="76"/>
    <s v="DPLO"/>
    <s v="Michigan Eastern District"/>
    <s v="11/10/2016"/>
    <s v="01/09/2017"/>
    <x v="412"/>
    <s v="Individual"/>
    <x v="418"/>
    <m/>
    <s v="DPLO.1.b"/>
    <m/>
    <m/>
    <m/>
    <m/>
    <x v="154"/>
    <s v="Contested"/>
    <s v="G-Ind"/>
    <x v="0"/>
  </r>
  <r>
    <x v="76"/>
    <s v="DPLO"/>
    <s v="Michigan Eastern District"/>
    <s v="11/10/2016"/>
    <s v="01/09/2017"/>
    <x v="413"/>
    <s v="Institution"/>
    <x v="419"/>
    <m/>
    <s v="DPLO.2"/>
    <m/>
    <n v="1"/>
    <n v="314649.42"/>
    <n v="6.9922093333333338E-2"/>
    <x v="155"/>
    <s v="Contested"/>
    <s v="Ins"/>
    <x v="0"/>
  </r>
  <r>
    <x v="77"/>
    <s v="DOLE"/>
    <s v="Delaware District Court"/>
    <s v="12/10/2015"/>
    <s v="02/08/2016"/>
    <x v="414"/>
    <s v="Institution"/>
    <x v="5"/>
    <m/>
    <s v="DOLE.1.a"/>
    <n v="4"/>
    <n v="4"/>
    <n v="0"/>
    <n v="0"/>
    <x v="156"/>
    <s v="Contested"/>
    <s v="G-Ins"/>
    <x v="0"/>
  </r>
  <r>
    <x v="77"/>
    <s v="DOLE"/>
    <s v="Delaware District Court"/>
    <s v="12/10/2015"/>
    <s v="02/08/2016"/>
    <x v="415"/>
    <s v="Institution"/>
    <x v="5"/>
    <m/>
    <s v="DOLE.1.b"/>
    <m/>
    <m/>
    <m/>
    <m/>
    <x v="156"/>
    <s v="Contested"/>
    <s v="G-Ins"/>
    <x v="0"/>
  </r>
  <r>
    <x v="77"/>
    <s v="DOLE"/>
    <s v="Delaware District Court"/>
    <s v="12/10/2015"/>
    <s v="02/08/2016"/>
    <x v="416"/>
    <s v="Institution"/>
    <x v="5"/>
    <m/>
    <s v="DOLE.1.c"/>
    <m/>
    <m/>
    <m/>
    <m/>
    <x v="156"/>
    <s v="Contested"/>
    <s v="G-Ins"/>
    <x v="1"/>
  </r>
  <r>
    <x v="77"/>
    <s v="DOLE"/>
    <s v="Delaware District Court"/>
    <s v="12/10/2015"/>
    <s v="02/08/2016"/>
    <x v="417"/>
    <s v="Institution"/>
    <x v="5"/>
    <m/>
    <s v="DOLE.1.d"/>
    <m/>
    <m/>
    <m/>
    <m/>
    <x v="156"/>
    <s v="Contested"/>
    <s v="G-Ins"/>
    <x v="0"/>
  </r>
  <r>
    <x v="77"/>
    <s v="DOLE"/>
    <s v="Delaware District Court"/>
    <s v="12/10/2015"/>
    <s v="02/08/2016"/>
    <x v="418"/>
    <s v="Individual"/>
    <x v="420"/>
    <s v="Dura"/>
    <s v="DOLE.2.a"/>
    <m/>
    <n v="3"/>
    <n v="258628.04"/>
    <n v="7.9577858461538462E-2"/>
    <x v="157"/>
    <s v="Contested"/>
    <s v="G-Ind"/>
    <x v="0"/>
  </r>
  <r>
    <x v="77"/>
    <s v="DOLE"/>
    <s v="Delaware District Court"/>
    <s v="12/10/2015"/>
    <s v="02/08/2016"/>
    <x v="419"/>
    <s v="Individual"/>
    <x v="421"/>
    <s v="Dura"/>
    <s v="DOLE.2.b"/>
    <m/>
    <m/>
    <m/>
    <m/>
    <x v="157"/>
    <s v="Contested"/>
    <s v="G-Ind"/>
    <x v="0"/>
  </r>
  <r>
    <x v="77"/>
    <s v="DOLE"/>
    <s v="Delaware District Court"/>
    <s v="12/10/2015"/>
    <s v="02/08/2016"/>
    <x v="420"/>
    <s v="Individual"/>
    <x v="422"/>
    <s v="Dura"/>
    <s v="DOLE.2.c"/>
    <m/>
    <m/>
    <m/>
    <m/>
    <x v="157"/>
    <s v="Contested"/>
    <s v="G-Ind"/>
    <x v="0"/>
  </r>
  <r>
    <x v="77"/>
    <s v="DOLE"/>
    <s v="Delaware District Court"/>
    <s v="12/10/2015"/>
    <s v="02/08/2016"/>
    <x v="421"/>
    <s v="Institution"/>
    <x v="5"/>
    <m/>
    <s v="DOLE.3"/>
    <m/>
    <n v="1"/>
    <s v="***"/>
    <e v="#VALUE!"/>
    <x v="158"/>
    <s v="Contested"/>
    <s v="Ins"/>
    <x v="0"/>
  </r>
  <r>
    <x v="77"/>
    <s v="DOLE"/>
    <s v="Delaware District Court"/>
    <s v="12/10/2015"/>
    <s v="02/08/2016"/>
    <x v="218"/>
    <s v="Institution"/>
    <x v="423"/>
    <m/>
    <s v="DOLE.4"/>
    <m/>
    <n v="1"/>
    <n v="97734.16"/>
    <n v="3.007204923076923E-2"/>
    <x v="159"/>
    <s v="Contested"/>
    <s v="Ins"/>
    <x v="1"/>
  </r>
  <r>
    <x v="78"/>
    <s v="DG"/>
    <s v="Tennessee Middle District Court"/>
    <s v="01/18/2017"/>
    <s v="03/20/2017"/>
    <x v="422"/>
    <s v="Institution"/>
    <x v="424"/>
    <s v="FIFO/LIFO"/>
    <s v="DG.1"/>
    <n v="3"/>
    <n v="1"/>
    <n v="6899642.0099999998"/>
    <n v="0.49283157214285711"/>
    <x v="160"/>
    <s v="Contested"/>
    <s v="Ins"/>
    <x v="1"/>
  </r>
  <r>
    <x v="78"/>
    <s v="DG"/>
    <s v="Tennessee Middle District Court"/>
    <s v="01/18/2017"/>
    <s v="03/20/2017"/>
    <x v="423"/>
    <s v="Individual"/>
    <x v="425"/>
    <m/>
    <s v="DG.2"/>
    <m/>
    <n v="1"/>
    <n v="31499.49"/>
    <n v="2.2499635714285718E-3"/>
    <x v="135"/>
    <s v="Contested"/>
    <s v="Ind"/>
    <x v="0"/>
  </r>
  <r>
    <x v="78"/>
    <s v="DG"/>
    <s v="Tennessee Middle District Court"/>
    <s v="01/18/2017"/>
    <s v="03/20/2017"/>
    <x v="424"/>
    <s v="Individual"/>
    <x v="426"/>
    <m/>
    <s v="DG.3"/>
    <m/>
    <n v="1"/>
    <n v="6863"/>
    <n v="4.9021428571428566E-4"/>
    <x v="94"/>
    <s v="Contested"/>
    <s v="Ind"/>
    <x v="0"/>
  </r>
  <r>
    <x v="79"/>
    <s v="DSKX"/>
    <s v="Florida Southern District Court"/>
    <s v="03/29/2016"/>
    <s v="05/31/2016"/>
    <x v="425"/>
    <s v="Individual"/>
    <x v="427"/>
    <m/>
    <s v="DSKX.1.a"/>
    <n v="4"/>
    <n v="2"/>
    <n v="31154"/>
    <n v="0.6923111111111111"/>
    <x v="161"/>
    <s v="Contested"/>
    <s v="G-Ind"/>
    <x v="0"/>
  </r>
  <r>
    <x v="79"/>
    <s v="DSKX"/>
    <s v="Florida Southern District Court"/>
    <s v="03/29/2016"/>
    <s v="05/31/2016"/>
    <x v="426"/>
    <s v="Individual"/>
    <x v="428"/>
    <m/>
    <s v="DSKX.1.b"/>
    <m/>
    <m/>
    <m/>
    <m/>
    <x v="161"/>
    <s v="Contested"/>
    <s v="G-Ind"/>
    <x v="0"/>
  </r>
  <r>
    <x v="79"/>
    <s v="DSKX"/>
    <s v="Florida Southern District Court"/>
    <s v="03/29/2016"/>
    <s v="05/31/2016"/>
    <x v="427"/>
    <s v="Individual"/>
    <x v="429"/>
    <m/>
    <s v="DSKX.2"/>
    <m/>
    <n v="1"/>
    <n v="159654"/>
    <n v="3.5478666666666667"/>
    <x v="56"/>
    <s v="Contested"/>
    <s v="Ind"/>
    <x v="0"/>
  </r>
  <r>
    <x v="79"/>
    <s v="DSKX"/>
    <s v="Florida Southern District Court"/>
    <s v="03/29/2016"/>
    <s v="05/31/2016"/>
    <x v="428"/>
    <s v="Individual"/>
    <x v="430"/>
    <m/>
    <s v="DSKX.3"/>
    <m/>
    <n v="1"/>
    <n v="69137.2"/>
    <n v="1.5363822222222221"/>
    <x v="162"/>
    <s v="Contested"/>
    <s v="Ind"/>
    <x v="0"/>
  </r>
  <r>
    <x v="79"/>
    <s v="DSKX"/>
    <s v="Florida Southern District Court"/>
    <s v="03/29/2016"/>
    <s v="05/31/2016"/>
    <x v="429"/>
    <s v="Individual"/>
    <x v="431"/>
    <m/>
    <s v="DSKX.4.a"/>
    <m/>
    <n v="2"/>
    <n v="305834.07"/>
    <n v="6.7963126666666662"/>
    <x v="8"/>
    <s v="Contested"/>
    <s v="G-Ind"/>
    <x v="0"/>
  </r>
  <r>
    <x v="79"/>
    <s v="DSKX"/>
    <s v="Florida Southern District Court"/>
    <s v="03/29/2016"/>
    <s v="05/31/2016"/>
    <x v="430"/>
    <s v="Individual"/>
    <x v="432"/>
    <m/>
    <s v="DSKX.4.b"/>
    <m/>
    <m/>
    <m/>
    <m/>
    <x v="8"/>
    <s v="Contested"/>
    <s v="G-Ind"/>
    <x v="0"/>
  </r>
  <r>
    <x v="80"/>
    <s v="DVAX"/>
    <s v="California Northern District Court"/>
    <s v="11/18/2016"/>
    <s v="01/17/2017"/>
    <x v="431"/>
    <s v="Individual"/>
    <x v="433"/>
    <m/>
    <s v="DVAX.1.a"/>
    <n v="3"/>
    <n v="3"/>
    <n v="43498.14"/>
    <n v="1.7754342857142856E-2"/>
    <x v="1"/>
    <s v="Contested"/>
    <s v="G-Ind"/>
    <x v="0"/>
  </r>
  <r>
    <x v="80"/>
    <s v="DVAX"/>
    <s v="California Northern District Court"/>
    <s v="11/18/2016"/>
    <s v="01/17/2017"/>
    <x v="432"/>
    <s v="Individual"/>
    <x v="434"/>
    <m/>
    <s v="DVAX.1.b"/>
    <m/>
    <m/>
    <m/>
    <m/>
    <x v="1"/>
    <s v="Contested"/>
    <s v="G-Ind"/>
    <x v="0"/>
  </r>
  <r>
    <x v="80"/>
    <s v="DVAX"/>
    <s v="California Northern District Court"/>
    <s v="11/18/2016"/>
    <s v="01/17/2017"/>
    <x v="433"/>
    <s v="Individual"/>
    <x v="435"/>
    <m/>
    <s v="DVAX.1.c"/>
    <m/>
    <m/>
    <m/>
    <m/>
    <x v="1"/>
    <s v="Contested"/>
    <s v="G-Ind"/>
    <x v="0"/>
  </r>
  <r>
    <x v="80"/>
    <s v="DVAX"/>
    <s v="California Northern District Court"/>
    <s v="11/18/2016"/>
    <s v="01/17/2017"/>
    <x v="434"/>
    <s v="Individual"/>
    <x v="436"/>
    <m/>
    <s v="DVAX.2"/>
    <m/>
    <n v="1"/>
    <n v="667993.56000000006"/>
    <n v="0.27265043265306121"/>
    <x v="163"/>
    <s v="Contested"/>
    <s v="Ind"/>
    <x v="0"/>
  </r>
  <r>
    <x v="80"/>
    <s v="DVAX"/>
    <s v="California Northern District Court"/>
    <s v="11/18/2016"/>
    <s v="01/17/2017"/>
    <x v="435"/>
    <s v="Individual"/>
    <x v="437"/>
    <m/>
    <s v="DVAX.3"/>
    <m/>
    <n v="1"/>
    <n v="1774255.72"/>
    <n v="0.72418600816326528"/>
    <x v="8"/>
    <s v="Contested"/>
    <s v="Ind"/>
    <x v="0"/>
  </r>
  <r>
    <x v="81"/>
    <s v="ETFC"/>
    <s v="New York Southern District Court"/>
    <s v="07/22/2016"/>
    <s v="09/20/2016"/>
    <x v="436"/>
    <s v="Individual"/>
    <x v="258"/>
    <m/>
    <s v="ETFC.1"/>
    <n v="2"/>
    <n v="1"/>
    <s v="OMIT"/>
    <e v="#VALUE!"/>
    <x v="107"/>
    <s v="Contested"/>
    <s v="Ind"/>
    <x v="0"/>
  </r>
  <r>
    <x v="81"/>
    <s v="ETFC"/>
    <s v="New York Southern District Court"/>
    <s v="07/22/2016"/>
    <s v="09/20/2016"/>
    <x v="437"/>
    <s v="Individual"/>
    <x v="258"/>
    <m/>
    <s v="ETFC.2.a"/>
    <m/>
    <n v="2"/>
    <n v="0"/>
    <n v="0"/>
    <x v="10"/>
    <s v="Contested"/>
    <s v="G-Ind"/>
    <x v="0"/>
  </r>
  <r>
    <x v="81"/>
    <s v="ETFC"/>
    <s v="New York Southern District Court"/>
    <s v="07/22/2016"/>
    <s v="09/20/2016"/>
    <x v="438"/>
    <s v="Individual"/>
    <x v="258"/>
    <m/>
    <s v="ETFC.2.b"/>
    <m/>
    <m/>
    <m/>
    <m/>
    <x v="10"/>
    <s v="Contested"/>
    <s v="G-Ind"/>
    <x v="0"/>
  </r>
  <r>
    <x v="82"/>
    <s v="EGRX"/>
    <s v="New Jersey District Court"/>
    <s v="05/31/2016"/>
    <s v="08/01/2016"/>
    <x v="439"/>
    <s v="Individual"/>
    <x v="438"/>
    <s v="LIFO"/>
    <s v="EGRX.1.a"/>
    <n v="1"/>
    <n v="3"/>
    <n v="23954"/>
    <n v="0.11976999999999999"/>
    <x v="164"/>
    <s v="Uncontested"/>
    <s v="G-Ind"/>
    <x v="0"/>
  </r>
  <r>
    <x v="82"/>
    <s v="EGRX"/>
    <s v="New Jersey District Court"/>
    <s v="05/31/2016"/>
    <s v="08/01/2016"/>
    <x v="440"/>
    <s v="Individual"/>
    <x v="439"/>
    <s v="LIFO"/>
    <s v="EGRX.1.b"/>
    <m/>
    <m/>
    <m/>
    <m/>
    <x v="164"/>
    <s v="Uncontested"/>
    <s v="G-Ind"/>
    <x v="0"/>
  </r>
  <r>
    <x v="82"/>
    <s v="EGRX"/>
    <s v="New Jersey District Court"/>
    <s v="05/31/2016"/>
    <s v="08/01/2016"/>
    <x v="441"/>
    <s v="Individual"/>
    <x v="440"/>
    <s v="LIFO"/>
    <s v="EGRX.1.c"/>
    <m/>
    <m/>
    <m/>
    <m/>
    <x v="164"/>
    <s v="Uncontested"/>
    <s v="G-Ind"/>
    <x v="0"/>
  </r>
  <r>
    <x v="83"/>
    <s v="ETN"/>
    <s v="New York Southern District Court"/>
    <s v="07/22/2016"/>
    <s v="09/23/2016"/>
    <x v="254"/>
    <s v="Institution"/>
    <x v="441"/>
    <s v="FIFO"/>
    <s v="ETN.1"/>
    <n v="4"/>
    <n v="1"/>
    <n v="283462.5"/>
    <n v="2.834625E-2"/>
    <x v="84"/>
    <s v="Contested"/>
    <s v="Ins"/>
    <x v="1"/>
  </r>
  <r>
    <x v="83"/>
    <s v="ETN"/>
    <s v="New York Southern District Court"/>
    <s v="07/22/2016"/>
    <s v="09/23/2016"/>
    <x v="88"/>
    <s v="Institution"/>
    <x v="442"/>
    <s v="LIFO/FIFO"/>
    <s v="ETN.2"/>
    <m/>
    <n v="1"/>
    <n v="141641"/>
    <n v="1.4164099999999999E-2"/>
    <x v="165"/>
    <s v="Contested"/>
    <s v="Ins"/>
    <x v="1"/>
  </r>
  <r>
    <x v="83"/>
    <s v="ETN"/>
    <s v="New York Southern District Court"/>
    <s v="07/22/2016"/>
    <s v="09/23/2016"/>
    <x v="442"/>
    <s v="Institution"/>
    <x v="443"/>
    <s v="LIFO"/>
    <s v="ETN.3"/>
    <m/>
    <n v="1"/>
    <n v="1413191.47"/>
    <n v="0.14131914699999998"/>
    <x v="70"/>
    <s v="Contested"/>
    <s v="Ins"/>
    <x v="0"/>
  </r>
  <r>
    <x v="83"/>
    <s v="ETN"/>
    <s v="New York Southern District Court"/>
    <s v="07/22/2016"/>
    <s v="09/23/2016"/>
    <x v="443"/>
    <s v="Institution"/>
    <x v="444"/>
    <m/>
    <s v="ETN.4"/>
    <m/>
    <n v="1"/>
    <n v="1174799.28"/>
    <n v="0.117479928"/>
    <x v="46"/>
    <s v="Contested"/>
    <s v="Ins"/>
    <x v="0"/>
  </r>
  <r>
    <x v="84"/>
    <s v="EGLT"/>
    <s v="Pennsylvania Eastern District Court"/>
    <s v="01/27/2017"/>
    <s v="03/28/2017"/>
    <x v="444"/>
    <s v="Individual"/>
    <x v="445"/>
    <m/>
    <s v="EGLT.1.a"/>
    <n v="2"/>
    <n v="3"/>
    <n v="76177.929999999993"/>
    <n v="0.50785286666666662"/>
    <x v="166"/>
    <s v="Contested"/>
    <s v="G-Ind"/>
    <x v="0"/>
  </r>
  <r>
    <x v="84"/>
    <s v="EGLT"/>
    <s v="Pennsylvania Eastern District Court"/>
    <s v="01/27/2017"/>
    <s v="03/28/2017"/>
    <x v="445"/>
    <s v="Individual"/>
    <x v="446"/>
    <m/>
    <s v="EGLT.1.b"/>
    <m/>
    <m/>
    <m/>
    <m/>
    <x v="166"/>
    <s v="Contested"/>
    <s v="G-Ind"/>
    <x v="0"/>
  </r>
  <r>
    <x v="84"/>
    <s v="EGLT"/>
    <s v="Pennsylvania Eastern District Court"/>
    <s v="01/27/2017"/>
    <s v="03/28/2017"/>
    <x v="446"/>
    <s v="Individual"/>
    <x v="447"/>
    <m/>
    <s v="EGLT.1.c"/>
    <m/>
    <m/>
    <m/>
    <m/>
    <x v="166"/>
    <s v="Contested"/>
    <s v="G-Ind"/>
    <x v="0"/>
  </r>
  <r>
    <x v="84"/>
    <s v="EGLT"/>
    <s v="Pennsylvania Eastern District Court"/>
    <s v="01/27/2017"/>
    <s v="03/28/2017"/>
    <x v="447"/>
    <s v="Individual"/>
    <x v="448"/>
    <m/>
    <s v="EGLT.2.a"/>
    <m/>
    <n v="3"/>
    <n v="23744.98"/>
    <n v="0.15829986666666668"/>
    <x v="8"/>
    <s v="Contested"/>
    <s v="G-Ind"/>
    <x v="0"/>
  </r>
  <r>
    <x v="84"/>
    <s v="EGLT"/>
    <s v="Pennsylvania Eastern District Court"/>
    <s v="01/27/2017"/>
    <s v="03/28/2017"/>
    <x v="448"/>
    <s v="Individual"/>
    <x v="449"/>
    <m/>
    <s v="EGLT.2.b"/>
    <m/>
    <m/>
    <m/>
    <m/>
    <x v="8"/>
    <s v="Contested"/>
    <s v="G-Ind"/>
    <x v="0"/>
  </r>
  <r>
    <x v="84"/>
    <s v="EGLT"/>
    <s v="Pennsylvania Eastern District Court"/>
    <s v="01/27/2017"/>
    <s v="03/28/2017"/>
    <x v="449"/>
    <s v="Individual"/>
    <x v="450"/>
    <m/>
    <s v="EGLT.2.c"/>
    <m/>
    <m/>
    <m/>
    <m/>
    <x v="8"/>
    <s v="Contested"/>
    <s v="G-Ind"/>
    <x v="0"/>
  </r>
  <r>
    <x v="85"/>
    <s v="ERJ"/>
    <s v="New York Southern District Court"/>
    <s v="08/08/2016"/>
    <s v="10/07/2016"/>
    <x v="450"/>
    <s v="Institution"/>
    <x v="451"/>
    <m/>
    <s v="ERJ.1.a"/>
    <n v="2"/>
    <n v="2"/>
    <n v="209368"/>
    <n v="6.9789333333333342E-2"/>
    <x v="106"/>
    <s v="Contested"/>
    <s v="G-Ins"/>
    <x v="1"/>
  </r>
  <r>
    <x v="85"/>
    <s v="ERJ"/>
    <s v="New York Southern District Court"/>
    <s v="08/08/2016"/>
    <s v="10/07/2016"/>
    <x v="218"/>
    <s v="Institution"/>
    <x v="452"/>
    <m/>
    <s v="ERJ.1.b"/>
    <m/>
    <m/>
    <m/>
    <m/>
    <x v="106"/>
    <s v="Contested"/>
    <s v="G-Ins"/>
    <x v="1"/>
  </r>
  <r>
    <x v="85"/>
    <s v="ERJ"/>
    <s v="New York Southern District Court"/>
    <s v="08/08/2016"/>
    <s v="10/07/2016"/>
    <x v="451"/>
    <s v="Individual"/>
    <x v="453"/>
    <m/>
    <s v="ERJ.2"/>
    <m/>
    <n v="1"/>
    <n v="1475.64"/>
    <n v="4.9187999999999999E-4"/>
    <x v="8"/>
    <s v="Contested"/>
    <s v="Ind"/>
    <x v="0"/>
  </r>
  <r>
    <x v="86"/>
    <s v="EMC"/>
    <s v="Massachusetts District Court"/>
    <s v="10/30/2015"/>
    <s v="04/01/2016"/>
    <x v="452"/>
    <s v="Individual"/>
    <x v="5"/>
    <m/>
    <s v="EMC.1"/>
    <n v="1"/>
    <n v="1"/>
    <s v="***"/>
    <e v="#VALUE!"/>
    <x v="167"/>
    <s v="Uncontested"/>
    <s v="Ind"/>
    <x v="0"/>
  </r>
  <r>
    <x v="87"/>
    <s v="EBS"/>
    <s v="Maryland District Court"/>
    <s v="07/19/2016"/>
    <s v="09/19/2016"/>
    <x v="453"/>
    <s v="Institution"/>
    <x v="454"/>
    <m/>
    <s v="EBS.1.a"/>
    <n v="1"/>
    <n v="2"/>
    <n v="120738.98000000001"/>
    <n v="0.10976270909090909"/>
    <x v="168"/>
    <s v="Uncontested"/>
    <s v="G-Ins"/>
    <x v="0"/>
  </r>
  <r>
    <x v="87"/>
    <s v="EBS"/>
    <s v="Maryland District Court"/>
    <s v="07/19/2016"/>
    <s v="09/19/2016"/>
    <x v="454"/>
    <s v="Institution"/>
    <x v="455"/>
    <m/>
    <s v="EBS.1.b"/>
    <m/>
    <m/>
    <m/>
    <m/>
    <x v="168"/>
    <s v="Uncontested"/>
    <s v="G-Ins"/>
    <x v="0"/>
  </r>
  <r>
    <x v="88"/>
    <s v="ENDP"/>
    <s v="New York Southern District Court"/>
    <s v="05/25/2016"/>
    <s v="07/25/2016"/>
    <x v="455"/>
    <s v="Individual"/>
    <x v="456"/>
    <s v="LIFO/FIFO"/>
    <s v="ENDP.6"/>
    <n v="5"/>
    <n v="1"/>
    <n v="78930.62"/>
    <n v="1.7540137777777777E-2"/>
    <x v="115"/>
    <s v="Contested"/>
    <s v="Ind"/>
    <x v="0"/>
  </r>
  <r>
    <x v="88"/>
    <s v="ENDP"/>
    <s v="New York Southern District Court"/>
    <s v="05/25/2016"/>
    <s v="07/25/2016"/>
    <x v="456"/>
    <s v="Institution"/>
    <x v="457"/>
    <s v="LIFO/FIFO"/>
    <s v="ENDP.1.a"/>
    <m/>
    <n v="2"/>
    <n v="2053834.8399999999"/>
    <n v="0.45640774222222225"/>
    <x v="169"/>
    <s v="Contested"/>
    <s v="G-Ins"/>
    <x v="1"/>
  </r>
  <r>
    <x v="88"/>
    <s v="ENDP"/>
    <s v="New York Southern District Court"/>
    <s v="05/25/2016"/>
    <s v="07/25/2016"/>
    <x v="457"/>
    <s v="Institution"/>
    <x v="458"/>
    <s v="LIFO/FIFO"/>
    <s v="ENDP.1.b"/>
    <m/>
    <m/>
    <m/>
    <m/>
    <x v="169"/>
    <s v="Contested"/>
    <s v="G-Ins"/>
    <x v="0"/>
  </r>
  <r>
    <x v="88"/>
    <s v="ENDP"/>
    <s v="New York Southern District Court"/>
    <s v="05/25/2016"/>
    <s v="07/25/2016"/>
    <x v="458"/>
    <s v="Individual"/>
    <x v="459"/>
    <m/>
    <s v="ENDP.7"/>
    <m/>
    <n v="1"/>
    <n v="116943"/>
    <n v="2.5987333333333335E-2"/>
    <x v="44"/>
    <s v="Contested"/>
    <s v="Ind"/>
    <x v="0"/>
  </r>
  <r>
    <x v="88"/>
    <s v="ENDP"/>
    <s v="New York Southern District Court"/>
    <s v="05/25/2016"/>
    <s v="07/25/2016"/>
    <x v="2"/>
    <s v="Institution"/>
    <x v="460"/>
    <s v="FIFO/LIFO"/>
    <s v="ENDP.2"/>
    <m/>
    <n v="1"/>
    <n v="1646120.68"/>
    <n v="0.3658045955555555"/>
    <x v="133"/>
    <s v="Contested"/>
    <s v="Ins"/>
    <x v="1"/>
  </r>
  <r>
    <x v="88"/>
    <s v="ENDP"/>
    <s v="New York Southern District Court"/>
    <s v="05/25/2016"/>
    <s v="07/25/2016"/>
    <x v="459"/>
    <s v="Individual"/>
    <x v="461"/>
    <m/>
    <s v="ENDP.3"/>
    <m/>
    <n v="1"/>
    <n v="71400.89"/>
    <n v="1.5866864444444444E-2"/>
    <x v="10"/>
    <s v="Contested"/>
    <s v="Ind"/>
    <x v="0"/>
  </r>
  <r>
    <x v="88"/>
    <s v="ENDP"/>
    <s v="New York Southern District Court"/>
    <s v="05/25/2016"/>
    <s v="07/25/2016"/>
    <x v="460"/>
    <s v="Individual"/>
    <x v="462"/>
    <m/>
    <s v="ENDP.4"/>
    <m/>
    <n v="1"/>
    <n v="323959"/>
    <n v="7.1990888888888896E-2"/>
    <x v="97"/>
    <s v="Contested"/>
    <s v="Ind"/>
    <x v="0"/>
  </r>
  <r>
    <x v="88"/>
    <s v="ENDP"/>
    <s v="New York Southern District Court"/>
    <s v="05/25/2016"/>
    <s v="07/25/2016"/>
    <x v="461"/>
    <s v="Institution"/>
    <x v="463"/>
    <m/>
    <s v="ENDP.5.a"/>
    <m/>
    <n v="2"/>
    <n v="3239923.61"/>
    <n v="0.7199830244444444"/>
    <x v="46"/>
    <s v="Contested"/>
    <s v="G-Ins"/>
    <x v="0"/>
  </r>
  <r>
    <x v="88"/>
    <s v="ENDP"/>
    <s v="New York Southern District Court"/>
    <s v="05/25/2016"/>
    <s v="07/25/2016"/>
    <x v="462"/>
    <s v="Institution"/>
    <x v="464"/>
    <m/>
    <s v="ENDP.5.b"/>
    <m/>
    <m/>
    <m/>
    <m/>
    <x v="46"/>
    <s v="Contested"/>
    <s v="G-Ins"/>
    <x v="0"/>
  </r>
  <r>
    <x v="89"/>
    <s v="ELGX"/>
    <s v="California Central District Court"/>
    <s v="01/03/2017"/>
    <s v="03/06/2017"/>
    <x v="463"/>
    <s v="Individual"/>
    <x v="465"/>
    <m/>
    <s v="ELGX.1.a"/>
    <n v="2"/>
    <n v="2"/>
    <n v="22818"/>
    <n v="4.5636000000000003E-2"/>
    <x v="97"/>
    <s v="Contested"/>
    <s v="G-Ind"/>
    <x v="0"/>
  </r>
  <r>
    <x v="89"/>
    <s v="ELGX"/>
    <s v="California Central District Court"/>
    <s v="01/03/2017"/>
    <s v="03/06/2017"/>
    <x v="464"/>
    <s v="Individual"/>
    <x v="466"/>
    <m/>
    <s v="ELGX.1.b"/>
    <m/>
    <m/>
    <m/>
    <m/>
    <x v="97"/>
    <s v="Contested"/>
    <s v="G-Ind"/>
    <x v="0"/>
  </r>
  <r>
    <x v="89"/>
    <s v="ELGX"/>
    <s v="California Central District Court"/>
    <s v="01/03/2017"/>
    <s v="03/06/2017"/>
    <x v="465"/>
    <s v="Individual"/>
    <x v="467"/>
    <m/>
    <s v="ELGX.2"/>
    <m/>
    <n v="1"/>
    <n v="73751.23"/>
    <n v="0.14750246"/>
    <x v="8"/>
    <s v="Contested"/>
    <s v="Ind"/>
    <x v="0"/>
  </r>
  <r>
    <x v="90"/>
    <s v="ETP"/>
    <s v="Delaware District Court"/>
    <s v="01/13/2017"/>
    <s v="03/27/2017"/>
    <x v="466"/>
    <s v="Individual"/>
    <x v="468"/>
    <s v="Group Holdings"/>
    <s v="ETP.1.a"/>
    <n v="1"/>
    <n v="3"/>
    <n v="47914"/>
    <e v="#VALUE!"/>
    <x v="132"/>
    <s v="Uncontested"/>
    <s v="G-Ind"/>
    <x v="0"/>
  </r>
  <r>
    <x v="90"/>
    <s v="ETP"/>
    <s v="Delaware District Court"/>
    <s v="01/13/2017"/>
    <s v="03/27/2017"/>
    <x v="467"/>
    <s v="Individual"/>
    <x v="5"/>
    <m/>
    <s v="ETP.1.b"/>
    <m/>
    <m/>
    <m/>
    <m/>
    <x v="132"/>
    <s v="Uncontested"/>
    <s v="G-Ind"/>
    <x v="1"/>
  </r>
  <r>
    <x v="90"/>
    <s v="ETP"/>
    <s v="Delaware District Court"/>
    <s v="01/13/2017"/>
    <s v="03/27/2017"/>
    <x v="468"/>
    <s v="Individual"/>
    <x v="5"/>
    <m/>
    <s v="ETP.1.c"/>
    <m/>
    <m/>
    <m/>
    <m/>
    <x v="132"/>
    <s v="Uncontested"/>
    <s v="G-Ind"/>
    <x v="0"/>
  </r>
  <r>
    <x v="91"/>
    <s v="ERBA"/>
    <s v="Florida Southern District Court"/>
    <s v="12/02/2015"/>
    <s v="02/01/2016"/>
    <x v="469"/>
    <s v="Individual"/>
    <x v="5"/>
    <m/>
    <s v="ERBA.1"/>
    <n v="2"/>
    <n v="1"/>
    <s v="***"/>
    <e v="#VALUE!"/>
    <x v="72"/>
    <s v="Contested"/>
    <s v="Ind"/>
    <x v="0"/>
  </r>
  <r>
    <x v="91"/>
    <s v="ERBA"/>
    <s v="Florida Southern District Court"/>
    <s v="12/02/2015"/>
    <s v="02/01/2016"/>
    <x v="470"/>
    <s v="Individual"/>
    <x v="5"/>
    <m/>
    <s v="ERBA.2"/>
    <m/>
    <n v="1"/>
    <s v="***"/>
    <e v="#VALUE!"/>
    <x v="106"/>
    <s v="Contested"/>
    <s v="Ind"/>
    <x v="0"/>
  </r>
  <r>
    <x v="92"/>
    <s v="EROS"/>
    <s v="New York Southern District Court"/>
    <s v="11/13/2015"/>
    <s v="01/12/2016"/>
    <x v="471"/>
    <s v="Institution"/>
    <x v="469"/>
    <m/>
    <s v="EROS.1"/>
    <n v="6"/>
    <n v="1"/>
    <n v="165837.10999999999"/>
    <n v="0.92131727777777761"/>
    <x v="84"/>
    <s v="Contested"/>
    <s v="Ins"/>
    <x v="1"/>
  </r>
  <r>
    <x v="92"/>
    <s v="EROS"/>
    <s v="New York Southern District Court"/>
    <s v="11/13/2015"/>
    <s v="01/12/2016"/>
    <x v="472"/>
    <s v="Individual"/>
    <x v="470"/>
    <m/>
    <s v="EROS.2.a"/>
    <m/>
    <n v="2"/>
    <n v="368516.87"/>
    <n v="2.0473159444444446"/>
    <x v="1"/>
    <s v="Contested"/>
    <s v="G-Ind"/>
    <x v="0"/>
  </r>
  <r>
    <x v="92"/>
    <s v="EROS"/>
    <s v="New York Southern District Court"/>
    <s v="11/13/2015"/>
    <s v="01/12/2016"/>
    <x v="473"/>
    <s v="Individual"/>
    <x v="471"/>
    <m/>
    <s v="EROS.2.b"/>
    <m/>
    <m/>
    <m/>
    <m/>
    <x v="1"/>
    <s v="Contested"/>
    <s v="G-Ind"/>
    <x v="0"/>
  </r>
  <r>
    <x v="92"/>
    <s v="EROS"/>
    <s v="New York Southern District Court"/>
    <s v="11/13/2015"/>
    <s v="01/12/2016"/>
    <x v="474"/>
    <s v="Individual"/>
    <x v="472"/>
    <s v="LIFO"/>
    <s v="EROS.3"/>
    <m/>
    <n v="1"/>
    <n v="117661"/>
    <n v="0.65367222222222221"/>
    <x v="164"/>
    <s v="Contested"/>
    <s v="Ind"/>
    <x v="0"/>
  </r>
  <r>
    <x v="92"/>
    <s v="EROS"/>
    <s v="New York Southern District Court"/>
    <s v="11/13/2015"/>
    <s v="01/12/2016"/>
    <x v="475"/>
    <s v="Individual"/>
    <x v="473"/>
    <s v="LIFO"/>
    <s v="EROS.4.a"/>
    <m/>
    <n v="2"/>
    <n v="1304985.3500000001"/>
    <n v="7.2499186111111111"/>
    <x v="70"/>
    <s v="Contested"/>
    <s v="G-Ind"/>
    <x v="0"/>
  </r>
  <r>
    <x v="92"/>
    <s v="EROS"/>
    <s v="New York Southern District Court"/>
    <s v="11/13/2015"/>
    <s v="01/12/2016"/>
    <x v="476"/>
    <s v="Individual"/>
    <x v="474"/>
    <s v="LIFO"/>
    <s v="EROS.4.b"/>
    <m/>
    <m/>
    <m/>
    <m/>
    <x v="70"/>
    <s v="Contested"/>
    <s v="G-Ind"/>
    <x v="0"/>
  </r>
  <r>
    <x v="92"/>
    <s v="EROS"/>
    <s v="New York Southern District Court"/>
    <s v="11/13/2015"/>
    <s v="01/12/2016"/>
    <x v="477"/>
    <s v="Institution"/>
    <x v="475"/>
    <m/>
    <s v="EROS.5"/>
    <m/>
    <n v="1"/>
    <n v="721033.63"/>
    <n v="4.0057423888888888"/>
    <x v="29"/>
    <s v="Contested"/>
    <s v="Ins"/>
    <x v="0"/>
  </r>
  <r>
    <x v="92"/>
    <s v="EROS"/>
    <s v="New York Southern District Court"/>
    <s v="11/13/2015"/>
    <s v="01/12/2016"/>
    <x v="478"/>
    <s v="Individual"/>
    <x v="476"/>
    <m/>
    <s v="EROS.6"/>
    <m/>
    <n v="1"/>
    <n v="3393877.05"/>
    <n v="18.854872499999999"/>
    <x v="8"/>
    <s v="Contested"/>
    <s v="Ind"/>
    <x v="0"/>
  </r>
  <r>
    <x v="93"/>
    <s v="ESPR"/>
    <s v="Michigan Eastern District"/>
    <s v="01/12/2016"/>
    <s v="03/14/2016"/>
    <x v="479"/>
    <s v="Individual"/>
    <x v="477"/>
    <m/>
    <s v="ESPR.1"/>
    <n v="5"/>
    <n v="1"/>
    <n v="161169.89000000001"/>
    <n v="0.10744659333333335"/>
    <x v="170"/>
    <s v="Contested"/>
    <s v="Ind"/>
    <x v="0"/>
  </r>
  <r>
    <x v="93"/>
    <s v="ESPR"/>
    <s v="Michigan Eastern District"/>
    <s v="01/12/2016"/>
    <s v="03/14/2016"/>
    <x v="480"/>
    <s v="Individual"/>
    <x v="478"/>
    <m/>
    <s v="ESPR.2.a"/>
    <m/>
    <n v="2"/>
    <n v="223600.58000000002"/>
    <n v="0.14906705333333334"/>
    <x v="171"/>
    <s v="Contested"/>
    <s v="G-Ind"/>
    <x v="0"/>
  </r>
  <r>
    <x v="93"/>
    <s v="ESPR"/>
    <s v="Michigan Eastern District"/>
    <s v="01/12/2016"/>
    <s v="03/14/2016"/>
    <x v="481"/>
    <s v="Individual"/>
    <x v="479"/>
    <m/>
    <s v="ESPR.2.b"/>
    <m/>
    <m/>
    <m/>
    <m/>
    <x v="171"/>
    <s v="Contested"/>
    <s v="G-Ind"/>
    <x v="0"/>
  </r>
  <r>
    <x v="93"/>
    <s v="ESPR"/>
    <s v="Michigan Eastern District"/>
    <s v="01/12/2016"/>
    <s v="03/14/2016"/>
    <x v="482"/>
    <s v="Individual"/>
    <x v="480"/>
    <s v="FIFO/LIFO"/>
    <s v="ESPR.3.a"/>
    <m/>
    <n v="2"/>
    <n v="191292"/>
    <n v="0.127528"/>
    <x v="172"/>
    <s v="Contested"/>
    <s v="G-Ind"/>
    <x v="1"/>
  </r>
  <r>
    <x v="93"/>
    <s v="ESPR"/>
    <s v="Michigan Eastern District"/>
    <s v="01/12/2016"/>
    <s v="03/14/2016"/>
    <x v="483"/>
    <s v="Individual"/>
    <x v="481"/>
    <s v="FIFO/LIFO"/>
    <s v="ESPR.3.b"/>
    <m/>
    <m/>
    <m/>
    <m/>
    <x v="172"/>
    <s v="Contested"/>
    <s v="G-Ind"/>
    <x v="1"/>
  </r>
  <r>
    <x v="93"/>
    <s v="ESPR"/>
    <s v="Michigan Eastern District"/>
    <s v="01/12/2016"/>
    <s v="03/14/2016"/>
    <x v="484"/>
    <s v="Individual"/>
    <x v="482"/>
    <m/>
    <s v="ESPR.4"/>
    <m/>
    <n v="1"/>
    <n v="29732.21"/>
    <n v="1.9821473333333332E-2"/>
    <x v="173"/>
    <s v="Contested"/>
    <s v="Ind"/>
    <x v="0"/>
  </r>
  <r>
    <x v="93"/>
    <s v="ESPR"/>
    <s v="Michigan Eastern District"/>
    <s v="01/12/2016"/>
    <s v="03/14/2016"/>
    <x v="485"/>
    <s v="Individual"/>
    <x v="483"/>
    <s v="LIFO"/>
    <s v="ESPR.5"/>
    <m/>
    <n v="1"/>
    <n v="22020.28"/>
    <n v="1.4680186666666666E-2"/>
    <x v="20"/>
    <s v="Contested"/>
    <s v="Ind"/>
    <x v="0"/>
  </r>
  <r>
    <x v="94"/>
    <s v="ESRX"/>
    <s v="New York Southern District Court"/>
    <s v="05/04/2016"/>
    <s v="07/05/2016"/>
    <x v="486"/>
    <s v="Institution"/>
    <x v="484"/>
    <s v="FIFO LIFO"/>
    <s v="ESRX.1.a"/>
    <n v="4"/>
    <n v="3"/>
    <n v="1764635"/>
    <n v="5.0418142857142856E-2"/>
    <x v="174"/>
    <s v="Contested"/>
    <s v="G-Ins"/>
    <x v="0"/>
  </r>
  <r>
    <x v="94"/>
    <s v="ESRX"/>
    <s v="New York Southern District Court"/>
    <s v="05/04/2016"/>
    <s v="07/05/2016"/>
    <x v="487"/>
    <s v="Institution"/>
    <x v="485"/>
    <s v="FIFO LIFO"/>
    <s v="ESRX.1.b"/>
    <m/>
    <m/>
    <m/>
    <m/>
    <x v="174"/>
    <s v="Contested"/>
    <s v="G-Ins"/>
    <x v="0"/>
  </r>
  <r>
    <x v="94"/>
    <s v="ESRX"/>
    <s v="New York Southern District Court"/>
    <s v="05/04/2016"/>
    <s v="07/05/2016"/>
    <x v="52"/>
    <s v="Institution"/>
    <x v="486"/>
    <s v="FIFO LIFO"/>
    <s v="ESRX.1.c"/>
    <m/>
    <m/>
    <m/>
    <m/>
    <x v="174"/>
    <s v="Contested"/>
    <s v="G-Ins"/>
    <x v="1"/>
  </r>
  <r>
    <x v="94"/>
    <s v="ESRX"/>
    <s v="New York Southern District Court"/>
    <s v="05/04/2016"/>
    <s v="07/05/2016"/>
    <x v="488"/>
    <s v="Institution"/>
    <x v="487"/>
    <s v="FIFO"/>
    <s v="ESRX.2"/>
    <m/>
    <n v="1"/>
    <n v="50123636.979999997"/>
    <n v="1.4321039137142857"/>
    <x v="84"/>
    <s v="Contested"/>
    <s v="Ins"/>
    <x v="1"/>
  </r>
  <r>
    <x v="94"/>
    <s v="ESRX"/>
    <s v="New York Southern District Court"/>
    <s v="05/04/2016"/>
    <s v="07/05/2016"/>
    <x v="489"/>
    <s v="Institution"/>
    <x v="488"/>
    <s v="Dura LIFO"/>
    <s v="ESRX.3"/>
    <m/>
    <n v="1"/>
    <n v="1284592.46"/>
    <n v="3.6702641714285715E-2"/>
    <x v="70"/>
    <s v="Contested"/>
    <s v="Ins"/>
    <x v="1"/>
  </r>
  <r>
    <x v="94"/>
    <s v="ESRX"/>
    <s v="New York Southern District Court"/>
    <s v="05/04/2016"/>
    <s v="07/05/2016"/>
    <x v="490"/>
    <s v="Institution"/>
    <x v="489"/>
    <m/>
    <s v="ESRX.4"/>
    <m/>
    <n v="1"/>
    <n v="835557.29"/>
    <n v="2.3873065428571431E-2"/>
    <x v="175"/>
    <s v="Contested"/>
    <s v="Ins"/>
    <x v="1"/>
  </r>
  <r>
    <x v="95"/>
    <s v="XOM"/>
    <s v="Texas Northern District Court"/>
    <s v="11/07/2016"/>
    <s v="01/06/2017"/>
    <x v="224"/>
    <s v="Institution"/>
    <x v="490"/>
    <m/>
    <s v="XOM.1"/>
    <n v="1"/>
    <n v="1"/>
    <n v="54831.47"/>
    <n v="1.8277156666666667E-3"/>
    <x v="176"/>
    <s v="Uncontested"/>
    <s v="Ins"/>
    <x v="1"/>
  </r>
  <r>
    <x v="96"/>
    <s v="FB"/>
    <s v="California Central District Court"/>
    <s v="01/27/2017"/>
    <s v="03/28/2017"/>
    <x v="491"/>
    <s v="Individual"/>
    <x v="491"/>
    <m/>
    <s v="FB.1.a"/>
    <n v="1"/>
    <n v="2"/>
    <n v="110423.41"/>
    <n v="2.2084682E-3"/>
    <x v="151"/>
    <s v="Uncontested"/>
    <s v="G-Ind"/>
    <x v="0"/>
  </r>
  <r>
    <x v="96"/>
    <s v="FB"/>
    <s v="California Central District Court"/>
    <s v="01/27/2017"/>
    <s v="03/28/2017"/>
    <x v="492"/>
    <s v="Individual"/>
    <x v="492"/>
    <m/>
    <s v="FB.1.b"/>
    <m/>
    <m/>
    <m/>
    <m/>
    <x v="151"/>
    <s v="Uncontested"/>
    <s v="G-Ind"/>
    <x v="0"/>
  </r>
  <r>
    <x v="97"/>
    <s v="FEIC"/>
    <s v="Oregon District Court"/>
    <s v="09/09/2016"/>
    <s v="11/08/2016"/>
    <x v="493"/>
    <s v="Institution"/>
    <x v="5"/>
    <m/>
    <s v="FEIC.1"/>
    <n v="1"/>
    <n v="1"/>
    <s v="***"/>
    <e v="#VALUE!"/>
    <x v="177"/>
    <s v="Uncontested"/>
    <s v="Ins"/>
    <x v="0"/>
  </r>
  <r>
    <x v="98"/>
    <s v="FENX"/>
    <s v="New Jersey District Court"/>
    <s v="01/12/2017"/>
    <s v="03/13/2017"/>
    <x v="494"/>
    <s v="Individual"/>
    <x v="493"/>
    <m/>
    <s v="FENX.1.a"/>
    <n v="2"/>
    <n v="3"/>
    <n v="38362.25"/>
    <n v="0.38362249999999998"/>
    <x v="178"/>
    <s v="Contested"/>
    <s v="G-Ind"/>
    <x v="0"/>
  </r>
  <r>
    <x v="98"/>
    <s v="FENX"/>
    <s v="New Jersey District Court"/>
    <s v="01/12/2017"/>
    <s v="03/13/2017"/>
    <x v="495"/>
    <s v="Individual"/>
    <x v="494"/>
    <m/>
    <s v="FENX.1.b"/>
    <m/>
    <m/>
    <m/>
    <m/>
    <x v="178"/>
    <s v="Contested"/>
    <s v="G-Ind"/>
    <x v="0"/>
  </r>
  <r>
    <x v="98"/>
    <s v="FENX"/>
    <s v="New Jersey District Court"/>
    <s v="01/12/2017"/>
    <s v="03/13/2017"/>
    <x v="496"/>
    <s v="Individual"/>
    <x v="495"/>
    <m/>
    <s v="FENX.1.c"/>
    <m/>
    <m/>
    <m/>
    <m/>
    <x v="178"/>
    <s v="Contested"/>
    <s v="G-Ind"/>
    <x v="0"/>
  </r>
  <r>
    <x v="98"/>
    <s v="FENX"/>
    <s v="New Jersey District Court"/>
    <s v="01/12/2017"/>
    <s v="03/13/2017"/>
    <x v="497"/>
    <s v="Individual"/>
    <x v="496"/>
    <m/>
    <s v="FENX.2"/>
    <m/>
    <n v="1"/>
    <n v="23091.82"/>
    <n v="0.23091819999999999"/>
    <x v="8"/>
    <s v="Contested"/>
    <s v="Ind"/>
    <x v="0"/>
  </r>
  <r>
    <x v="99"/>
    <s v="FGP"/>
    <s v="New York Southern District Court"/>
    <s v="10/06/2016"/>
    <s v="12/05/2016"/>
    <x v="498"/>
    <s v="Individual"/>
    <x v="497"/>
    <m/>
    <s v="FGP.1.a"/>
    <n v="6"/>
    <n v="4"/>
    <n v="1049313.9100000001"/>
    <n v="0.48805298139534892"/>
    <x v="151"/>
    <s v="Contested"/>
    <s v="G-Ind"/>
    <x v="0"/>
  </r>
  <r>
    <x v="99"/>
    <s v="FGP"/>
    <s v="New York Southern District Court"/>
    <s v="10/06/2016"/>
    <s v="12/05/2016"/>
    <x v="499"/>
    <s v="Individual"/>
    <x v="498"/>
    <m/>
    <s v="FGP.1.b"/>
    <m/>
    <m/>
    <m/>
    <m/>
    <x v="151"/>
    <s v="Contested"/>
    <s v="G-Ind"/>
    <x v="0"/>
  </r>
  <r>
    <x v="99"/>
    <s v="FGP"/>
    <s v="New York Southern District Court"/>
    <s v="10/06/2016"/>
    <s v="12/05/2016"/>
    <x v="500"/>
    <s v="Individual"/>
    <x v="499"/>
    <m/>
    <s v="FGP.1.c"/>
    <m/>
    <m/>
    <m/>
    <m/>
    <x v="151"/>
    <s v="Contested"/>
    <s v="G-Ind"/>
    <x v="0"/>
  </r>
  <r>
    <x v="99"/>
    <s v="FGP"/>
    <s v="New York Southern District Court"/>
    <s v="10/06/2016"/>
    <s v="12/05/2016"/>
    <x v="501"/>
    <s v="Individual"/>
    <x v="500"/>
    <m/>
    <s v="FGP.1.d"/>
    <m/>
    <m/>
    <m/>
    <m/>
    <x v="151"/>
    <s v="Contested"/>
    <s v="G-Ind"/>
    <x v="0"/>
  </r>
  <r>
    <x v="99"/>
    <s v="FGP"/>
    <s v="New York Southern District Court"/>
    <s v="10/06/2016"/>
    <s v="12/05/2016"/>
    <x v="502"/>
    <s v="Individual"/>
    <x v="501"/>
    <s v="LIFO"/>
    <s v="FGP.2"/>
    <m/>
    <n v="1"/>
    <n v="1"/>
    <n v="130809.5"/>
    <x v="26"/>
    <s v="Contested"/>
    <s v="Ind"/>
    <x v="0"/>
  </r>
  <r>
    <x v="99"/>
    <s v="FGP"/>
    <s v="New York Southern District Court"/>
    <s v="10/06/2016"/>
    <s v="12/05/2016"/>
    <x v="503"/>
    <s v="Individual"/>
    <x v="502"/>
    <s v="LIFO"/>
    <s v="FGP.3.a"/>
    <m/>
    <n v="4"/>
    <n v="758295"/>
    <n v="0.35269534883720932"/>
    <x v="179"/>
    <s v="Contested"/>
    <s v="G-Ind"/>
    <x v="0"/>
  </r>
  <r>
    <x v="99"/>
    <s v="FGP"/>
    <s v="New York Southern District Court"/>
    <s v="10/06/2016"/>
    <s v="12/05/2016"/>
    <x v="504"/>
    <s v="Individual"/>
    <x v="503"/>
    <s v="LIFO"/>
    <s v="FGP.3.b"/>
    <m/>
    <m/>
    <m/>
    <m/>
    <x v="179"/>
    <s v="Contested"/>
    <s v="G-Ind"/>
    <x v="0"/>
  </r>
  <r>
    <x v="99"/>
    <s v="FGP"/>
    <s v="New York Southern District Court"/>
    <s v="10/06/2016"/>
    <s v="12/05/2016"/>
    <x v="505"/>
    <s v="Individual"/>
    <x v="504"/>
    <s v="LIFO"/>
    <s v="FGP.3.c"/>
    <m/>
    <m/>
    <m/>
    <m/>
    <x v="179"/>
    <s v="Contested"/>
    <s v="G-Ind"/>
    <x v="0"/>
  </r>
  <r>
    <x v="99"/>
    <s v="FGP"/>
    <s v="New York Southern District Court"/>
    <s v="10/06/2016"/>
    <s v="12/05/2016"/>
    <x v="506"/>
    <s v="Individual"/>
    <x v="505"/>
    <s v="LIFO"/>
    <s v="FGP.3.d"/>
    <m/>
    <m/>
    <m/>
    <m/>
    <x v="179"/>
    <s v="Contested"/>
    <s v="G-Ind"/>
    <x v="0"/>
  </r>
  <r>
    <x v="99"/>
    <s v="FGP"/>
    <s v="New York Southern District Court"/>
    <s v="10/06/2016"/>
    <s v="12/05/2016"/>
    <x v="507"/>
    <s v="Individual"/>
    <x v="506"/>
    <m/>
    <s v="FGP.4"/>
    <m/>
    <n v="1"/>
    <n v="370663.04"/>
    <n v="0.17240141395348837"/>
    <x v="69"/>
    <s v="Contested"/>
    <s v="Ind"/>
    <x v="0"/>
  </r>
  <r>
    <x v="99"/>
    <s v="FGP"/>
    <s v="New York Southern District Court"/>
    <s v="10/06/2016"/>
    <s v="12/05/2016"/>
    <x v="508"/>
    <s v="Individual"/>
    <x v="507"/>
    <m/>
    <s v="FGP.5"/>
    <m/>
    <n v="1"/>
    <n v="212937.15"/>
    <n v="9.9040534883720929E-2"/>
    <x v="44"/>
    <s v="Contested"/>
    <s v="Ind"/>
    <x v="0"/>
  </r>
  <r>
    <x v="99"/>
    <s v="FGP"/>
    <s v="New York Southern District Court"/>
    <s v="10/06/2016"/>
    <s v="12/05/2016"/>
    <x v="509"/>
    <s v="Individual"/>
    <x v="508"/>
    <s v="FIFO/LIFO"/>
    <s v="FGP.6.a"/>
    <m/>
    <n v="5"/>
    <n v="1123788.18"/>
    <n v="0.522692176744186"/>
    <x v="133"/>
    <s v="Contested"/>
    <s v="G-Mix"/>
    <x v="0"/>
  </r>
  <r>
    <x v="99"/>
    <s v="FGP"/>
    <s v="New York Southern District Court"/>
    <s v="10/06/2016"/>
    <s v="12/05/2016"/>
    <x v="510"/>
    <s v="Individual"/>
    <x v="509"/>
    <s v="FIFO/LIFO"/>
    <s v="FGP.6.b"/>
    <m/>
    <m/>
    <m/>
    <m/>
    <x v="133"/>
    <s v="Contested"/>
    <s v="G-Mix"/>
    <x v="0"/>
  </r>
  <r>
    <x v="99"/>
    <s v="FGP"/>
    <s v="New York Southern District Court"/>
    <s v="10/06/2016"/>
    <s v="12/05/2016"/>
    <x v="511"/>
    <s v="Individual"/>
    <x v="510"/>
    <s v="FIFO/LIFO"/>
    <s v="FGP.6.c"/>
    <m/>
    <m/>
    <m/>
    <m/>
    <x v="133"/>
    <s v="Contested"/>
    <s v="G-Mix"/>
    <x v="0"/>
  </r>
  <r>
    <x v="99"/>
    <s v="FGP"/>
    <s v="New York Southern District Court"/>
    <s v="10/06/2016"/>
    <s v="12/05/2016"/>
    <x v="512"/>
    <s v="Institution"/>
    <x v="511"/>
    <s v="FIFO/LIFO"/>
    <s v="FGP.6.d"/>
    <m/>
    <m/>
    <m/>
    <m/>
    <x v="133"/>
    <s v="Contested"/>
    <s v="G-Mix"/>
    <x v="0"/>
  </r>
  <r>
    <x v="99"/>
    <s v="FGP"/>
    <s v="New York Southern District Court"/>
    <s v="10/06/2016"/>
    <s v="12/05/2016"/>
    <x v="513"/>
    <m/>
    <x v="512"/>
    <s v="FIFO/LIFO"/>
    <s v="FGP.6.e"/>
    <m/>
    <m/>
    <m/>
    <m/>
    <x v="133"/>
    <s v="Contested"/>
    <s v="G-Mix"/>
    <x v="0"/>
  </r>
  <r>
    <x v="100"/>
    <s v="FCAU"/>
    <s v="Michigan Eastern District"/>
    <s v="07/29/2016"/>
    <s v="09/27/2016"/>
    <x v="514"/>
    <s v="Individual"/>
    <x v="513"/>
    <m/>
    <s v="FCAU.1"/>
    <n v="3"/>
    <n v="1"/>
    <n v="130758.99"/>
    <n v="1.8679855714285713E-2"/>
    <x v="170"/>
    <s v="Contested"/>
    <s v="Ind"/>
    <x v="0"/>
  </r>
  <r>
    <x v="100"/>
    <s v="FCAU"/>
    <s v="Michigan Eastern District"/>
    <s v="07/29/2016"/>
    <s v="09/27/2016"/>
    <x v="515"/>
    <s v="Individual"/>
    <x v="514"/>
    <m/>
    <s v="FCAU.2.a"/>
    <m/>
    <n v="2"/>
    <n v="246124.82"/>
    <n v="3.5160688571428574E-2"/>
    <x v="180"/>
    <s v="Contested"/>
    <s v="G-Ind"/>
    <x v="0"/>
  </r>
  <r>
    <x v="100"/>
    <s v="FCAU"/>
    <s v="Michigan Eastern District"/>
    <s v="07/29/2016"/>
    <s v="09/27/2016"/>
    <x v="516"/>
    <s v="Individual"/>
    <x v="515"/>
    <s v="See loss chart"/>
    <s v="FCAU.2.b"/>
    <m/>
    <m/>
    <m/>
    <m/>
    <x v="180"/>
    <s v="Contested"/>
    <s v="G-Ind"/>
    <x v="0"/>
  </r>
  <r>
    <x v="100"/>
    <s v="FCAU"/>
    <s v="Michigan Eastern District"/>
    <s v="07/29/2016"/>
    <s v="09/27/2016"/>
    <x v="517"/>
    <s v="Individual"/>
    <x v="516"/>
    <m/>
    <s v="FCAU.3"/>
    <m/>
    <n v="1"/>
    <n v="11770.5"/>
    <n v="1.6815000000000001E-3"/>
    <x v="173"/>
    <s v="Contested"/>
    <s v="Ind"/>
    <x v="0"/>
  </r>
  <r>
    <x v="101"/>
    <s v="FSAM"/>
    <s v="New York Southern District Court"/>
    <s v="01/07/2016"/>
    <s v="03/07/2016"/>
    <x v="518"/>
    <s v="Individual"/>
    <x v="517"/>
    <m/>
    <s v="FSAM.1"/>
    <n v="3"/>
    <n v="1"/>
    <n v="215265.25"/>
    <n v="0.26908156250000004"/>
    <x v="1"/>
    <s v="Contested"/>
    <s v="Ind"/>
    <x v="0"/>
  </r>
  <r>
    <x v="101"/>
    <s v="FSAM"/>
    <s v="New York Southern District Court"/>
    <s v="01/07/2016"/>
    <s v="03/07/2016"/>
    <x v="519"/>
    <s v="Individual"/>
    <x v="518"/>
    <s v="FIFO/LIFO"/>
    <s v="FSAM.2"/>
    <m/>
    <n v="1"/>
    <n v="128045.84"/>
    <n v="0.16005729999999999"/>
    <x v="119"/>
    <s v="Contested"/>
    <s v="Ind"/>
    <x v="0"/>
  </r>
  <r>
    <x v="101"/>
    <s v="FSAM"/>
    <s v="New York Southern District Court"/>
    <s v="01/07/2016"/>
    <s v="03/07/2016"/>
    <x v="520"/>
    <s v="Individual"/>
    <x v="519"/>
    <m/>
    <s v="FSAM.3"/>
    <m/>
    <n v="1"/>
    <n v="65000"/>
    <n v="8.1250000000000003E-2"/>
    <x v="8"/>
    <s v="Contested"/>
    <s v="Ind"/>
    <x v="0"/>
  </r>
  <r>
    <x v="102"/>
    <s v="FNBCQ"/>
    <s v="Louisiana Eastern District Court"/>
    <s v="05/05/2016"/>
    <s v="07/05/2016"/>
    <x v="521"/>
    <s v="Institution"/>
    <x v="520"/>
    <s v="FIFO LIFO"/>
    <s v="FNBCQ.1.a"/>
    <n v="1"/>
    <n v="4"/>
    <n v="879730.25"/>
    <n v="0.87973024999999994"/>
    <x v="181"/>
    <s v="Contested"/>
    <s v="G-Ins"/>
    <x v="0"/>
  </r>
  <r>
    <x v="102"/>
    <s v="FNBCQ"/>
    <s v="Louisiana Eastern District Court"/>
    <s v="05/05/2016"/>
    <s v="07/05/2016"/>
    <x v="522"/>
    <s v="Institution"/>
    <x v="521"/>
    <s v="FIFO LIFO"/>
    <s v="FNBCQ.1.b"/>
    <m/>
    <m/>
    <m/>
    <m/>
    <x v="181"/>
    <s v="Contested"/>
    <s v="G-Ins"/>
    <x v="1"/>
  </r>
  <r>
    <x v="102"/>
    <s v="FNBCQ"/>
    <s v="Louisiana Eastern District Court"/>
    <s v="05/05/2016"/>
    <s v="07/05/2016"/>
    <x v="523"/>
    <s v="Institution"/>
    <x v="522"/>
    <s v="FIFO LIFO"/>
    <s v="FNBCQ.1.c"/>
    <m/>
    <m/>
    <m/>
    <m/>
    <x v="181"/>
    <s v="Contested"/>
    <s v="G-Ins"/>
    <x v="1"/>
  </r>
  <r>
    <x v="102"/>
    <s v="FNBCQ"/>
    <s v="Louisiana Eastern District Court"/>
    <s v="05/05/2016"/>
    <s v="07/05/2016"/>
    <x v="524"/>
    <s v="Institution"/>
    <x v="523"/>
    <m/>
    <s v="FNBCQ.1.d"/>
    <m/>
    <m/>
    <m/>
    <m/>
    <x v="182"/>
    <s v="Contested"/>
    <s v="Ins"/>
    <x v="0"/>
  </r>
  <r>
    <x v="103"/>
    <s v="FIT"/>
    <s v="California Northern District Court"/>
    <s v="01/11/2016"/>
    <s v="03/11/2016"/>
    <x v="525"/>
    <s v="Individual"/>
    <x v="524"/>
    <s v="LIFO"/>
    <s v="FIT.1"/>
    <n v="5"/>
    <n v="1"/>
    <n v="236558.66"/>
    <n v="0.56323490476190474"/>
    <x v="26"/>
    <s v="Contested"/>
    <s v="Ind"/>
    <x v="0"/>
  </r>
  <r>
    <x v="103"/>
    <s v="FIT"/>
    <s v="California Northern District Court"/>
    <s v="01/11/2016"/>
    <s v="03/11/2016"/>
    <x v="526"/>
    <s v="Individual"/>
    <x v="525"/>
    <m/>
    <s v="FIT.2.a"/>
    <m/>
    <n v="4"/>
    <n v="3176023"/>
    <n v="7.5619595238095236"/>
    <x v="50"/>
    <s v="Contested"/>
    <s v="G-Ind"/>
    <x v="0"/>
  </r>
  <r>
    <x v="103"/>
    <s v="FIT"/>
    <s v="California Northern District Court"/>
    <s v="01/11/2016"/>
    <s v="03/11/2016"/>
    <x v="527"/>
    <s v="Individual"/>
    <x v="526"/>
    <m/>
    <s v="FIT.2.b"/>
    <m/>
    <m/>
    <m/>
    <m/>
    <x v="50"/>
    <s v="Contested"/>
    <s v="G-Ind"/>
    <x v="0"/>
  </r>
  <r>
    <x v="103"/>
    <s v="FIT"/>
    <s v="California Northern District Court"/>
    <s v="01/11/2016"/>
    <s v="03/11/2016"/>
    <x v="528"/>
    <s v="Individual"/>
    <x v="527"/>
    <m/>
    <s v="FIT.2.c"/>
    <m/>
    <m/>
    <m/>
    <m/>
    <x v="50"/>
    <s v="Contested"/>
    <s v="G-Ind"/>
    <x v="0"/>
  </r>
  <r>
    <x v="103"/>
    <s v="FIT"/>
    <s v="California Northern District Court"/>
    <s v="01/11/2016"/>
    <s v="03/11/2016"/>
    <x v="529"/>
    <s v="Individual"/>
    <x v="528"/>
    <m/>
    <s v="FIT.2.d"/>
    <m/>
    <m/>
    <m/>
    <m/>
    <x v="50"/>
    <s v="Contested"/>
    <s v="G-Ind"/>
    <x v="0"/>
  </r>
  <r>
    <x v="103"/>
    <s v="FIT"/>
    <s v="California Northern District Court"/>
    <s v="01/11/2016"/>
    <s v="03/11/2016"/>
    <x v="530"/>
    <s v="Institution"/>
    <x v="529"/>
    <m/>
    <s v="FIT.3.a"/>
    <m/>
    <n v="2"/>
    <n v="1036145"/>
    <n v="2.4670119047619048"/>
    <x v="164"/>
    <s v="Contested"/>
    <s v="Ins"/>
    <x v="0"/>
  </r>
  <r>
    <x v="103"/>
    <s v="FIT"/>
    <s v="California Northern District Court"/>
    <s v="01/11/2016"/>
    <s v="03/11/2016"/>
    <x v="531"/>
    <s v="Institution"/>
    <x v="178"/>
    <m/>
    <s v="FIT.3.b"/>
    <m/>
    <m/>
    <m/>
    <m/>
    <x v="164"/>
    <s v="Contested"/>
    <s v="Ins"/>
    <x v="0"/>
  </r>
  <r>
    <x v="103"/>
    <s v="FIT"/>
    <s v="California Northern District Court"/>
    <s v="01/11/2016"/>
    <s v="03/11/2016"/>
    <x v="167"/>
    <s v="Institution"/>
    <x v="530"/>
    <m/>
    <s v="FIT.4.a"/>
    <m/>
    <n v="3"/>
    <n v="2042896.89"/>
    <n v="4.8640402142857138"/>
    <x v="183"/>
    <s v="Contested"/>
    <s v="G-Ins"/>
    <x v="1"/>
  </r>
  <r>
    <x v="103"/>
    <s v="FIT"/>
    <s v="California Northern District Court"/>
    <s v="01/11/2016"/>
    <s v="03/11/2016"/>
    <x v="239"/>
    <s v="Institution"/>
    <x v="531"/>
    <m/>
    <s v="FIT.4.b"/>
    <m/>
    <m/>
    <m/>
    <m/>
    <x v="183"/>
    <s v="Contested"/>
    <s v="G-Ins"/>
    <x v="1"/>
  </r>
  <r>
    <x v="103"/>
    <s v="FIT"/>
    <s v="California Northern District Court"/>
    <s v="01/11/2016"/>
    <s v="03/11/2016"/>
    <x v="532"/>
    <s v="Institution"/>
    <x v="532"/>
    <m/>
    <s v="FIT.4.c"/>
    <m/>
    <m/>
    <m/>
    <m/>
    <x v="183"/>
    <s v="Contested"/>
    <s v="G-Ins"/>
    <x v="0"/>
  </r>
  <r>
    <x v="103"/>
    <s v="FIT"/>
    <s v="California Northern District Court"/>
    <s v="01/11/2016"/>
    <s v="03/11/2016"/>
    <x v="533"/>
    <s v="Individual"/>
    <x v="533"/>
    <m/>
    <s v="FIT.5"/>
    <m/>
    <n v="1"/>
    <n v="144851.03"/>
    <n v="0.34488340476190477"/>
    <x v="184"/>
    <s v="Contested"/>
    <s v="Ind"/>
    <x v="0"/>
  </r>
  <r>
    <x v="104"/>
    <s v="FTK"/>
    <s v="Texas Southern District Court"/>
    <s v="11/12/2015"/>
    <s v="01/11/2016"/>
    <x v="471"/>
    <s v="Institution"/>
    <x v="534"/>
    <m/>
    <s v="FTK.1"/>
    <n v="9"/>
    <n v="1"/>
    <n v="111790.66"/>
    <n v="5.5895330000000007E-2"/>
    <x v="185"/>
    <s v="Contested"/>
    <s v="Ins"/>
    <x v="1"/>
  </r>
  <r>
    <x v="104"/>
    <s v="FTK"/>
    <s v="Texas Southern District Court"/>
    <s v="11/12/2015"/>
    <s v="01/11/2016"/>
    <x v="534"/>
    <s v="Individual"/>
    <x v="535"/>
    <s v="FIFO"/>
    <s v="FTK.2"/>
    <m/>
    <n v="1"/>
    <n v="153390.56"/>
    <n v="7.6695279999999991E-2"/>
    <x v="186"/>
    <s v="Contested"/>
    <s v="Ind"/>
    <x v="0"/>
  </r>
  <r>
    <x v="104"/>
    <s v="FTK"/>
    <s v="Texas Southern District Court"/>
    <s v="11/12/2015"/>
    <s v="01/11/2016"/>
    <x v="535"/>
    <s v="Individual"/>
    <x v="536"/>
    <m/>
    <s v="FTK.3"/>
    <m/>
    <n v="1"/>
    <n v="4597.96"/>
    <n v="2.2989799999999999E-3"/>
    <x v="187"/>
    <s v="Contested"/>
    <s v="Ind"/>
    <x v="0"/>
  </r>
  <r>
    <x v="104"/>
    <s v="FTK"/>
    <s v="Texas Southern District Court"/>
    <s v="11/12/2015"/>
    <s v="01/11/2016"/>
    <x v="536"/>
    <s v="Institution"/>
    <x v="537"/>
    <s v="FIFO/LIFO"/>
    <s v="FTK.4.a"/>
    <m/>
    <n v="2"/>
    <n v="200013"/>
    <n v="0.10000650000000001"/>
    <x v="188"/>
    <s v="Contested"/>
    <s v="G-Ins"/>
    <x v="1"/>
  </r>
  <r>
    <x v="104"/>
    <s v="FTK"/>
    <s v="Texas Southern District Court"/>
    <s v="11/12/2015"/>
    <s v="01/11/2016"/>
    <x v="537"/>
    <s v="Institution"/>
    <x v="538"/>
    <s v="FIFO"/>
    <s v="FTK.4.b"/>
    <m/>
    <m/>
    <m/>
    <m/>
    <x v="188"/>
    <s v="Contested"/>
    <s v="G-Ins"/>
    <x v="1"/>
  </r>
  <r>
    <x v="104"/>
    <s v="FTK"/>
    <s v="Texas Southern District Court"/>
    <s v="11/12/2015"/>
    <s v="01/11/2016"/>
    <x v="538"/>
    <s v="Individual"/>
    <x v="539"/>
    <m/>
    <s v="FTK.5"/>
    <m/>
    <n v="1"/>
    <n v="30633.86"/>
    <n v="1.5316930000000001E-2"/>
    <x v="189"/>
    <s v="Contested"/>
    <s v="Ind"/>
    <x v="0"/>
  </r>
  <r>
    <x v="104"/>
    <s v="FTK"/>
    <s v="Texas Southern District Court"/>
    <s v="11/12/2015"/>
    <s v="01/11/2016"/>
    <x v="539"/>
    <s v="Individual"/>
    <x v="540"/>
    <m/>
    <s v="FTK.6"/>
    <m/>
    <n v="1"/>
    <n v="3578"/>
    <n v="1.789E-3"/>
    <x v="190"/>
    <s v="Contested"/>
    <s v="Ind"/>
    <x v="0"/>
  </r>
  <r>
    <x v="104"/>
    <s v="FTK"/>
    <s v="Texas Southern District Court"/>
    <s v="11/12/2015"/>
    <s v="01/11/2016"/>
    <x v="540"/>
    <s v="Institution"/>
    <x v="541"/>
    <m/>
    <s v="FTK.7"/>
    <m/>
    <n v="1"/>
    <n v="226809.08"/>
    <n v="0.11340453999999998"/>
    <x v="191"/>
    <s v="Contested"/>
    <s v="Ins"/>
    <x v="1"/>
  </r>
  <r>
    <x v="104"/>
    <s v="FTK"/>
    <s v="Texas Southern District Court"/>
    <s v="11/12/2015"/>
    <s v="01/11/2016"/>
    <x v="541"/>
    <s v="Individual"/>
    <x v="542"/>
    <m/>
    <s v="FTK.8.a"/>
    <m/>
    <n v="2"/>
    <n v="32180"/>
    <n v="1.609E-2"/>
    <x v="8"/>
    <s v="Contested"/>
    <s v="G-Ind"/>
    <x v="0"/>
  </r>
  <r>
    <x v="104"/>
    <s v="FTK"/>
    <s v="Texas Southern District Court"/>
    <s v="11/12/2015"/>
    <s v="01/11/2016"/>
    <x v="542"/>
    <s v="Individual"/>
    <x v="543"/>
    <m/>
    <s v="FTK.8.b"/>
    <m/>
    <m/>
    <m/>
    <m/>
    <x v="8"/>
    <s v="Contested"/>
    <s v="G-Ind"/>
    <x v="0"/>
  </r>
  <r>
    <x v="104"/>
    <s v="FTK"/>
    <s v="Texas Southern District Court"/>
    <s v="11/12/2015"/>
    <s v="01/11/2016"/>
    <x v="543"/>
    <s v="Individual"/>
    <x v="544"/>
    <s v="LIFO"/>
    <s v="FTK.9.a"/>
    <m/>
    <n v="2"/>
    <n v="116818.65"/>
    <n v="5.8409325000000005E-2"/>
    <x v="192"/>
    <s v="Contested"/>
    <s v="G-Ind"/>
    <x v="0"/>
  </r>
  <r>
    <x v="104"/>
    <s v="FTK"/>
    <s v="Texas Southern District Court"/>
    <s v="11/12/2015"/>
    <s v="01/11/2016"/>
    <x v="544"/>
    <s v="Individual"/>
    <x v="545"/>
    <s v="LIFO"/>
    <s v="FTK.9.b"/>
    <m/>
    <m/>
    <m/>
    <m/>
    <x v="192"/>
    <s v="Contested"/>
    <s v="G-Ind"/>
    <x v="0"/>
  </r>
  <r>
    <x v="105"/>
    <s v="FLO"/>
    <s v="Georgia Middle District Court"/>
    <s v="08/12/2016"/>
    <s v="10/11/2016"/>
    <x v="545"/>
    <s v="Individual"/>
    <x v="546"/>
    <s v="LIFO"/>
    <s v="FLO.1"/>
    <n v="3"/>
    <n v="1"/>
    <n v="67769.42"/>
    <n v="1.5059871111111111E-2"/>
    <x v="193"/>
    <s v="Contested"/>
    <s v="Ind"/>
    <x v="0"/>
  </r>
  <r>
    <x v="105"/>
    <s v="FLO"/>
    <s v="Georgia Middle District Court"/>
    <s v="08/12/2016"/>
    <s v="10/11/2016"/>
    <x v="546"/>
    <s v="Individual"/>
    <x v="547"/>
    <m/>
    <s v="FLO.2.a"/>
    <m/>
    <n v="4"/>
    <n v="13788"/>
    <n v="3.0639999999999999E-3"/>
    <x v="45"/>
    <s v="Contested"/>
    <s v="G-Ind"/>
    <x v="0"/>
  </r>
  <r>
    <x v="105"/>
    <s v="FLO"/>
    <s v="Georgia Middle District Court"/>
    <s v="08/12/2016"/>
    <s v="10/11/2016"/>
    <x v="547"/>
    <s v="Individual"/>
    <x v="548"/>
    <m/>
    <s v="FLO.2.b"/>
    <m/>
    <m/>
    <m/>
    <m/>
    <x v="45"/>
    <s v="Contested"/>
    <s v="G-Ind"/>
    <x v="0"/>
  </r>
  <r>
    <x v="105"/>
    <s v="FLO"/>
    <s v="Georgia Middle District Court"/>
    <s v="08/12/2016"/>
    <s v="10/11/2016"/>
    <x v="548"/>
    <s v="Individual"/>
    <x v="549"/>
    <m/>
    <s v="FLO.2.c"/>
    <m/>
    <m/>
    <m/>
    <m/>
    <x v="45"/>
    <s v="Contested"/>
    <s v="G-Ind"/>
    <x v="0"/>
  </r>
  <r>
    <x v="105"/>
    <s v="FLO"/>
    <s v="Georgia Middle District Court"/>
    <s v="08/12/2016"/>
    <s v="10/11/2016"/>
    <x v="549"/>
    <s v="Individual"/>
    <x v="550"/>
    <m/>
    <s v="FLO.2.d"/>
    <m/>
    <m/>
    <m/>
    <m/>
    <x v="45"/>
    <s v="Contested"/>
    <s v="G-Ind"/>
    <x v="0"/>
  </r>
  <r>
    <x v="105"/>
    <s v="FLO"/>
    <s v="Georgia Middle District Court"/>
    <s v="08/12/2016"/>
    <s v="10/11/2016"/>
    <x v="550"/>
    <s v="Individual"/>
    <x v="551"/>
    <m/>
    <s v="FLO.3.a"/>
    <m/>
    <n v="2"/>
    <n v="6450.84"/>
    <n v="1.43352E-3"/>
    <x v="8"/>
    <s v="Contested"/>
    <s v="G-Ind"/>
    <x v="0"/>
  </r>
  <r>
    <x v="105"/>
    <s v="FLO"/>
    <s v="Georgia Middle District Court"/>
    <s v="08/12/2016"/>
    <s v="10/11/2016"/>
    <x v="551"/>
    <s v="Individual"/>
    <x v="552"/>
    <m/>
    <s v="FLO.3.b"/>
    <m/>
    <m/>
    <m/>
    <m/>
    <x v="8"/>
    <s v="Contested"/>
    <s v="G-Ind"/>
    <x v="0"/>
  </r>
  <r>
    <x v="106"/>
    <s v="FLY"/>
    <s v="New York Southern District Court"/>
    <s v="03/25/2016"/>
    <s v="05/24/2016"/>
    <x v="552"/>
    <s v="Individual"/>
    <x v="553"/>
    <m/>
    <s v="FLY.1"/>
    <n v="2"/>
    <n v="1"/>
    <n v="17347.27"/>
    <n v="4.8186861111111111E-2"/>
    <x v="10"/>
    <s v="Contested"/>
    <s v="Ind"/>
    <x v="0"/>
  </r>
  <r>
    <x v="106"/>
    <s v="FLY"/>
    <s v="New York Southern District Court"/>
    <s v="03/25/2016"/>
    <s v="05/24/2016"/>
    <x v="553"/>
    <s v="Individual"/>
    <x v="554"/>
    <m/>
    <s v="FLY.2.a"/>
    <m/>
    <n v="3"/>
    <n v="6344"/>
    <n v="1.7622222222222223E-2"/>
    <x v="146"/>
    <s v="Contested"/>
    <s v="G-Ind"/>
    <x v="0"/>
  </r>
  <r>
    <x v="106"/>
    <s v="FLY"/>
    <s v="New York Southern District Court"/>
    <s v="03/25/2016"/>
    <s v="05/24/2016"/>
    <x v="554"/>
    <s v="Individual"/>
    <x v="555"/>
    <m/>
    <s v="FLY.2.b"/>
    <m/>
    <m/>
    <m/>
    <m/>
    <x v="146"/>
    <s v="Contested"/>
    <s v="G-Ind"/>
    <x v="0"/>
  </r>
  <r>
    <x v="106"/>
    <s v="FLY"/>
    <s v="New York Southern District Court"/>
    <s v="03/25/2016"/>
    <s v="05/24/2016"/>
    <x v="555"/>
    <s v="Individual"/>
    <x v="556"/>
    <m/>
    <s v="FLY.2.c"/>
    <m/>
    <m/>
    <m/>
    <m/>
    <x v="146"/>
    <s v="Contested"/>
    <s v="G-Ind"/>
    <x v="0"/>
  </r>
  <r>
    <x v="107"/>
    <s v="FCX"/>
    <s v="Arizona District Court"/>
    <s v="01/26/2016"/>
    <s v="03/28/2016"/>
    <x v="556"/>
    <s v="Individual"/>
    <x v="557"/>
    <s v="LIFO"/>
    <s v="FCX.1"/>
    <n v="5"/>
    <n v="1"/>
    <n v="149542.54999999999"/>
    <n v="1.1963403999999999E-2"/>
    <x v="194"/>
    <s v="Contested"/>
    <s v="Ind"/>
    <x v="1"/>
  </r>
  <r>
    <x v="107"/>
    <s v="FCX"/>
    <s v="Arizona District Court"/>
    <s v="01/26/2016"/>
    <s v="03/28/2016"/>
    <x v="557"/>
    <s v="Individual"/>
    <x v="558"/>
    <s v="FIFO"/>
    <s v="FCX.2.a"/>
    <m/>
    <n v="3"/>
    <n v="1825289.31"/>
    <n v="0.1460231448"/>
    <x v="53"/>
    <s v="Contested"/>
    <s v="G-Ind"/>
    <x v="0"/>
  </r>
  <r>
    <x v="107"/>
    <s v="FCX"/>
    <s v="Arizona District Court"/>
    <s v="01/26/2016"/>
    <s v="03/28/2016"/>
    <x v="558"/>
    <s v="Individual"/>
    <x v="559"/>
    <s v="FIFO"/>
    <s v="FCX.2.b"/>
    <m/>
    <m/>
    <m/>
    <m/>
    <x v="53"/>
    <s v="Contested"/>
    <s v="G-Ind"/>
    <x v="1"/>
  </r>
  <r>
    <x v="107"/>
    <s v="FCX"/>
    <s v="Arizona District Court"/>
    <s v="01/26/2016"/>
    <s v="03/28/2016"/>
    <x v="559"/>
    <s v="Individual"/>
    <x v="560"/>
    <s v="FIFO"/>
    <s v="FCX.2.c"/>
    <m/>
    <m/>
    <m/>
    <m/>
    <x v="53"/>
    <s v="Contested"/>
    <s v="G-Ind"/>
    <x v="0"/>
  </r>
  <r>
    <x v="107"/>
    <s v="FCX"/>
    <s v="Arizona District Court"/>
    <s v="01/26/2016"/>
    <s v="03/28/2016"/>
    <x v="560"/>
    <s v="Institution"/>
    <x v="561"/>
    <m/>
    <s v="FCX.3"/>
    <m/>
    <n v="1"/>
    <n v="5153394.13"/>
    <n v="0.41227153039999997"/>
    <x v="195"/>
    <s v="Contested"/>
    <s v="Ins"/>
    <x v="0"/>
  </r>
  <r>
    <x v="107"/>
    <s v="FCX"/>
    <s v="Arizona District Court"/>
    <s v="01/26/2016"/>
    <s v="03/28/2016"/>
    <x v="561"/>
    <s v="Individual"/>
    <x v="562"/>
    <m/>
    <s v="FCX.4.a"/>
    <m/>
    <n v="2"/>
    <n v="207218"/>
    <n v="1.6577439999999999E-2"/>
    <x v="196"/>
    <s v="Contested"/>
    <s v="G-Ind"/>
    <x v="0"/>
  </r>
  <r>
    <x v="107"/>
    <s v="FCX"/>
    <s v="Arizona District Court"/>
    <s v="01/26/2016"/>
    <s v="03/28/2016"/>
    <x v="562"/>
    <s v="Individual"/>
    <x v="563"/>
    <m/>
    <s v="FCX.4.b"/>
    <m/>
    <m/>
    <m/>
    <n v="0"/>
    <x v="196"/>
    <s v="Contested"/>
    <s v="G-Ind"/>
    <x v="0"/>
  </r>
  <r>
    <x v="107"/>
    <s v="FCX"/>
    <s v="Arizona District Court"/>
    <s v="01/26/2016"/>
    <s v="03/28/2016"/>
    <x v="563"/>
    <s v="Individual"/>
    <x v="564"/>
    <m/>
    <s v="FCX.4.c"/>
    <m/>
    <m/>
    <m/>
    <n v="0"/>
    <x v="196"/>
    <s v="Contested"/>
    <s v="G-Ind"/>
    <x v="0"/>
  </r>
  <r>
    <x v="107"/>
    <s v="FCX"/>
    <s v="Arizona District Court"/>
    <s v="01/26/2016"/>
    <s v="03/28/2016"/>
    <x v="133"/>
    <s v="Institution"/>
    <x v="565"/>
    <s v="LIFO"/>
    <s v="FCX.5"/>
    <m/>
    <n v="1"/>
    <n v="302572.96000000002"/>
    <n v="2.4205836800000002E-2"/>
    <x v="197"/>
    <s v="Contested"/>
    <s v="Ins"/>
    <x v="1"/>
  </r>
  <r>
    <x v="108"/>
    <s v="FRPT"/>
    <s v="New Jersey District Court"/>
    <s v="04/21/2016"/>
    <s v="06/20/2016"/>
    <x v="564"/>
    <s v="Individual"/>
    <x v="566"/>
    <m/>
    <s v="FRPT.1"/>
    <n v="2"/>
    <n v="1"/>
    <n v="35848.879999999997"/>
    <n v="1.1949626666666666"/>
    <x v="72"/>
    <s v="Contested"/>
    <s v="Ind"/>
    <x v="0"/>
  </r>
  <r>
    <x v="108"/>
    <s v="FRPT"/>
    <s v="New Jersey District Court"/>
    <s v="04/21/2016"/>
    <s v="06/20/2016"/>
    <x v="540"/>
    <s v="Institution"/>
    <x v="567"/>
    <m/>
    <s v="FRPT.2"/>
    <m/>
    <n v="1"/>
    <n v="555860.24"/>
    <n v="18.528674666666667"/>
    <x v="198"/>
    <s v="Contested"/>
    <s v="Ins"/>
    <x v="1"/>
  </r>
  <r>
    <x v="109"/>
    <s v="FTD"/>
    <s v="Illinois Northern District Court"/>
    <s v="03/20/2017"/>
    <s v="05/19/2017"/>
    <x v="565"/>
    <s v="Individual"/>
    <x v="568"/>
    <m/>
    <s v="FTD.1"/>
    <n v="2"/>
    <n v="1"/>
    <n v="1776"/>
    <n v="2.7323076923076923E-3"/>
    <x v="106"/>
    <s v="Contested"/>
    <s v="Ind"/>
    <x v="0"/>
  </r>
  <r>
    <x v="109"/>
    <s v="FTD"/>
    <s v="Illinois Northern District Court"/>
    <s v="03/20/2017"/>
    <s v="05/19/2017"/>
    <x v="566"/>
    <s v="Institution"/>
    <x v="569"/>
    <m/>
    <s v="FTD.2"/>
    <m/>
    <n v="1"/>
    <n v="193034.37"/>
    <n v="0.29697595384615388"/>
    <x v="46"/>
    <s v="Contested"/>
    <s v="Ins"/>
    <x v="0"/>
  </r>
  <r>
    <x v="110"/>
    <s v="FSPM"/>
    <s v="Colorado District Court"/>
    <s v="02/17/2017"/>
    <s v="04/18/2017"/>
    <x v="567"/>
    <s v="Individual"/>
    <x v="570"/>
    <m/>
    <s v="FSPM.1"/>
    <n v="2"/>
    <n v="1"/>
    <n v="108405"/>
    <n v="1.2044999999999999"/>
    <x v="199"/>
    <s v="Contested"/>
    <s v="Ind"/>
    <x v="0"/>
  </r>
  <r>
    <x v="110"/>
    <s v="FSPM"/>
    <s v="Colorado District Court"/>
    <s v="02/17/2017"/>
    <s v="04/18/2017"/>
    <x v="568"/>
    <s v="Individual"/>
    <x v="571"/>
    <m/>
    <s v="FSPM.2"/>
    <m/>
    <n v="1"/>
    <n v="27101.200000000001"/>
    <n v="0.30112444444444447"/>
    <x v="200"/>
    <s v="Contested"/>
    <s v="Ind"/>
    <x v="0"/>
  </r>
  <r>
    <x v="111"/>
    <s v="GLBR"/>
    <s v="New York Southern District Court"/>
    <s v="02/07/2017"/>
    <s v="04/10/2017"/>
    <x v="569"/>
    <s v="Individual"/>
    <x v="572"/>
    <s v="LIFO"/>
    <s v="GLBR.1.a"/>
    <n v="8"/>
    <n v="2"/>
    <n v="100779.57"/>
    <n v="0.59282100000000004"/>
    <x v="96"/>
    <s v="Contested"/>
    <s v="G-Ind"/>
    <x v="0"/>
  </r>
  <r>
    <x v="111"/>
    <s v="GLBR"/>
    <s v="New York Southern District Court"/>
    <s v="02/07/2017"/>
    <s v="04/10/2017"/>
    <x v="570"/>
    <s v="Individual"/>
    <x v="573"/>
    <s v="LIFO"/>
    <s v="GLBR.1.b"/>
    <m/>
    <m/>
    <m/>
    <n v="0"/>
    <x v="96"/>
    <s v="Contested"/>
    <s v="G-Ind"/>
    <x v="0"/>
  </r>
  <r>
    <x v="111"/>
    <s v="GLBR"/>
    <s v="New York Southern District Court"/>
    <s v="02/07/2017"/>
    <s v="04/10/2017"/>
    <x v="571"/>
    <s v="Individual"/>
    <x v="574"/>
    <s v="LIFO/FIFO"/>
    <s v="GLBR.2"/>
    <m/>
    <n v="1"/>
    <n v="16081.58"/>
    <n v="9.4597529411764705E-2"/>
    <x v="107"/>
    <s v="Contested"/>
    <s v="Ind"/>
    <x v="0"/>
  </r>
  <r>
    <x v="111"/>
    <s v="GLBR"/>
    <s v="New York Southern District Court"/>
    <s v="02/07/2017"/>
    <s v="04/10/2017"/>
    <x v="572"/>
    <s v="Individual"/>
    <x v="575"/>
    <m/>
    <s v="GLBR.3"/>
    <m/>
    <n v="1"/>
    <n v="143810"/>
    <n v="0.8459411764705882"/>
    <x v="103"/>
    <s v="Contested"/>
    <s v="Ind"/>
    <x v="0"/>
  </r>
  <r>
    <x v="111"/>
    <s v="GLBR"/>
    <s v="New York Southern District Court"/>
    <s v="02/07/2017"/>
    <s v="04/10/2017"/>
    <x v="573"/>
    <s v="Individual"/>
    <x v="576"/>
    <m/>
    <s v="GLBR.4"/>
    <m/>
    <n v="1"/>
    <n v="537683.12"/>
    <n v="3.1628418823529412"/>
    <x v="201"/>
    <s v="Contested"/>
    <s v="Ind"/>
    <x v="0"/>
  </r>
  <r>
    <x v="111"/>
    <s v="GLBR"/>
    <s v="New York Southern District Court"/>
    <s v="02/07/2017"/>
    <s v="04/10/2017"/>
    <x v="574"/>
    <s v="Individual"/>
    <x v="577"/>
    <s v="FIFO/LIFO"/>
    <s v="GLBR.5"/>
    <m/>
    <n v="1"/>
    <n v="558432"/>
    <n v="3.2848941176470587"/>
    <x v="202"/>
    <s v="Contested"/>
    <s v="Ind"/>
    <x v="0"/>
  </r>
  <r>
    <x v="111"/>
    <s v="GLBR"/>
    <s v="New York Southern District Court"/>
    <s v="02/07/2017"/>
    <s v="04/10/2017"/>
    <x v="575"/>
    <s v="Individual"/>
    <x v="578"/>
    <m/>
    <s v="GLBR.6.a"/>
    <m/>
    <n v="4"/>
    <n v="375515"/>
    <n v="2.2089117647058827"/>
    <x v="45"/>
    <s v="Contested"/>
    <s v="G-Ind"/>
    <x v="0"/>
  </r>
  <r>
    <x v="111"/>
    <s v="GLBR"/>
    <s v="New York Southern District Court"/>
    <s v="02/07/2017"/>
    <s v="04/10/2017"/>
    <x v="576"/>
    <s v="Individual"/>
    <x v="579"/>
    <m/>
    <s v="GLBR.6.b"/>
    <m/>
    <m/>
    <m/>
    <n v="0"/>
    <x v="45"/>
    <s v="Contested"/>
    <s v="G-Ind"/>
    <x v="0"/>
  </r>
  <r>
    <x v="111"/>
    <s v="GLBR"/>
    <s v="New York Southern District Court"/>
    <s v="02/07/2017"/>
    <s v="04/10/2017"/>
    <x v="577"/>
    <s v="Individual"/>
    <x v="580"/>
    <m/>
    <s v="GLBR.6.c"/>
    <m/>
    <m/>
    <m/>
    <n v="0"/>
    <x v="45"/>
    <s v="Contested"/>
    <s v="G-Ind"/>
    <x v="0"/>
  </r>
  <r>
    <x v="111"/>
    <s v="GLBR"/>
    <s v="New York Southern District Court"/>
    <s v="02/07/2017"/>
    <s v="04/10/2017"/>
    <x v="578"/>
    <s v="Individual"/>
    <x v="581"/>
    <m/>
    <s v="GLBR.6.d"/>
    <m/>
    <m/>
    <m/>
    <n v="0"/>
    <x v="45"/>
    <s v="Contested"/>
    <s v="G-Ind"/>
    <x v="0"/>
  </r>
  <r>
    <x v="111"/>
    <s v="GLBR"/>
    <s v="New York Southern District Court"/>
    <s v="02/07/2017"/>
    <s v="04/10/2017"/>
    <x v="579"/>
    <s v="Institution"/>
    <x v="582"/>
    <m/>
    <s v="GLBR.7.b"/>
    <m/>
    <n v="2"/>
    <n v="8754514.3300000001"/>
    <n v="51.497143117647056"/>
    <x v="8"/>
    <s v="Contested"/>
    <s v="G-Ins"/>
    <x v="0"/>
  </r>
  <r>
    <x v="111"/>
    <s v="GLBR"/>
    <s v="New York Southern District Court"/>
    <s v="02/07/2017"/>
    <s v="04/10/2017"/>
    <x v="580"/>
    <s v="Institution"/>
    <x v="583"/>
    <m/>
    <s v="GLBR.7.b"/>
    <m/>
    <m/>
    <m/>
    <n v="0"/>
    <x v="8"/>
    <s v="Contested"/>
    <s v="G-Ins"/>
    <x v="0"/>
  </r>
  <r>
    <x v="111"/>
    <s v="GLBR"/>
    <s v="New York Southern District Court"/>
    <s v="02/07/2017"/>
    <s v="04/10/2017"/>
    <x v="581"/>
    <s v="Individual"/>
    <x v="584"/>
    <m/>
    <s v="GLBR.8"/>
    <m/>
    <n v="1"/>
    <n v="2165815.13"/>
    <n v="12.740088999999999"/>
    <x v="11"/>
    <s v="Contested"/>
    <s v="Ind"/>
    <x v="0"/>
  </r>
  <r>
    <x v="112"/>
    <s v="WILC"/>
    <s v="New York Southern District Court"/>
    <s v="02/29/2016"/>
    <s v="04/29/2016"/>
    <x v="582"/>
    <s v="Individual"/>
    <x v="585"/>
    <s v="LIFO/FIFO"/>
    <s v="WILC.1"/>
    <n v="3"/>
    <n v="1"/>
    <n v="660"/>
    <n v="4.4000000000000003E-3"/>
    <x v="1"/>
    <s v="Contested"/>
    <s v="Ind"/>
    <x v="0"/>
  </r>
  <r>
    <x v="112"/>
    <s v="WILC"/>
    <s v="New York Southern District Court"/>
    <s v="02/29/2016"/>
    <s v="04/29/2016"/>
    <x v="583"/>
    <s v="Individual"/>
    <x v="586"/>
    <m/>
    <s v="WILC.2"/>
    <m/>
    <n v="1"/>
    <n v="10108"/>
    <n v="6.7386666666666678E-2"/>
    <x v="56"/>
    <s v="Contested"/>
    <s v="Ind"/>
    <x v="0"/>
  </r>
  <r>
    <x v="112"/>
    <s v="WILC"/>
    <s v="New York Southern District Court"/>
    <s v="02/29/2016"/>
    <s v="04/29/2016"/>
    <x v="584"/>
    <s v="Institution"/>
    <x v="587"/>
    <m/>
    <s v="WILC.3"/>
    <m/>
    <n v="1"/>
    <n v="5145.4399999999996"/>
    <n v="3.4302933333333334E-2"/>
    <x v="8"/>
    <s v="Contested"/>
    <s v="Ins"/>
    <x v="0"/>
  </r>
  <r>
    <x v="113"/>
    <s v="GALE"/>
    <s v="New Jersey District Court"/>
    <s v="02/13/2017"/>
    <s v="04/14/2017"/>
    <x v="585"/>
    <s v="Individual"/>
    <x v="588"/>
    <m/>
    <s v="GALE.1"/>
    <n v="2"/>
    <n v="1"/>
    <n v="54489.120000000003"/>
    <n v="0.36326080000000005"/>
    <x v="26"/>
    <s v="Contested"/>
    <s v="Ind"/>
    <x v="0"/>
  </r>
  <r>
    <x v="113"/>
    <s v="GALE"/>
    <s v="New Jersey District Court"/>
    <s v="02/13/2017"/>
    <s v="04/14/2017"/>
    <x v="586"/>
    <s v="Individual"/>
    <x v="589"/>
    <m/>
    <s v="GALE.2.a"/>
    <m/>
    <n v="5"/>
    <n v="2139620.4500000002"/>
    <n v="14.264136333333335"/>
    <x v="203"/>
    <s v="Contested"/>
    <s v="G-Ind"/>
    <x v="0"/>
  </r>
  <r>
    <x v="113"/>
    <s v="GALE"/>
    <s v="New Jersey District Court"/>
    <s v="02/13/2017"/>
    <s v="04/14/2017"/>
    <x v="587"/>
    <s v="Individual"/>
    <x v="590"/>
    <m/>
    <s v="GALE.2.b"/>
    <m/>
    <m/>
    <m/>
    <n v="0"/>
    <x v="203"/>
    <s v="Contested"/>
    <s v="G-Ind"/>
    <x v="0"/>
  </r>
  <r>
    <x v="113"/>
    <s v="GALE"/>
    <s v="New Jersey District Court"/>
    <s v="02/13/2017"/>
    <s v="04/14/2017"/>
    <x v="588"/>
    <s v="Individual"/>
    <x v="591"/>
    <m/>
    <s v="GALE.2.c"/>
    <m/>
    <m/>
    <m/>
    <n v="0"/>
    <x v="203"/>
    <s v="Contested"/>
    <s v="G-Ind"/>
    <x v="0"/>
  </r>
  <r>
    <x v="113"/>
    <s v="GALE"/>
    <s v="New Jersey District Court"/>
    <s v="02/13/2017"/>
    <s v="04/14/2017"/>
    <x v="589"/>
    <s v="Individual"/>
    <x v="592"/>
    <m/>
    <s v="GALE.2.d"/>
    <m/>
    <m/>
    <m/>
    <n v="0"/>
    <x v="203"/>
    <s v="Contested"/>
    <s v="G-Ind"/>
    <x v="0"/>
  </r>
  <r>
    <x v="113"/>
    <s v="GALE"/>
    <s v="New Jersey District Court"/>
    <s v="02/13/2017"/>
    <s v="04/14/2017"/>
    <x v="590"/>
    <s v="Individual"/>
    <x v="593"/>
    <m/>
    <s v="GALE.2.e"/>
    <m/>
    <m/>
    <m/>
    <n v="0"/>
    <x v="203"/>
    <s v="Contested"/>
    <s v="G-Ind"/>
    <x v="0"/>
  </r>
  <r>
    <x v="114"/>
    <s v="NONE"/>
    <s v="Connecticut District Court"/>
    <s v="06/15/2016"/>
    <s v="09/06/2016"/>
    <x v="591"/>
    <s v="Individual"/>
    <x v="594"/>
    <m/>
    <s v="NONE.1.a"/>
    <n v="1"/>
    <n v="4"/>
    <n v="108274.45000000001"/>
    <e v="#DIV/0!"/>
    <x v="204"/>
    <s v="Uncontested"/>
    <s v="G-Ind"/>
    <x v="0"/>
  </r>
  <r>
    <x v="114"/>
    <s v="NONE"/>
    <s v="Connecticut District Court"/>
    <s v="06/15/2016"/>
    <s v="09/06/2016"/>
    <x v="592"/>
    <s v="Individual"/>
    <x v="595"/>
    <m/>
    <s v="NONE.1.b"/>
    <m/>
    <m/>
    <m/>
    <e v="#DIV/0!"/>
    <x v="204"/>
    <s v="Uncontested"/>
    <s v="G-Ind"/>
    <x v="0"/>
  </r>
  <r>
    <x v="114"/>
    <s v="NONE"/>
    <s v="Connecticut District Court"/>
    <s v="06/15/2016"/>
    <s v="09/06/2016"/>
    <x v="593"/>
    <s v="Individual"/>
    <x v="596"/>
    <m/>
    <s v="NONE.1.c"/>
    <m/>
    <m/>
    <m/>
    <e v="#DIV/0!"/>
    <x v="204"/>
    <s v="Uncontested"/>
    <s v="G-Ind"/>
    <x v="0"/>
  </r>
  <r>
    <x v="114"/>
    <s v="NONE"/>
    <s v="Connecticut District Court"/>
    <s v="06/15/2016"/>
    <s v="09/06/2016"/>
    <x v="594"/>
    <s v="Individual"/>
    <x v="597"/>
    <m/>
    <s v="NONE.1.d"/>
    <m/>
    <m/>
    <m/>
    <e v="#DIV/0!"/>
    <x v="204"/>
    <s v="Uncontested"/>
    <s v="G-Ind"/>
    <x v="0"/>
  </r>
  <r>
    <x v="115"/>
    <s v="BGC"/>
    <s v="Kentucky Eastern District Court"/>
    <s v="01/05/2017"/>
    <s v="03/06/2017"/>
    <x v="595"/>
    <s v="Institution"/>
    <x v="598"/>
    <m/>
    <s v="BGC.1"/>
    <n v="3"/>
    <n v="1"/>
    <n v="114271.86"/>
    <n v="0.28567965000000001"/>
    <x v="205"/>
    <s v="Contested"/>
    <s v="Ins"/>
    <x v="1"/>
  </r>
  <r>
    <x v="115"/>
    <s v="BGC"/>
    <s v="Kentucky Eastern District Court"/>
    <s v="01/05/2017"/>
    <s v="03/06/2017"/>
    <x v="596"/>
    <s v="Individual"/>
    <x v="599"/>
    <s v="FIFO/LIFO"/>
    <s v="BGC.2"/>
    <m/>
    <n v="1"/>
    <n v="18884.810000000001"/>
    <n v="4.7212025000000005E-2"/>
    <x v="206"/>
    <s v="Contested"/>
    <s v="Ind"/>
    <x v="0"/>
  </r>
  <r>
    <x v="115"/>
    <s v="BGC"/>
    <s v="Kentucky Eastern District Court"/>
    <s v="01/05/2017"/>
    <s v="03/06/2017"/>
    <x v="597"/>
    <s v="Individual"/>
    <x v="600"/>
    <m/>
    <s v="BGC.3.a"/>
    <m/>
    <n v="2"/>
    <n v="24504"/>
    <n v="6.1260000000000002E-2"/>
    <x v="207"/>
    <s v="Contested"/>
    <s v="G-Ind"/>
    <x v="0"/>
  </r>
  <r>
    <x v="115"/>
    <s v="BGC"/>
    <s v="Kentucky Eastern District Court"/>
    <s v="01/05/2017"/>
    <s v="03/06/2017"/>
    <x v="598"/>
    <s v="Individual"/>
    <x v="601"/>
    <m/>
    <s v="BGC.3.b"/>
    <m/>
    <m/>
    <m/>
    <n v="0"/>
    <x v="207"/>
    <s v="Contested"/>
    <s v="G-Ind"/>
    <x v="0"/>
  </r>
  <r>
    <x v="116"/>
    <s v="GNW"/>
    <s v="Virginia Eastern District Court"/>
    <s v="01/23/2017"/>
    <s v="04/17/2017"/>
    <x v="599"/>
    <s v="Individual"/>
    <x v="602"/>
    <s v="Holdings"/>
    <s v="GNW.1.a"/>
    <n v="2"/>
    <n v="2"/>
    <n v="17223"/>
    <n v="6.8892000000000007E-3"/>
    <x v="208"/>
    <s v="Contested"/>
    <s v="G-Ind"/>
    <x v="0"/>
  </r>
  <r>
    <x v="116"/>
    <s v="GNW"/>
    <s v="Virginia Eastern District Court"/>
    <s v="01/23/2017"/>
    <s v="04/17/2017"/>
    <x v="600"/>
    <s v="Individual"/>
    <x v="603"/>
    <s v="Holdings"/>
    <s v="GNW.1.b"/>
    <m/>
    <m/>
    <m/>
    <n v="0"/>
    <x v="208"/>
    <s v="Contested"/>
    <s v="G-Ind"/>
    <x v="0"/>
  </r>
  <r>
    <x v="116"/>
    <s v="GNW"/>
    <s v="Virginia Eastern District Court"/>
    <s v="01/23/2017"/>
    <s v="04/17/2017"/>
    <x v="601"/>
    <s v="Individual"/>
    <x v="604"/>
    <s v="Group Holdings"/>
    <s v="GNW.2.a"/>
    <m/>
    <n v="4"/>
    <n v="39153"/>
    <n v="1.56612E-2"/>
    <x v="209"/>
    <s v="Contested"/>
    <s v="G-Mix"/>
    <x v="0"/>
  </r>
  <r>
    <x v="116"/>
    <s v="GNW"/>
    <s v="Virginia Eastern District Court"/>
    <s v="01/23/2017"/>
    <s v="04/17/2017"/>
    <x v="602"/>
    <s v="Institution"/>
    <x v="605"/>
    <m/>
    <s v="GNW.2.b"/>
    <m/>
    <m/>
    <m/>
    <n v="0"/>
    <x v="209"/>
    <s v="Contested"/>
    <s v="G-Mix"/>
    <x v="0"/>
  </r>
  <r>
    <x v="116"/>
    <s v="GNW"/>
    <s v="Virginia Eastern District Court"/>
    <s v="01/23/2017"/>
    <s v="04/17/2017"/>
    <x v="603"/>
    <s v="Individual"/>
    <x v="605"/>
    <m/>
    <s v="GNW.2.c"/>
    <m/>
    <m/>
    <m/>
    <n v="0"/>
    <x v="209"/>
    <s v="Contested"/>
    <s v="G-Mix"/>
    <x v="0"/>
  </r>
  <r>
    <x v="116"/>
    <s v="GNW"/>
    <s v="Virginia Eastern District Court"/>
    <s v="01/23/2017"/>
    <s v="04/17/2017"/>
    <x v="604"/>
    <s v="Individual"/>
    <x v="605"/>
    <m/>
    <s v="GNW.2.d"/>
    <m/>
    <m/>
    <m/>
    <n v="0"/>
    <x v="209"/>
    <s v="Contested"/>
    <s v="G-Mix"/>
    <x v="0"/>
  </r>
  <r>
    <x v="117"/>
    <s v="GGB"/>
    <s v="New York Southern District Court"/>
    <s v="05/26/2016"/>
    <s v="07/25/2016"/>
    <x v="605"/>
    <s v="Institution"/>
    <x v="606"/>
    <s v="LIFO"/>
    <s v="GGB.1"/>
    <n v="5"/>
    <n v="1"/>
    <n v="144929.15"/>
    <n v="7.6278499999999999E-2"/>
    <x v="26"/>
    <s v="Contested"/>
    <s v="Ins"/>
    <x v="0"/>
  </r>
  <r>
    <x v="117"/>
    <s v="GGB"/>
    <s v="New York Southern District Court"/>
    <s v="05/26/2016"/>
    <s v="07/25/2016"/>
    <x v="606"/>
    <s v="Institution"/>
    <x v="607"/>
    <s v="FIFO/LIFO"/>
    <s v="GGB.2"/>
    <m/>
    <m/>
    <n v="94760"/>
    <n v="4.987368421052632E-2"/>
    <x v="133"/>
    <s v="Contested"/>
    <s v="Ins"/>
    <x v="0"/>
  </r>
  <r>
    <x v="117"/>
    <s v="GGB"/>
    <s v="New York Southern District Court"/>
    <s v="05/26/2016"/>
    <s v="07/25/2016"/>
    <x v="607"/>
    <s v="Individual"/>
    <x v="608"/>
    <m/>
    <s v="GGB.3"/>
    <m/>
    <m/>
    <n v="144954.60999999999"/>
    <n v="7.6291899999999996E-2"/>
    <x v="10"/>
    <s v="Contested"/>
    <s v="Ind"/>
    <x v="0"/>
  </r>
  <r>
    <x v="117"/>
    <s v="GGB"/>
    <s v="New York Southern District Court"/>
    <s v="05/26/2016"/>
    <s v="07/25/2016"/>
    <x v="608"/>
    <s v="Individual"/>
    <x v="609"/>
    <m/>
    <s v="GGB.4.a"/>
    <m/>
    <m/>
    <n v="143116.09"/>
    <n v="7.5324257894736846E-2"/>
    <x v="126"/>
    <s v="Contested"/>
    <s v="G-Ind"/>
    <x v="0"/>
  </r>
  <r>
    <x v="117"/>
    <s v="GGB"/>
    <s v="New York Southern District Court"/>
    <s v="05/26/2016"/>
    <s v="07/25/2016"/>
    <x v="609"/>
    <s v="Individual"/>
    <x v="610"/>
    <m/>
    <s v="GGB.4.b"/>
    <m/>
    <m/>
    <m/>
    <n v="0"/>
    <x v="126"/>
    <s v="Contested"/>
    <s v="G-Ind"/>
    <x v="0"/>
  </r>
  <r>
    <x v="117"/>
    <s v="GGB"/>
    <s v="New York Southern District Court"/>
    <s v="05/26/2016"/>
    <s v="07/25/2016"/>
    <x v="139"/>
    <s v="Individual"/>
    <x v="611"/>
    <m/>
    <s v="GGB.5"/>
    <m/>
    <m/>
    <n v="1407110.19"/>
    <n v="0.74058431052631568"/>
    <x v="46"/>
    <s v="Contested"/>
    <s v="G-Ind"/>
    <x v="1"/>
  </r>
  <r>
    <x v="118"/>
    <s v="GIMO"/>
    <s v="California Northern District Court"/>
    <s v="01/27/2017"/>
    <s v="03/28/2017"/>
    <x v="610"/>
    <s v="Individual"/>
    <x v="612"/>
    <m/>
    <s v="GIMO.1.a"/>
    <n v="5"/>
    <n v="5"/>
    <n v="137078.97"/>
    <n v="0.109663176"/>
    <x v="151"/>
    <s v="Contested"/>
    <s v="G-Ind"/>
    <x v="0"/>
  </r>
  <r>
    <x v="118"/>
    <s v="GIMO"/>
    <s v="California Northern District Court"/>
    <s v="01/27/2017"/>
    <s v="03/28/2017"/>
    <x v="611"/>
    <s v="Individual"/>
    <x v="613"/>
    <m/>
    <s v="GIMO.1.b"/>
    <m/>
    <m/>
    <m/>
    <n v="0"/>
    <x v="151"/>
    <s v="Contested"/>
    <s v="G-Ind"/>
    <x v="0"/>
  </r>
  <r>
    <x v="118"/>
    <s v="GIMO"/>
    <s v="California Northern District Court"/>
    <s v="01/27/2017"/>
    <s v="03/28/2017"/>
    <x v="612"/>
    <s v="Individual"/>
    <x v="614"/>
    <m/>
    <s v="GIMO.1.c"/>
    <m/>
    <m/>
    <m/>
    <n v="0"/>
    <x v="151"/>
    <s v="Contested"/>
    <s v="G-Ind"/>
    <x v="0"/>
  </r>
  <r>
    <x v="118"/>
    <s v="GIMO"/>
    <s v="California Northern District Court"/>
    <s v="01/27/2017"/>
    <s v="03/28/2017"/>
    <x v="613"/>
    <s v="Individual"/>
    <x v="615"/>
    <m/>
    <s v="GIMO.1.d"/>
    <m/>
    <m/>
    <m/>
    <n v="0"/>
    <x v="151"/>
    <s v="Contested"/>
    <s v="G-Ind"/>
    <x v="0"/>
  </r>
  <r>
    <x v="118"/>
    <s v="GIMO"/>
    <s v="California Northern District Court"/>
    <s v="01/27/2017"/>
    <s v="03/28/2017"/>
    <x v="614"/>
    <s v="Individual"/>
    <x v="616"/>
    <m/>
    <s v="GIMO.1.e"/>
    <m/>
    <m/>
    <m/>
    <n v="0"/>
    <x v="151"/>
    <s v="Contested"/>
    <s v="G-Ind"/>
    <x v="0"/>
  </r>
  <r>
    <x v="118"/>
    <s v="GIMO"/>
    <s v="California Northern District Court"/>
    <s v="01/27/2017"/>
    <s v="03/28/2017"/>
    <x v="615"/>
    <s v="Individual"/>
    <x v="617"/>
    <m/>
    <s v="GIMO.2"/>
    <m/>
    <n v="1"/>
    <n v="12876.5"/>
    <n v="1.03012E-2"/>
    <x v="1"/>
    <s v="Contested"/>
    <s v="Ind"/>
    <x v="0"/>
  </r>
  <r>
    <x v="118"/>
    <s v="GIMO"/>
    <s v="California Northern District Court"/>
    <s v="01/27/2017"/>
    <s v="03/28/2017"/>
    <x v="616"/>
    <s v="Individual"/>
    <x v="618"/>
    <m/>
    <s v="GIMO.3"/>
    <m/>
    <n v="2"/>
    <n v="49761.7"/>
    <n v="3.9809359999999995E-2"/>
    <x v="138"/>
    <s v="Contested"/>
    <s v="Ind"/>
    <x v="0"/>
  </r>
  <r>
    <x v="118"/>
    <s v="GIMO"/>
    <s v="California Northern District Court"/>
    <s v="01/27/2017"/>
    <s v="03/28/2017"/>
    <x v="617"/>
    <s v="Individual"/>
    <x v="619"/>
    <m/>
    <s v="GIMO.4.a"/>
    <m/>
    <n v="4"/>
    <n v="190900"/>
    <n v="0.15271999999999999"/>
    <x v="210"/>
    <s v="Contested"/>
    <s v="G-Ind"/>
    <x v="0"/>
  </r>
  <r>
    <x v="118"/>
    <s v="GIMO"/>
    <s v="California Northern District Court"/>
    <s v="01/27/2017"/>
    <s v="03/28/2017"/>
    <x v="618"/>
    <s v="Individual"/>
    <x v="619"/>
    <m/>
    <s v="GIMO.4.b"/>
    <m/>
    <m/>
    <m/>
    <n v="0"/>
    <x v="210"/>
    <s v="Contested"/>
    <s v="G-Ind"/>
    <x v="0"/>
  </r>
  <r>
    <x v="118"/>
    <s v="GIMO"/>
    <s v="California Northern District Court"/>
    <s v="01/27/2017"/>
    <s v="03/28/2017"/>
    <x v="619"/>
    <s v="Individual"/>
    <x v="619"/>
    <m/>
    <s v="GIMO.4.c"/>
    <m/>
    <m/>
    <m/>
    <n v="0"/>
    <x v="210"/>
    <s v="Contested"/>
    <s v="G-Ind"/>
    <x v="0"/>
  </r>
  <r>
    <x v="118"/>
    <s v="GIMO"/>
    <s v="California Northern District Court"/>
    <s v="01/27/2017"/>
    <s v="03/28/2017"/>
    <x v="620"/>
    <s v="Individual"/>
    <x v="620"/>
    <m/>
    <s v="GIMO.4.d"/>
    <m/>
    <m/>
    <m/>
    <n v="0"/>
    <x v="210"/>
    <s v="Contested"/>
    <s v="G-Ind"/>
    <x v="0"/>
  </r>
  <r>
    <x v="118"/>
    <s v="GIMO"/>
    <s v="California Northern District Court"/>
    <s v="01/27/2017"/>
    <s v="03/28/2017"/>
    <x v="621"/>
    <s v="Institution"/>
    <x v="621"/>
    <m/>
    <s v="GIMO.5"/>
    <m/>
    <n v="1"/>
    <n v="31200.66"/>
    <n v="2.4960527999999999E-2"/>
    <x v="211"/>
    <s v="Contested"/>
    <s v="Ins"/>
    <x v="0"/>
  </r>
  <r>
    <x v="119"/>
    <s v="GDSI"/>
    <s v="New Jersey District Court"/>
    <s v="08/24/2016"/>
    <s v="10/24/2016"/>
    <x v="622"/>
    <s v="Individual"/>
    <x v="622"/>
    <m/>
    <s v="GDSI.1.a"/>
    <n v="4"/>
    <n v="3"/>
    <n v="61949.67"/>
    <n v="12.389934"/>
    <x v="132"/>
    <s v="Contested"/>
    <s v="G-Ind"/>
    <x v="0"/>
  </r>
  <r>
    <x v="119"/>
    <s v="GDSI"/>
    <s v="New Jersey District Court"/>
    <s v="08/24/2016"/>
    <s v="10/24/2016"/>
    <x v="623"/>
    <s v="Individual"/>
    <x v="623"/>
    <m/>
    <s v="GDSI.1.b"/>
    <m/>
    <m/>
    <m/>
    <n v="0"/>
    <x v="132"/>
    <s v="Contested"/>
    <s v="G-Ind"/>
    <x v="0"/>
  </r>
  <r>
    <x v="119"/>
    <s v="GDSI"/>
    <s v="New Jersey District Court"/>
    <s v="08/24/2016"/>
    <s v="10/24/2016"/>
    <x v="624"/>
    <s v="Individual"/>
    <x v="624"/>
    <m/>
    <s v="GDSI.1.c"/>
    <m/>
    <m/>
    <m/>
    <n v="0"/>
    <x v="132"/>
    <s v="Contested"/>
    <s v="G-Ind"/>
    <x v="0"/>
  </r>
  <r>
    <x v="119"/>
    <s v="GDSI"/>
    <s v="New Jersey District Court"/>
    <s v="08/24/2016"/>
    <s v="10/24/2016"/>
    <x v="625"/>
    <s v="Individual"/>
    <x v="625"/>
    <m/>
    <s v="GDSI.2"/>
    <m/>
    <n v="1"/>
    <n v="10433.57"/>
    <n v="2.0867139999999997"/>
    <x v="10"/>
    <s v="Contested"/>
    <s v="Ind"/>
    <x v="0"/>
  </r>
  <r>
    <x v="119"/>
    <s v="GDSI"/>
    <s v="New Jersey District Court"/>
    <s v="08/24/2016"/>
    <s v="10/24/2016"/>
    <x v="626"/>
    <s v="Individual"/>
    <x v="626"/>
    <m/>
    <s v="GDSI.3"/>
    <m/>
    <n v="1"/>
    <n v="24289.23"/>
    <n v="4.8578459999999994"/>
    <x v="8"/>
    <s v="Contested"/>
    <s v="Ind"/>
    <x v="0"/>
  </r>
  <r>
    <x v="119"/>
    <s v="GDSI"/>
    <s v="New Jersey District Court"/>
    <s v="08/24/2016"/>
    <s v="10/24/2016"/>
    <x v="627"/>
    <s v="Individual"/>
    <x v="627"/>
    <m/>
    <s v="GDSI.4.a"/>
    <m/>
    <n v="2"/>
    <n v="2498"/>
    <n v="0.49959999999999993"/>
    <x v="11"/>
    <s v="Contested"/>
    <s v="G-Ind"/>
    <x v="0"/>
  </r>
  <r>
    <x v="119"/>
    <s v="GDSI"/>
    <s v="New Jersey District Court"/>
    <s v="08/24/2016"/>
    <s v="10/24/2016"/>
    <x v="628"/>
    <s v="Individual"/>
    <x v="628"/>
    <m/>
    <s v="GDSI.4.b"/>
    <m/>
    <m/>
    <m/>
    <n v="0"/>
    <x v="11"/>
    <s v="Contested"/>
    <s v="G-Ind"/>
    <x v="0"/>
  </r>
  <r>
    <x v="120"/>
    <s v="GG"/>
    <s v="California Central District Court"/>
    <s v="08/25/2016"/>
    <s v="10/24/2016"/>
    <x v="629"/>
    <s v="Individual"/>
    <x v="629"/>
    <m/>
    <s v="GG.1.a"/>
    <n v="6"/>
    <n v="2"/>
    <n v="950986.16"/>
    <n v="8.6453287272727275E-2"/>
    <x v="1"/>
    <s v="Contested"/>
    <s v="G-Ind"/>
    <x v="0"/>
  </r>
  <r>
    <x v="120"/>
    <s v="GG"/>
    <s v="California Central District Court"/>
    <s v="08/25/2016"/>
    <s v="10/24/2016"/>
    <x v="630"/>
    <s v="Individual"/>
    <x v="630"/>
    <m/>
    <s v="GG.1.b"/>
    <m/>
    <m/>
    <m/>
    <n v="0"/>
    <x v="1"/>
    <s v="Contested"/>
    <s v="G-Ind"/>
    <x v="0"/>
  </r>
  <r>
    <x v="120"/>
    <s v="GG"/>
    <s v="California Central District Court"/>
    <s v="08/25/2016"/>
    <s v="10/24/2016"/>
    <x v="631"/>
    <s v="Individual"/>
    <x v="631"/>
    <m/>
    <s v="GG.2"/>
    <m/>
    <n v="1"/>
    <n v="13387.59"/>
    <n v="1.2170536363636363E-3"/>
    <x v="69"/>
    <s v="Contested"/>
    <s v="Ind"/>
    <x v="0"/>
  </r>
  <r>
    <x v="120"/>
    <s v="GG"/>
    <s v="California Central District Court"/>
    <s v="08/25/2016"/>
    <s v="10/24/2016"/>
    <x v="632"/>
    <s v="Individual"/>
    <x v="632"/>
    <m/>
    <s v="GG.3"/>
    <m/>
    <n v="1"/>
    <n v="9813.2099999999991"/>
    <n v="8.9211E-4"/>
    <x v="10"/>
    <s v="Contested"/>
    <s v="Ind"/>
    <x v="0"/>
  </r>
  <r>
    <x v="120"/>
    <s v="GG"/>
    <s v="California Central District Court"/>
    <s v="08/25/2016"/>
    <s v="10/24/2016"/>
    <x v="633"/>
    <s v="Individual"/>
    <x v="633"/>
    <m/>
    <s v="GG.4"/>
    <m/>
    <n v="1"/>
    <n v="53066"/>
    <n v="4.8241818181818186E-3"/>
    <x v="106"/>
    <s v="Contested"/>
    <s v="Ind"/>
    <x v="0"/>
  </r>
  <r>
    <x v="120"/>
    <s v="GG"/>
    <s v="California Central District Court"/>
    <s v="08/25/2016"/>
    <s v="10/24/2016"/>
    <x v="634"/>
    <s v="Institution"/>
    <x v="634"/>
    <s v="LIFO"/>
    <s v="GG.5"/>
    <m/>
    <n v="1"/>
    <n v="280729.78000000003"/>
    <n v="2.5520889090909094E-2"/>
    <x v="20"/>
    <s v="Contested"/>
    <s v="Ins"/>
    <x v="1"/>
  </r>
  <r>
    <x v="120"/>
    <s v="GG"/>
    <s v="California Central District Court"/>
    <s v="08/25/2016"/>
    <s v="10/24/2016"/>
    <x v="635"/>
    <s v="Individual"/>
    <x v="635"/>
    <m/>
    <s v="GG.6"/>
    <m/>
    <n v="1"/>
    <n v="3004.88"/>
    <n v="2.7317090909090909E-4"/>
    <x v="8"/>
    <s v="Contested"/>
    <s v="Ind"/>
    <x v="0"/>
  </r>
  <r>
    <x v="121"/>
    <s v="GPRO"/>
    <s v="California Northern District Court"/>
    <s v="01/13/2016"/>
    <s v="03/14/2016"/>
    <x v="636"/>
    <s v="Individual"/>
    <x v="636"/>
    <m/>
    <s v="GPRO.1"/>
    <n v="11"/>
    <n v="1"/>
    <n v="89093"/>
    <n v="0.2227325"/>
    <x v="42"/>
    <s v="Contested"/>
    <s v="Ind"/>
    <x v="0"/>
  </r>
  <r>
    <x v="121"/>
    <s v="GPRO"/>
    <s v="California Northern District Court"/>
    <s v="01/13/2016"/>
    <s v="03/14/2016"/>
    <x v="637"/>
    <s v="Individual"/>
    <x v="637"/>
    <s v="LIFO"/>
    <s v="GPRO.2.a"/>
    <m/>
    <n v="2"/>
    <n v="577722.44999999995"/>
    <n v="1.4443061249999998"/>
    <x v="26"/>
    <s v="Contested"/>
    <s v="Ind"/>
    <x v="0"/>
  </r>
  <r>
    <x v="121"/>
    <s v="GPRO"/>
    <s v="California Northern District Court"/>
    <s v="11/16/2016"/>
    <s v="01/17/2017"/>
    <x v="638"/>
    <s v="Individual"/>
    <x v="638"/>
    <s v="LIFO"/>
    <s v="GPRO.2.b"/>
    <m/>
    <m/>
    <m/>
    <n v="0"/>
    <x v="26"/>
    <s v="Contested"/>
    <s v="Ind"/>
    <x v="0"/>
  </r>
  <r>
    <x v="121"/>
    <s v="GPRO"/>
    <s v="California Northern District Court"/>
    <s v="01/13/2016"/>
    <s v="03/14/2016"/>
    <x v="639"/>
    <s v="Individual"/>
    <x v="639"/>
    <m/>
    <s v="GPRO.3.a"/>
    <m/>
    <n v="5"/>
    <n v="518522.17"/>
    <n v="1.2963054249999999"/>
    <x v="212"/>
    <s v="Contested"/>
    <s v="G-Ind"/>
    <x v="0"/>
  </r>
  <r>
    <x v="121"/>
    <s v="GPRO"/>
    <s v="California Northern District Court"/>
    <s v="01/13/2016"/>
    <s v="03/14/2016"/>
    <x v="640"/>
    <s v="Individual"/>
    <x v="640"/>
    <m/>
    <s v="GPRO.3.b"/>
    <m/>
    <m/>
    <m/>
    <n v="0"/>
    <x v="212"/>
    <s v="Contested"/>
    <s v="G-Ind"/>
    <x v="0"/>
  </r>
  <r>
    <x v="121"/>
    <s v="GPRO"/>
    <s v="California Northern District Court"/>
    <s v="01/13/2016"/>
    <s v="03/14/2016"/>
    <x v="641"/>
    <s v="Individual"/>
    <x v="641"/>
    <m/>
    <s v="GPRO.3.c"/>
    <m/>
    <m/>
    <m/>
    <n v="0"/>
    <x v="212"/>
    <s v="Contested"/>
    <s v="G-Ind"/>
    <x v="0"/>
  </r>
  <r>
    <x v="121"/>
    <s v="GPRO"/>
    <s v="California Northern District Court"/>
    <s v="01/13/2016"/>
    <s v="03/14/2016"/>
    <x v="642"/>
    <s v="Individual"/>
    <x v="642"/>
    <m/>
    <s v="GPRO.3.d"/>
    <m/>
    <m/>
    <m/>
    <n v="0"/>
    <x v="212"/>
    <s v="Contested"/>
    <s v="G-Ind"/>
    <x v="0"/>
  </r>
  <r>
    <x v="121"/>
    <s v="GPRO"/>
    <s v="California Northern District Court"/>
    <s v="01/13/2016"/>
    <s v="03/14/2016"/>
    <x v="643"/>
    <s v="Individual"/>
    <x v="643"/>
    <m/>
    <s v="GPRO.3.e"/>
    <m/>
    <m/>
    <m/>
    <n v="0"/>
    <x v="212"/>
    <s v="Contested"/>
    <s v="G-Ind"/>
    <x v="0"/>
  </r>
  <r>
    <x v="121"/>
    <s v="GPRO"/>
    <s v="California Northern District Court"/>
    <s v="01/13/2016"/>
    <s v="03/14/2016"/>
    <x v="644"/>
    <s v="Individual"/>
    <x v="644"/>
    <s v="FIFO/LIFO"/>
    <s v="GPRO.4.a"/>
    <m/>
    <n v="4"/>
    <n v="1889086"/>
    <n v="4.722715"/>
    <x v="213"/>
    <s v="Contested"/>
    <s v="G-Mix"/>
    <x v="0"/>
  </r>
  <r>
    <x v="121"/>
    <s v="GPRO"/>
    <s v="California Northern District Court"/>
    <s v="01/13/2016"/>
    <s v="03/14/2016"/>
    <x v="645"/>
    <s v="Individual"/>
    <x v="645"/>
    <s v="FIFO/LIFO"/>
    <s v="GPRO.4.b"/>
    <m/>
    <m/>
    <m/>
    <n v="0"/>
    <x v="213"/>
    <s v="Contested"/>
    <s v="G-Mix"/>
    <x v="0"/>
  </r>
  <r>
    <x v="121"/>
    <s v="GPRO"/>
    <s v="California Northern District Court"/>
    <s v="01/13/2016"/>
    <s v="03/14/2016"/>
    <x v="646"/>
    <s v="Institution"/>
    <x v="646"/>
    <s v="FIFO/LIFO"/>
    <s v="GPRO.4.c"/>
    <m/>
    <m/>
    <m/>
    <n v="0"/>
    <x v="213"/>
    <s v="Contested"/>
    <s v="G-Mix"/>
    <x v="1"/>
  </r>
  <r>
    <x v="121"/>
    <s v="GPRO"/>
    <s v="California Northern District Court"/>
    <s v="01/13/2016"/>
    <s v="03/14/2016"/>
    <x v="647"/>
    <s v="Institution"/>
    <x v="647"/>
    <s v="FIFO/LIFO"/>
    <s v="GPRO.4.d"/>
    <m/>
    <m/>
    <m/>
    <n v="0"/>
    <x v="213"/>
    <s v="Contested"/>
    <s v="G-Mix"/>
    <x v="0"/>
  </r>
  <r>
    <x v="121"/>
    <s v="GPRO"/>
    <s v="California Northern District Court"/>
    <s v="11/16/2016"/>
    <s v="01/17/2017"/>
    <x v="648"/>
    <s v="Institution"/>
    <x v="648"/>
    <s v="LIFO/FIFO"/>
    <s v="GPRO.5"/>
    <m/>
    <n v="1"/>
    <n v="111288.33"/>
    <n v="0.278220825"/>
    <x v="1"/>
    <s v="Contested"/>
    <s v="Ins"/>
    <x v="0"/>
  </r>
  <r>
    <x v="121"/>
    <s v="GPRO"/>
    <s v="California Northern District Court"/>
    <s v="11/16/2016"/>
    <s v="01/17/2017"/>
    <x v="649"/>
    <s v="Individual"/>
    <x v="649"/>
    <s v="LIFO"/>
    <s v="GPRO.6"/>
    <m/>
    <n v="1"/>
    <n v="169083.06"/>
    <n v="0.42270765000000005"/>
    <x v="44"/>
    <s v="Contested"/>
    <s v="Ind"/>
    <x v="0"/>
  </r>
  <r>
    <x v="121"/>
    <s v="GPRO"/>
    <s v="California Northern District Court"/>
    <s v="11/16/2016"/>
    <s v="01/17/2017"/>
    <x v="650"/>
    <s v="Individual"/>
    <x v="650"/>
    <m/>
    <s v="GPRO.7.a"/>
    <m/>
    <n v="2"/>
    <n v="377663.14"/>
    <n v="0.94415785000000008"/>
    <x v="10"/>
    <s v="Contested"/>
    <s v="Ind"/>
    <x v="0"/>
  </r>
  <r>
    <x v="121"/>
    <s v="GPRO"/>
    <s v="California Northern District Court"/>
    <s v="01/13/2016"/>
    <s v="03/14/2016"/>
    <x v="646"/>
    <s v="Institution"/>
    <x v="651"/>
    <m/>
    <s v="GPRO.7.b"/>
    <m/>
    <m/>
    <m/>
    <n v="0"/>
    <x v="10"/>
    <s v="Contested"/>
    <s v="Ins"/>
    <x v="1"/>
  </r>
  <r>
    <x v="121"/>
    <s v="GPRO"/>
    <s v="California Northern District Court"/>
    <s v="11/16/2016"/>
    <s v="01/17/2017"/>
    <x v="651"/>
    <s v="Individual"/>
    <x v="652"/>
    <s v="FIFO"/>
    <s v="GPRO.8.a"/>
    <m/>
    <n v="4"/>
    <n v="327639"/>
    <n v="0.81909749999999992"/>
    <x v="106"/>
    <s v="Contested"/>
    <s v="G-Ind"/>
    <x v="0"/>
  </r>
  <r>
    <x v="121"/>
    <s v="GPRO"/>
    <s v="California Northern District Court"/>
    <s v="11/16/2016"/>
    <s v="01/17/2017"/>
    <x v="652"/>
    <s v="Individual"/>
    <x v="653"/>
    <s v="FIFO"/>
    <s v="GPRO.8.b"/>
    <m/>
    <m/>
    <m/>
    <n v="0"/>
    <x v="106"/>
    <s v="Contested"/>
    <s v="G-Ind"/>
    <x v="0"/>
  </r>
  <r>
    <x v="121"/>
    <s v="GPRO"/>
    <s v="California Northern District Court"/>
    <s v="11/16/2016"/>
    <s v="01/17/2017"/>
    <x v="653"/>
    <s v="Individual"/>
    <x v="654"/>
    <s v="FIFO"/>
    <s v="GPRO.8.c"/>
    <m/>
    <m/>
    <m/>
    <n v="0"/>
    <x v="106"/>
    <s v="Contested"/>
    <s v="G-Ind"/>
    <x v="0"/>
  </r>
  <r>
    <x v="121"/>
    <s v="GPRO"/>
    <s v="California Northern District Court"/>
    <s v="11/16/2016"/>
    <s v="01/17/2017"/>
    <x v="654"/>
    <s v="Individual"/>
    <x v="655"/>
    <s v="FIFO"/>
    <s v="GPRO.8d."/>
    <m/>
    <m/>
    <m/>
    <n v="0"/>
    <x v="106"/>
    <s v="Contested"/>
    <s v="G-Ind"/>
    <x v="0"/>
  </r>
  <r>
    <x v="121"/>
    <s v="GPRO"/>
    <s v="California Northern District Court"/>
    <s v="01/13/2016"/>
    <s v="03/14/2016"/>
    <x v="385"/>
    <s v="Institution"/>
    <x v="656"/>
    <m/>
    <s v="GPRO.9"/>
    <m/>
    <n v="1"/>
    <n v="904799.71"/>
    <n v="2.261999275"/>
    <x v="46"/>
    <s v="Contested"/>
    <s v="Ins"/>
    <x v="1"/>
  </r>
  <r>
    <x v="121"/>
    <s v="GPRO"/>
    <s v="California Northern District Court"/>
    <s v="01/13/2016"/>
    <s v="03/14/2016"/>
    <x v="655"/>
    <s v="Individual"/>
    <x v="657"/>
    <m/>
    <s v="GPRO.10.a"/>
    <m/>
    <n v="7"/>
    <n v="1968589.4899999998"/>
    <n v="4.9214737249999994"/>
    <x v="214"/>
    <s v="Contested"/>
    <s v="G-Ind"/>
    <x v="0"/>
  </r>
  <r>
    <x v="121"/>
    <s v="GPRO"/>
    <s v="California Northern District Court"/>
    <s v="01/13/2016"/>
    <s v="03/14/2016"/>
    <x v="656"/>
    <s v="Individual"/>
    <x v="658"/>
    <m/>
    <s v="GPRO.10.b"/>
    <m/>
    <m/>
    <m/>
    <n v="0"/>
    <x v="214"/>
    <s v="Contested"/>
    <s v="G-Ind"/>
    <x v="0"/>
  </r>
  <r>
    <x v="121"/>
    <s v="GPRO"/>
    <s v="California Northern District Court"/>
    <s v="01/13/2016"/>
    <s v="03/14/2016"/>
    <x v="657"/>
    <s v="Individual"/>
    <x v="659"/>
    <m/>
    <s v="GPRO.10.c"/>
    <m/>
    <m/>
    <m/>
    <n v="0"/>
    <x v="214"/>
    <s v="Contested"/>
    <s v="G-Ind"/>
    <x v="0"/>
  </r>
  <r>
    <x v="121"/>
    <s v="GPRO"/>
    <s v="California Northern District Court"/>
    <s v="01/13/2016"/>
    <s v="03/14/2016"/>
    <x v="658"/>
    <s v="Individual"/>
    <x v="660"/>
    <m/>
    <s v="GPRO.10.d"/>
    <m/>
    <m/>
    <m/>
    <n v="0"/>
    <x v="214"/>
    <s v="Contested"/>
    <s v="G-Ind"/>
    <x v="0"/>
  </r>
  <r>
    <x v="121"/>
    <s v="GPRO"/>
    <s v="California Northern District Court"/>
    <s v="01/13/2016"/>
    <s v="03/14/2016"/>
    <x v="659"/>
    <s v="Individual"/>
    <x v="661"/>
    <m/>
    <s v="GPRO.10.e"/>
    <m/>
    <m/>
    <m/>
    <n v="0"/>
    <x v="214"/>
    <s v="Contested"/>
    <s v="G-Ind"/>
    <x v="0"/>
  </r>
  <r>
    <x v="121"/>
    <s v="GPRO"/>
    <s v="California Northern District Court"/>
    <s v="01/13/2016"/>
    <s v="03/14/2016"/>
    <x v="660"/>
    <s v="Individual"/>
    <x v="662"/>
    <m/>
    <s v="GPRO.10.f"/>
    <m/>
    <m/>
    <m/>
    <n v="0"/>
    <x v="214"/>
    <s v="Contested"/>
    <s v="G-Ind"/>
    <x v="0"/>
  </r>
  <r>
    <x v="121"/>
    <s v="GPRO"/>
    <s v="California Northern District Court"/>
    <s v="01/13/2016"/>
    <s v="03/14/2016"/>
    <x v="661"/>
    <s v="Individual"/>
    <x v="663"/>
    <m/>
    <s v="GPRO.10.g"/>
    <m/>
    <m/>
    <m/>
    <n v="0"/>
    <x v="214"/>
    <s v="Contested"/>
    <s v="G-Ind"/>
    <x v="0"/>
  </r>
  <r>
    <x v="121"/>
    <s v="GPRO"/>
    <s v="California Northern District Court"/>
    <s v="01/13/2016"/>
    <s v="03/14/2016"/>
    <x v="662"/>
    <s v="Individual"/>
    <x v="664"/>
    <m/>
    <s v="GPRO.11"/>
    <m/>
    <n v="1"/>
    <n v="379202.22"/>
    <n v="0.94800554999999986"/>
    <x v="11"/>
    <s v="Contested"/>
    <s v="Ind"/>
    <x v="0"/>
  </r>
  <r>
    <x v="122"/>
    <s v="GRAM"/>
    <s v="New York Eastern District Court"/>
    <s v="02/27/2017"/>
    <s v="04/28/2017"/>
    <x v="663"/>
    <s v="Institution"/>
    <x v="665"/>
    <m/>
    <s v="GRAM.1"/>
    <n v="2"/>
    <n v="1"/>
    <n v="76437.38"/>
    <n v="0.10191650666666668"/>
    <x v="145"/>
    <s v="Contested"/>
    <s v="Ins"/>
    <x v="0"/>
  </r>
  <r>
    <x v="122"/>
    <s v="GRAM"/>
    <s v="New York Eastern District Court"/>
    <s v="02/27/2017"/>
    <s v="04/28/2017"/>
    <x v="664"/>
    <s v="Individual"/>
    <x v="666"/>
    <m/>
    <s v="GRAM.2.a"/>
    <m/>
    <n v="4"/>
    <n v="81479.709999999992"/>
    <n v="0.10863961333333332"/>
    <x v="215"/>
    <s v="Contested"/>
    <s v="G-Ind"/>
    <x v="0"/>
  </r>
  <r>
    <x v="122"/>
    <s v="GRAM"/>
    <s v="New York Eastern District Court"/>
    <s v="02/27/2017"/>
    <s v="04/28/2017"/>
    <x v="665"/>
    <s v="Individual"/>
    <x v="667"/>
    <m/>
    <s v="GRAM.2.b"/>
    <m/>
    <m/>
    <m/>
    <n v="0"/>
    <x v="215"/>
    <s v="Contested"/>
    <s v="G-Ind"/>
    <x v="0"/>
  </r>
  <r>
    <x v="122"/>
    <s v="GRAM"/>
    <s v="New York Eastern District Court"/>
    <s v="02/27/2017"/>
    <s v="04/28/2017"/>
    <x v="666"/>
    <s v="Individual"/>
    <x v="668"/>
    <m/>
    <s v="GRAM.2.c"/>
    <m/>
    <m/>
    <m/>
    <n v="0"/>
    <x v="215"/>
    <s v="Contested"/>
    <s v="G-Ind"/>
    <x v="0"/>
  </r>
  <r>
    <x v="122"/>
    <s v="GRAM"/>
    <s v="New York Eastern District Court"/>
    <s v="02/27/2017"/>
    <s v="04/28/2017"/>
    <x v="667"/>
    <s v="Individual"/>
    <x v="669"/>
    <m/>
    <s v="GRAM.2.d"/>
    <m/>
    <m/>
    <m/>
    <n v="0"/>
    <x v="215"/>
    <s v="Contested"/>
    <s v="G-Ind"/>
    <x v="0"/>
  </r>
  <r>
    <x v="123"/>
    <s v="GWPH"/>
    <s v="New York Southern District Court"/>
    <s v="01/21/2016"/>
    <s v="03/21/2016"/>
    <x v="668"/>
    <s v="Individual"/>
    <x v="670"/>
    <m/>
    <s v="GWPH.1.a"/>
    <n v="4"/>
    <n v="3"/>
    <n v="364517"/>
    <n v="0.60752833333333334"/>
    <x v="216"/>
    <s v="Contested"/>
    <s v="G-Ind"/>
    <x v="0"/>
  </r>
  <r>
    <x v="123"/>
    <s v="GWPH"/>
    <s v="New York Southern District Court"/>
    <s v="01/21/2016"/>
    <s v="03/21/2016"/>
    <x v="669"/>
    <s v="Individual"/>
    <x v="671"/>
    <m/>
    <s v="GWPH.1.b"/>
    <m/>
    <m/>
    <m/>
    <n v="0"/>
    <x v="216"/>
    <s v="Contested"/>
    <s v="G-Ind"/>
    <x v="0"/>
  </r>
  <r>
    <x v="123"/>
    <s v="GWPH"/>
    <s v="New York Southern District Court"/>
    <s v="01/21/2016"/>
    <s v="03/21/2016"/>
    <x v="670"/>
    <s v="Individual"/>
    <x v="672"/>
    <m/>
    <s v="GWPH.1.c"/>
    <m/>
    <m/>
    <m/>
    <n v="0"/>
    <x v="216"/>
    <s v="Contested"/>
    <s v="G-Ind"/>
    <x v="0"/>
  </r>
  <r>
    <x v="123"/>
    <s v="GWPH"/>
    <s v="New York Southern District Court"/>
    <s v="01/21/2016"/>
    <s v="03/21/2016"/>
    <x v="671"/>
    <s v="Individual"/>
    <x v="673"/>
    <m/>
    <s v="GWPH.2"/>
    <m/>
    <n v="1"/>
    <n v="40076.46"/>
    <n v="6.6794099999999995E-2"/>
    <x v="69"/>
    <s v="Contested"/>
    <s v="Ind"/>
    <x v="0"/>
  </r>
  <r>
    <x v="123"/>
    <s v="GWPH"/>
    <s v="New York Southern District Court"/>
    <s v="01/21/2016"/>
    <s v="03/21/2016"/>
    <x v="672"/>
    <s v="Individual"/>
    <x v="674"/>
    <m/>
    <s v="GWPH.3"/>
    <m/>
    <n v="1"/>
    <n v="118039.13"/>
    <n v="0.19673188333333333"/>
    <x v="10"/>
    <s v="Contested"/>
    <s v="Ind"/>
    <x v="0"/>
  </r>
  <r>
    <x v="123"/>
    <s v="GWPH"/>
    <s v="New York Southern District Court"/>
    <s v="01/21/2016"/>
    <s v="03/21/2016"/>
    <x v="673"/>
    <s v="Individual"/>
    <x v="675"/>
    <m/>
    <s v="GWPH.4"/>
    <m/>
    <n v="1"/>
    <n v="332209.39"/>
    <n v="0.55368231666666667"/>
    <x v="8"/>
    <s v="Contested"/>
    <s v="Ind"/>
    <x v="0"/>
  </r>
  <r>
    <x v="124"/>
    <s v="HYH"/>
    <s v="New York Southern District Court"/>
    <s v="06/28/2016"/>
    <s v="08/29/2016"/>
    <x v="674"/>
    <s v="Individual"/>
    <x v="676"/>
    <m/>
    <s v="HYH.1"/>
    <n v="2"/>
    <n v="1"/>
    <n v="192986"/>
    <n v="0.58480606060606055"/>
    <x v="106"/>
    <s v="Contested"/>
    <s v="Ind"/>
    <x v="0"/>
  </r>
  <r>
    <x v="124"/>
    <s v="HYH"/>
    <s v="New York Southern District Court"/>
    <s v="06/28/2016"/>
    <s v="08/29/2016"/>
    <x v="675"/>
    <s v="Individual"/>
    <x v="677"/>
    <m/>
    <s v="HYH.2"/>
    <m/>
    <n v="1"/>
    <n v="12074.88"/>
    <n v="3.6590545454545452E-2"/>
    <x v="8"/>
    <s v="Contested"/>
    <s v="Ind"/>
    <x v="0"/>
  </r>
  <r>
    <x v="125"/>
    <s v="HAR"/>
    <s v="Connecticut District Court"/>
    <s v="02/15/2017"/>
    <s v="04/17/2017"/>
    <x v="676"/>
    <s v="Institution"/>
    <x v="678"/>
    <s v="Holdings"/>
    <s v="HAR.1"/>
    <n v="1"/>
    <n v="1"/>
    <n v="509.8"/>
    <e v="#VALUE!"/>
    <x v="217"/>
    <s v="Uncontested"/>
    <s v="Ins"/>
    <x v="0"/>
  </r>
  <r>
    <x v="126"/>
    <s v="HCP"/>
    <s v="Ohio Northern District Court"/>
    <s v="05/09/2016"/>
    <s v="07/11/2016"/>
    <x v="138"/>
    <s v="Institution"/>
    <x v="679"/>
    <s v="FIFO"/>
    <s v="HCP.1"/>
    <n v="3"/>
    <n v="1"/>
    <n v="1963181.72"/>
    <n v="0.12269885749999999"/>
    <x v="218"/>
    <s v="Contested"/>
    <s v="Ins"/>
    <x v="1"/>
  </r>
  <r>
    <x v="126"/>
    <s v="HCP"/>
    <s v="Ohio Northern District Court"/>
    <s v="05/09/2016"/>
    <s v="07/11/2016"/>
    <x v="677"/>
    <s v="Individual"/>
    <x v="680"/>
    <m/>
    <s v="HCP.2"/>
    <m/>
    <n v="1"/>
    <n v="154632.54"/>
    <n v="9.6645337500000008E-3"/>
    <x v="219"/>
    <s v="Contested"/>
    <s v="Ind"/>
    <x v="0"/>
  </r>
  <r>
    <x v="126"/>
    <s v="HCP"/>
    <s v="Ohio Northern District Court"/>
    <s v="05/09/2016"/>
    <s v="07/11/2016"/>
    <x v="133"/>
    <s v="Institution"/>
    <x v="681"/>
    <m/>
    <s v="HCP.3.a"/>
    <m/>
    <n v="2"/>
    <n v="1920664.62"/>
    <n v="0.12004153875"/>
    <x v="220"/>
    <s v="Contested"/>
    <s v="Ins"/>
    <x v="1"/>
  </r>
  <r>
    <x v="126"/>
    <s v="HCP"/>
    <s v="Ohio Northern District Court"/>
    <s v="05/09/2016"/>
    <s v="07/11/2016"/>
    <x v="212"/>
    <s v="Institution"/>
    <x v="682"/>
    <m/>
    <s v="HCP.3.b"/>
    <m/>
    <m/>
    <m/>
    <n v="0"/>
    <x v="220"/>
    <s v="Contested"/>
    <s v="Ins"/>
    <x v="1"/>
  </r>
  <r>
    <x v="127"/>
    <s v="HTWR"/>
    <s v="New York Southern District Court"/>
    <s v="01/22/2016"/>
    <s v="03/22/2016"/>
    <x v="166"/>
    <s v="Institution"/>
    <x v="683"/>
    <s v="FIFO/LIFO"/>
    <s v="HTWR.1"/>
    <n v="1"/>
    <n v="1"/>
    <n v="895774.83"/>
    <n v="0.358309932"/>
    <x v="84"/>
    <s v="Uncontested"/>
    <s v="Ins"/>
    <x v="1"/>
  </r>
  <r>
    <x v="128"/>
    <s v="HMSY"/>
    <s v="New Jersey District Court"/>
    <s v="03/03/2017"/>
    <s v="05/02/2017"/>
    <x v="678"/>
    <s v="Individual"/>
    <x v="684"/>
    <m/>
    <s v="HMSY.1.a"/>
    <n v="1"/>
    <n v="2"/>
    <n v="2754.63"/>
    <n v="2.7546299999999999E-2"/>
    <x v="8"/>
    <s v="Uncontested"/>
    <s v="G-Ind"/>
    <x v="0"/>
  </r>
  <r>
    <x v="128"/>
    <s v="HMSY"/>
    <s v="New Jersey District Court"/>
    <s v="03/03/2017"/>
    <s v="05/02/2017"/>
    <x v="679"/>
    <s v="Individual"/>
    <x v="685"/>
    <m/>
    <s v="HMSY.1.b"/>
    <m/>
    <m/>
    <m/>
    <n v="0"/>
    <x v="8"/>
    <s v="Uncontested"/>
    <s v="G-Ind"/>
    <x v="0"/>
  </r>
  <r>
    <x v="129"/>
    <s v="HZNP"/>
    <s v="New York Southern District Court"/>
    <s v="03/08/2016"/>
    <s v="05/09/2016"/>
    <x v="680"/>
    <s v="Institution"/>
    <x v="686"/>
    <m/>
    <s v="HZNP.1"/>
    <n v="6"/>
    <n v="1"/>
    <n v="250261.52"/>
    <n v="0.11122734222222222"/>
    <x v="84"/>
    <s v="Contested"/>
    <s v="Ins"/>
    <x v="1"/>
  </r>
  <r>
    <x v="129"/>
    <s v="HZNP"/>
    <s v="New York Southern District Court"/>
    <s v="03/08/2016"/>
    <s v="05/09/2016"/>
    <x v="681"/>
    <s v="Institution"/>
    <x v="687"/>
    <s v="LIFO"/>
    <s v="HZNP.2.a"/>
    <m/>
    <n v="2"/>
    <n v="524529.23"/>
    <n v="0.23312410222222224"/>
    <x v="70"/>
    <s v="Contested"/>
    <s v="G-Ins"/>
    <x v="1"/>
  </r>
  <r>
    <x v="129"/>
    <s v="HZNP"/>
    <s v="New York Southern District Court"/>
    <s v="03/08/2016"/>
    <s v="05/09/2016"/>
    <x v="682"/>
    <s v="Institution"/>
    <x v="688"/>
    <s v="LIFO"/>
    <s v="HZNP.2.b"/>
    <m/>
    <m/>
    <m/>
    <n v="0"/>
    <x v="70"/>
    <s v="Contested"/>
    <s v="G-Ins"/>
    <x v="1"/>
  </r>
  <r>
    <x v="129"/>
    <s v="HZNP"/>
    <s v="New York Southern District Court"/>
    <s v="03/08/2016"/>
    <s v="05/09/2016"/>
    <x v="683"/>
    <s v="Individual"/>
    <x v="689"/>
    <m/>
    <s v="HZNP.3"/>
    <m/>
    <n v="1"/>
    <n v="33995.43"/>
    <n v="1.5109079999999999E-2"/>
    <x v="10"/>
    <s v="Contested"/>
    <s v="Ind"/>
    <x v="0"/>
  </r>
  <r>
    <x v="129"/>
    <s v="HZNP"/>
    <s v="New York Southern District Court"/>
    <s v="03/08/2016"/>
    <s v="05/09/2016"/>
    <x v="684"/>
    <s v="Individual"/>
    <x v="690"/>
    <m/>
    <s v="HZNP.4.a"/>
    <m/>
    <n v="2"/>
    <n v="167687"/>
    <n v="7.4527555555555555E-2"/>
    <x v="89"/>
    <s v="Contested"/>
    <s v="G-Ind"/>
    <x v="0"/>
  </r>
  <r>
    <x v="129"/>
    <s v="HZNP"/>
    <s v="New York Southern District Court"/>
    <s v="03/08/2016"/>
    <s v="05/09/2016"/>
    <x v="685"/>
    <s v="Individual"/>
    <x v="691"/>
    <m/>
    <s v="HZNP.4.b"/>
    <m/>
    <m/>
    <m/>
    <n v="0"/>
    <x v="89"/>
    <s v="Contested"/>
    <s v="G-Ind"/>
    <x v="0"/>
  </r>
  <r>
    <x v="129"/>
    <s v="HZNP"/>
    <s v="New York Southern District Court"/>
    <s v="03/08/2016"/>
    <s v="05/09/2016"/>
    <x v="284"/>
    <s v="Institution"/>
    <x v="692"/>
    <s v="FIFO/LIFO"/>
    <s v="HZNP.5"/>
    <m/>
    <n v="1"/>
    <n v="164423"/>
    <n v="7.3076888888888886E-2"/>
    <x v="79"/>
    <s v="Contested"/>
    <s v="Ins"/>
    <x v="1"/>
  </r>
  <r>
    <x v="129"/>
    <s v="HZNP"/>
    <s v="New York Southern District Court"/>
    <s v="03/08/2016"/>
    <s v="05/09/2016"/>
    <x v="595"/>
    <s v="Institution"/>
    <x v="693"/>
    <m/>
    <s v="HZNP.6"/>
    <m/>
    <n v="1"/>
    <n v="312009"/>
    <n v="0.13867066666666666"/>
    <x v="221"/>
    <s v="Contested"/>
    <s v="Ins"/>
    <x v="1"/>
  </r>
  <r>
    <x v="130"/>
    <s v="ZINCQ"/>
    <s v="Delaware District Court"/>
    <s v="04/22/2016"/>
    <s v="06/21/2016"/>
    <x v="686"/>
    <s v="Individual"/>
    <x v="694"/>
    <m/>
    <s v="ZINCQ.1.a"/>
    <n v="5"/>
    <n v="2"/>
    <n v="453447.1"/>
    <n v="0.20153204444444445"/>
    <x v="222"/>
    <s v="Contested"/>
    <s v="G-Ind"/>
    <x v="0"/>
  </r>
  <r>
    <x v="130"/>
    <s v="ZINCQ"/>
    <s v="Delaware District Court"/>
    <s v="04/22/2016"/>
    <s v="06/21/2016"/>
    <x v="687"/>
    <s v="Individual"/>
    <x v="695"/>
    <m/>
    <s v="ZINCQ.1.b"/>
    <m/>
    <m/>
    <m/>
    <n v="0"/>
    <x v="222"/>
    <s v="Contested"/>
    <s v="G-Ind"/>
    <x v="0"/>
  </r>
  <r>
    <x v="130"/>
    <s v="ZINCQ"/>
    <s v="Delaware District Court"/>
    <s v="04/22/2016"/>
    <s v="06/21/2016"/>
    <x v="688"/>
    <s v="Individual"/>
    <x v="696"/>
    <m/>
    <s v="ZINCQ.2"/>
    <m/>
    <n v="1"/>
    <n v="47898.080000000002"/>
    <n v="2.1288035555555557E-2"/>
    <x v="223"/>
    <s v="Contested"/>
    <s v="Ind"/>
    <x v="0"/>
  </r>
  <r>
    <x v="130"/>
    <s v="ZINCQ"/>
    <s v="Delaware District Court"/>
    <s v="04/22/2016"/>
    <s v="06/21/2016"/>
    <x v="689"/>
    <s v="Individual"/>
    <x v="697"/>
    <m/>
    <s v="ZINCQ.3.a"/>
    <m/>
    <n v="3"/>
    <n v="279473"/>
    <n v="0.12421022222222224"/>
    <x v="224"/>
    <s v="Contested"/>
    <s v="G-Ind"/>
    <x v="0"/>
  </r>
  <r>
    <x v="130"/>
    <s v="ZINCQ"/>
    <s v="Delaware District Court"/>
    <s v="04/22/2016"/>
    <s v="06/21/2016"/>
    <x v="690"/>
    <s v="Individual"/>
    <x v="698"/>
    <m/>
    <s v="ZINCQ.3.b"/>
    <m/>
    <m/>
    <m/>
    <n v="0"/>
    <x v="224"/>
    <s v="Contested"/>
    <s v="G-Ind"/>
    <x v="0"/>
  </r>
  <r>
    <x v="130"/>
    <s v="ZINCQ"/>
    <s v="Delaware District Court"/>
    <s v="04/22/2016"/>
    <s v="06/21/2016"/>
    <x v="691"/>
    <s v="Individual"/>
    <x v="699"/>
    <m/>
    <s v="ZINCQ.3.c"/>
    <m/>
    <m/>
    <m/>
    <n v="0"/>
    <x v="224"/>
    <s v="Contested"/>
    <s v="G-Ind"/>
    <x v="0"/>
  </r>
  <r>
    <x v="130"/>
    <s v="ZINCQ"/>
    <s v="Delaware District Court"/>
    <s v="04/22/2016"/>
    <s v="06/21/2016"/>
    <x v="692"/>
    <s v="Individual"/>
    <x v="700"/>
    <m/>
    <s v="ZINCQ.4"/>
    <m/>
    <n v="1"/>
    <n v="64109.3"/>
    <n v="2.8493022222222227E-2"/>
    <x v="225"/>
    <s v="Contested"/>
    <s v="Ind"/>
    <x v="0"/>
  </r>
  <r>
    <x v="130"/>
    <s v="ZINCQ"/>
    <s v="Delaware District Court"/>
    <s v="04/22/2016"/>
    <s v="06/21/2016"/>
    <x v="693"/>
    <s v="Individual"/>
    <x v="701"/>
    <m/>
    <s v="ZINCQ.5"/>
    <m/>
    <n v="1"/>
    <n v="239600.74"/>
    <n v="0.10648921777777777"/>
    <x v="226"/>
    <s v="Contested"/>
    <s v="Ind"/>
    <x v="0"/>
  </r>
  <r>
    <x v="131"/>
    <s v="HDP"/>
    <s v="California Northern District Court"/>
    <s v="02/29/2016"/>
    <s v="04/29/2016"/>
    <x v="694"/>
    <s v="Individual"/>
    <x v="702"/>
    <m/>
    <s v="HDP.1"/>
    <n v="2"/>
    <n v="1"/>
    <n v="99550"/>
    <n v="0.19910000000000003"/>
    <x v="106"/>
    <s v="Contested"/>
    <s v="Ind"/>
    <x v="0"/>
  </r>
  <r>
    <x v="131"/>
    <s v="HDP"/>
    <s v="California Northern District Court"/>
    <s v="02/29/2016"/>
    <s v="04/29/2016"/>
    <x v="695"/>
    <s v="Individual"/>
    <x v="703"/>
    <m/>
    <s v="HDP.2"/>
    <m/>
    <n v="1"/>
    <n v="12536.13"/>
    <n v="2.5072259999999999E-2"/>
    <x v="8"/>
    <s v="Contested"/>
    <s v="Ind"/>
    <x v="0"/>
  </r>
  <r>
    <x v="132"/>
    <s v="HTCH"/>
    <s v="Minnesota District Court"/>
    <s v="12/14/2015"/>
    <s v="02/08/2016"/>
    <x v="696"/>
    <s v="Individual"/>
    <x v="5"/>
    <m/>
    <s v="HTCH.1"/>
    <n v="1"/>
    <n v="1"/>
    <s v="***"/>
    <e v="#VALUE!"/>
    <x v="227"/>
    <s v="Uncontested"/>
    <s v="Ind"/>
    <x v="0"/>
  </r>
  <r>
    <x v="133"/>
    <s v="INVE"/>
    <s v="California Northern District Court"/>
    <s v="12/16/2015"/>
    <s v="02/16/2016"/>
    <x v="697"/>
    <s v="Individual"/>
    <x v="704"/>
    <m/>
    <s v="INVE.1"/>
    <n v="3"/>
    <n v="1"/>
    <n v="947025.72"/>
    <n v="25.945910136986299"/>
    <x v="193"/>
    <s v="Contested"/>
    <s v="Ind"/>
    <x v="0"/>
  </r>
  <r>
    <x v="133"/>
    <s v="INVE"/>
    <s v="California Northern District Court"/>
    <s v="12/16/2015"/>
    <s v="02/16/2016"/>
    <x v="698"/>
    <s v="Individual"/>
    <x v="705"/>
    <m/>
    <s v="INVE.2.a"/>
    <m/>
    <n v="3"/>
    <n v="174239"/>
    <n v="4.7736712328767128"/>
    <x v="56"/>
    <s v="Contested"/>
    <s v="G-Ind"/>
    <x v="0"/>
  </r>
  <r>
    <x v="133"/>
    <s v="INVE"/>
    <s v="California Northern District Court"/>
    <s v="12/16/2015"/>
    <s v="02/16/2016"/>
    <x v="699"/>
    <s v="Individual"/>
    <x v="706"/>
    <m/>
    <s v="INVE.2.b"/>
    <m/>
    <m/>
    <m/>
    <n v="0"/>
    <x v="56"/>
    <s v="Contested"/>
    <s v="G-Ind"/>
    <x v="0"/>
  </r>
  <r>
    <x v="133"/>
    <s v="INVE"/>
    <s v="California Northern District Court"/>
    <s v="12/16/2015"/>
    <s v="02/16/2016"/>
    <x v="700"/>
    <s v="Individual"/>
    <x v="707"/>
    <m/>
    <s v="INVE.2.c"/>
    <m/>
    <m/>
    <m/>
    <n v="0"/>
    <x v="56"/>
    <s v="Contested"/>
    <s v="G-Ind"/>
    <x v="0"/>
  </r>
  <r>
    <x v="133"/>
    <s v="INVE"/>
    <s v="California Northern District Court"/>
    <s v="12/16/2015"/>
    <s v="02/16/2016"/>
    <x v="701"/>
    <s v="Individual"/>
    <x v="708"/>
    <s v="LIFO"/>
    <s v="INVE.3"/>
    <m/>
    <n v="1"/>
    <n v="188202.2"/>
    <n v="5.1562246575342465"/>
    <x v="10"/>
    <s v="Contested"/>
    <s v="Ind"/>
    <x v="0"/>
  </r>
  <r>
    <x v="134"/>
    <s v="ILMN"/>
    <s v="California Southern District Court"/>
    <s v="12/16/2016"/>
    <s v="02/14/2017"/>
    <x v="702"/>
    <s v="Individual"/>
    <x v="709"/>
    <m/>
    <s v="ILMN.1.a"/>
    <n v="4"/>
    <n v="2"/>
    <n v="273602.77"/>
    <n v="3.4200346249999999E-2"/>
    <x v="228"/>
    <s v="Contested"/>
    <s v="G-Mix"/>
    <x v="0"/>
  </r>
  <r>
    <x v="134"/>
    <s v="ILMN"/>
    <s v="California Southern District Court"/>
    <s v="12/16/2016"/>
    <s v="02/14/2017"/>
    <x v="703"/>
    <s v="Institution"/>
    <x v="710"/>
    <m/>
    <s v="ILMN.1.b"/>
    <m/>
    <m/>
    <m/>
    <n v="0"/>
    <x v="228"/>
    <s v="Contested"/>
    <s v="G-Mix"/>
    <x v="0"/>
  </r>
  <r>
    <x v="134"/>
    <s v="ILMN"/>
    <s v="California Southern District Court"/>
    <s v="12/16/2016"/>
    <s v="02/14/2017"/>
    <x v="704"/>
    <s v="Institution"/>
    <x v="711"/>
    <s v="FIFO/LIFO"/>
    <s v="ILMN.2"/>
    <m/>
    <n v="1"/>
    <n v="391823.67"/>
    <n v="4.8977958750000002E-2"/>
    <x v="229"/>
    <s v="Contested"/>
    <s v="Ins"/>
    <x v="0"/>
  </r>
  <r>
    <x v="134"/>
    <s v="ILMN"/>
    <s v="California Southern District Court"/>
    <s v="12/16/2016"/>
    <s v="02/14/2017"/>
    <x v="705"/>
    <s v="Institution"/>
    <x v="712"/>
    <m/>
    <s v="ILMN.3"/>
    <m/>
    <n v="1"/>
    <n v="995212.56"/>
    <n v="0.12440157"/>
    <x v="10"/>
    <s v="Contested"/>
    <s v="Ins"/>
    <x v="0"/>
  </r>
  <r>
    <x v="134"/>
    <s v="ILMN"/>
    <s v="California Southern District Court"/>
    <s v="12/16/2016"/>
    <s v="02/14/2017"/>
    <x v="706"/>
    <s v="Individual"/>
    <x v="713"/>
    <m/>
    <s v="ILMN.4.a"/>
    <m/>
    <n v="2"/>
    <n v="10141.799999999999"/>
    <n v="1.2677249999999999E-3"/>
    <x v="8"/>
    <s v="Contested"/>
    <s v="G-Ind"/>
    <x v="0"/>
  </r>
  <r>
    <x v="134"/>
    <s v="ILMN"/>
    <s v="California Southern District Court"/>
    <s v="12/16/2016"/>
    <s v="02/14/2017"/>
    <x v="707"/>
    <s v="Individual"/>
    <x v="714"/>
    <m/>
    <s v="ILMN.4.b"/>
    <m/>
    <m/>
    <m/>
    <n v="0"/>
    <x v="8"/>
    <s v="Contested"/>
    <s v="G-Ind"/>
    <x v="0"/>
  </r>
  <r>
    <x v="135"/>
    <s v="IMUC "/>
    <s v="California Central District Court"/>
    <s v="05/01/2017"/>
    <s v="06/30/2017"/>
    <x v="708"/>
    <s v="Individual"/>
    <x v="715"/>
    <m/>
    <s v="IMUC.1"/>
    <n v="3"/>
    <n v="1"/>
    <n v="522412"/>
    <n v="0.32650750000000001"/>
    <x v="230"/>
    <s v="Contested"/>
    <s v="Ind"/>
    <x v="0"/>
  </r>
  <r>
    <x v="135"/>
    <s v="IMUC "/>
    <s v="California Central District Court"/>
    <s v="05/01/2017"/>
    <s v="06/30/2017"/>
    <x v="709"/>
    <s v="Individual"/>
    <x v="716"/>
    <s v="LIFO"/>
    <s v="IMUC.2"/>
    <m/>
    <n v="1"/>
    <n v="969048.71"/>
    <n v="0.60565544374999991"/>
    <x v="10"/>
    <s v="Contested"/>
    <s v="Ind"/>
    <x v="0"/>
  </r>
  <r>
    <x v="135"/>
    <s v="IMUC "/>
    <s v="California Central District Court"/>
    <s v="05/01/2017"/>
    <s v="06/30/2017"/>
    <x v="710"/>
    <s v="Individual"/>
    <x v="717"/>
    <m/>
    <s v="IMUC.3"/>
    <m/>
    <n v="1"/>
    <n v="77550"/>
    <n v="4.8468749999999998E-2"/>
    <x v="8"/>
    <s v="Contested"/>
    <s v="Ind"/>
    <x v="0"/>
  </r>
  <r>
    <x v="136"/>
    <s v="IMMU"/>
    <s v="New Jersey District Court"/>
    <s v="06/09/2016"/>
    <s v="08/08/2016"/>
    <x v="711"/>
    <s v="Individual"/>
    <x v="718"/>
    <m/>
    <s v="IMMU.1"/>
    <n v="2"/>
    <n v="1"/>
    <n v="89692.4"/>
    <n v="0.35876959999999997"/>
    <x v="231"/>
    <s v="Contested"/>
    <s v="Ind"/>
    <x v="0"/>
  </r>
  <r>
    <x v="136"/>
    <s v="IMMU"/>
    <s v="New Jersey District Court"/>
    <s v="06/09/2016"/>
    <s v="08/08/2016"/>
    <x v="712"/>
    <s v="Individual"/>
    <x v="719"/>
    <m/>
    <s v="IMMU.2.a"/>
    <m/>
    <n v="2"/>
    <n v="15098.5"/>
    <n v="6.0393999999999996E-2"/>
    <x v="33"/>
    <s v="Contested"/>
    <s v="G-Ind"/>
    <x v="0"/>
  </r>
  <r>
    <x v="136"/>
    <s v="IMMU"/>
    <s v="New Jersey District Court"/>
    <s v="06/09/2016"/>
    <s v="08/08/2016"/>
    <x v="713"/>
    <s v="Individual"/>
    <x v="720"/>
    <m/>
    <s v="IMMU.2.b"/>
    <m/>
    <m/>
    <m/>
    <n v="0"/>
    <x v="33"/>
    <s v="Contested"/>
    <s v="G-Ind"/>
    <x v="0"/>
  </r>
  <r>
    <x v="137"/>
    <s v="IPXL"/>
    <s v="California Northern District Court"/>
    <s v="11/11/2016"/>
    <s v="01/09/2017"/>
    <x v="714"/>
    <m/>
    <x v="5"/>
    <m/>
    <s v="IPXL.1.a"/>
    <n v="2"/>
    <n v="2"/>
    <n v="0"/>
    <n v="0"/>
    <x v="146"/>
    <s v="Contested"/>
    <s v="G-Ind"/>
    <x v="0"/>
  </r>
  <r>
    <x v="137"/>
    <s v="IPXL"/>
    <s v="California Northern District Court"/>
    <s v="11/11/2016"/>
    <s v="01/09/2017"/>
    <x v="715"/>
    <s v="Individual"/>
    <x v="5"/>
    <m/>
    <s v="IPXL.1.b"/>
    <m/>
    <m/>
    <m/>
    <n v="0"/>
    <x v="146"/>
    <s v="Contested"/>
    <s v="G-Ind"/>
    <x v="0"/>
  </r>
  <r>
    <x v="137"/>
    <s v="IPXL"/>
    <s v="California Northern District Court"/>
    <s v="11/11/2016"/>
    <s v="01/09/2017"/>
    <x v="716"/>
    <s v="Institution"/>
    <x v="721"/>
    <m/>
    <s v="IPXL.2"/>
    <m/>
    <n v="1"/>
    <n v="162625.68"/>
    <n v="6.5050272000000006E-2"/>
    <x v="29"/>
    <s v="Contested"/>
    <s v="Ins"/>
    <x v="1"/>
  </r>
  <r>
    <x v="138"/>
    <s v="IMPR"/>
    <s v="Massachusetts District Court"/>
    <s v="02/02/2016"/>
    <s v="04/04/2016"/>
    <x v="717"/>
    <s v="Individual"/>
    <x v="722"/>
    <m/>
    <s v="IMPR.1"/>
    <n v="2"/>
    <n v="1"/>
    <n v="6424"/>
    <n v="1.0706666666666666E-2"/>
    <x v="10"/>
    <s v="Contested"/>
    <s v="Ind"/>
    <x v="0"/>
  </r>
  <r>
    <x v="138"/>
    <s v="IMPR"/>
    <s v="Massachusetts District Court"/>
    <s v="02/02/2016"/>
    <s v="04/04/2016"/>
    <x v="718"/>
    <s v="Individual"/>
    <x v="723"/>
    <m/>
    <s v="IMPR.2"/>
    <m/>
    <n v="1"/>
    <n v="41573.86"/>
    <n v="6.9289766666666669E-2"/>
    <x v="232"/>
    <s v="Contested"/>
    <s v="Ind"/>
    <x v="0"/>
  </r>
  <r>
    <x v="139"/>
    <s v="INFU"/>
    <s v="California Central District Court"/>
    <s v="11/08/2016"/>
    <s v="01/09/2017"/>
    <x v="719"/>
    <s v="Individual"/>
    <x v="724"/>
    <m/>
    <s v="INFU.1"/>
    <n v="2"/>
    <n v="1"/>
    <n v="1898"/>
    <n v="2.5306666666666668E-2"/>
    <x v="56"/>
    <s v="Contested"/>
    <s v="Ind"/>
    <x v="0"/>
  </r>
  <r>
    <x v="139"/>
    <s v="INFU"/>
    <s v="California Central District Court"/>
    <s v="11/08/2016"/>
    <s v="01/09/2017"/>
    <x v="720"/>
    <s v="Institution"/>
    <x v="725"/>
    <m/>
    <s v="INFU.2"/>
    <m/>
    <n v="1"/>
    <n v="41116.78"/>
    <n v="0.5482237333333333"/>
    <x v="8"/>
    <s v="Contested"/>
    <s v="Ins"/>
    <x v="0"/>
  </r>
  <r>
    <x v="140"/>
    <s v="INNL"/>
    <s v="Pennsylvania Eastern District Court"/>
    <s v="01/24/2017"/>
    <s v="03/27/2017"/>
    <x v="721"/>
    <s v="Individual"/>
    <x v="726"/>
    <m/>
    <s v="INNL.1.a"/>
    <n v="1"/>
    <n v="4"/>
    <n v="71050.69"/>
    <e v="#DIV/0!"/>
    <x v="32"/>
    <s v="Uncontested"/>
    <s v="G-Ind"/>
    <x v="0"/>
  </r>
  <r>
    <x v="140"/>
    <s v="INNL"/>
    <s v="Pennsylvania Eastern District Court"/>
    <s v="01/24/2017"/>
    <s v="03/27/2017"/>
    <x v="722"/>
    <s v="Individual"/>
    <x v="727"/>
    <m/>
    <s v="INNL.1.b"/>
    <m/>
    <m/>
    <m/>
    <e v="#DIV/0!"/>
    <x v="32"/>
    <s v="Uncontested"/>
    <s v="G-Ind"/>
    <x v="0"/>
  </r>
  <r>
    <x v="140"/>
    <s v="INNL"/>
    <s v="Pennsylvania Eastern District Court"/>
    <s v="01/24/2017"/>
    <s v="03/27/2017"/>
    <x v="723"/>
    <s v="Individual"/>
    <x v="728"/>
    <m/>
    <s v="INNL.1.c"/>
    <m/>
    <m/>
    <m/>
    <e v="#DIV/0!"/>
    <x v="32"/>
    <s v="Uncontested"/>
    <s v="G-Ind"/>
    <x v="0"/>
  </r>
  <r>
    <x v="140"/>
    <s v="INNL"/>
    <s v="Pennsylvania Eastern District Court"/>
    <s v="01/24/2017"/>
    <s v="03/27/2017"/>
    <x v="724"/>
    <s v="Individual"/>
    <x v="729"/>
    <m/>
    <s v="INNL.1.d"/>
    <m/>
    <m/>
    <m/>
    <e v="#DIV/0!"/>
    <x v="32"/>
    <s v="Uncontested"/>
    <s v="G-Ind"/>
    <x v="0"/>
  </r>
  <r>
    <x v="141"/>
    <s v="ITEK"/>
    <s v="Massachusetts District Court"/>
    <s v="01/06/2017"/>
    <s v="03/07/2017"/>
    <x v="725"/>
    <s v="Individual"/>
    <x v="730"/>
    <m/>
    <s v="ITEK.1.a"/>
    <n v="3"/>
    <n v="3"/>
    <n v="183510.36000000002"/>
    <n v="0.30585060000000003"/>
    <x v="233"/>
    <s v="Contested"/>
    <s v="G-Ind"/>
    <x v="0"/>
  </r>
  <r>
    <x v="141"/>
    <s v="ITEK"/>
    <s v="Massachusetts District Court"/>
    <s v="01/06/2017"/>
    <s v="03/07/2017"/>
    <x v="726"/>
    <s v="Individual"/>
    <x v="731"/>
    <m/>
    <s v="ITEK.1.b"/>
    <m/>
    <m/>
    <m/>
    <n v="0"/>
    <x v="233"/>
    <s v="Contested"/>
    <s v="G-Ind"/>
    <x v="0"/>
  </r>
  <r>
    <x v="141"/>
    <s v="ITEK"/>
    <s v="Massachusetts District Court"/>
    <s v="01/06/2017"/>
    <s v="03/07/2017"/>
    <x v="727"/>
    <s v="Individual"/>
    <x v="732"/>
    <m/>
    <s v="ITEK.1.c"/>
    <m/>
    <m/>
    <m/>
    <n v="0"/>
    <x v="233"/>
    <s v="Contested"/>
    <s v="G-Ind"/>
    <x v="0"/>
  </r>
  <r>
    <x v="141"/>
    <s v="ITEK"/>
    <s v="Massachusetts District Court"/>
    <s v="01/06/2017"/>
    <s v="03/07/2017"/>
    <x v="728"/>
    <s v="Individual"/>
    <x v="733"/>
    <m/>
    <s v="ITEK.2"/>
    <m/>
    <n v="1"/>
    <n v="773027.91"/>
    <n v="1.2883798499999999"/>
    <x v="234"/>
    <s v="Contested"/>
    <s v="Ind"/>
    <x v="0"/>
  </r>
  <r>
    <x v="141"/>
    <s v="ITEK"/>
    <s v="Massachusetts District Court"/>
    <s v="01/06/2017"/>
    <s v="03/07/2017"/>
    <x v="729"/>
    <s v="Individual"/>
    <x v="734"/>
    <s v="FIFO"/>
    <s v="ITEK.3"/>
    <m/>
    <n v="1"/>
    <n v="81450"/>
    <n v="0.13575000000000001"/>
    <x v="235"/>
    <s v="Contested"/>
    <s v="Ind"/>
    <x v="0"/>
  </r>
  <r>
    <x v="142"/>
    <s v="INOV"/>
    <s v="New York Southern District Court"/>
    <s v="06/24/2016"/>
    <s v="08/23/2016"/>
    <x v="730"/>
    <s v="Individual"/>
    <x v="735"/>
    <m/>
    <s v="INOV.1"/>
    <n v="2"/>
    <n v="1"/>
    <n v="8622"/>
    <e v="#DIV/0!"/>
    <x v="56"/>
    <s v="Contested"/>
    <s v="Ind"/>
    <x v="0"/>
  </r>
  <r>
    <x v="142"/>
    <s v="INOV"/>
    <s v="New York Southern District Court"/>
    <s v="06/24/2016"/>
    <s v="08/23/2016"/>
    <x v="731"/>
    <s v="Institution"/>
    <x v="736"/>
    <m/>
    <s v="INOV.2"/>
    <m/>
    <n v="1"/>
    <n v="114762.22"/>
    <e v="#DIV/0!"/>
    <x v="87"/>
    <s v="Contested"/>
    <s v="Ins"/>
    <x v="1"/>
  </r>
  <r>
    <x v="143"/>
    <s v="INSM"/>
    <s v="New Jersey District Court"/>
    <s v="07/15/2016"/>
    <s v="09/13/2016"/>
    <x v="732"/>
    <s v="Individual"/>
    <x v="737"/>
    <m/>
    <s v="INSM.1.a"/>
    <n v="2"/>
    <n v="4"/>
    <n v="17585"/>
    <n v="4.3962500000000002E-2"/>
    <x v="236"/>
    <s v="Contested"/>
    <s v="G-Ind"/>
    <x v="0"/>
  </r>
  <r>
    <x v="143"/>
    <s v="INSM"/>
    <s v="New Jersey District Court"/>
    <s v="07/15/2016"/>
    <s v="09/13/2016"/>
    <x v="733"/>
    <s v="Individual"/>
    <x v="738"/>
    <m/>
    <s v="INSM.1.b"/>
    <m/>
    <m/>
    <m/>
    <n v="0"/>
    <x v="236"/>
    <s v="Contested"/>
    <s v="G-Ind"/>
    <x v="0"/>
  </r>
  <r>
    <x v="143"/>
    <s v="INSM"/>
    <s v="New Jersey District Court"/>
    <s v="07/15/2016"/>
    <s v="09/13/2016"/>
    <x v="734"/>
    <s v="Individual"/>
    <x v="739"/>
    <m/>
    <s v="INSM.1.c"/>
    <m/>
    <m/>
    <m/>
    <n v="0"/>
    <x v="236"/>
    <s v="Contested"/>
    <s v="G-Ind"/>
    <x v="0"/>
  </r>
  <r>
    <x v="143"/>
    <s v="INSM"/>
    <s v="New Jersey District Court"/>
    <s v="07/15/2016"/>
    <s v="09/13/2016"/>
    <x v="735"/>
    <s v="Individual"/>
    <x v="740"/>
    <m/>
    <s v="INSM.1.d"/>
    <m/>
    <m/>
    <m/>
    <n v="0"/>
    <x v="236"/>
    <s v="Contested"/>
    <s v="G-Ind"/>
    <x v="0"/>
  </r>
  <r>
    <x v="143"/>
    <s v="INSM"/>
    <s v="New Jersey District Court"/>
    <s v="07/15/2016"/>
    <s v="09/13/2016"/>
    <x v="456"/>
    <s v="Institution"/>
    <x v="741"/>
    <m/>
    <s v="INSM.2"/>
    <m/>
    <n v="1"/>
    <n v="56804.12"/>
    <n v="0.14201030000000001"/>
    <x v="198"/>
    <s v="Contested"/>
    <s v="Ins"/>
    <x v="1"/>
  </r>
  <r>
    <x v="144"/>
    <s v="INSY"/>
    <s v="Arizona District Court"/>
    <s v="02/02/2016"/>
    <s v="04/04/2016"/>
    <x v="736"/>
    <s v="Individual"/>
    <x v="742"/>
    <s v="FIFO/LIFO"/>
    <s v="INSY.1"/>
    <n v="3"/>
    <n v="1"/>
    <n v="64511.17"/>
    <n v="0.80638962499999989"/>
    <x v="237"/>
    <s v="Contested"/>
    <s v="Ind"/>
    <x v="0"/>
  </r>
  <r>
    <x v="144"/>
    <s v="INSY"/>
    <s v="Arizona District Court"/>
    <s v="02/02/2016"/>
    <s v="04/04/2016"/>
    <x v="737"/>
    <s v="Individual"/>
    <x v="743"/>
    <m/>
    <s v="INSY.2"/>
    <m/>
    <n v="1"/>
    <n v="12589.39"/>
    <n v="0.15736737499999998"/>
    <x v="195"/>
    <s v="Contested"/>
    <s v="Ind"/>
    <x v="0"/>
  </r>
  <r>
    <x v="144"/>
    <s v="INSY"/>
    <s v="Arizona District Court"/>
    <s v="02/02/2016"/>
    <s v="04/04/2016"/>
    <x v="738"/>
    <s v="Individual"/>
    <x v="744"/>
    <m/>
    <s v="INSY.3"/>
    <m/>
    <n v="1"/>
    <n v="19681.75"/>
    <n v="0.24602187500000003"/>
    <x v="238"/>
    <s v="Contested"/>
    <s v="Ind"/>
    <x v="0"/>
  </r>
  <r>
    <x v="145"/>
    <s v="INSY"/>
    <s v="New York Southern District Court"/>
    <s v="03/17/2017"/>
    <s v="05/16/2017"/>
    <x v="739"/>
    <s v="Individual"/>
    <x v="745"/>
    <m/>
    <s v="INSY.1.a"/>
    <n v="2"/>
    <n v="4"/>
    <n v="24466.82"/>
    <n v="0.30583525"/>
    <x v="50"/>
    <s v="Contested"/>
    <s v="G-Ind"/>
    <x v="0"/>
  </r>
  <r>
    <x v="145"/>
    <s v="INSY"/>
    <s v="New York Southern District Court"/>
    <s v="03/17/2017"/>
    <s v="05/16/2017"/>
    <x v="740"/>
    <s v="Individual"/>
    <x v="746"/>
    <m/>
    <s v="INSY.1.b"/>
    <m/>
    <m/>
    <m/>
    <n v="0"/>
    <x v="50"/>
    <s v="Contested"/>
    <s v="G-Ind"/>
    <x v="0"/>
  </r>
  <r>
    <x v="145"/>
    <s v="INSY"/>
    <s v="New York Southern District Court"/>
    <s v="03/17/2017"/>
    <s v="05/16/2017"/>
    <x v="741"/>
    <s v="Individual"/>
    <x v="747"/>
    <m/>
    <s v="INSY.1.c"/>
    <m/>
    <m/>
    <m/>
    <n v="0"/>
    <x v="50"/>
    <s v="Contested"/>
    <s v="G-Ind"/>
    <x v="0"/>
  </r>
  <r>
    <x v="145"/>
    <s v="INSY"/>
    <s v="New York Southern District Court"/>
    <s v="03/17/2017"/>
    <s v="05/16/2017"/>
    <x v="742"/>
    <s v="Individual"/>
    <x v="748"/>
    <m/>
    <s v="INSY.1.d"/>
    <m/>
    <m/>
    <m/>
    <n v="0"/>
    <x v="50"/>
    <s v="Contested"/>
    <s v="G-Ind"/>
    <x v="0"/>
  </r>
  <r>
    <x v="145"/>
    <s v="INSY"/>
    <s v="New York Southern District Court"/>
    <s v="03/17/2017"/>
    <s v="05/16/2017"/>
    <x v="743"/>
    <s v="Individual"/>
    <x v="749"/>
    <s v="LIFO"/>
    <s v="INSY.2"/>
    <m/>
    <n v="1"/>
    <n v="124470.12"/>
    <n v="1.5558764999999999"/>
    <x v="10"/>
    <s v="Contested"/>
    <s v="Ind"/>
    <x v="0"/>
  </r>
  <r>
    <x v="146"/>
    <s v="ININ"/>
    <s v="Indiana Southern District Court"/>
    <s v="11/18/2016"/>
    <s v="01/17/2017"/>
    <x v="744"/>
    <s v="Institution"/>
    <x v="5"/>
    <m/>
    <s v="ININ.1"/>
    <n v="1"/>
    <n v="1"/>
    <s v="***"/>
    <e v="#VALUE!"/>
    <x v="239"/>
    <s v="Uncontested"/>
    <s v="Ins"/>
    <x v="0"/>
  </r>
  <r>
    <x v="147"/>
    <s v="XON"/>
    <s v="California Northern District Court"/>
    <s v="05/03/2016"/>
    <s v="07/05/2016"/>
    <x v="745"/>
    <s v="Individual"/>
    <x v="750"/>
    <s v="LIFO"/>
    <s v="XON.1"/>
    <n v="3"/>
    <n v="1"/>
    <n v="242970.55"/>
    <n v="7.7133507936507931E-2"/>
    <x v="1"/>
    <s v="Contested"/>
    <s v="Ind"/>
    <x v="0"/>
  </r>
  <r>
    <x v="147"/>
    <s v="XON"/>
    <s v="California Northern District Court"/>
    <s v="05/03/2016"/>
    <s v="07/05/2016"/>
    <x v="746"/>
    <s v="Individual"/>
    <x v="751"/>
    <m/>
    <s v="XON.2"/>
    <m/>
    <n v="1"/>
    <n v="211995.39"/>
    <n v="6.7300123809523812E-2"/>
    <x v="10"/>
    <s v="Contested"/>
    <s v="Ind"/>
    <x v="0"/>
  </r>
  <r>
    <x v="147"/>
    <s v="XON"/>
    <s v="California Northern District Court"/>
    <s v="05/03/2016"/>
    <s v="07/05/2016"/>
    <x v="747"/>
    <s v="Individual"/>
    <x v="752"/>
    <m/>
    <s v="XON.3.a"/>
    <m/>
    <n v="2"/>
    <n v="84426.22"/>
    <n v="2.6801974603174603E-2"/>
    <x v="146"/>
    <s v="Contested"/>
    <s v="G-Ind"/>
    <x v="0"/>
  </r>
  <r>
    <x v="147"/>
    <s v="XON"/>
    <s v="California Northern District Court"/>
    <s v="05/03/2016"/>
    <s v="07/05/2016"/>
    <x v="748"/>
    <s v="Individual"/>
    <x v="753"/>
    <m/>
    <s v="XON.3.b"/>
    <m/>
    <m/>
    <m/>
    <n v="0"/>
    <x v="146"/>
    <s v="Contested"/>
    <s v="G-Ind"/>
    <x v="0"/>
  </r>
  <r>
    <x v="148"/>
    <s v="SNAK"/>
    <s v="Arizona District Court"/>
    <s v="03/28/2017"/>
    <s v="05/30/2017"/>
    <x v="749"/>
    <s v="Individual"/>
    <x v="754"/>
    <m/>
    <s v="SNAK.1.a"/>
    <n v="2"/>
    <n v="1"/>
    <n v="16225.58"/>
    <n v="0.16225580000000001"/>
    <x v="195"/>
    <s v="Contested"/>
    <s v="G-Ind"/>
    <x v="0"/>
  </r>
  <r>
    <x v="148"/>
    <s v="SNAK"/>
    <s v="Arizona District Court"/>
    <s v="03/28/2017"/>
    <s v="05/30/2017"/>
    <x v="750"/>
    <s v="Individual"/>
    <x v="755"/>
    <m/>
    <s v="SNAK.1.b"/>
    <m/>
    <m/>
    <m/>
    <n v="0"/>
    <x v="195"/>
    <s v="Contested"/>
    <s v="G-Ind"/>
    <x v="0"/>
  </r>
  <r>
    <x v="148"/>
    <s v="SNAK"/>
    <s v="Arizona District Court"/>
    <s v="03/28/2017"/>
    <s v="05/30/2017"/>
    <x v="751"/>
    <s v="Individual"/>
    <x v="756"/>
    <m/>
    <s v="SNAK.2"/>
    <m/>
    <n v="1"/>
    <n v="5040"/>
    <n v="5.04E-2"/>
    <x v="55"/>
    <s v="Contested"/>
    <s v="Ind"/>
    <x v="0"/>
  </r>
  <r>
    <x v="149"/>
    <s v="IVTY"/>
    <s v="California Northern District Court"/>
    <s v="02/27/2017"/>
    <s v="04/28/2017"/>
    <x v="752"/>
    <s v="Individual"/>
    <x v="757"/>
    <s v="FIFO"/>
    <s v="IVTY.1"/>
    <n v="2"/>
    <n v="1"/>
    <n v="2051.91"/>
    <n v="1.2824437499999997E-2"/>
    <x v="240"/>
    <s v="Contested"/>
    <s v="Ind"/>
    <x v="0"/>
  </r>
  <r>
    <x v="149"/>
    <s v="IVTY"/>
    <s v="California Northern District Court"/>
    <s v="02/27/2017"/>
    <s v="04/28/2017"/>
    <x v="753"/>
    <s v="Individual"/>
    <x v="758"/>
    <m/>
    <s v="IVTY.2"/>
    <m/>
    <n v="1"/>
    <n v="1422.63"/>
    <n v="8.8914375E-3"/>
    <x v="49"/>
    <s v="Contested"/>
    <s v="Ind"/>
    <x v="0"/>
  </r>
  <r>
    <x v="150"/>
    <s v="IRS"/>
    <s v="California Central District Court"/>
    <s v="02/23/2016"/>
    <s v="04/25/2016"/>
    <x v="754"/>
    <s v="Individual"/>
    <x v="759"/>
    <m/>
    <s v="IRS.1.a"/>
    <n v="1"/>
    <n v="2"/>
    <n v="549.79999999999995"/>
    <n v="2.4435555555555556E-3"/>
    <x v="8"/>
    <s v="Uncontested"/>
    <s v="Ind"/>
    <x v="1"/>
  </r>
  <r>
    <x v="150"/>
    <s v="IRS"/>
    <s v="New York Southern District Court"/>
    <s v="05/09/2016"/>
    <s v="07/08/2016"/>
    <x v="754"/>
    <s v="Individual"/>
    <x v="760"/>
    <m/>
    <s v="IRS.1.b"/>
    <m/>
    <m/>
    <m/>
    <n v="0"/>
    <x v="8"/>
    <s v="Uncontested"/>
    <s v="Ind"/>
    <x v="1"/>
  </r>
  <r>
    <x v="151"/>
    <s v="ITC"/>
    <s v="Michigan Eastern District"/>
    <s v="03/14/2016"/>
    <s v="06/13/2016"/>
    <x v="755"/>
    <s v="Institution"/>
    <x v="5"/>
    <m/>
    <s v="ITC.1"/>
    <n v="1"/>
    <n v="1"/>
    <s v="***"/>
    <e v="#VALUE!"/>
    <x v="241"/>
    <s v="Uncontested"/>
    <s v="Ins"/>
    <x v="0"/>
  </r>
  <r>
    <x v="152"/>
    <s v="JAH"/>
    <s v="Florida Southern District Court"/>
    <s v="02/24/2016"/>
    <s v="04/25/2016"/>
    <x v="756"/>
    <s v="Individual"/>
    <x v="5"/>
    <m/>
    <s v="JAH.1"/>
    <n v="1"/>
    <n v="1"/>
    <s v="***"/>
    <e v="#VALUE!"/>
    <x v="242"/>
    <s v="Uncontested"/>
    <s v="Ind"/>
    <x v="0"/>
  </r>
  <r>
    <x v="153"/>
    <s v="JCI"/>
    <s v="Wisconsin Eastern District Court"/>
    <s v="08/16/2016"/>
    <s v="10/17/2016"/>
    <x v="757"/>
    <s v="Individual"/>
    <x v="5"/>
    <m/>
    <s v="JCI.1"/>
    <n v="2"/>
    <n v="1"/>
    <s v="***"/>
    <e v="#VALUE!"/>
    <x v="243"/>
    <s v="Contested"/>
    <s v="Ind"/>
    <x v="0"/>
  </r>
  <r>
    <x v="153"/>
    <s v="JCI"/>
    <s v="Wisconsin Eastern District Court"/>
    <s v="08/16/2016"/>
    <s v="10/17/2016"/>
    <x v="758"/>
    <s v="Individual"/>
    <x v="5"/>
    <m/>
    <s v="JCI.2.a"/>
    <m/>
    <n v="5"/>
    <n v="0"/>
    <e v="#VALUE!"/>
    <x v="244"/>
    <s v="Contested"/>
    <s v="G-Ind"/>
    <x v="0"/>
  </r>
  <r>
    <x v="153"/>
    <s v="JCI"/>
    <s v="Wisconsin Eastern District Court"/>
    <s v="08/16/2016"/>
    <s v="10/17/2016"/>
    <x v="759"/>
    <s v="Individual"/>
    <x v="5"/>
    <m/>
    <s v="JCI.2.b"/>
    <m/>
    <m/>
    <m/>
    <e v="#VALUE!"/>
    <x v="244"/>
    <s v="Contested"/>
    <s v="G-Ind"/>
    <x v="0"/>
  </r>
  <r>
    <x v="153"/>
    <s v="JCI"/>
    <s v="Wisconsin Eastern District Court"/>
    <s v="08/16/2016"/>
    <s v="10/17/2016"/>
    <x v="760"/>
    <s v="Individual"/>
    <x v="5"/>
    <m/>
    <s v="JCI.2.c"/>
    <m/>
    <m/>
    <m/>
    <e v="#VALUE!"/>
    <x v="244"/>
    <s v="Contested"/>
    <s v="G-Ind"/>
    <x v="0"/>
  </r>
  <r>
    <x v="153"/>
    <s v="JCI"/>
    <s v="Wisconsin Eastern District Court"/>
    <s v="08/16/2016"/>
    <s v="10/17/2016"/>
    <x v="761"/>
    <s v="Individual"/>
    <x v="5"/>
    <m/>
    <s v="JCI.2.d"/>
    <m/>
    <m/>
    <m/>
    <e v="#VALUE!"/>
    <x v="244"/>
    <s v="Contested"/>
    <s v="G-Ind"/>
    <x v="0"/>
  </r>
  <r>
    <x v="153"/>
    <s v="JCI"/>
    <s v="Wisconsin Eastern District Court"/>
    <s v="08/16/2016"/>
    <s v="10/17/2016"/>
    <x v="762"/>
    <s v="Individual"/>
    <x v="5"/>
    <m/>
    <s v="JCI.2.e"/>
    <m/>
    <m/>
    <m/>
    <e v="#VALUE!"/>
    <x v="244"/>
    <s v="Contested"/>
    <s v="G-Ind"/>
    <x v="0"/>
  </r>
  <r>
    <x v="154"/>
    <s v="JOY"/>
    <s v="Wisconsin Eastern District Court"/>
    <s v="09/13/2016"/>
    <s v="11/07/2016"/>
    <x v="763"/>
    <s v="Individual"/>
    <x v="5"/>
    <m/>
    <s v="JOY.1.a"/>
    <n v="2"/>
    <n v="2"/>
    <n v="0"/>
    <e v="#VALUE!"/>
    <x v="245"/>
    <s v="Contested"/>
    <s v="G-Ind"/>
    <x v="0"/>
  </r>
  <r>
    <x v="154"/>
    <s v="JOY"/>
    <s v="Wisconsin Eastern District Court"/>
    <s v="09/13/2016"/>
    <s v="11/07/2016"/>
    <x v="764"/>
    <s v="Individual"/>
    <x v="5"/>
    <m/>
    <s v="JOY.1.b"/>
    <m/>
    <m/>
    <m/>
    <e v="#VALUE!"/>
    <x v="245"/>
    <s v="Contested"/>
    <s v="G-Ind"/>
    <x v="0"/>
  </r>
  <r>
    <x v="154"/>
    <s v="JOY"/>
    <s v="Wisconsin Eastern District Court"/>
    <s v="09/13/2016"/>
    <s v="11/07/2016"/>
    <x v="765"/>
    <s v="Individual"/>
    <x v="5"/>
    <m/>
    <s v="JOY.2"/>
    <m/>
    <n v="1"/>
    <s v="***"/>
    <e v="#VALUE!"/>
    <x v="246"/>
    <s v="Contested"/>
    <s v="Ind"/>
    <x v="0"/>
  </r>
  <r>
    <x v="155"/>
    <s v="JUNO"/>
    <s v="Washington Western District Court"/>
    <s v="07/12/2016"/>
    <s v="09/12/2016"/>
    <x v="766"/>
    <s v="Individual"/>
    <x v="761"/>
    <m/>
    <s v="JUNO.1.a"/>
    <n v="3"/>
    <n v="5"/>
    <n v="62884.320000000007"/>
    <n v="4.8372553846153847E-2"/>
    <x v="247"/>
    <s v="Contested"/>
    <s v="G-Ind"/>
    <x v="0"/>
  </r>
  <r>
    <x v="155"/>
    <s v="JUNO"/>
    <s v="Washington Western District Court"/>
    <s v="07/12/2016"/>
    <s v="09/12/2016"/>
    <x v="767"/>
    <s v="Individual"/>
    <x v="762"/>
    <m/>
    <s v="JUNO.1.b"/>
    <m/>
    <m/>
    <m/>
    <n v="0"/>
    <x v="247"/>
    <s v="Contested"/>
    <s v="G-Ind"/>
    <x v="0"/>
  </r>
  <r>
    <x v="155"/>
    <s v="JUNO"/>
    <s v="Washington Western District Court"/>
    <s v="07/12/2016"/>
    <s v="09/12/2016"/>
    <x v="768"/>
    <s v="Individual"/>
    <x v="763"/>
    <m/>
    <s v="JUNO.1.c"/>
    <m/>
    <m/>
    <m/>
    <n v="0"/>
    <x v="247"/>
    <s v="Contested"/>
    <s v="G-Ind"/>
    <x v="0"/>
  </r>
  <r>
    <x v="155"/>
    <s v="JUNO"/>
    <s v="Washington Western District Court"/>
    <s v="07/12/2016"/>
    <s v="09/12/2016"/>
    <x v="769"/>
    <s v="Individual"/>
    <x v="764"/>
    <m/>
    <s v="JUNO.1.d"/>
    <m/>
    <m/>
    <m/>
    <n v="0"/>
    <x v="247"/>
    <s v="Contested"/>
    <s v="G-Ind"/>
    <x v="0"/>
  </r>
  <r>
    <x v="155"/>
    <s v="JUNO"/>
    <s v="Washington Western District Court"/>
    <s v="07/12/2016"/>
    <s v="09/12/2016"/>
    <x v="770"/>
    <s v="Individual"/>
    <x v="765"/>
    <m/>
    <s v="JUNO.1.e"/>
    <m/>
    <m/>
    <m/>
    <n v="0"/>
    <x v="247"/>
    <s v="Contested"/>
    <s v="G-Ind"/>
    <x v="0"/>
  </r>
  <r>
    <x v="155"/>
    <s v="JUNO"/>
    <s v="Washington Western District Court"/>
    <s v="07/12/2016"/>
    <s v="09/12/2016"/>
    <x v="771"/>
    <s v="Individual"/>
    <x v="766"/>
    <m/>
    <s v="JUNO.2"/>
    <m/>
    <n v="1"/>
    <n v="26192.89"/>
    <n v="2.0148376923076923E-2"/>
    <x v="248"/>
    <s v="Contested"/>
    <s v="Ind"/>
    <x v="0"/>
  </r>
  <r>
    <x v="155"/>
    <s v="JUNO"/>
    <s v="Washington Western District Court"/>
    <s v="07/12/2016"/>
    <s v="09/12/2016"/>
    <x v="772"/>
    <s v="Individual"/>
    <x v="767"/>
    <s v="FIFO"/>
    <s v="JUNO.3"/>
    <m/>
    <n v="1"/>
    <n v="132002"/>
    <n v="0.10154000000000001"/>
    <x v="249"/>
    <s v="Contested"/>
    <s v="Ind"/>
    <x v="0"/>
  </r>
  <r>
    <x v="156"/>
    <s v="LRN"/>
    <s v="California Northern District Court"/>
    <s v="07/20/2016"/>
    <s v="09/19/2016"/>
    <x v="773"/>
    <s v="Individual"/>
    <x v="768"/>
    <m/>
    <s v="LRN.1.a"/>
    <n v="2"/>
    <n v="2"/>
    <n v="137780.81"/>
    <n v="0.1722260125"/>
    <x v="1"/>
    <s v="Contested"/>
    <s v="G-Ind"/>
    <x v="0"/>
  </r>
  <r>
    <x v="156"/>
    <s v="LRN"/>
    <s v="California Northern District Court"/>
    <s v="07/20/2016"/>
    <s v="09/19/2016"/>
    <x v="774"/>
    <s v="Individual"/>
    <x v="769"/>
    <m/>
    <s v="LRN.1.b"/>
    <m/>
    <m/>
    <m/>
    <n v="0"/>
    <x v="1"/>
    <s v="Contested"/>
    <s v="G-Ind"/>
    <x v="0"/>
  </r>
  <r>
    <x v="156"/>
    <s v="LRN"/>
    <s v="California Northern District Court"/>
    <s v="07/20/2016"/>
    <s v="09/19/2016"/>
    <x v="775"/>
    <s v="Individual"/>
    <x v="770"/>
    <m/>
    <s v="LRN.2"/>
    <m/>
    <n v="1"/>
    <n v="7109"/>
    <n v="8.8862500000000001E-3"/>
    <x v="97"/>
    <s v="Contested"/>
    <s v="Ind"/>
    <x v="0"/>
  </r>
  <r>
    <x v="157"/>
    <s v="KBIO"/>
    <s v="California Northern District Court"/>
    <s v="12/18/2015"/>
    <s v="02/16/2016"/>
    <x v="776"/>
    <s v="Individual"/>
    <x v="771"/>
    <m/>
    <s v="KBIO.1.a"/>
    <n v="5"/>
    <n v="4"/>
    <n v="124508"/>
    <n v="0.41502666666666671"/>
    <x v="212"/>
    <s v="Contested"/>
    <s v="G-Ind"/>
    <x v="0"/>
  </r>
  <r>
    <x v="157"/>
    <s v="KBIO"/>
    <s v="California Northern District Court"/>
    <s v="12/18/2015"/>
    <s v="02/16/2016"/>
    <x v="777"/>
    <s v="Individual"/>
    <x v="772"/>
    <m/>
    <s v="KBIO.1.b"/>
    <m/>
    <m/>
    <m/>
    <n v="0"/>
    <x v="212"/>
    <s v="Contested"/>
    <s v="G-Ind"/>
    <x v="0"/>
  </r>
  <r>
    <x v="157"/>
    <s v="KBIO"/>
    <s v="California Northern District Court"/>
    <s v="12/18/2015"/>
    <s v="02/16/2016"/>
    <x v="778"/>
    <s v="Individual"/>
    <x v="773"/>
    <m/>
    <s v="KBIO.1.c"/>
    <m/>
    <m/>
    <m/>
    <n v="0"/>
    <x v="212"/>
    <s v="Contested"/>
    <s v="G-Ind"/>
    <x v="0"/>
  </r>
  <r>
    <x v="157"/>
    <s v="KBIO"/>
    <s v="California Northern District Court"/>
    <s v="12/18/2015"/>
    <s v="02/16/2016"/>
    <x v="779"/>
    <s v="Individual"/>
    <x v="774"/>
    <m/>
    <s v="KBIO.1.d"/>
    <m/>
    <m/>
    <m/>
    <n v="0"/>
    <x v="212"/>
    <s v="Contested"/>
    <s v="G-Ind"/>
    <x v="0"/>
  </r>
  <r>
    <x v="157"/>
    <s v="KBIO"/>
    <s v="California Northern District Court"/>
    <s v="12/18/2015"/>
    <s v="02/16/2016"/>
    <x v="780"/>
    <s v="Individual"/>
    <x v="775"/>
    <m/>
    <s v="KBIO.2.a"/>
    <m/>
    <n v="4"/>
    <n v="668157.78"/>
    <n v="2.2271926"/>
    <x v="1"/>
    <s v="Contested"/>
    <s v="G-Ind"/>
    <x v="0"/>
  </r>
  <r>
    <x v="157"/>
    <s v="KBIO"/>
    <s v="California Northern District Court"/>
    <s v="12/18/2015"/>
    <s v="02/16/2016"/>
    <x v="781"/>
    <s v="Individual"/>
    <x v="776"/>
    <m/>
    <s v="KBIO.2.b"/>
    <m/>
    <m/>
    <m/>
    <n v="0"/>
    <x v="1"/>
    <s v="Contested"/>
    <s v="G-Ind"/>
    <x v="0"/>
  </r>
  <r>
    <x v="157"/>
    <s v="KBIO"/>
    <s v="California Northern District Court"/>
    <s v="12/18/2015"/>
    <s v="02/16/2016"/>
    <x v="782"/>
    <s v="Individual"/>
    <x v="777"/>
    <m/>
    <s v="KBIO.2.c"/>
    <m/>
    <m/>
    <m/>
    <n v="0"/>
    <x v="1"/>
    <s v="Contested"/>
    <s v="G-Ind"/>
    <x v="0"/>
  </r>
  <r>
    <x v="157"/>
    <s v="KBIO"/>
    <s v="California Northern District Court"/>
    <s v="12/18/2015"/>
    <s v="02/16/2016"/>
    <x v="783"/>
    <s v="Individual"/>
    <x v="778"/>
    <m/>
    <s v="KBIO.2.d"/>
    <m/>
    <m/>
    <m/>
    <n v="0"/>
    <x v="1"/>
    <s v="Contested"/>
    <s v="G-Ind"/>
    <x v="0"/>
  </r>
  <r>
    <x v="157"/>
    <s v="KBIO"/>
    <s v="California Northern District Court"/>
    <s v="12/18/2015"/>
    <s v="02/16/2016"/>
    <x v="784"/>
    <s v="Individual"/>
    <x v="779"/>
    <m/>
    <s v="KBIO.3"/>
    <m/>
    <n v="1"/>
    <n v="20116.150000000001"/>
    <n v="6.705383333333334E-2"/>
    <x v="10"/>
    <s v="Contested"/>
    <s v="Ind"/>
    <x v="0"/>
  </r>
  <r>
    <x v="157"/>
    <s v="KBIO"/>
    <s v="California Northern District Court"/>
    <s v="12/18/2015"/>
    <s v="02/16/2016"/>
    <x v="785"/>
    <s v="Individual"/>
    <x v="780"/>
    <m/>
    <s v="KBIO.4.a"/>
    <m/>
    <n v="4"/>
    <n v="615410"/>
    <n v="2.0513666666666666"/>
    <x v="7"/>
    <s v="Contested"/>
    <s v="G-Ind"/>
    <x v="0"/>
  </r>
  <r>
    <x v="157"/>
    <s v="KBIO"/>
    <s v="California Northern District Court"/>
    <s v="12/18/2015"/>
    <s v="02/16/2016"/>
    <x v="786"/>
    <s v="Individual"/>
    <x v="781"/>
    <m/>
    <s v="KBIO.4.b"/>
    <m/>
    <m/>
    <m/>
    <n v="0"/>
    <x v="7"/>
    <s v="Contested"/>
    <s v="G-Ind"/>
    <x v="0"/>
  </r>
  <r>
    <x v="157"/>
    <s v="KBIO"/>
    <s v="California Northern District Court"/>
    <s v="12/18/2015"/>
    <s v="02/16/2016"/>
    <x v="276"/>
    <s v="Individual"/>
    <x v="782"/>
    <m/>
    <s v="KBIO.4.c"/>
    <m/>
    <m/>
    <m/>
    <n v="0"/>
    <x v="7"/>
    <s v="Contested"/>
    <s v="G-Ind"/>
    <x v="1"/>
  </r>
  <r>
    <x v="157"/>
    <s v="KBIO"/>
    <s v="California Northern District Court"/>
    <s v="12/18/2015"/>
    <s v="02/16/2016"/>
    <x v="787"/>
    <s v="Individual"/>
    <x v="783"/>
    <m/>
    <s v="KBIO.4.d"/>
    <m/>
    <m/>
    <m/>
    <n v="0"/>
    <x v="7"/>
    <s v="Contested"/>
    <s v="G-Ind"/>
    <x v="0"/>
  </r>
  <r>
    <x v="157"/>
    <s v="KBIO"/>
    <s v="California Northern District Court"/>
    <s v="12/18/2015"/>
    <s v="02/16/2016"/>
    <x v="788"/>
    <s v="Individual"/>
    <x v="784"/>
    <s v="FIFO/LIFO"/>
    <s v="KBIO.5"/>
    <m/>
    <n v="1"/>
    <n v="50126"/>
    <n v="0.16708666666666669"/>
    <x v="250"/>
    <s v="Contested"/>
    <s v="Ind"/>
    <x v="0"/>
  </r>
  <r>
    <x v="158"/>
    <s v="KERX"/>
    <s v="Massachusetts District Court"/>
    <s v="08/26/2016"/>
    <s v="10/03/2016"/>
    <x v="556"/>
    <s v="Individual"/>
    <x v="785"/>
    <m/>
    <s v="KERX.1.a"/>
    <n v="3"/>
    <n v="4"/>
    <n v="2606591.67"/>
    <n v="5.792425933333333"/>
    <x v="251"/>
    <s v="Contested"/>
    <s v="G-Ind"/>
    <x v="1"/>
  </r>
  <r>
    <x v="158"/>
    <s v="KERX"/>
    <s v="Massachusetts District Court"/>
    <s v="08/26/2016"/>
    <s v="10/03/2016"/>
    <x v="789"/>
    <s v="Individual"/>
    <x v="786"/>
    <m/>
    <s v="KERX.1.b"/>
    <m/>
    <m/>
    <m/>
    <n v="0"/>
    <x v="251"/>
    <s v="Contested"/>
    <s v="G-Ind"/>
    <x v="0"/>
  </r>
  <r>
    <x v="158"/>
    <s v="KERX"/>
    <s v="Massachusetts District Court"/>
    <s v="08/02/2016"/>
    <s v="10/03/2016"/>
    <x v="790"/>
    <s v="Individual"/>
    <x v="786"/>
    <s v="FIFO/LIFO"/>
    <s v="KERX.1.c"/>
    <m/>
    <m/>
    <m/>
    <n v="0"/>
    <x v="252"/>
    <s v="Contested"/>
    <s v="G-Ind"/>
    <x v="0"/>
  </r>
  <r>
    <x v="158"/>
    <s v="KERX"/>
    <s v="Massachusetts District Court"/>
    <s v="08/02/2016"/>
    <s v="10/03/2016"/>
    <x v="556"/>
    <s v="Individual"/>
    <x v="787"/>
    <s v="FIFO"/>
    <s v="KERX.1.d"/>
    <m/>
    <m/>
    <m/>
    <n v="0"/>
    <x v="252"/>
    <s v="Contested"/>
    <s v="G-Ind"/>
    <x v="1"/>
  </r>
  <r>
    <x v="158"/>
    <s v="KERX"/>
    <s v="Massachusetts District Court"/>
    <s v="08/02/2016"/>
    <s v="10/03/2016"/>
    <x v="791"/>
    <s v="Individual"/>
    <x v="788"/>
    <m/>
    <s v="KERX.2"/>
    <m/>
    <n v="1"/>
    <n v="42762.59"/>
    <n v="9.5027977777777772E-2"/>
    <x v="145"/>
    <s v="Contested"/>
    <s v="Ind"/>
    <x v="0"/>
  </r>
  <r>
    <x v="158"/>
    <s v="KERX"/>
    <s v="Massachusetts District Court"/>
    <s v="08/02/2016"/>
    <s v="10/03/2016"/>
    <x v="792"/>
    <s v="Individual"/>
    <x v="789"/>
    <m/>
    <s v="KERX.3.a"/>
    <m/>
    <n v="2"/>
    <n v="7900.8"/>
    <n v="1.7557333333333335E-2"/>
    <x v="8"/>
    <s v="Contested"/>
    <s v="G-Ind"/>
    <x v="0"/>
  </r>
  <r>
    <x v="158"/>
    <s v="KERX"/>
    <s v="Massachusetts District Court"/>
    <s v="08/02/2016"/>
    <s v="10/03/2016"/>
    <x v="793"/>
    <s v="Individual"/>
    <x v="790"/>
    <m/>
    <s v="KERX.3.b"/>
    <m/>
    <m/>
    <m/>
    <n v="0"/>
    <x v="8"/>
    <s v="Contested"/>
    <s v="G-Ind"/>
    <x v="0"/>
  </r>
  <r>
    <x v="159"/>
    <s v="GMCR"/>
    <s v="Vermont District Court"/>
    <s v="01/27/2016"/>
    <s v="03/28/2016"/>
    <x v="794"/>
    <s v="Individual"/>
    <x v="5"/>
    <m/>
    <s v="GMCR.1"/>
    <n v="1"/>
    <n v="1"/>
    <s v="***"/>
    <e v="#VALUE!"/>
    <x v="253"/>
    <s v="Uncontested"/>
    <s v="Ind"/>
    <x v="0"/>
  </r>
  <r>
    <x v="160"/>
    <s v="KTOV"/>
    <s v="New York Southern District Court"/>
    <s v="02/07/2017"/>
    <s v="04/10/2017"/>
    <x v="795"/>
    <s v="Individual"/>
    <x v="791"/>
    <m/>
    <s v="KTOV.1.a"/>
    <n v="1"/>
    <n v="2"/>
    <n v="137471.13"/>
    <n v="3.0549140000000001"/>
    <x v="146"/>
    <s v="Uncontested"/>
    <s v="G-Ind"/>
    <x v="0"/>
  </r>
  <r>
    <x v="160"/>
    <s v="KTOV"/>
    <s v="New York Southern District Court"/>
    <s v="02/07/2017"/>
    <s v="04/10/2017"/>
    <x v="796"/>
    <s v="Individual"/>
    <x v="792"/>
    <m/>
    <s v="KTOV.1.b"/>
    <m/>
    <m/>
    <m/>
    <n v="0"/>
    <x v="146"/>
    <s v="Uncontested"/>
    <s v="G-Ind"/>
    <x v="0"/>
  </r>
  <r>
    <x v="161"/>
    <s v="KLXI"/>
    <s v="Florida Southern District Court"/>
    <s v="01/06/2016"/>
    <s v="03/07/2016"/>
    <x v="797"/>
    <s v="Individual"/>
    <x v="793"/>
    <m/>
    <s v="KLXI.1"/>
    <n v="3"/>
    <n v="1"/>
    <n v="109288.7"/>
    <n v="5.4644350000000001E-2"/>
    <x v="162"/>
    <s v="Contested"/>
    <s v="Ind"/>
    <x v="0"/>
  </r>
  <r>
    <x v="161"/>
    <s v="KLXI"/>
    <s v="Florida Southern District Court"/>
    <s v="01/06/2016"/>
    <s v="03/07/2016"/>
    <x v="798"/>
    <s v="Institution"/>
    <x v="794"/>
    <m/>
    <s v="KLXI.2.a"/>
    <m/>
    <n v="2"/>
    <n v="310415.67"/>
    <n v="0.15520783499999999"/>
    <x v="254"/>
    <s v="Contested"/>
    <s v="G-Ins"/>
    <x v="0"/>
  </r>
  <r>
    <x v="161"/>
    <s v="KLXI"/>
    <s v="Florida Southern District Court"/>
    <s v="01/06/2016"/>
    <s v="03/07/2016"/>
    <x v="799"/>
    <s v="Institution"/>
    <x v="795"/>
    <m/>
    <s v="KLXI.2.b"/>
    <m/>
    <m/>
    <m/>
    <n v="0"/>
    <x v="254"/>
    <s v="Contested"/>
    <s v="G-Ins"/>
    <x v="0"/>
  </r>
  <r>
    <x v="161"/>
    <s v="KLXI"/>
    <s v="Florida Southern District Court"/>
    <s v="01/06/2016"/>
    <s v="03/07/2016"/>
    <x v="800"/>
    <s v="Individual"/>
    <x v="796"/>
    <m/>
    <s v="KLXI.3"/>
    <m/>
    <n v="1"/>
    <n v="24733.65"/>
    <n v="1.2366825000000001E-2"/>
    <x v="8"/>
    <s v="Contested"/>
    <s v="Ind"/>
    <x v="0"/>
  </r>
  <r>
    <x v="162"/>
    <s v="LQ"/>
    <s v="New York Southern District Court"/>
    <s v="04/25/2016"/>
    <s v="06/24/2016"/>
    <x v="801"/>
    <s v="Institution"/>
    <x v="797"/>
    <s v="LIFO"/>
    <s v="LQ.1"/>
    <n v="3"/>
    <n v="1"/>
    <n v="197110"/>
    <n v="6.9161403508771924E-2"/>
    <x v="164"/>
    <s v="Contested"/>
    <s v="Ins"/>
    <x v="1"/>
  </r>
  <r>
    <x v="162"/>
    <s v="LQ"/>
    <s v="New York Southern District Court"/>
    <s v="04/25/2016"/>
    <s v="06/24/2016"/>
    <x v="802"/>
    <s v="Institution"/>
    <x v="798"/>
    <m/>
    <s v="LQ.2"/>
    <m/>
    <n v="1"/>
    <n v="56608.08"/>
    <n v="1.9862484210526315E-2"/>
    <x v="175"/>
    <s v="Contested"/>
    <s v="Ins"/>
    <x v="0"/>
  </r>
  <r>
    <x v="162"/>
    <s v="LQ"/>
    <s v="New York Southern District Court"/>
    <s v="04/25/2016"/>
    <s v="06/24/2016"/>
    <x v="803"/>
    <s v="Individual"/>
    <x v="799"/>
    <m/>
    <s v="LQ.3"/>
    <m/>
    <n v="1"/>
    <n v="1285.78"/>
    <n v="4.5115087719298241E-4"/>
    <x v="8"/>
    <s v="Contested"/>
    <s v="Ind"/>
    <x v="0"/>
  </r>
  <r>
    <x v="163"/>
    <s v="LCI"/>
    <s v="Pennsylvania Eastern District Court"/>
    <s v="11/16/2016"/>
    <s v="01/17/2017"/>
    <x v="804"/>
    <s v="Institution"/>
    <x v="800"/>
    <m/>
    <s v="LCI.6"/>
    <n v="6"/>
    <n v="1"/>
    <n v="237943.77"/>
    <n v="0.118971885"/>
    <x v="255"/>
    <s v="Contested"/>
    <s v="Ins"/>
    <x v="1"/>
  </r>
  <r>
    <x v="163"/>
    <s v="LCI"/>
    <s v="Pennsylvania Eastern District Court"/>
    <s v="11/16/2016"/>
    <s v="01/17/2017"/>
    <x v="805"/>
    <s v="Individual"/>
    <x v="801"/>
    <m/>
    <s v="LCI.2"/>
    <m/>
    <n v="1"/>
    <n v="40900"/>
    <n v="2.0449999999999999E-2"/>
    <x v="256"/>
    <s v="Contested"/>
    <s v="Ind"/>
    <x v="0"/>
  </r>
  <r>
    <x v="163"/>
    <s v="LCI"/>
    <s v="Pennsylvania Eastern District Court"/>
    <s v="11/16/2016"/>
    <s v="01/17/2017"/>
    <x v="806"/>
    <s v="Individual"/>
    <x v="802"/>
    <m/>
    <s v="LCI.3.a"/>
    <m/>
    <n v="2"/>
    <n v="56818.55"/>
    <n v="2.8409274999999998E-2"/>
    <x v="257"/>
    <s v="Contested"/>
    <s v="G-Ind"/>
    <x v="0"/>
  </r>
  <r>
    <x v="163"/>
    <s v="LCI"/>
    <s v="Pennsylvania Eastern District Court"/>
    <s v="11/16/2016"/>
    <s v="01/17/2017"/>
    <x v="807"/>
    <s v="Individual"/>
    <x v="803"/>
    <m/>
    <s v="LCI.3.b"/>
    <m/>
    <m/>
    <m/>
    <n v="0"/>
    <x v="257"/>
    <s v="Contested"/>
    <s v="G-Ind"/>
    <x v="0"/>
  </r>
  <r>
    <x v="163"/>
    <s v="LCI"/>
    <s v="Pennsylvania Eastern District Court"/>
    <s v="11/16/2016"/>
    <s v="01/17/2017"/>
    <x v="105"/>
    <s v="Institution"/>
    <x v="804"/>
    <s v="FIFO/LIFO"/>
    <s v="LCI.4"/>
    <m/>
    <n v="1"/>
    <n v="123862"/>
    <n v="6.1931E-2"/>
    <x v="133"/>
    <s v="Contested"/>
    <s v="Ins"/>
    <x v="1"/>
  </r>
  <r>
    <x v="163"/>
    <s v="LCI"/>
    <s v="Pennsylvania Eastern District Court"/>
    <s v="11/16/2016"/>
    <s v="01/17/2017"/>
    <x v="808"/>
    <s v="Institution"/>
    <x v="805"/>
    <s v="LIFO"/>
    <s v="LCI.5.a"/>
    <m/>
    <n v="4"/>
    <n v="1516139.7400000002"/>
    <n v="0.75806987000000015"/>
    <x v="258"/>
    <s v="Contested"/>
    <s v="G-Ins"/>
    <x v="0"/>
  </r>
  <r>
    <x v="163"/>
    <s v="LCI"/>
    <s v="Pennsylvania Eastern District Court"/>
    <s v="11/16/2016"/>
    <s v="01/17/2017"/>
    <x v="809"/>
    <s v="Institution"/>
    <x v="806"/>
    <s v="LIFO"/>
    <s v="LCI.5.b"/>
    <m/>
    <m/>
    <m/>
    <n v="0"/>
    <x v="258"/>
    <s v="Contested"/>
    <s v="G-Ins"/>
    <x v="0"/>
  </r>
  <r>
    <x v="163"/>
    <s v="LCI"/>
    <s v="Pennsylvania Eastern District Court"/>
    <s v="11/16/2016"/>
    <s v="01/17/2017"/>
    <x v="283"/>
    <s v="Institution"/>
    <x v="807"/>
    <s v="LIFO"/>
    <s v="LCI.5.c"/>
    <m/>
    <m/>
    <m/>
    <n v="0"/>
    <x v="258"/>
    <s v="Contested"/>
    <s v="G-Ins"/>
    <x v="1"/>
  </r>
  <r>
    <x v="163"/>
    <s v="LCI"/>
    <s v="Pennsylvania Eastern District Court"/>
    <s v="11/16/2016"/>
    <s v="01/17/2017"/>
    <x v="810"/>
    <s v="Institution"/>
    <x v="808"/>
    <s v="LIFO"/>
    <s v="LCI.5.d"/>
    <m/>
    <m/>
    <m/>
    <n v="0"/>
    <x v="258"/>
    <s v="Contested"/>
    <s v="G-Ins"/>
    <x v="0"/>
  </r>
  <r>
    <x v="163"/>
    <s v="LCI"/>
    <s v="Pennsylvania Eastern District Court"/>
    <s v="11/16/2016"/>
    <s v="01/17/2017"/>
    <x v="811"/>
    <s v="Individual"/>
    <x v="809"/>
    <m/>
    <s v="LCI.1.a"/>
    <m/>
    <n v="5"/>
    <n v="573519"/>
    <n v="0.2867595"/>
    <x v="259"/>
    <s v="Contested"/>
    <s v="G-Ind"/>
    <x v="0"/>
  </r>
  <r>
    <x v="163"/>
    <s v="LCI"/>
    <s v="Pennsylvania Eastern District Court"/>
    <s v="11/16/2016"/>
    <s v="01/17/2017"/>
    <x v="812"/>
    <s v="Individual"/>
    <x v="810"/>
    <m/>
    <s v="LCI.1.b"/>
    <m/>
    <m/>
    <m/>
    <n v="0"/>
    <x v="259"/>
    <s v="Contested"/>
    <s v="G-Ind"/>
    <x v="0"/>
  </r>
  <r>
    <x v="163"/>
    <s v="LCI"/>
    <s v="Pennsylvania Eastern District Court"/>
    <s v="11/16/2016"/>
    <s v="01/17/2017"/>
    <x v="813"/>
    <s v="Individual"/>
    <x v="811"/>
    <m/>
    <s v="LCI.1.c"/>
    <m/>
    <m/>
    <m/>
    <n v="0"/>
    <x v="259"/>
    <s v="Contested"/>
    <s v="G-Ind"/>
    <x v="0"/>
  </r>
  <r>
    <x v="163"/>
    <s v="LCI"/>
    <s v="Pennsylvania Eastern District Court"/>
    <s v="11/16/2016"/>
    <s v="01/17/2017"/>
    <x v="814"/>
    <s v="Individual"/>
    <x v="812"/>
    <m/>
    <s v="LCI.1.d"/>
    <m/>
    <m/>
    <m/>
    <n v="0"/>
    <x v="259"/>
    <s v="Contested"/>
    <s v="G-Ind"/>
    <x v="0"/>
  </r>
  <r>
    <x v="163"/>
    <s v="LCI"/>
    <s v="Pennsylvania Eastern District Court"/>
    <s v="11/16/2016"/>
    <s v="01/17/2017"/>
    <x v="815"/>
    <s v="Individual"/>
    <x v="813"/>
    <m/>
    <s v="LCI.1.e"/>
    <m/>
    <m/>
    <m/>
    <n v="0"/>
    <x v="259"/>
    <s v="Contested"/>
    <s v="G-Ind"/>
    <x v="0"/>
  </r>
  <r>
    <x v="163"/>
    <s v="LCI"/>
    <s v="Pennsylvania Eastern District Court"/>
    <s v="11/16/2016"/>
    <s v="01/17/2017"/>
    <x v="816"/>
    <s v="Institution"/>
    <x v="814"/>
    <m/>
    <s v="LCI.7"/>
    <m/>
    <n v="1"/>
    <n v="87584.94"/>
    <n v="4.379247E-2"/>
    <x v="260"/>
    <s v="Contested"/>
    <s v="G-Ins"/>
    <x v="0"/>
  </r>
  <r>
    <x v="164"/>
    <s v="LF"/>
    <s v="California Northern District Court"/>
    <s v="03/09/2016"/>
    <s v="05/31/2016"/>
    <x v="817"/>
    <s v="Individual"/>
    <x v="5"/>
    <m/>
    <s v="LF.1"/>
    <n v="1"/>
    <n v="1"/>
    <s v="***"/>
    <e v="#VALUE!"/>
    <x v="26"/>
    <s v="Uncontested"/>
    <s v="Ind"/>
    <x v="0"/>
  </r>
  <r>
    <x v="165"/>
    <s v="LC"/>
    <s v="California Northern District Court"/>
    <s v="05/16/2016"/>
    <s v="07/15/2016"/>
    <x v="489"/>
    <s v="Institution"/>
    <x v="815"/>
    <m/>
    <s v="LC.1"/>
    <n v="7"/>
    <n v="1"/>
    <n v="7766749.8399999999"/>
    <n v="1.0086688103896104"/>
    <x v="84"/>
    <s v="Contested"/>
    <s v="Ins"/>
    <x v="1"/>
  </r>
  <r>
    <x v="165"/>
    <s v="LC"/>
    <s v="California Northern District Court"/>
    <s v="05/16/2016"/>
    <s v="07/15/2016"/>
    <x v="298"/>
    <s v="Institution"/>
    <x v="816"/>
    <m/>
    <s v="LC.2"/>
    <m/>
    <n v="1"/>
    <n v="1499584.95"/>
    <n v="0.19475129220779219"/>
    <x v="261"/>
    <s v="Contested"/>
    <s v="Ins"/>
    <x v="1"/>
  </r>
  <r>
    <x v="165"/>
    <s v="LC"/>
    <s v="California Northern District Court"/>
    <s v="05/16/2016"/>
    <s v="07/15/2016"/>
    <x v="818"/>
    <s v="Institution"/>
    <x v="817"/>
    <s v="LIFO"/>
    <s v="LC.3"/>
    <m/>
    <n v="1"/>
    <n v="11486547"/>
    <n v="1.4917593506493507"/>
    <x v="164"/>
    <s v="Contested"/>
    <s v="Ins"/>
    <x v="0"/>
  </r>
  <r>
    <x v="165"/>
    <s v="LC"/>
    <s v="California Northern District Court"/>
    <s v="05/16/2016"/>
    <s v="07/15/2016"/>
    <x v="819"/>
    <s v="Individual"/>
    <x v="818"/>
    <m/>
    <s v="LC.4"/>
    <m/>
    <n v="1"/>
    <n v="39959.800000000003"/>
    <n v="5.1895844155844164E-3"/>
    <x v="10"/>
    <s v="Contested"/>
    <s v="Ind"/>
    <x v="0"/>
  </r>
  <r>
    <x v="165"/>
    <s v="LC"/>
    <s v="California Northern District Court"/>
    <s v="05/16/2016"/>
    <s v="07/15/2016"/>
    <x v="820"/>
    <s v="Individual"/>
    <x v="819"/>
    <m/>
    <s v="LC.5.a"/>
    <m/>
    <n v="3"/>
    <n v="670781"/>
    <n v="8.7114415584415586E-2"/>
    <x v="146"/>
    <s v="Contested"/>
    <s v="G-Ind"/>
    <x v="0"/>
  </r>
  <r>
    <x v="165"/>
    <s v="LC"/>
    <s v="California Northern District Court"/>
    <s v="05/16/2016"/>
    <s v="07/15/2016"/>
    <x v="821"/>
    <s v="Individual"/>
    <x v="820"/>
    <m/>
    <s v="LC.5.b"/>
    <m/>
    <m/>
    <m/>
    <n v="0"/>
    <x v="146"/>
    <s v="Contested"/>
    <s v="G-Ind"/>
    <x v="0"/>
  </r>
  <r>
    <x v="165"/>
    <s v="LC"/>
    <s v="California Northern District Court"/>
    <s v="05/16/2016"/>
    <s v="07/15/2016"/>
    <x v="822"/>
    <s v="Individual"/>
    <x v="821"/>
    <m/>
    <s v="LC.5.c"/>
    <m/>
    <m/>
    <m/>
    <n v="0"/>
    <x v="146"/>
    <s v="Contested"/>
    <s v="G-Ind"/>
    <x v="0"/>
  </r>
  <r>
    <x v="165"/>
    <s v="LC"/>
    <s v="California Northern District Court"/>
    <s v="05/16/2016"/>
    <s v="07/15/2016"/>
    <x v="823"/>
    <s v="Institution"/>
    <x v="822"/>
    <m/>
    <s v="LC.6"/>
    <m/>
    <n v="1"/>
    <n v="12927820.08"/>
    <n v="1.6789376727272727"/>
    <x v="46"/>
    <s v="Contested"/>
    <s v="Ins"/>
    <x v="0"/>
  </r>
  <r>
    <x v="165"/>
    <s v="LC"/>
    <s v="California Northern District Court"/>
    <s v="05/16/2016"/>
    <s v="07/15/2016"/>
    <x v="54"/>
    <s v="Institution"/>
    <x v="823"/>
    <s v="FIFO/LIFO"/>
    <s v="LC.7"/>
    <m/>
    <n v="1"/>
    <n v="8328633.21"/>
    <n v="1.0816406766233766"/>
    <x v="262"/>
    <s v="Contested"/>
    <s v="Ins"/>
    <x v="1"/>
  </r>
  <r>
    <x v="166"/>
    <s v="LFVN"/>
    <s v="Utah District Court"/>
    <s v="09/15/2016"/>
    <s v="11/14/2016"/>
    <x v="824"/>
    <s v="Individual"/>
    <x v="824"/>
    <s v="FIFO/LIFO"/>
    <s v="LFVN.1"/>
    <n v="3"/>
    <n v="1"/>
    <n v="7563.43"/>
    <n v="0.14270622641509434"/>
    <x v="263"/>
    <s v="Contested"/>
    <s v="Ind"/>
    <x v="0"/>
  </r>
  <r>
    <x v="166"/>
    <s v="LFVN"/>
    <s v="Utah District Court"/>
    <s v="09/15/2016"/>
    <s v="11/14/2016"/>
    <x v="825"/>
    <s v="Individual"/>
    <x v="825"/>
    <m/>
    <s v="LFVN.2.a"/>
    <m/>
    <n v="2"/>
    <n v="41673"/>
    <n v="0.78628301886792451"/>
    <x v="264"/>
    <s v="Contested"/>
    <s v="G-Ind"/>
    <x v="0"/>
  </r>
  <r>
    <x v="166"/>
    <s v="LFVN"/>
    <s v="Utah District Court"/>
    <s v="09/15/2016"/>
    <s v="11/14/2016"/>
    <x v="826"/>
    <s v="Individual"/>
    <x v="826"/>
    <m/>
    <s v="LFVN.2.b"/>
    <m/>
    <m/>
    <m/>
    <n v="0"/>
    <x v="264"/>
    <s v="Contested"/>
    <s v="G-Ind"/>
    <x v="0"/>
  </r>
  <r>
    <x v="166"/>
    <s v="LFVN"/>
    <s v="Utah District Court"/>
    <s v="09/15/2016"/>
    <s v="11/14/2016"/>
    <x v="827"/>
    <s v="Individual"/>
    <x v="827"/>
    <m/>
    <s v="LFVN.3"/>
    <m/>
    <n v="1"/>
    <n v="10185"/>
    <n v="0.19216981132075472"/>
    <x v="265"/>
    <s v="Contested"/>
    <s v="Ind"/>
    <x v="0"/>
  </r>
  <r>
    <x v="167"/>
    <s v="LGND"/>
    <s v="California Southern District Court"/>
    <s v="11/17/2016"/>
    <s v="01/17/2017"/>
    <x v="828"/>
    <s v="Individual"/>
    <x v="828"/>
    <m/>
    <s v="LGND.1"/>
    <n v="1"/>
    <n v="1"/>
    <n v="13931.25"/>
    <n v="3.0958333333333331E-2"/>
    <x v="8"/>
    <s v="Uncontested"/>
    <s v="Ind"/>
    <x v="0"/>
  </r>
  <r>
    <x v="168"/>
    <s v="LWLL"/>
    <s v="Florida Southern District Court"/>
    <s v="10/24/2016"/>
    <s v="12/23/2016"/>
    <x v="829"/>
    <s v="Individual"/>
    <x v="5"/>
    <m/>
    <s v="LWLL.1"/>
    <n v="1"/>
    <n v="1"/>
    <s v="***"/>
    <e v="#VALUE!"/>
    <x v="266"/>
    <s v="Uncontested"/>
    <s v="Ind"/>
    <x v="0"/>
  </r>
  <r>
    <x v="169"/>
    <s v="IOVA"/>
    <s v="California Northern District Court"/>
    <s v="04/14/2017"/>
    <s v="06/13/2017"/>
    <x v="830"/>
    <s v="Individual"/>
    <x v="829"/>
    <s v="LIFO"/>
    <s v="IOVA.1.a"/>
    <n v="3"/>
    <n v="2"/>
    <n v="10270.879999999999"/>
    <n v="1.8674327272727272E-2"/>
    <x v="267"/>
    <s v="Contested"/>
    <s v="G-Ind"/>
    <x v="0"/>
  </r>
  <r>
    <x v="169"/>
    <s v="IOVA"/>
    <s v="California Northern District Court"/>
    <s v="04/14/2017"/>
    <s v="06/13/2017"/>
    <x v="831"/>
    <s v="Individual"/>
    <x v="830"/>
    <s v="LIFO"/>
    <s v="IOVA.1.b"/>
    <m/>
    <m/>
    <m/>
    <n v="0"/>
    <x v="267"/>
    <s v="Contested"/>
    <s v="G-Ind"/>
    <x v="0"/>
  </r>
  <r>
    <x v="169"/>
    <s v="IOVA"/>
    <s v="California Northern District Court"/>
    <s v="04/14/2017"/>
    <s v="06/13/2017"/>
    <x v="832"/>
    <s v="Individual"/>
    <x v="831"/>
    <s v="LIFO"/>
    <s v="IOVA.2"/>
    <m/>
    <n v="1"/>
    <n v="177583.84"/>
    <n v="0.32287970909090907"/>
    <x v="133"/>
    <s v="Contested"/>
    <s v="Ind"/>
    <x v="0"/>
  </r>
  <r>
    <x v="169"/>
    <s v="IOVA"/>
    <s v="California Northern District Court"/>
    <s v="04/14/2017"/>
    <s v="06/13/2017"/>
    <x v="833"/>
    <s v="Individual"/>
    <x v="832"/>
    <m/>
    <s v="IOVA.3.a"/>
    <m/>
    <n v="4"/>
    <n v="59709"/>
    <n v="0.10856181818181818"/>
    <x v="89"/>
    <s v="Contested"/>
    <s v="G-Ind"/>
    <x v="0"/>
  </r>
  <r>
    <x v="169"/>
    <s v="IOVA"/>
    <s v="California Northern District Court"/>
    <s v="04/14/2017"/>
    <s v="06/13/2017"/>
    <x v="834"/>
    <s v="Individual"/>
    <x v="833"/>
    <m/>
    <s v="IOVA.3.b"/>
    <m/>
    <m/>
    <m/>
    <n v="0"/>
    <x v="89"/>
    <s v="Contested"/>
    <s v="G-Ind"/>
    <x v="0"/>
  </r>
  <r>
    <x v="169"/>
    <s v="IOVA"/>
    <s v="California Northern District Court"/>
    <s v="04/14/2017"/>
    <s v="06/13/2017"/>
    <x v="835"/>
    <s v="Individual"/>
    <x v="834"/>
    <m/>
    <s v="IOVA.3.c"/>
    <m/>
    <m/>
    <m/>
    <n v="0"/>
    <x v="89"/>
    <s v="Contested"/>
    <s v="G-Ind"/>
    <x v="0"/>
  </r>
  <r>
    <x v="169"/>
    <s v="IOVA"/>
    <s v="California Northern District Court"/>
    <s v="04/14/2017"/>
    <s v="06/13/2017"/>
    <x v="836"/>
    <s v="Individual"/>
    <x v="835"/>
    <m/>
    <s v="IOVA.3.d"/>
    <m/>
    <m/>
    <m/>
    <n v="0"/>
    <x v="89"/>
    <s v="Contested"/>
    <s v="G-Ind"/>
    <x v="0"/>
  </r>
  <r>
    <x v="170"/>
    <s v="LIOX"/>
    <s v="Delaware District Court"/>
    <s v="04/27/2017"/>
    <s v="06/27/2017"/>
    <x v="837"/>
    <s v="Institution"/>
    <x v="836"/>
    <s v="Shares Held"/>
    <s v="LIOX.1"/>
    <n v="1"/>
    <n v="1"/>
    <n v="4170"/>
    <e v="#VALUE!"/>
    <x v="268"/>
    <s v="Uncontested"/>
    <s v="Ins"/>
    <x v="1"/>
  </r>
  <r>
    <x v="171"/>
    <s v="LPCN"/>
    <s v="Utah District Court"/>
    <s v="07/01/2016"/>
    <s v="08/30/2016"/>
    <x v="838"/>
    <s v="Individual"/>
    <x v="837"/>
    <m/>
    <s v="LPCN.1"/>
    <n v="3"/>
    <n v="1"/>
    <n v="5154.8"/>
    <n v="1.7182666666666666E-2"/>
    <x v="9"/>
    <s v="Contested"/>
    <s v="Ind"/>
    <x v="0"/>
  </r>
  <r>
    <x v="171"/>
    <s v="LPCN"/>
    <s v="Utah District Court"/>
    <s v="07/01/2016"/>
    <s v="08/30/2016"/>
    <x v="839"/>
    <s v="Individual"/>
    <x v="838"/>
    <m/>
    <s v="LPCN.2.a"/>
    <m/>
    <n v="3"/>
    <n v="262036"/>
    <n v="0.87345333333333341"/>
    <x v="269"/>
    <s v="Contested"/>
    <s v="G-Ind"/>
    <x v="0"/>
  </r>
  <r>
    <x v="171"/>
    <s v="LPCN"/>
    <s v="Utah District Court"/>
    <s v="07/01/2016"/>
    <s v="08/30/2016"/>
    <x v="840"/>
    <s v="Individual"/>
    <x v="839"/>
    <m/>
    <s v="LPCN.2.b"/>
    <m/>
    <m/>
    <m/>
    <n v="0"/>
    <x v="269"/>
    <s v="Contested"/>
    <s v="G-Ind"/>
    <x v="0"/>
  </r>
  <r>
    <x v="171"/>
    <s v="LPCN"/>
    <s v="Utah District Court"/>
    <s v="07/01/2016"/>
    <s v="08/30/2016"/>
    <x v="841"/>
    <s v="Individual"/>
    <x v="840"/>
    <m/>
    <s v="LPCN.2.c"/>
    <m/>
    <m/>
    <m/>
    <n v="0"/>
    <x v="269"/>
    <s v="Contested"/>
    <s v="G-Ind"/>
    <x v="0"/>
  </r>
  <r>
    <x v="171"/>
    <s v="LPCN"/>
    <s v="Utah District Court"/>
    <s v="07/01/2016"/>
    <s v="08/30/2016"/>
    <x v="842"/>
    <s v="Individual"/>
    <x v="841"/>
    <m/>
    <s v="LPCN.3"/>
    <m/>
    <n v="1"/>
    <n v="32617.25"/>
    <n v="0.10872416666666666"/>
    <x v="8"/>
    <s v="Contested"/>
    <s v="Ind"/>
    <x v="0"/>
  </r>
  <r>
    <x v="172"/>
    <s v="LPLA"/>
    <s v="California Southern District Court"/>
    <s v="03/22/2016"/>
    <s v="05/23/2016"/>
    <x v="843"/>
    <s v="Institution"/>
    <x v="842"/>
    <m/>
    <s v="LPLA.1"/>
    <n v="1"/>
    <n v="1"/>
    <n v="78902.179999999993"/>
    <n v="5.8446059259259261E-2"/>
    <x v="46"/>
    <s v="Uncontested"/>
    <s v="Ins"/>
    <x v="0"/>
  </r>
  <r>
    <x v="173"/>
    <s v="CALL"/>
    <s v="New York Southern District Court"/>
    <s v="03/11/2016"/>
    <s v="05/13/2016"/>
    <x v="844"/>
    <s v="Individual"/>
    <x v="843"/>
    <m/>
    <s v="CALL.1"/>
    <n v="1"/>
    <n v="1"/>
    <n v="77075.12"/>
    <n v="0.25691706666666669"/>
    <x v="10"/>
    <s v="Uncontested"/>
    <s v="Ind"/>
    <x v="0"/>
  </r>
  <r>
    <x v="174"/>
    <s v="MNK"/>
    <s v="DC District Court"/>
    <s v="01/23/2017"/>
    <s v="03/27/2017"/>
    <x v="845"/>
    <s v="Institution"/>
    <x v="844"/>
    <s v="FIFO"/>
    <s v="MNK.1"/>
    <n v="4"/>
    <n v="1"/>
    <n v="46378080"/>
    <n v="4.6378080000000006"/>
    <x v="270"/>
    <s v="Contested"/>
    <s v="Ins"/>
    <x v="0"/>
  </r>
  <r>
    <x v="174"/>
    <s v="MNK"/>
    <s v="DC District Court"/>
    <s v="01/23/2017"/>
    <s v="03/27/2017"/>
    <x v="51"/>
    <s v="Institution"/>
    <x v="845"/>
    <s v="FIFO"/>
    <s v="MNK.2"/>
    <m/>
    <n v="1"/>
    <n v="1793450.84"/>
    <n v="0.17934508400000002"/>
    <x v="271"/>
    <s v="Contested"/>
    <s v="Ins"/>
    <x v="1"/>
  </r>
  <r>
    <x v="174"/>
    <s v="MNK"/>
    <s v="DC District Court"/>
    <s v="01/23/2017"/>
    <s v="03/27/2017"/>
    <x v="846"/>
    <s v="Individual"/>
    <x v="846"/>
    <s v="Dura"/>
    <s v="MNK.3"/>
    <m/>
    <n v="1"/>
    <n v="868084.55"/>
    <n v="8.6808455000000007E-2"/>
    <x v="272"/>
    <s v="Contested"/>
    <s v="Ind"/>
    <x v="0"/>
  </r>
  <r>
    <x v="174"/>
    <s v="MNK"/>
    <s v="DC District Court"/>
    <s v="01/23/2017"/>
    <s v="03/27/2017"/>
    <x v="847"/>
    <s v="Individual"/>
    <x v="847"/>
    <m/>
    <s v="MNK.5"/>
    <m/>
    <n v="1"/>
    <n v="94295.2"/>
    <n v="9.4295199999999985E-3"/>
    <x v="10"/>
    <s v="Contested"/>
    <s v="Ind"/>
    <x v="0"/>
  </r>
  <r>
    <x v="174"/>
    <s v="MNK"/>
    <s v="DC District Court"/>
    <s v="01/23/2017"/>
    <s v="03/27/2017"/>
    <x v="848"/>
    <s v="Institution"/>
    <x v="848"/>
    <m/>
    <s v="MNK.4.a"/>
    <m/>
    <n v="3"/>
    <n v="1334297"/>
    <n v="0.13342969999999998"/>
    <x v="273"/>
    <s v="Contested"/>
    <s v="G-Ins"/>
    <x v="0"/>
  </r>
  <r>
    <x v="174"/>
    <s v="MNK"/>
    <s v="DC District Court"/>
    <s v="01/23/2017"/>
    <s v="03/27/2017"/>
    <x v="849"/>
    <s v="Institution"/>
    <x v="849"/>
    <m/>
    <s v="MNK.4.b"/>
    <m/>
    <m/>
    <m/>
    <n v="0"/>
    <x v="273"/>
    <s v="Contested"/>
    <s v="G-Ins"/>
    <x v="0"/>
  </r>
  <r>
    <x v="174"/>
    <s v="MNK"/>
    <s v="DC District Court"/>
    <s v="01/23/2017"/>
    <s v="03/27/2017"/>
    <x v="850"/>
    <s v="Institution"/>
    <x v="850"/>
    <m/>
    <s v="MNK.4.c"/>
    <m/>
    <m/>
    <m/>
    <n v="0"/>
    <x v="273"/>
    <s v="Contested"/>
    <s v="G-Ins"/>
    <x v="0"/>
  </r>
  <r>
    <x v="175"/>
    <s v="MNKD"/>
    <s v="California Central District Court"/>
    <s v="01/08/2016"/>
    <s v="03/15/2016"/>
    <x v="851"/>
    <s v="Individual"/>
    <x v="851"/>
    <s v="LIFO/FIFO"/>
    <s v="MNKD.1"/>
    <n v="2"/>
    <n v="1"/>
    <n v="80480"/>
    <n v="0.11497142857142859"/>
    <x v="274"/>
    <s v="Contested"/>
    <s v="Ind"/>
    <x v="0"/>
  </r>
  <r>
    <x v="175"/>
    <s v="MNKD"/>
    <s v="California Central District Court"/>
    <s v="01/08/2016"/>
    <s v="03/15/2016"/>
    <x v="852"/>
    <s v="Individual"/>
    <x v="852"/>
    <m/>
    <s v="MNKD.2"/>
    <m/>
    <n v="1"/>
    <n v="154709.20000000001"/>
    <n v="0.22101314285714291"/>
    <x v="8"/>
    <s v="Contested"/>
    <s v="Ind"/>
    <x v="0"/>
  </r>
  <r>
    <x v="176"/>
    <s v="MCHX"/>
    <s v="Washington Western District Court"/>
    <s v="11/17/2015"/>
    <s v="01/19/2016"/>
    <x v="853"/>
    <s v="Individual"/>
    <x v="853"/>
    <m/>
    <s v="MCHX.1"/>
    <n v="2"/>
    <n v="1"/>
    <n v="12153"/>
    <n v="1.5191250000000002E-2"/>
    <x v="72"/>
    <s v="Contested"/>
    <s v="Ind"/>
    <x v="0"/>
  </r>
  <r>
    <x v="176"/>
    <s v="MCHX"/>
    <s v="Washington Western District Court"/>
    <s v="11/17/2015"/>
    <s v="01/19/2016"/>
    <x v="854"/>
    <s v="Individual"/>
    <x v="854"/>
    <m/>
    <s v="MCHX.2"/>
    <m/>
    <n v="1"/>
    <n v="11799.62"/>
    <n v="1.4749525000000001E-2"/>
    <x v="10"/>
    <s v="Contested"/>
    <s v="Ind"/>
    <x v="0"/>
  </r>
  <r>
    <x v="177"/>
    <s v="MTCH"/>
    <s v="Texas Northern District Court"/>
    <s v="02/26/2016"/>
    <s v="04/26/2016"/>
    <x v="855"/>
    <s v="Individual"/>
    <x v="855"/>
    <m/>
    <s v="MTCH.1.a"/>
    <n v="4"/>
    <n v="2"/>
    <n v="21282.55"/>
    <n v="4.7294555555555555E-2"/>
    <x v="275"/>
    <s v="Contested"/>
    <s v="G-Ind"/>
    <x v="0"/>
  </r>
  <r>
    <x v="177"/>
    <s v="MTCH"/>
    <s v="Texas Northern District Court"/>
    <s v="02/26/2016"/>
    <s v="04/26/2016"/>
    <x v="856"/>
    <s v="Individual"/>
    <x v="856"/>
    <m/>
    <s v="MTCH.1.b"/>
    <m/>
    <m/>
    <m/>
    <n v="0"/>
    <x v="275"/>
    <s v="Contested"/>
    <s v="G-Ind"/>
    <x v="0"/>
  </r>
  <r>
    <x v="177"/>
    <s v="MTCH"/>
    <s v="Texas Northern District Court"/>
    <s v="02/26/2016"/>
    <s v="04/26/2016"/>
    <x v="857"/>
    <s v="Individual"/>
    <x v="857"/>
    <s v="Combined losses"/>
    <s v="MTCH.2.a"/>
    <m/>
    <n v="2"/>
    <n v="4826.08"/>
    <n v="1.0724622222222221E-2"/>
    <x v="276"/>
    <s v="Contested"/>
    <s v="G-Ind"/>
    <x v="0"/>
  </r>
  <r>
    <x v="177"/>
    <s v="MTCH"/>
    <s v="Texas Northern District Court"/>
    <s v="02/26/2016"/>
    <s v="04/26/2016"/>
    <x v="858"/>
    <s v="Individual"/>
    <x v="5"/>
    <m/>
    <s v="MTCH.2.b"/>
    <m/>
    <m/>
    <m/>
    <n v="0"/>
    <x v="276"/>
    <s v="Contested"/>
    <s v="G-Ind"/>
    <x v="0"/>
  </r>
  <r>
    <x v="177"/>
    <s v="MTCH"/>
    <s v="Texas Northern District Court"/>
    <s v="02/26/2016"/>
    <s v="04/26/2016"/>
    <x v="859"/>
    <s v="Individual"/>
    <x v="858"/>
    <m/>
    <s v="MTCH.3.a"/>
    <m/>
    <n v="4"/>
    <n v="28695"/>
    <n v="6.3766666666666666E-2"/>
    <x v="56"/>
    <s v="Contested"/>
    <s v="G-Ind"/>
    <x v="0"/>
  </r>
  <r>
    <x v="177"/>
    <s v="MTCH"/>
    <s v="Texas Northern District Court"/>
    <s v="02/26/2016"/>
    <s v="04/26/2016"/>
    <x v="860"/>
    <s v="Individual"/>
    <x v="859"/>
    <m/>
    <s v="MTCH.3.b"/>
    <m/>
    <m/>
    <m/>
    <n v="0"/>
    <x v="56"/>
    <s v="Contested"/>
    <s v="G-Ind"/>
    <x v="0"/>
  </r>
  <r>
    <x v="177"/>
    <s v="MTCH"/>
    <s v="Texas Northern District Court"/>
    <s v="02/26/2016"/>
    <s v="04/26/2016"/>
    <x v="861"/>
    <s v="Individual"/>
    <x v="860"/>
    <m/>
    <s v="MTCH.3.c"/>
    <m/>
    <m/>
    <m/>
    <n v="0"/>
    <x v="56"/>
    <s v="Contested"/>
    <s v="G-Ind"/>
    <x v="0"/>
  </r>
  <r>
    <x v="177"/>
    <s v="MTCH"/>
    <s v="Texas Northern District Court"/>
    <s v="02/26/2016"/>
    <s v="04/26/2016"/>
    <x v="862"/>
    <s v="Individual"/>
    <x v="861"/>
    <m/>
    <s v="MTCH.3.d"/>
    <m/>
    <m/>
    <m/>
    <n v="0"/>
    <x v="56"/>
    <s v="Contested"/>
    <s v="G-Ind"/>
    <x v="0"/>
  </r>
  <r>
    <x v="177"/>
    <s v="MTCH"/>
    <s v="Texas Northern District Court"/>
    <s v="02/26/2016"/>
    <s v="04/26/2016"/>
    <x v="863"/>
    <s v="Individual"/>
    <x v="862"/>
    <m/>
    <s v="MTCH.4"/>
    <m/>
    <n v="1"/>
    <n v="1529"/>
    <n v="3.3977777777777782E-3"/>
    <x v="277"/>
    <s v="Contested"/>
    <s v="Ind"/>
    <x v="0"/>
  </r>
  <r>
    <x v="178"/>
    <s v="MENT"/>
    <s v="Oregon District Court"/>
    <s v="03/18/2016"/>
    <s v="05/17/2016"/>
    <x v="864"/>
    <s v="Individual"/>
    <x v="863"/>
    <m/>
    <s v="MENT.1"/>
    <n v="2"/>
    <n v="1"/>
    <n v="3678"/>
    <n v="7.6625E-4"/>
    <x v="278"/>
    <s v="Contested"/>
    <s v="Ind"/>
    <x v="0"/>
  </r>
  <r>
    <x v="178"/>
    <s v="MENT"/>
    <s v="Oregon District Court"/>
    <s v="03/18/2016"/>
    <s v="05/17/2016"/>
    <x v="865"/>
    <s v="Institution"/>
    <x v="864"/>
    <m/>
    <s v="MENT.2"/>
    <m/>
    <n v="1"/>
    <n v="43798.74"/>
    <n v="9.1247374999999988E-3"/>
    <x v="279"/>
    <s v="Contested"/>
    <s v="Ins"/>
    <x v="0"/>
  </r>
  <r>
    <x v="179"/>
    <s v="MGT"/>
    <s v="New York Southern District Court"/>
    <s v="09/22/2016"/>
    <s v="11/21/2016"/>
    <x v="866"/>
    <s v="Individual"/>
    <x v="865"/>
    <s v="LIFO/FIFO"/>
    <s v="MGT.1"/>
    <n v="3"/>
    <n v="1"/>
    <n v="44853.27"/>
    <n v="0.16019024999999998"/>
    <x v="280"/>
    <s v="Contested"/>
    <s v="Ind"/>
    <x v="0"/>
  </r>
  <r>
    <x v="179"/>
    <s v="MGT"/>
    <s v="New York Southern District Court"/>
    <s v="09/22/2016"/>
    <s v="11/21/2016"/>
    <x v="867"/>
    <s v="Individual"/>
    <x v="866"/>
    <m/>
    <s v="MGT.2.a"/>
    <m/>
    <n v="2"/>
    <n v="150859"/>
    <n v="0.53878214285714288"/>
    <x v="56"/>
    <s v="Contested"/>
    <s v="G-Ind"/>
    <x v="0"/>
  </r>
  <r>
    <x v="179"/>
    <s v="MGT"/>
    <s v="New York Southern District Court"/>
    <s v="09/22/2016"/>
    <s v="11/21/2016"/>
    <x v="868"/>
    <s v="Individual"/>
    <x v="867"/>
    <m/>
    <s v="MGT.2.b"/>
    <m/>
    <m/>
    <m/>
    <n v="0"/>
    <x v="56"/>
    <s v="Contested"/>
    <s v="G-Ind"/>
    <x v="0"/>
  </r>
  <r>
    <x v="179"/>
    <s v="MGT"/>
    <s v="New York Southern District Court"/>
    <s v="09/22/2016"/>
    <s v="11/21/2016"/>
    <x v="869"/>
    <s v="Individual"/>
    <x v="868"/>
    <m/>
    <s v="MGT.4"/>
    <m/>
    <n v="1"/>
    <n v="9905.1200000000008"/>
    <n v="3.5375428571428572E-2"/>
    <x v="8"/>
    <s v="Contested"/>
    <s v="Ind"/>
    <x v="0"/>
  </r>
  <r>
    <x v="180"/>
    <s v="MILLQ"/>
    <s v="Tennessee Eastern District Court"/>
    <s v="12/09/2015"/>
    <s v="11/08/2016"/>
    <x v="870"/>
    <s v="Individual"/>
    <x v="5"/>
    <m/>
    <s v="MILLQ.1.a"/>
    <n v="2"/>
    <n v="2"/>
    <n v="0"/>
    <n v="0"/>
    <x v="281"/>
    <s v="Contested"/>
    <s v="G-Ind"/>
    <x v="0"/>
  </r>
  <r>
    <x v="180"/>
    <s v="MILLQ"/>
    <s v="Tennessee Eastern District Court"/>
    <s v="12/09/2015"/>
    <s v="11/08/2016"/>
    <x v="871"/>
    <s v="Individual"/>
    <x v="5"/>
    <m/>
    <s v="MILLQ.1.b"/>
    <m/>
    <m/>
    <m/>
    <n v="0"/>
    <x v="281"/>
    <s v="Contested"/>
    <s v="G-Ind"/>
    <x v="0"/>
  </r>
  <r>
    <x v="180"/>
    <s v="MILLQ"/>
    <s v="Tennessee Eastern District Court"/>
    <s v="12/09/2015"/>
    <s v="11/08/2016"/>
    <x v="872"/>
    <s v="Individual"/>
    <x v="869"/>
    <m/>
    <s v="MILLQ.2.a"/>
    <m/>
    <n v="4"/>
    <n v="1267405.0899999999"/>
    <n v="8.4493672666666662"/>
    <x v="282"/>
    <s v="Contested"/>
    <s v="G-Ind"/>
    <x v="0"/>
  </r>
  <r>
    <x v="180"/>
    <s v="MILLQ"/>
    <s v="Tennessee Eastern District Court"/>
    <s v="12/09/2015"/>
    <s v="11/08/2016"/>
    <x v="873"/>
    <s v="Individual"/>
    <x v="870"/>
    <m/>
    <s v="MILLQ.2.b"/>
    <m/>
    <m/>
    <m/>
    <n v="0"/>
    <x v="282"/>
    <s v="Contested"/>
    <s v="G-Ind"/>
    <x v="0"/>
  </r>
  <r>
    <x v="180"/>
    <s v="MILLQ"/>
    <s v="Tennessee Eastern District Court"/>
    <s v="12/09/2015"/>
    <s v="11/08/2016"/>
    <x v="874"/>
    <s v="Individual"/>
    <x v="871"/>
    <m/>
    <s v="MILLQ.2.c"/>
    <m/>
    <m/>
    <m/>
    <n v="0"/>
    <x v="282"/>
    <s v="Contested"/>
    <s v="G-Ind"/>
    <x v="0"/>
  </r>
  <r>
    <x v="180"/>
    <s v="MILLQ"/>
    <s v="Tennessee Eastern District Court"/>
    <s v="12/09/2015"/>
    <s v="11/08/2016"/>
    <x v="875"/>
    <s v="Individual"/>
    <x v="872"/>
    <m/>
    <s v="MILLQ.2.d"/>
    <m/>
    <m/>
    <m/>
    <n v="0"/>
    <x v="282"/>
    <s v="Contested"/>
    <s v="G-Ind"/>
    <x v="0"/>
  </r>
  <r>
    <x v="181"/>
    <s v="MSON"/>
    <s v="New York Eastern District Court"/>
    <s v="09/19/2016"/>
    <s v="11/18/2016"/>
    <x v="876"/>
    <s v="Individual"/>
    <x v="873"/>
    <m/>
    <s v="MSON.1.a"/>
    <n v="1"/>
    <n v="2"/>
    <n v="38030.339999999997"/>
    <n v="0.91639373493975895"/>
    <x v="8"/>
    <s v="Uncontested"/>
    <s v="G-Ind"/>
    <x v="0"/>
  </r>
  <r>
    <x v="181"/>
    <s v="MSON"/>
    <s v="New York Eastern District Court"/>
    <s v="09/19/2016"/>
    <s v="11/18/2016"/>
    <x v="877"/>
    <s v="Individual"/>
    <x v="874"/>
    <m/>
    <s v="MSON.1.b"/>
    <m/>
    <m/>
    <m/>
    <n v="0"/>
    <x v="8"/>
    <s v="Uncontested"/>
    <s v="G-Ind"/>
    <x v="0"/>
  </r>
  <r>
    <x v="182"/>
    <s v="MGI"/>
    <s v="Delaware District Court"/>
    <s v="05/19/2015"/>
    <s v="11/14/2016"/>
    <x v="878"/>
    <s v="Institution"/>
    <x v="875"/>
    <s v="LIFO"/>
    <s v="MGI.1"/>
    <n v="1"/>
    <n v="1"/>
    <n v="83424.31"/>
    <n v="0.12268280882352942"/>
    <x v="70"/>
    <s v="Uncontested"/>
    <s v="Ins"/>
    <x v="0"/>
  </r>
  <r>
    <x v="183"/>
    <s v="MFLX"/>
    <s v="California Central District Court"/>
    <s v="04/29/2016"/>
    <s v="07/18/2016"/>
    <x v="879"/>
    <s v="Individual"/>
    <x v="5"/>
    <m/>
    <s v="MFLX.1"/>
    <n v="1"/>
    <n v="1"/>
    <s v="***"/>
    <e v="#VALUE!"/>
    <x v="283"/>
    <s v="Uncontested"/>
    <s v="Ind"/>
    <x v="0"/>
  </r>
  <r>
    <x v="184"/>
    <s v="MYL"/>
    <s v="New York Southern District Court"/>
    <s v="10/11/2016"/>
    <s v="12/12/2016"/>
    <x v="880"/>
    <s v="Individual"/>
    <x v="876"/>
    <m/>
    <s v="MYL.1"/>
    <n v="3"/>
    <n v="1"/>
    <n v="302665.53000000003"/>
    <n v="2.0177702000000002E-2"/>
    <x v="284"/>
    <s v="Contested"/>
    <s v="Ind"/>
    <x v="0"/>
  </r>
  <r>
    <x v="184"/>
    <s v="MYL"/>
    <s v="New York Southern District Court"/>
    <s v="10/11/2016"/>
    <s v="12/12/2016"/>
    <x v="881"/>
    <s v="Individual"/>
    <x v="877"/>
    <m/>
    <s v="MYL.2"/>
    <m/>
    <n v="1"/>
    <n v="21392815.18"/>
    <n v="1.4261876786666667"/>
    <x v="0"/>
    <s v="Contested"/>
    <s v="Ind"/>
    <x v="1"/>
  </r>
  <r>
    <x v="184"/>
    <s v="MYL"/>
    <s v="New York Southern District Court"/>
    <s v="10/11/2016"/>
    <s v="12/12/2016"/>
    <x v="882"/>
    <s v="Institution"/>
    <x v="878"/>
    <m/>
    <s v="MYL.3.a"/>
    <m/>
    <n v="4"/>
    <n v="65565785"/>
    <n v="4.3710523333333331"/>
    <x v="106"/>
    <s v="Contested"/>
    <s v="G-Ins"/>
    <x v="0"/>
  </r>
  <r>
    <x v="184"/>
    <s v="MYL"/>
    <s v="New York Southern District Court"/>
    <s v="10/11/2016"/>
    <s v="12/12/2016"/>
    <x v="883"/>
    <s v="Institution"/>
    <x v="879"/>
    <m/>
    <s v="MYL.3.b"/>
    <m/>
    <m/>
    <m/>
    <n v="0"/>
    <x v="106"/>
    <s v="Contested"/>
    <s v="G-Ins"/>
    <x v="1"/>
  </r>
  <r>
    <x v="184"/>
    <s v="MYL"/>
    <s v="New York Southern District Court"/>
    <s v="10/11/2016"/>
    <s v="12/12/2016"/>
    <x v="884"/>
    <s v="Institution"/>
    <x v="880"/>
    <s v="Menorah Total"/>
    <s v="MYL.3.c"/>
    <m/>
    <m/>
    <m/>
    <n v="0"/>
    <x v="106"/>
    <s v="Contested"/>
    <s v="G-Ins"/>
    <x v="0"/>
  </r>
  <r>
    <x v="184"/>
    <s v="MYL"/>
    <s v="New York Southern District Court"/>
    <s v="10/11/2016"/>
    <s v="12/12/2016"/>
    <x v="885"/>
    <s v="Institution"/>
    <x v="879"/>
    <m/>
    <s v="MYL.3.d"/>
    <m/>
    <m/>
    <m/>
    <n v="0"/>
    <x v="106"/>
    <s v="Contested"/>
    <s v="G-Ins"/>
    <x v="0"/>
  </r>
  <r>
    <x v="185"/>
    <s v="NH"/>
    <s v="California Central District Court"/>
    <s v="03/07/2017"/>
    <s v="05/08/2017"/>
    <x v="278"/>
    <s v="Institution"/>
    <x v="881"/>
    <s v="FIFO/LIFO"/>
    <s v="NH.1.a"/>
    <n v="3"/>
    <n v="2"/>
    <n v="455909.32"/>
    <n v="2.6818195294117646"/>
    <x v="285"/>
    <s v="Contested"/>
    <s v="G-Mix"/>
    <x v="1"/>
  </r>
  <r>
    <x v="185"/>
    <s v="NH"/>
    <s v="California Central District Court"/>
    <s v="03/07/2017"/>
    <s v="05/08/2017"/>
    <x v="886"/>
    <s v="Individual"/>
    <x v="882"/>
    <s v="FIFO/LIFO"/>
    <s v="NH.1.b"/>
    <m/>
    <m/>
    <m/>
    <n v="0"/>
    <x v="285"/>
    <s v="Contested"/>
    <s v="G-Mix"/>
    <x v="0"/>
  </r>
  <r>
    <x v="185"/>
    <s v="NH"/>
    <s v="California Central District Court"/>
    <s v="03/07/2017"/>
    <s v="05/08/2017"/>
    <x v="887"/>
    <s v="Individual"/>
    <x v="883"/>
    <m/>
    <s v="NH.2"/>
    <m/>
    <n v="1"/>
    <n v="81712.479999999996"/>
    <n v="0.48066164705882347"/>
    <x v="286"/>
    <s v="Contested"/>
    <s v="Ind"/>
    <x v="0"/>
  </r>
  <r>
    <x v="185"/>
    <s v="NH"/>
    <s v="California Central District Court"/>
    <s v="03/07/2017"/>
    <s v="05/08/2017"/>
    <x v="888"/>
    <s v="Individual"/>
    <x v="884"/>
    <m/>
    <s v="NH.3.a"/>
    <m/>
    <n v="5"/>
    <n v="146393.25"/>
    <n v="0.8611367647058823"/>
    <x v="8"/>
    <s v="Contested"/>
    <s v="G-Ind"/>
    <x v="0"/>
  </r>
  <r>
    <x v="185"/>
    <s v="NH"/>
    <s v="California Central District Court"/>
    <s v="03/07/2017"/>
    <s v="05/08/2017"/>
    <x v="889"/>
    <s v="Individual"/>
    <x v="885"/>
    <m/>
    <s v="NH.3.b"/>
    <m/>
    <m/>
    <m/>
    <n v="0"/>
    <x v="8"/>
    <s v="Contested"/>
    <s v="G-Ind"/>
    <x v="0"/>
  </r>
  <r>
    <x v="185"/>
    <s v="NH"/>
    <s v="California Central District Court"/>
    <s v="03/07/2017"/>
    <s v="05/08/2017"/>
    <x v="890"/>
    <s v="Individual"/>
    <x v="886"/>
    <m/>
    <s v="NH.3.c"/>
    <m/>
    <m/>
    <m/>
    <n v="0"/>
    <x v="8"/>
    <s v="Contested"/>
    <s v="G-Ind"/>
    <x v="0"/>
  </r>
  <r>
    <x v="185"/>
    <s v="NH"/>
    <s v="California Central District Court"/>
    <s v="03/07/2017"/>
    <s v="05/08/2017"/>
    <x v="891"/>
    <s v="Individual"/>
    <x v="887"/>
    <m/>
    <s v="NH.3.d"/>
    <m/>
    <m/>
    <m/>
    <n v="0"/>
    <x v="8"/>
    <s v="Contested"/>
    <s v="G-Ind"/>
    <x v="0"/>
  </r>
  <r>
    <x v="185"/>
    <s v="NH"/>
    <s v="California Central District Court"/>
    <s v="03/07/2017"/>
    <s v="05/08/2017"/>
    <x v="892"/>
    <s v="Individual"/>
    <x v="888"/>
    <m/>
    <s v="NH.3.e"/>
    <m/>
    <m/>
    <m/>
    <n v="0"/>
    <x v="8"/>
    <s v="Contested"/>
    <s v="G-Ind"/>
    <x v="0"/>
  </r>
  <r>
    <x v="186"/>
    <s v="NK"/>
    <s v="California Central District Court"/>
    <s v="03/22/2016"/>
    <s v="05/23/2016"/>
    <x v="893"/>
    <s v="Individual"/>
    <x v="889"/>
    <m/>
    <s v="NK.1.a"/>
    <n v="1"/>
    <n v="2"/>
    <n v="236015.78"/>
    <n v="1.9667981666666667"/>
    <x v="287"/>
    <s v="Uncontested"/>
    <s v="G-Ind"/>
    <x v="0"/>
  </r>
  <r>
    <x v="186"/>
    <s v="NK"/>
    <s v="California Central District Court"/>
    <s v="03/22/2016"/>
    <s v="05/23/2016"/>
    <x v="894"/>
    <s v="Individual"/>
    <x v="890"/>
    <m/>
    <s v="NK.1.b"/>
    <m/>
    <m/>
    <m/>
    <n v="0"/>
    <x v="287"/>
    <s v="Uncontested"/>
    <s v="G-Ind"/>
    <x v="0"/>
  </r>
  <r>
    <x v="187"/>
    <s v="FIZZ"/>
    <s v="California Central District Court"/>
    <s v="10/06/2016"/>
    <s v="12/05/2016"/>
    <x v="895"/>
    <s v="Individual"/>
    <x v="891"/>
    <m/>
    <s v="FIZZ.1"/>
    <n v="1"/>
    <n v="1"/>
    <n v="19803.88"/>
    <n v="9.9019400000000007E-2"/>
    <x v="49"/>
    <s v="Uncontested"/>
    <s v="Ind"/>
    <x v="0"/>
  </r>
  <r>
    <x v="188"/>
    <s v="NHTC"/>
    <s v="California Central District Court"/>
    <s v="01/12/2016"/>
    <s v="03/14/2016"/>
    <x v="896"/>
    <s v="Individual"/>
    <x v="892"/>
    <m/>
    <s v="NHTC.1"/>
    <n v="3"/>
    <n v="1"/>
    <n v="234560.39"/>
    <n v="0.67017254285714289"/>
    <x v="10"/>
    <s v="Contested"/>
    <s v="Ind"/>
    <x v="0"/>
  </r>
  <r>
    <x v="188"/>
    <s v="NHTC"/>
    <s v="California Central District Court"/>
    <s v="01/12/2016"/>
    <s v="03/14/2016"/>
    <x v="897"/>
    <s v="Individual"/>
    <x v="893"/>
    <m/>
    <s v="NHTC.2.a"/>
    <m/>
    <n v="4"/>
    <n v="173894"/>
    <n v="0.49684000000000006"/>
    <x v="106"/>
    <s v="Contested"/>
    <s v="G-Ind"/>
    <x v="0"/>
  </r>
  <r>
    <x v="188"/>
    <s v="NHTC"/>
    <s v="California Central District Court"/>
    <s v="01/12/2016"/>
    <s v="03/14/2016"/>
    <x v="898"/>
    <s v="Individual"/>
    <x v="894"/>
    <m/>
    <s v="NHTC.2.b"/>
    <m/>
    <m/>
    <m/>
    <n v="0"/>
    <x v="106"/>
    <s v="Contested"/>
    <s v="G-Ind"/>
    <x v="0"/>
  </r>
  <r>
    <x v="188"/>
    <s v="NHTC"/>
    <s v="California Central District Court"/>
    <s v="01/12/2016"/>
    <s v="03/14/2016"/>
    <x v="899"/>
    <s v="Individual"/>
    <x v="895"/>
    <m/>
    <s v="NHTC.2.c"/>
    <m/>
    <m/>
    <m/>
    <n v="0"/>
    <x v="106"/>
    <s v="Contested"/>
    <s v="G-Ind"/>
    <x v="0"/>
  </r>
  <r>
    <x v="188"/>
    <s v="NHTC"/>
    <s v="California Central District Court"/>
    <s v="01/12/2016"/>
    <s v="03/14/2016"/>
    <x v="900"/>
    <s v="Individual"/>
    <x v="896"/>
    <m/>
    <s v="NHTC.2.d"/>
    <m/>
    <m/>
    <m/>
    <n v="0"/>
    <x v="106"/>
    <s v="Contested"/>
    <s v="G-Ind"/>
    <x v="0"/>
  </r>
  <r>
    <x v="188"/>
    <s v="NHTC"/>
    <s v="California Central District Court"/>
    <s v="01/12/2016"/>
    <s v="03/14/2016"/>
    <x v="901"/>
    <s v="Individual"/>
    <x v="897"/>
    <m/>
    <s v="NHTC.3"/>
    <m/>
    <n v="1"/>
    <n v="203274.51"/>
    <n v="0.58078431428571431"/>
    <x v="8"/>
    <s v="Contested"/>
    <s v="Ind"/>
    <x v="0"/>
  </r>
  <r>
    <x v="189"/>
    <s v="BABY"/>
    <s v="California Northern District Court"/>
    <s v="01/30/2017"/>
    <s v="03/31/2017"/>
    <x v="902"/>
    <s v="Individual"/>
    <x v="898"/>
    <m/>
    <s v="BABY.1"/>
    <n v="1"/>
    <n v="1"/>
    <n v="16168"/>
    <n v="1.6168000000000002E-2"/>
    <x v="1"/>
    <s v="Uncontested"/>
    <s v="Ind"/>
    <x v="0"/>
  </r>
  <r>
    <x v="190"/>
    <s v="NAVI"/>
    <s v="Delaware District Court"/>
    <s v="02/11/2016"/>
    <s v="04/11/2016"/>
    <x v="139"/>
    <s v="Institution"/>
    <x v="899"/>
    <s v="LIFO"/>
    <s v="NAVI.1.a"/>
    <n v="4"/>
    <n v="3"/>
    <n v="2392693.5299999998"/>
    <n v="0.43902633577981642"/>
    <x v="288"/>
    <s v="Contested"/>
    <s v="G-Ins"/>
    <x v="1"/>
  </r>
  <r>
    <x v="190"/>
    <s v="NAVI"/>
    <s v="Delaware District Court"/>
    <s v="02/11/2016"/>
    <s v="04/11/2016"/>
    <x v="51"/>
    <s v="Institution"/>
    <x v="900"/>
    <s v="LIFO"/>
    <s v="NAVI.1.b"/>
    <m/>
    <m/>
    <m/>
    <n v="0"/>
    <x v="288"/>
    <s v="Contested"/>
    <s v="G-Ins"/>
    <x v="1"/>
  </r>
  <r>
    <x v="190"/>
    <s v="NAVI"/>
    <s v="Delaware District Court"/>
    <s v="02/11/2016"/>
    <s v="04/11/2016"/>
    <x v="903"/>
    <s v="Institution"/>
    <x v="901"/>
    <s v="LIFO"/>
    <s v="NAVI.1.c"/>
    <m/>
    <m/>
    <m/>
    <n v="0"/>
    <x v="288"/>
    <s v="Contested"/>
    <s v="G-Ins"/>
    <x v="1"/>
  </r>
  <r>
    <x v="190"/>
    <s v="NAVI"/>
    <s v="Delaware District Court"/>
    <s v="02/11/2016"/>
    <s v="04/11/2016"/>
    <x v="78"/>
    <s v="Institution"/>
    <x v="902"/>
    <s v="LIFO"/>
    <s v="NAVI.4"/>
    <m/>
    <n v="1"/>
    <n v="1499854.51"/>
    <n v="0.2752026623853211"/>
    <x v="70"/>
    <s v="Contested"/>
    <s v="Ins"/>
    <x v="1"/>
  </r>
  <r>
    <x v="190"/>
    <s v="NAVI"/>
    <s v="Delaware District Court"/>
    <s v="02/11/2016"/>
    <s v="04/11/2016"/>
    <x v="904"/>
    <s v="Institution"/>
    <x v="903"/>
    <s v="LIFO/FIFO"/>
    <s v="NAVI.2.a"/>
    <m/>
    <n v="4"/>
    <n v="13654122.329999998"/>
    <n v="2.5053435467889908"/>
    <x v="289"/>
    <s v="Contested"/>
    <s v="G-Ins"/>
    <x v="0"/>
  </r>
  <r>
    <x v="190"/>
    <s v="NAVI"/>
    <s v="Delaware District Court"/>
    <s v="02/11/2016"/>
    <s v="04/11/2016"/>
    <x v="905"/>
    <s v="Institution"/>
    <x v="904"/>
    <s v="LIFO/FIFO"/>
    <s v="NAVI.2.b"/>
    <m/>
    <m/>
    <m/>
    <n v="0"/>
    <x v="289"/>
    <s v="Contested"/>
    <s v="G-Ins"/>
    <x v="0"/>
  </r>
  <r>
    <x v="190"/>
    <s v="NAVI"/>
    <s v="Delaware District Court"/>
    <s v="02/11/2016"/>
    <s v="04/11/2016"/>
    <x v="906"/>
    <s v="Institution"/>
    <x v="905"/>
    <s v="LIFO/FIFO"/>
    <s v="NAVI.2.c"/>
    <m/>
    <m/>
    <m/>
    <n v="0"/>
    <x v="289"/>
    <s v="Contested"/>
    <s v="G-Ins"/>
    <x v="0"/>
  </r>
  <r>
    <x v="190"/>
    <s v="NAVI"/>
    <s v="Delaware District Court"/>
    <s v="02/11/2016"/>
    <s v="04/11/2016"/>
    <x v="907"/>
    <s v="Institution"/>
    <x v="906"/>
    <s v="LIFO/FIFO"/>
    <s v="NAVI.2.d"/>
    <m/>
    <m/>
    <m/>
    <n v="0"/>
    <x v="289"/>
    <s v="Contested"/>
    <s v="G-Ins"/>
    <x v="0"/>
  </r>
  <r>
    <x v="190"/>
    <s v="NAVI"/>
    <s v="Delaware District Court"/>
    <s v="02/11/2016"/>
    <s v="04/11/2016"/>
    <x v="155"/>
    <s v="Institution"/>
    <x v="907"/>
    <m/>
    <s v="NAVI.3"/>
    <m/>
    <n v="1"/>
    <n v="0"/>
    <n v="0"/>
    <x v="290"/>
    <s v="Contested"/>
    <s v="Ins"/>
    <x v="1"/>
  </r>
  <r>
    <x v="191"/>
    <s v="NVCN"/>
    <s v="Massachusetts District Court"/>
    <s v="06/06/2016"/>
    <s v="08/05/2016"/>
    <x v="908"/>
    <s v="Individual"/>
    <x v="908"/>
    <m/>
    <s v="NVCN.1"/>
    <n v="3"/>
    <n v="1"/>
    <n v="14604.02"/>
    <n v="3.2453377777777778E-2"/>
    <x v="10"/>
    <s v="Contested"/>
    <s v="Ind"/>
    <x v="0"/>
  </r>
  <r>
    <x v="191"/>
    <s v="NVCN"/>
    <s v="Massachusetts District Court"/>
    <s v="06/06/2016"/>
    <s v="08/05/2016"/>
    <x v="909"/>
    <s v="Individual"/>
    <x v="909"/>
    <s v="FIFO/LIFO"/>
    <s v="NVCN.2"/>
    <m/>
    <n v="1"/>
    <n v="3362"/>
    <n v="7.4711111111111115E-3"/>
    <x v="291"/>
    <s v="Contested"/>
    <s v="Ind"/>
    <x v="0"/>
  </r>
  <r>
    <x v="191"/>
    <s v="NVCN"/>
    <s v="Massachusetts District Court"/>
    <s v="06/06/2016"/>
    <s v="08/05/2016"/>
    <x v="910"/>
    <s v="Individual"/>
    <x v="910"/>
    <m/>
    <s v="NVCN.3"/>
    <m/>
    <n v="1"/>
    <n v="33693.89"/>
    <n v="7.4875311111111106E-2"/>
    <x v="232"/>
    <s v="Contested"/>
    <s v="Ind"/>
    <x v="0"/>
  </r>
  <r>
    <x v="192"/>
    <s v="NFLX"/>
    <s v="California Northern District Court"/>
    <s v="03/01/2017"/>
    <s v="05/01/2017"/>
    <x v="911"/>
    <s v="Individual"/>
    <x v="911"/>
    <m/>
    <s v="NFLX.1"/>
    <n v="2"/>
    <n v="1"/>
    <n v="18865.5"/>
    <n v="2.5154000000000002E-4"/>
    <x v="292"/>
    <s v="Contested"/>
    <s v="Ind"/>
    <x v="0"/>
  </r>
  <r>
    <x v="192"/>
    <s v="NFLX"/>
    <s v="California Northern District Court"/>
    <s v="03/01/2017"/>
    <s v="05/01/2017"/>
    <x v="912"/>
    <s v="Individual"/>
    <x v="912"/>
    <m/>
    <s v="NFLX.2"/>
    <m/>
    <n v="1"/>
    <n v="8428.34"/>
    <n v="1.1237786666666667E-4"/>
    <x v="10"/>
    <s v="Contested"/>
    <s v="Ind"/>
    <x v="0"/>
  </r>
  <r>
    <x v="193"/>
    <s v="EDU"/>
    <s v="New Jersey District Court"/>
    <s v="12/15/2016"/>
    <s v="02/13/2017"/>
    <x v="913"/>
    <s v="Individual"/>
    <x v="913"/>
    <s v="FIFO"/>
    <s v="EDU.1"/>
    <n v="2"/>
    <n v="1"/>
    <n v="2488"/>
    <n v="2.0733333333333333E-3"/>
    <x v="293"/>
    <s v="Contested"/>
    <s v="Ind"/>
    <x v="1"/>
  </r>
  <r>
    <x v="193"/>
    <s v="EDU"/>
    <s v="New Jersey District Court"/>
    <s v="12/15/2016"/>
    <s v="02/13/2017"/>
    <x v="914"/>
    <s v="Individual"/>
    <x v="914"/>
    <m/>
    <s v="EDU.2.a"/>
    <m/>
    <n v="3"/>
    <n v="8395"/>
    <n v="6.9958333333333331E-3"/>
    <x v="146"/>
    <s v="Contested"/>
    <s v="G-Ind"/>
    <x v="0"/>
  </r>
  <r>
    <x v="193"/>
    <s v="EDU"/>
    <s v="New Jersey District Court"/>
    <s v="12/15/2016"/>
    <s v="02/13/2017"/>
    <x v="913"/>
    <s v="Individual"/>
    <x v="915"/>
    <m/>
    <s v="EDU.2.b"/>
    <m/>
    <m/>
    <m/>
    <n v="0"/>
    <x v="146"/>
    <s v="Contested"/>
    <s v="G-Ind"/>
    <x v="1"/>
  </r>
  <r>
    <x v="193"/>
    <s v="EDU"/>
    <s v="New Jersey District Court"/>
    <s v="12/15/2016"/>
    <s v="02/13/2017"/>
    <x v="915"/>
    <s v="Individual"/>
    <x v="916"/>
    <m/>
    <s v="EDU.2.c"/>
    <m/>
    <m/>
    <m/>
    <n v="0"/>
    <x v="146"/>
    <s v="Contested"/>
    <s v="G-Ind"/>
    <x v="0"/>
  </r>
  <r>
    <x v="194"/>
    <s v="NSLPQ"/>
    <s v="New York Southern District Court"/>
    <s v="11/13/2015"/>
    <s v="01/25/2016"/>
    <x v="916"/>
    <s v="Individual"/>
    <x v="917"/>
    <m/>
    <s v="NSLPQ.1"/>
    <n v="2"/>
    <n v="1"/>
    <n v="24725.64"/>
    <n v="6.1814099999999997E-2"/>
    <x v="1"/>
    <s v="Contested"/>
    <s v="Ind"/>
    <x v="0"/>
  </r>
  <r>
    <x v="194"/>
    <s v="NSLPQ"/>
    <s v="New York Southern District Court"/>
    <s v="11/13/2015"/>
    <s v="01/25/2016"/>
    <x v="917"/>
    <s v="Individual"/>
    <x v="918"/>
    <m/>
    <s v="NSLPQ.2.a"/>
    <m/>
    <n v="3"/>
    <n v="133890"/>
    <n v="0.33472499999999999"/>
    <x v="294"/>
    <s v="Contested"/>
    <s v="G-Ind"/>
    <x v="0"/>
  </r>
  <r>
    <x v="194"/>
    <s v="NSLPQ"/>
    <s v="New York Southern District Court"/>
    <s v="11/13/2015"/>
    <s v="01/25/2016"/>
    <x v="918"/>
    <s v="Individual"/>
    <x v="919"/>
    <m/>
    <s v="NSLPQ.2.b"/>
    <m/>
    <m/>
    <m/>
    <n v="0"/>
    <x v="294"/>
    <s v="Contested"/>
    <s v="G-Ind"/>
    <x v="0"/>
  </r>
  <r>
    <x v="194"/>
    <s v="NSLPQ"/>
    <s v="New York Southern District Court"/>
    <s v="11/13/2015"/>
    <s v="01/25/2016"/>
    <x v="919"/>
    <s v="Individual"/>
    <x v="920"/>
    <m/>
    <s v="NSLPQ.2.c"/>
    <m/>
    <m/>
    <m/>
    <n v="0"/>
    <x v="294"/>
    <s v="Contested"/>
    <s v="G-Ind"/>
    <x v="0"/>
  </r>
  <r>
    <x v="195"/>
    <s v="NLNK"/>
    <s v="New York Southern District Court"/>
    <s v="05/12/2016"/>
    <s v="07/11/2016"/>
    <x v="920"/>
    <s v="Individual"/>
    <x v="921"/>
    <s v="Dura"/>
    <s v="NLNK.1"/>
    <n v="3"/>
    <n v="1"/>
    <n v="262680.5"/>
    <n v="0.29186722222222222"/>
    <x v="44"/>
    <s v="Contested"/>
    <s v="Ind"/>
    <x v="0"/>
  </r>
  <r>
    <x v="195"/>
    <s v="NLNK"/>
    <s v="New York Southern District Court"/>
    <s v="05/12/2016"/>
    <s v="07/11/2016"/>
    <x v="921"/>
    <s v="Individual"/>
    <x v="922"/>
    <m/>
    <s v="NLNK.2"/>
    <m/>
    <n v="1"/>
    <n v="23682.46"/>
    <n v="2.6313844444444442E-2"/>
    <x v="10"/>
    <s v="Contested"/>
    <s v="Ind"/>
    <x v="0"/>
  </r>
  <r>
    <x v="195"/>
    <s v="NLNK"/>
    <s v="New York Southern District Court"/>
    <s v="05/12/2016"/>
    <s v="07/11/2016"/>
    <x v="922"/>
    <s v="Individual"/>
    <x v="923"/>
    <m/>
    <s v="NLNK.3.a"/>
    <m/>
    <n v="2"/>
    <n v="76173"/>
    <n v="8.4636666666666666E-2"/>
    <x v="97"/>
    <s v="Contested"/>
    <s v="G-Ind"/>
    <x v="0"/>
  </r>
  <r>
    <x v="195"/>
    <s v="NLNK"/>
    <s v="New York Southern District Court"/>
    <s v="05/12/2016"/>
    <s v="07/11/2016"/>
    <x v="923"/>
    <s v="Individual"/>
    <x v="924"/>
    <m/>
    <s v="NLNK.3.b"/>
    <m/>
    <m/>
    <m/>
    <n v="0"/>
    <x v="97"/>
    <s v="Contested"/>
    <s v="G-Ind"/>
    <x v="0"/>
  </r>
  <r>
    <x v="196"/>
    <s v="NMBL"/>
    <s v="California Northern District Court"/>
    <s v="12/17/2015"/>
    <s v="02/16/2016"/>
    <x v="924"/>
    <s v="Individual"/>
    <x v="925"/>
    <m/>
    <s v="NMBL.1.a"/>
    <n v="4"/>
    <n v="2"/>
    <n v="576486.43000000005"/>
    <n v="0.19216214333333334"/>
    <x v="201"/>
    <s v="Contested"/>
    <s v="G-Ind"/>
    <x v="0"/>
  </r>
  <r>
    <x v="196"/>
    <s v="NMBL"/>
    <s v="California Northern District Court"/>
    <s v="12/17/2015"/>
    <s v="02/16/2016"/>
    <x v="925"/>
    <s v="Individual"/>
    <x v="926"/>
    <m/>
    <s v="NMBL.1.b"/>
    <m/>
    <m/>
    <m/>
    <n v="0"/>
    <x v="201"/>
    <s v="Contested"/>
    <s v="G-Ind"/>
    <x v="0"/>
  </r>
  <r>
    <x v="196"/>
    <s v="NMBL"/>
    <s v="California Northern District Court"/>
    <s v="12/17/2015"/>
    <s v="02/16/2016"/>
    <x v="2"/>
    <s v="Institution"/>
    <x v="927"/>
    <s v="LIFO"/>
    <s v="NMBL.2"/>
    <m/>
    <n v="1"/>
    <n v="1177771.58"/>
    <n v="0.39259052666666666"/>
    <x v="295"/>
    <s v="Contested"/>
    <s v="Ins"/>
    <x v="1"/>
  </r>
  <r>
    <x v="196"/>
    <s v="NMBL"/>
    <s v="California Northern District Court"/>
    <s v="12/17/2015"/>
    <s v="02/16/2016"/>
    <x v="926"/>
    <s v="Individual"/>
    <x v="928"/>
    <m/>
    <s v="NMBL.3.a"/>
    <m/>
    <n v="3"/>
    <n v="115770"/>
    <n v="3.8589999999999999E-2"/>
    <x v="7"/>
    <s v="Contested"/>
    <s v="G-Ind"/>
    <x v="0"/>
  </r>
  <r>
    <x v="196"/>
    <s v="NMBL"/>
    <s v="California Northern District Court"/>
    <s v="12/17/2015"/>
    <s v="02/16/2016"/>
    <x v="927"/>
    <s v="Individual"/>
    <x v="929"/>
    <m/>
    <s v="NMBL.3.b"/>
    <m/>
    <m/>
    <m/>
    <n v="0"/>
    <x v="7"/>
    <s v="Contested"/>
    <s v="G-Ind"/>
    <x v="0"/>
  </r>
  <r>
    <x v="196"/>
    <s v="NMBL"/>
    <s v="California Northern District Court"/>
    <s v="12/17/2015"/>
    <s v="02/16/2016"/>
    <x v="928"/>
    <s v="Individual"/>
    <x v="930"/>
    <m/>
    <s v="NMBL.3.c"/>
    <m/>
    <m/>
    <m/>
    <n v="0"/>
    <x v="7"/>
    <s v="Contested"/>
    <s v="G-Ind"/>
    <x v="0"/>
  </r>
  <r>
    <x v="196"/>
    <s v="NMBL"/>
    <s v="California Northern District Court"/>
    <s v="12/17/2015"/>
    <s v="02/16/2016"/>
    <x v="929"/>
    <s v="Individual"/>
    <x v="931"/>
    <m/>
    <s v="NMBL.4"/>
    <m/>
    <n v="1"/>
    <n v="22591.55"/>
    <n v="7.5305166666666656E-3"/>
    <x v="8"/>
    <s v="Contested"/>
    <s v="Ind"/>
    <x v="0"/>
  </r>
  <r>
    <x v="197"/>
    <s v="HLTH"/>
    <s v="Texas Southern District Court"/>
    <s v="01/19/2016"/>
    <s v="03/21/2016"/>
    <x v="930"/>
    <s v="Individual"/>
    <x v="932"/>
    <m/>
    <s v="HLTH.1"/>
    <n v="1"/>
    <n v="1"/>
    <n v="4035"/>
    <n v="5.0437499999999996E-3"/>
    <x v="296"/>
    <s v="Uncontested"/>
    <s v="Ind"/>
    <x v="0"/>
  </r>
  <r>
    <x v="198"/>
    <s v="NAK"/>
    <s v="California Central District Court"/>
    <s v="02/15/2017"/>
    <s v="04/17/2017"/>
    <x v="931"/>
    <s v="Individual"/>
    <x v="933"/>
    <s v="Dura"/>
    <s v="NAK.1.a"/>
    <n v="4"/>
    <n v="2"/>
    <n v="221821"/>
    <n v="0.5545525"/>
    <x v="297"/>
    <s v="Contested"/>
    <s v="G-Ind"/>
    <x v="0"/>
  </r>
  <r>
    <x v="198"/>
    <s v="NAK"/>
    <s v="California Central District Court"/>
    <s v="02/15/2017"/>
    <s v="04/17/2017"/>
    <x v="932"/>
    <s v="Individual"/>
    <x v="934"/>
    <m/>
    <s v="NAK.1.b"/>
    <m/>
    <m/>
    <m/>
    <n v="0"/>
    <x v="297"/>
    <s v="Contested"/>
    <s v="G-Ind"/>
    <x v="0"/>
  </r>
  <r>
    <x v="198"/>
    <s v="NAK"/>
    <s v="California Central District Court"/>
    <s v="02/15/2017"/>
    <s v="04/17/2017"/>
    <x v="933"/>
    <s v="Individual"/>
    <x v="935"/>
    <m/>
    <s v="NAK.2"/>
    <m/>
    <n v="1"/>
    <n v="83736.19"/>
    <n v="0.20934047500000003"/>
    <x v="10"/>
    <s v="Contested"/>
    <s v="Ind"/>
    <x v="0"/>
  </r>
  <r>
    <x v="198"/>
    <s v="NAK"/>
    <s v="California Central District Court"/>
    <s v="02/15/2017"/>
    <s v="04/17/2017"/>
    <x v="934"/>
    <s v="Individual"/>
    <x v="936"/>
    <m/>
    <s v="NAK.3.a"/>
    <m/>
    <n v="2"/>
    <n v="24574.449999999997"/>
    <n v="6.1436124999999987E-2"/>
    <x v="298"/>
    <s v="Contested"/>
    <s v="G-Ind"/>
    <x v="0"/>
  </r>
  <r>
    <x v="198"/>
    <s v="NAK"/>
    <s v="California Central District Court"/>
    <s v="02/15/2017"/>
    <s v="04/17/2017"/>
    <x v="935"/>
    <s v="Individual"/>
    <x v="937"/>
    <m/>
    <s v="NAK.3.b"/>
    <m/>
    <m/>
    <m/>
    <n v="0"/>
    <x v="298"/>
    <s v="Contested"/>
    <s v="G-Ind"/>
    <x v="0"/>
  </r>
  <r>
    <x v="198"/>
    <s v="NAK"/>
    <s v="California Central District Court"/>
    <s v="02/15/2017"/>
    <s v="04/17/2017"/>
    <x v="936"/>
    <s v="Individual"/>
    <x v="938"/>
    <m/>
    <s v="NAK.4.a"/>
    <m/>
    <n v="2"/>
    <n v="269100"/>
    <n v="0.67274999999999996"/>
    <x v="146"/>
    <s v="Contested"/>
    <s v="G-Ind"/>
    <x v="0"/>
  </r>
  <r>
    <x v="198"/>
    <s v="NAK"/>
    <s v="California Central District Court"/>
    <s v="02/15/2017"/>
    <s v="04/17/2017"/>
    <x v="937"/>
    <s v="Individual"/>
    <x v="939"/>
    <m/>
    <s v="NAK.4.b"/>
    <m/>
    <m/>
    <m/>
    <n v="0"/>
    <x v="146"/>
    <s v="Contested"/>
    <s v="G-Ind"/>
    <x v="0"/>
  </r>
  <r>
    <x v="199"/>
    <s v="NOG"/>
    <s v="New York Southern District Court"/>
    <s v="08/18/2016"/>
    <s v="10/17/2016"/>
    <x v="938"/>
    <s v="Individual"/>
    <x v="940"/>
    <m/>
    <s v="NOG.1.a"/>
    <n v="2"/>
    <n v="2"/>
    <n v="129292"/>
    <n v="1.2929200000000001"/>
    <x v="56"/>
    <s v="Contested"/>
    <s v="G-Ind"/>
    <x v="0"/>
  </r>
  <r>
    <x v="199"/>
    <s v="NOG"/>
    <s v="New York Southern District Court"/>
    <s v="08/18/2016"/>
    <s v="10/17/2016"/>
    <x v="939"/>
    <s v="Individual"/>
    <x v="941"/>
    <m/>
    <s v="NOG.1.b"/>
    <m/>
    <m/>
    <m/>
    <n v="0"/>
    <x v="56"/>
    <s v="Contested"/>
    <s v="G-Ind"/>
    <x v="0"/>
  </r>
  <r>
    <x v="199"/>
    <s v="NOG"/>
    <s v="New York Southern District Court"/>
    <s v="08/18/2016"/>
    <s v="10/17/2016"/>
    <x v="940"/>
    <s v="Individual"/>
    <x v="942"/>
    <m/>
    <s v="NOG.2"/>
    <m/>
    <n v="1"/>
    <s v="NOG.2"/>
    <e v="#VALUE!"/>
    <x v="69"/>
    <s v="Contested"/>
    <s v="Ind"/>
    <x v="0"/>
  </r>
  <r>
    <x v="200"/>
    <s v="NTI"/>
    <s v="Arizona District Court"/>
    <s v="08/24/2016"/>
    <s v="10/25/2016"/>
    <x v="941"/>
    <s v="Individual"/>
    <x v="5"/>
    <m/>
    <s v="NTI.1"/>
    <n v="1"/>
    <n v="1"/>
    <s v="***"/>
    <e v="#VALUE!"/>
    <x v="299"/>
    <s v="Uncontested"/>
    <s v="Ind"/>
    <x v="0"/>
  </r>
  <r>
    <x v="201"/>
    <s v="NVO"/>
    <s v="New Jersey District Court"/>
    <s v="01/11/2017"/>
    <s v="03/13/2017"/>
    <x v="942"/>
    <s v="Institution"/>
    <x v="943"/>
    <s v="FIFO/LIFO"/>
    <s v="NVO.1.a"/>
    <n v="4"/>
    <n v="4"/>
    <n v="1698789.64"/>
    <n v="9.9928802352941184E-3"/>
    <x v="300"/>
    <s v="Contested"/>
    <s v="G-Ins"/>
    <x v="0"/>
  </r>
  <r>
    <x v="201"/>
    <s v="NVO"/>
    <s v="New Jersey District Court"/>
    <s v="01/11/2017"/>
    <s v="03/13/2017"/>
    <x v="298"/>
    <s v="Institution"/>
    <x v="944"/>
    <s v="FIFO/LIFO"/>
    <s v="NVO.1.b"/>
    <m/>
    <m/>
    <m/>
    <n v="0"/>
    <x v="300"/>
    <s v="Contested"/>
    <s v="G-Ins"/>
    <x v="1"/>
  </r>
  <r>
    <x v="201"/>
    <s v="NVO"/>
    <s v="New Jersey District Court"/>
    <s v="01/11/2017"/>
    <s v="03/13/2017"/>
    <x v="537"/>
    <s v="Institution"/>
    <x v="945"/>
    <s v="FIFO"/>
    <s v="NVO.1.c"/>
    <m/>
    <m/>
    <m/>
    <n v="0"/>
    <x v="300"/>
    <s v="Contested"/>
    <s v="G-Ins"/>
    <x v="1"/>
  </r>
  <r>
    <x v="201"/>
    <s v="NVO"/>
    <s v="New Jersey District Court"/>
    <s v="01/11/2017"/>
    <s v="03/13/2017"/>
    <x v="219"/>
    <s v="Institution"/>
    <x v="946"/>
    <s v="FIFO/LIFO"/>
    <s v="NVO.1.d"/>
    <m/>
    <m/>
    <m/>
    <n v="0"/>
    <x v="300"/>
    <s v="Contested"/>
    <s v="G-Ins"/>
    <x v="1"/>
  </r>
  <r>
    <x v="201"/>
    <s v="NVO"/>
    <s v="New Jersey District Court"/>
    <s v="01/11/2017"/>
    <s v="03/13/2017"/>
    <x v="943"/>
    <s v="Individual"/>
    <x v="947"/>
    <s v="LIFO"/>
    <s v="NVO.2"/>
    <m/>
    <n v="1"/>
    <n v="1022233.79"/>
    <n v="6.0131399411764708E-3"/>
    <x v="10"/>
    <s v="Contested"/>
    <s v="Ind"/>
    <x v="0"/>
  </r>
  <r>
    <x v="201"/>
    <s v="NVO"/>
    <s v="New Jersey District Court"/>
    <s v="01/11/2017"/>
    <s v="03/13/2017"/>
    <x v="450"/>
    <s v="Institution"/>
    <x v="948"/>
    <m/>
    <s v="NVO.3"/>
    <m/>
    <n v="1"/>
    <n v="52823"/>
    <n v="3.107235294117647E-4"/>
    <x v="301"/>
    <s v="Contested"/>
    <s v="Ins"/>
    <x v="1"/>
  </r>
  <r>
    <x v="201"/>
    <s v="NVO"/>
    <s v="New Jersey District Court"/>
    <s v="01/11/2017"/>
    <s v="03/13/2017"/>
    <x v="944"/>
    <s v="Institution"/>
    <x v="949"/>
    <m/>
    <s v="NVO.4"/>
    <m/>
    <n v="1"/>
    <n v="3983836.71"/>
    <n v="2.3434333588235295E-2"/>
    <x v="302"/>
    <s v="Contested"/>
    <s v="G-Ins"/>
    <x v="0"/>
  </r>
  <r>
    <x v="202"/>
    <s v="OCN"/>
    <s v="Florida Southern District Court"/>
    <s v="04/21/2017"/>
    <s v="06/20/2017"/>
    <x v="804"/>
    <s v="Institution"/>
    <x v="950"/>
    <m/>
    <s v="OCN.1"/>
    <n v="3"/>
    <n v="1"/>
    <n v="131758.64000000001"/>
    <n v="7.7505082352941193E-2"/>
    <x v="303"/>
    <s v="Contested"/>
    <s v="Ins"/>
    <x v="1"/>
  </r>
  <r>
    <x v="202"/>
    <s v="OCN"/>
    <s v="Florida Southern District Court"/>
    <s v="04/21/2017"/>
    <s v="06/20/2017"/>
    <x v="945"/>
    <s v="Individual"/>
    <x v="951"/>
    <m/>
    <s v="OCN.2.a"/>
    <m/>
    <n v="2"/>
    <n v="190161.31"/>
    <n v="0.11185959411764705"/>
    <x v="304"/>
    <s v="Contested"/>
    <s v="G-Ind"/>
    <x v="0"/>
  </r>
  <r>
    <x v="202"/>
    <s v="OCN"/>
    <s v="Florida Southern District Court"/>
    <s v="04/21/2017"/>
    <s v="06/20/2017"/>
    <x v="946"/>
    <s v="Individual"/>
    <x v="952"/>
    <m/>
    <s v="OCN.2.b"/>
    <m/>
    <m/>
    <m/>
    <n v="0"/>
    <x v="304"/>
    <s v="Contested"/>
    <s v="G-Ind"/>
    <x v="0"/>
  </r>
  <r>
    <x v="202"/>
    <s v="OCN"/>
    <s v="Florida Southern District Court"/>
    <s v="04/21/2017"/>
    <s v="06/20/2017"/>
    <x v="947"/>
    <s v="Individual"/>
    <x v="953"/>
    <m/>
    <s v="OCN.3.a"/>
    <m/>
    <n v="3"/>
    <n v="91881"/>
    <n v="5.4047647058823527E-2"/>
    <x v="305"/>
    <s v="Contested"/>
    <s v="G-Ind"/>
    <x v="0"/>
  </r>
  <r>
    <x v="202"/>
    <s v="OCN"/>
    <s v="Florida Southern District Court"/>
    <s v="04/21/2017"/>
    <s v="06/20/2017"/>
    <x v="948"/>
    <s v="Individual"/>
    <x v="954"/>
    <m/>
    <s v="OCN.3.b"/>
    <m/>
    <m/>
    <m/>
    <n v="0"/>
    <x v="305"/>
    <s v="Contested"/>
    <s v="G-Ind"/>
    <x v="0"/>
  </r>
  <r>
    <x v="202"/>
    <s v="OCN"/>
    <s v="Florida Southern District Court"/>
    <s v="04/21/2017"/>
    <s v="06/20/2017"/>
    <x v="949"/>
    <s v="Individual"/>
    <x v="955"/>
    <m/>
    <s v="OCN.3.c"/>
    <m/>
    <m/>
    <m/>
    <n v="0"/>
    <x v="305"/>
    <s v="Contested"/>
    <s v="G-Ind"/>
    <x v="0"/>
  </r>
  <r>
    <x v="203"/>
    <s v="OME"/>
    <s v="California Central District Court"/>
    <s v="03/03/2017"/>
    <s v="05/01/2017"/>
    <x v="950"/>
    <s v="Individual"/>
    <x v="956"/>
    <m/>
    <s v="OME.1.a"/>
    <n v="2"/>
    <n v="7"/>
    <n v="8521"/>
    <n v="1.2172857142857142E-2"/>
    <x v="146"/>
    <s v="Contested"/>
    <s v="G-Ind"/>
    <x v="0"/>
  </r>
  <r>
    <x v="203"/>
    <s v="OME"/>
    <s v="California Central District Court"/>
    <s v="03/03/2017"/>
    <s v="05/01/2017"/>
    <x v="951"/>
    <s v="Individual"/>
    <x v="957"/>
    <m/>
    <s v="OME.1.b"/>
    <m/>
    <m/>
    <m/>
    <n v="0"/>
    <x v="146"/>
    <s v="Contested"/>
    <s v="G-Ind"/>
    <x v="0"/>
  </r>
  <r>
    <x v="203"/>
    <s v="OME"/>
    <s v="California Central District Court"/>
    <s v="03/03/2017"/>
    <s v="05/01/2017"/>
    <x v="952"/>
    <s v="Individual"/>
    <x v="958"/>
    <m/>
    <s v="OME.1.c"/>
    <m/>
    <m/>
    <m/>
    <n v="0"/>
    <x v="146"/>
    <s v="Contested"/>
    <s v="G-Ind"/>
    <x v="0"/>
  </r>
  <r>
    <x v="203"/>
    <s v="OME"/>
    <s v="California Central District Court"/>
    <s v="03/03/2017"/>
    <s v="05/01/2017"/>
    <x v="953"/>
    <s v="Individual"/>
    <x v="959"/>
    <m/>
    <s v="OME.1.d"/>
    <m/>
    <m/>
    <m/>
    <n v="0"/>
    <x v="146"/>
    <s v="Contested"/>
    <s v="G-Ind"/>
    <x v="0"/>
  </r>
  <r>
    <x v="203"/>
    <s v="OME"/>
    <s v="California Central District Court"/>
    <s v="03/03/2017"/>
    <s v="05/01/2017"/>
    <x v="954"/>
    <s v="Individual"/>
    <x v="960"/>
    <m/>
    <s v="OME.1.e"/>
    <m/>
    <m/>
    <m/>
    <n v="0"/>
    <x v="146"/>
    <s v="Contested"/>
    <s v="G-Ind"/>
    <x v="0"/>
  </r>
  <r>
    <x v="203"/>
    <s v="OME"/>
    <s v="California Central District Court"/>
    <s v="03/03/2017"/>
    <s v="05/01/2017"/>
    <x v="955"/>
    <s v="Individual"/>
    <x v="961"/>
    <m/>
    <s v="OME.1.f"/>
    <m/>
    <m/>
    <m/>
    <n v="0"/>
    <x v="146"/>
    <s v="Contested"/>
    <s v="G-Ind"/>
    <x v="0"/>
  </r>
  <r>
    <x v="203"/>
    <s v="OME"/>
    <s v="California Central District Court"/>
    <s v="03/03/2017"/>
    <s v="05/01/2017"/>
    <x v="956"/>
    <s v="Individual"/>
    <x v="962"/>
    <m/>
    <s v="OME.1.g"/>
    <m/>
    <m/>
    <m/>
    <n v="0"/>
    <x v="146"/>
    <s v="Contested"/>
    <s v="G-Ind"/>
    <x v="0"/>
  </r>
  <r>
    <x v="203"/>
    <s v="OME"/>
    <s v="California Central District Court"/>
    <s v="03/03/2017"/>
    <s v="05/01/2017"/>
    <x v="957"/>
    <s v="Institution"/>
    <x v="963"/>
    <m/>
    <s v="OME.2"/>
    <m/>
    <n v="1"/>
    <n v="24251.94"/>
    <n v="3.4645628571428569E-2"/>
    <x v="306"/>
    <s v="Contested"/>
    <s v="Ins"/>
    <x v="0"/>
  </r>
  <r>
    <x v="204"/>
    <s v="OMF"/>
    <s v="New York Southern District Court"/>
    <s v="02/10/2017"/>
    <s v="03/20/2017"/>
    <x v="958"/>
    <s v="Individual"/>
    <x v="964"/>
    <m/>
    <s v="OMF.1"/>
    <n v="1"/>
    <n v="1"/>
    <n v="29732.25"/>
    <n v="8.2589583333333334E-3"/>
    <x v="145"/>
    <s v="Uncontested"/>
    <s v="Ind"/>
    <x v="0"/>
  </r>
  <r>
    <x v="205"/>
    <s v="OPHT"/>
    <s v="New York Southern District Court"/>
    <s v="01/11/2017"/>
    <s v="03/13/2017"/>
    <x v="959"/>
    <s v="Individual"/>
    <x v="965"/>
    <m/>
    <s v="OPHT.1.a"/>
    <n v="8"/>
    <n v="3"/>
    <n v="14556.89"/>
    <n v="1.6174322222222222E-3"/>
    <x v="107"/>
    <s v="Contested"/>
    <s v="G-Ind"/>
    <x v="0"/>
  </r>
  <r>
    <x v="205"/>
    <s v="OPHT"/>
    <s v="New York Southern District Court"/>
    <s v="01/11/2017"/>
    <s v="03/13/2017"/>
    <x v="960"/>
    <s v="Individual"/>
    <x v="966"/>
    <m/>
    <s v="OPHT.1.b"/>
    <m/>
    <m/>
    <m/>
    <n v="0"/>
    <x v="107"/>
    <s v="Contested"/>
    <s v="G-Ind"/>
    <x v="0"/>
  </r>
  <r>
    <x v="205"/>
    <s v="OPHT"/>
    <s v="New York Southern District Court"/>
    <s v="01/11/2017"/>
    <s v="03/13/2017"/>
    <x v="961"/>
    <s v="Individual"/>
    <x v="967"/>
    <m/>
    <s v="OPHT.1.c"/>
    <m/>
    <m/>
    <m/>
    <n v="0"/>
    <x v="107"/>
    <s v="Contested"/>
    <s v="G-Ind"/>
    <x v="0"/>
  </r>
  <r>
    <x v="205"/>
    <s v="OPHT"/>
    <s v="New York Southern District Court"/>
    <s v="01/11/2017"/>
    <s v="03/13/2017"/>
    <x v="962"/>
    <s v="Individual"/>
    <x v="968"/>
    <s v="LIFO"/>
    <s v="OPHT.2"/>
    <m/>
    <n v="1"/>
    <n v="248489.8"/>
    <n v="2.7609977777777777E-2"/>
    <x v="26"/>
    <s v="Contested"/>
    <s v="Ind"/>
    <x v="0"/>
  </r>
  <r>
    <x v="205"/>
    <s v="OPHT"/>
    <s v="New York Southern District Court"/>
    <s v="01/11/2017"/>
    <s v="03/13/2017"/>
    <x v="963"/>
    <s v="Individual"/>
    <x v="969"/>
    <m/>
    <s v="OPHT.3"/>
    <m/>
    <n v="1"/>
    <n v="4140587"/>
    <n v="0.46006522222222224"/>
    <x v="307"/>
    <s v="Contested"/>
    <s v="Ind"/>
    <x v="0"/>
  </r>
  <r>
    <x v="205"/>
    <s v="OPHT"/>
    <s v="New York Southern District Court"/>
    <s v="01/11/2017"/>
    <s v="03/13/2017"/>
    <x v="964"/>
    <s v="Individual"/>
    <x v="970"/>
    <m/>
    <s v="OPHT.4"/>
    <m/>
    <n v="1"/>
    <n v="20430"/>
    <n v="2.2699999999999999E-3"/>
    <x v="103"/>
    <s v="Contested"/>
    <s v="Ind"/>
    <x v="0"/>
  </r>
  <r>
    <x v="205"/>
    <s v="OPHT"/>
    <s v="New York Southern District Court"/>
    <s v="01/11/2017"/>
    <s v="03/13/2017"/>
    <x v="965"/>
    <s v="Individual"/>
    <x v="971"/>
    <s v="Combined losses"/>
    <s v="OPHT.5.a"/>
    <m/>
    <n v="2"/>
    <n v="0"/>
    <n v="0"/>
    <x v="56"/>
    <s v="Contested"/>
    <s v="G-Ind"/>
    <x v="0"/>
  </r>
  <r>
    <x v="205"/>
    <s v="OPHT"/>
    <s v="New York Southern District Court"/>
    <s v="01/11/2017"/>
    <s v="03/13/2017"/>
    <x v="966"/>
    <s v="Individual"/>
    <x v="178"/>
    <m/>
    <s v="OPHT.5.b"/>
    <m/>
    <m/>
    <m/>
    <n v="0"/>
    <x v="56"/>
    <s v="Contested"/>
    <s v="G-Ind"/>
    <x v="0"/>
  </r>
  <r>
    <x v="205"/>
    <s v="OPHT"/>
    <s v="New York Southern District Court"/>
    <s v="01/11/2017"/>
    <s v="03/13/2017"/>
    <x v="967"/>
    <s v="Individual"/>
    <x v="972"/>
    <m/>
    <s v="OPHT.6.a"/>
    <m/>
    <n v="5"/>
    <n v="2055468.23"/>
    <n v="0.22838535888888889"/>
    <x v="308"/>
    <s v="Contested"/>
    <s v="G-Mix"/>
    <x v="0"/>
  </r>
  <r>
    <x v="205"/>
    <s v="OPHT"/>
    <s v="New York Southern District Court"/>
    <s v="01/11/2017"/>
    <s v="03/13/2017"/>
    <x v="968"/>
    <s v="Individual"/>
    <x v="973"/>
    <m/>
    <s v="OPHT.6.b"/>
    <m/>
    <m/>
    <m/>
    <n v="0"/>
    <x v="308"/>
    <s v="Contested"/>
    <s v="G-Mix"/>
    <x v="0"/>
  </r>
  <r>
    <x v="205"/>
    <s v="OPHT"/>
    <s v="New York Southern District Court"/>
    <s v="01/11/2017"/>
    <s v="03/13/2017"/>
    <x v="969"/>
    <s v="Individual"/>
    <x v="974"/>
    <m/>
    <s v="OPHT.6.c"/>
    <m/>
    <m/>
    <m/>
    <n v="0"/>
    <x v="308"/>
    <s v="Contested"/>
    <s v="G-Mix"/>
    <x v="0"/>
  </r>
  <r>
    <x v="205"/>
    <s v="OPHT"/>
    <s v="New York Southern District Court"/>
    <s v="01/11/2017"/>
    <s v="03/13/2017"/>
    <x v="634"/>
    <s v="Institution"/>
    <x v="975"/>
    <m/>
    <s v="OPHT.6.d"/>
    <m/>
    <m/>
    <m/>
    <n v="0"/>
    <x v="308"/>
    <s v="Contested"/>
    <s v="G-Mix"/>
    <x v="1"/>
  </r>
  <r>
    <x v="205"/>
    <s v="OPHT"/>
    <s v="New York Southern District Court"/>
    <s v="01/11/2017"/>
    <s v="03/13/2017"/>
    <x v="970"/>
    <s v="Individual"/>
    <x v="976"/>
    <m/>
    <s v="OPHT.6.e"/>
    <m/>
    <m/>
    <m/>
    <n v="0"/>
    <x v="308"/>
    <s v="Contested"/>
    <s v="G-Mix"/>
    <x v="0"/>
  </r>
  <r>
    <x v="205"/>
    <s v="OPHT"/>
    <s v="New York Southern District Court"/>
    <s v="01/11/2017"/>
    <s v="03/13/2017"/>
    <x v="971"/>
    <s v="Institution"/>
    <x v="977"/>
    <s v="FIFO"/>
    <s v="OPHT.7"/>
    <m/>
    <n v="1"/>
    <n v="1059702.3500000001"/>
    <n v="0.11774470555555556"/>
    <x v="73"/>
    <s v="Contested"/>
    <s v="Ins"/>
    <x v="0"/>
  </r>
  <r>
    <x v="205"/>
    <s v="OPHT"/>
    <s v="New York Southern District Court"/>
    <s v="01/11/2017"/>
    <s v="03/13/2017"/>
    <x v="972"/>
    <s v="Institution"/>
    <x v="978"/>
    <m/>
    <s v="OPHT.8"/>
    <m/>
    <n v="1"/>
    <n v="1004573.27"/>
    <n v="0.11161925222222223"/>
    <x v="46"/>
    <s v="Contested"/>
    <s v="Ins"/>
    <x v="0"/>
  </r>
  <r>
    <x v="206"/>
    <s v="OPB"/>
    <s v="California Central District Court"/>
    <s v="10/26/2016"/>
    <s v="12/27/2016"/>
    <x v="278"/>
    <s v="Institution"/>
    <x v="979"/>
    <s v="LIFO/FIFO"/>
    <s v="OPB.1.a."/>
    <n v="4"/>
    <n v="2"/>
    <n v="289638.28000000003"/>
    <n v="0.38618437333333333"/>
    <x v="309"/>
    <s v="Contested"/>
    <s v="G-Ins"/>
    <x v="1"/>
  </r>
  <r>
    <x v="206"/>
    <s v="OPB"/>
    <s v="California Central District Court"/>
    <s v="10/26/2016"/>
    <s v="12/27/2016"/>
    <x v="298"/>
    <s v="Institution"/>
    <x v="980"/>
    <s v="LIFO/FIFO"/>
    <s v="OPB.1.b"/>
    <m/>
    <m/>
    <m/>
    <n v="0"/>
    <x v="309"/>
    <s v="Contested"/>
    <s v="G-Ins"/>
    <x v="1"/>
  </r>
  <r>
    <x v="206"/>
    <s v="OPB"/>
    <s v="California Central District Court"/>
    <s v="10/26/2016"/>
    <s v="12/27/2016"/>
    <x v="903"/>
    <s v="Institution"/>
    <x v="981"/>
    <s v="LIFO"/>
    <s v="OPB.2"/>
    <m/>
    <n v="1"/>
    <n v="702842.81"/>
    <n v="0.93712374666666687"/>
    <x v="310"/>
    <s v="Contested"/>
    <s v="Ins"/>
    <x v="1"/>
  </r>
  <r>
    <x v="206"/>
    <s v="OPB"/>
    <s v="California Central District Court"/>
    <s v="10/26/2016"/>
    <s v="12/27/2016"/>
    <x v="973"/>
    <s v="Individual"/>
    <x v="982"/>
    <m/>
    <s v="OPB.3.a"/>
    <m/>
    <n v="2"/>
    <n v="201138"/>
    <n v="0.26818399999999998"/>
    <x v="311"/>
    <s v="Contested"/>
    <s v="G-Ind"/>
    <x v="0"/>
  </r>
  <r>
    <x v="206"/>
    <s v="OPB"/>
    <s v="California Central District Court"/>
    <s v="10/26/2016"/>
    <s v="12/27/2016"/>
    <x v="974"/>
    <s v="Individual"/>
    <x v="983"/>
    <m/>
    <s v="OPB.3.b"/>
    <m/>
    <m/>
    <m/>
    <n v="0"/>
    <x v="311"/>
    <s v="Contested"/>
    <s v="G-Ind"/>
    <x v="0"/>
  </r>
  <r>
    <x v="206"/>
    <s v="OPB"/>
    <s v="California Central District Court"/>
    <s v="10/26/2016"/>
    <s v="12/27/2016"/>
    <x v="490"/>
    <s v="Institution"/>
    <x v="984"/>
    <m/>
    <s v="OPB.4"/>
    <m/>
    <n v="1"/>
    <n v="78112.19"/>
    <n v="0.10414958666666667"/>
    <x v="175"/>
    <s v="Contested"/>
    <s v="Ins"/>
    <x v="1"/>
  </r>
  <r>
    <x v="207"/>
    <s v="OA"/>
    <s v="Virginia Eastern District Court"/>
    <s v="08/12/2016"/>
    <s v="10/11/2016"/>
    <x v="2"/>
    <s v="Institution"/>
    <x v="985"/>
    <s v="LIFO"/>
    <s v="OA.1"/>
    <n v="3"/>
    <n v="1"/>
    <n v="396501.1"/>
    <n v="4.9562637499999999E-2"/>
    <x v="312"/>
    <s v="Contested"/>
    <s v="Ins"/>
    <x v="1"/>
  </r>
  <r>
    <x v="207"/>
    <s v="OA"/>
    <s v="Virginia Eastern District Court"/>
    <s v="08/12/2016"/>
    <s v="10/11/2016"/>
    <x v="975"/>
    <s v="Individual"/>
    <x v="986"/>
    <m/>
    <s v="OA.2.a"/>
    <m/>
    <n v="2"/>
    <n v="42444"/>
    <n v="5.3055000000000003E-3"/>
    <x v="313"/>
    <s v="Contested"/>
    <s v="G-Ind"/>
    <x v="0"/>
  </r>
  <r>
    <x v="207"/>
    <s v="OA"/>
    <s v="Virginia Eastern District Court"/>
    <s v="08/12/2016"/>
    <s v="10/11/2016"/>
    <x v="976"/>
    <s v="Individual"/>
    <x v="987"/>
    <m/>
    <s v="OA.2.b"/>
    <m/>
    <m/>
    <m/>
    <n v="0"/>
    <x v="313"/>
    <s v="Contested"/>
    <s v="G-Ind"/>
    <x v="0"/>
  </r>
  <r>
    <x v="207"/>
    <s v="OA"/>
    <s v="Virginia Eastern District Court"/>
    <s v="08/12/2016"/>
    <s v="10/11/2016"/>
    <x v="297"/>
    <s v="Institution"/>
    <x v="988"/>
    <m/>
    <s v="OA.3"/>
    <m/>
    <n v="1"/>
    <n v="116762.1"/>
    <n v="1.4595262499999999E-2"/>
    <x v="314"/>
    <s v="Contested"/>
    <s v="Ins"/>
    <x v="1"/>
  </r>
  <r>
    <x v="208"/>
    <s v="OSIR"/>
    <s v="Maryland District Court"/>
    <s v="11/23/2015"/>
    <s v="01/22/2016"/>
    <x v="977"/>
    <s v="Individual"/>
    <x v="989"/>
    <m/>
    <s v="OSIR.1.a"/>
    <n v="2"/>
    <n v="5"/>
    <n v="97292"/>
    <n v="0.32430666666666663"/>
    <x v="315"/>
    <s v="Contested"/>
    <s v="G-Ind"/>
    <x v="0"/>
  </r>
  <r>
    <x v="208"/>
    <s v="OSIR"/>
    <s v="Maryland District Court"/>
    <s v="11/23/2015"/>
    <s v="01/22/2016"/>
    <x v="978"/>
    <s v="Individual"/>
    <x v="990"/>
    <m/>
    <s v="OSIR.1.b"/>
    <m/>
    <m/>
    <m/>
    <n v="0"/>
    <x v="315"/>
    <s v="Contested"/>
    <s v="G-Ind"/>
    <x v="0"/>
  </r>
  <r>
    <x v="208"/>
    <s v="OSIR"/>
    <s v="Maryland District Court"/>
    <s v="11/23/2015"/>
    <s v="01/22/2016"/>
    <x v="979"/>
    <s v="Individual"/>
    <x v="991"/>
    <m/>
    <s v="OSIR.1.c"/>
    <m/>
    <m/>
    <m/>
    <n v="0"/>
    <x v="315"/>
    <s v="Contested"/>
    <s v="G-Ind"/>
    <x v="0"/>
  </r>
  <r>
    <x v="208"/>
    <s v="OSIR"/>
    <s v="Maryland District Court"/>
    <s v="11/23/2015"/>
    <s v="01/22/2016"/>
    <x v="980"/>
    <s v="Individual"/>
    <x v="992"/>
    <m/>
    <s v="OSIR.1.d"/>
    <m/>
    <m/>
    <m/>
    <n v="0"/>
    <x v="315"/>
    <s v="Contested"/>
    <s v="G-Ind"/>
    <x v="0"/>
  </r>
  <r>
    <x v="208"/>
    <s v="OSIR"/>
    <s v="Maryland District Court"/>
    <s v="11/23/2015"/>
    <s v="01/22/2016"/>
    <x v="981"/>
    <s v="Individual"/>
    <x v="993"/>
    <m/>
    <s v="OSIR.1.e"/>
    <m/>
    <m/>
    <m/>
    <n v="0"/>
    <x v="315"/>
    <s v="Contested"/>
    <s v="G-Ind"/>
    <x v="0"/>
  </r>
  <r>
    <x v="208"/>
    <s v="OSIR"/>
    <s v="Maryland District Court"/>
    <s v="11/23/2015"/>
    <s v="01/22/2016"/>
    <x v="982"/>
    <s v="Individual"/>
    <x v="994"/>
    <m/>
    <s v="OSIR.2"/>
    <m/>
    <n v="1"/>
    <n v="89885.49"/>
    <n v="0.29961830000000006"/>
    <x v="316"/>
    <s v="Contested"/>
    <s v="Ind"/>
    <x v="0"/>
  </r>
  <r>
    <x v="209"/>
    <s v="OUTR"/>
    <s v="Washington Western District Court"/>
    <s v="08/12/2016"/>
    <s v="10/31/2016"/>
    <x v="983"/>
    <s v="Individual"/>
    <x v="5"/>
    <m/>
    <s v="OUTR.1"/>
    <n v="2"/>
    <n v="1"/>
    <s v="***"/>
    <e v="#VALUE!"/>
    <x v="317"/>
    <s v="Contested"/>
    <s v="Ind"/>
    <x v="0"/>
  </r>
  <r>
    <x v="209"/>
    <s v="OUTR"/>
    <s v="Washington Western District Court"/>
    <s v="08/12/2016"/>
    <s v="10/31/2016"/>
    <x v="984"/>
    <s v="Individual"/>
    <x v="5"/>
    <m/>
    <s v="OUTR.2"/>
    <m/>
    <n v="1"/>
    <s v="***"/>
    <e v="#VALUE!"/>
    <x v="318"/>
    <s v="Contested"/>
    <s v="Ind"/>
    <x v="0"/>
  </r>
  <r>
    <x v="210"/>
    <s v="OVSC"/>
    <s v="Massachusetts District Court"/>
    <s v="03/24/2017"/>
    <s v="05/26/2017"/>
    <x v="985"/>
    <s v="Individual"/>
    <x v="995"/>
    <m/>
    <s v="OVSC.1"/>
    <n v="2"/>
    <n v="1"/>
    <n v="11745"/>
    <e v="#DIV/0!"/>
    <x v="298"/>
    <s v="Contested"/>
    <s v="Ind"/>
    <x v="0"/>
  </r>
  <r>
    <x v="210"/>
    <s v="OVSC"/>
    <s v="Massachusetts District Court"/>
    <s v="03/24/2017"/>
    <s v="05/26/2017"/>
    <x v="986"/>
    <s v="Institution"/>
    <x v="996"/>
    <m/>
    <s v="OVSC.2"/>
    <m/>
    <n v="1"/>
    <n v="2162690.3199999998"/>
    <e v="#DIV/0!"/>
    <x v="319"/>
    <s v="Contested"/>
    <s v="Ins"/>
    <x v="0"/>
  </r>
  <r>
    <x v="211"/>
    <s v="PRTY"/>
    <s v="New York Southern District Court"/>
    <s v="11/18/2015"/>
    <s v="01/19/2016"/>
    <x v="987"/>
    <s v="Individual"/>
    <x v="997"/>
    <s v="FIFO/LIFO"/>
    <s v="PRTY.1"/>
    <n v="3"/>
    <n v="1"/>
    <n v="89050"/>
    <n v="6.3607142857142862E-2"/>
    <x v="320"/>
    <s v="Contested"/>
    <s v="Ind"/>
    <x v="0"/>
  </r>
  <r>
    <x v="211"/>
    <s v="PRTY"/>
    <s v="New York Southern District Court"/>
    <s v="11/18/2015"/>
    <s v="01/19/2016"/>
    <x v="988"/>
    <s v="Individual"/>
    <x v="998"/>
    <m/>
    <s v="PRTY.2"/>
    <m/>
    <n v="1"/>
    <n v="1408.84"/>
    <n v="1.0063142857142857E-3"/>
    <x v="10"/>
    <s v="Contested"/>
    <s v="Ind"/>
    <x v="0"/>
  </r>
  <r>
    <x v="211"/>
    <s v="PRTY"/>
    <s v="New York Southern District Court"/>
    <s v="11/18/2015"/>
    <s v="01/19/2016"/>
    <x v="989"/>
    <s v="Individual"/>
    <x v="999"/>
    <m/>
    <s v="PRTY.3.a"/>
    <m/>
    <n v="2"/>
    <n v="12112"/>
    <n v="8.6514285714285721E-3"/>
    <x v="8"/>
    <s v="Contested"/>
    <s v="G-Ind"/>
    <x v="0"/>
  </r>
  <r>
    <x v="211"/>
    <s v="PRTY"/>
    <s v="New York Southern District Court"/>
    <s v="11/18/2015"/>
    <s v="01/19/2016"/>
    <x v="990"/>
    <s v="Individual"/>
    <x v="1000"/>
    <m/>
    <s v="PRTY.3.b"/>
    <m/>
    <m/>
    <m/>
    <n v="0"/>
    <x v="8"/>
    <s v="Contested"/>
    <s v="G-Ind"/>
    <x v="0"/>
  </r>
  <r>
    <x v="212"/>
    <s v="PN"/>
    <s v="New York Southern District Court"/>
    <s v="03/14/2017"/>
    <s v="05/15/2017"/>
    <x v="991"/>
    <s v="Individual"/>
    <x v="1001"/>
    <m/>
    <s v="PN.1.a"/>
    <n v="4"/>
    <n v="2"/>
    <n v="56409.630000000005"/>
    <n v="0.28204815000000005"/>
    <x v="321"/>
    <s v="Contested"/>
    <s v="G-Ind"/>
    <x v="0"/>
  </r>
  <r>
    <x v="212"/>
    <s v="PN"/>
    <s v="New York Southern District Court"/>
    <s v="03/14/2017"/>
    <s v="05/15/2017"/>
    <x v="992"/>
    <s v="Individual"/>
    <x v="1002"/>
    <m/>
    <s v="PN.1.b"/>
    <m/>
    <m/>
    <m/>
    <n v="0"/>
    <x v="321"/>
    <s v="Contested"/>
    <s v="G-Ind"/>
    <x v="0"/>
  </r>
  <r>
    <x v="212"/>
    <s v="PN"/>
    <s v="New York Southern District Court"/>
    <s v="03/14/2017"/>
    <s v="05/15/2017"/>
    <x v="993"/>
    <s v="Individual"/>
    <x v="1003"/>
    <m/>
    <s v="PN.2.a"/>
    <m/>
    <n v="3"/>
    <n v="36507.19"/>
    <n v="0.18253595"/>
    <x v="322"/>
    <s v="Contested"/>
    <s v="G-Ind"/>
    <x v="0"/>
  </r>
  <r>
    <x v="212"/>
    <s v="PN"/>
    <s v="New York Southern District Court"/>
    <s v="03/14/2017"/>
    <s v="05/15/2017"/>
    <x v="994"/>
    <s v="Individual"/>
    <x v="1004"/>
    <m/>
    <s v="PN.2.b"/>
    <m/>
    <m/>
    <m/>
    <n v="0"/>
    <x v="322"/>
    <s v="Contested"/>
    <s v="G-Ind"/>
    <x v="0"/>
  </r>
  <r>
    <x v="212"/>
    <s v="PN"/>
    <s v="New York Southern District Court"/>
    <s v="03/14/2017"/>
    <s v="05/15/2017"/>
    <x v="995"/>
    <s v="Individual"/>
    <x v="1005"/>
    <m/>
    <s v="PN.2.c"/>
    <m/>
    <m/>
    <m/>
    <n v="0"/>
    <x v="322"/>
    <s v="Contested"/>
    <s v="G-Ind"/>
    <x v="0"/>
  </r>
  <r>
    <x v="212"/>
    <s v="PN"/>
    <s v="New York Southern District Court"/>
    <s v="03/14/2017"/>
    <s v="05/15/2017"/>
    <x v="996"/>
    <s v="Institution"/>
    <x v="1006"/>
    <m/>
    <s v="PN.3"/>
    <m/>
    <n v="1"/>
    <n v="380227.73"/>
    <n v="1.9011386499999998"/>
    <x v="1"/>
    <s v="Contested"/>
    <s v="Ins"/>
    <x v="0"/>
  </r>
  <r>
    <x v="212"/>
    <s v="PN"/>
    <s v="New York Southern District Court"/>
    <s v="03/14/2017"/>
    <s v="05/15/2017"/>
    <x v="997"/>
    <s v="Individual"/>
    <x v="1007"/>
    <m/>
    <s v="PN.4.a"/>
    <m/>
    <n v="3"/>
    <n v="25156.11"/>
    <n v="0.12578054999999999"/>
    <x v="49"/>
    <s v="Contested"/>
    <s v="G-Ind"/>
    <x v="0"/>
  </r>
  <r>
    <x v="212"/>
    <s v="PN"/>
    <s v="New York Southern District Court"/>
    <s v="03/14/2017"/>
    <s v="05/15/2017"/>
    <x v="998"/>
    <s v="Individual"/>
    <x v="1008"/>
    <m/>
    <s v="PN.4.b"/>
    <m/>
    <m/>
    <m/>
    <n v="0"/>
    <x v="49"/>
    <s v="Contested"/>
    <s v="G-Ind"/>
    <x v="0"/>
  </r>
  <r>
    <x v="212"/>
    <s v="PN"/>
    <s v="New York Southern District Court"/>
    <s v="03/14/2017"/>
    <s v="05/15/2017"/>
    <x v="999"/>
    <s v="Individual"/>
    <x v="1009"/>
    <m/>
    <s v="PN.4.c"/>
    <m/>
    <m/>
    <m/>
    <n v="0"/>
    <x v="49"/>
    <s v="Contested"/>
    <s v="G-Ind"/>
    <x v="0"/>
  </r>
  <r>
    <x v="213"/>
    <s v="PEGI"/>
    <s v="California Northern District Court"/>
    <s v="11/11/2016"/>
    <s v="01/10/2017"/>
    <x v="1000"/>
    <s v="Individual"/>
    <x v="1010"/>
    <m/>
    <s v="PEGI.1.a"/>
    <n v="1"/>
    <n v="2"/>
    <n v="18776"/>
    <n v="6.2586666666666665E-2"/>
    <x v="106"/>
    <s v="Uncontested"/>
    <s v="G-Ind"/>
    <x v="0"/>
  </r>
  <r>
    <x v="213"/>
    <s v="PEGI"/>
    <s v="California Northern District Court"/>
    <s v="11/11/2016"/>
    <s v="01/10/2017"/>
    <x v="1001"/>
    <s v="Individual"/>
    <x v="1011"/>
    <m/>
    <s v="PEGI.1.b"/>
    <m/>
    <m/>
    <m/>
    <n v="0"/>
    <x v="106"/>
    <s v="Uncontested"/>
    <s v="G-Ind"/>
    <x v="0"/>
  </r>
  <r>
    <x v="214"/>
    <s v="PYPL"/>
    <s v="California Northern District Court"/>
    <s v="12/28/2016"/>
    <s v="02/27/2017"/>
    <x v="1002"/>
    <s v="Individual"/>
    <x v="1012"/>
    <m/>
    <s v="PYPL.1.a"/>
    <n v="2"/>
    <n v="2"/>
    <n v="501"/>
    <n v="3.3400000000000004E-4"/>
    <x v="97"/>
    <s v="Contested"/>
    <s v="G-Ind"/>
    <x v="0"/>
  </r>
  <r>
    <x v="214"/>
    <s v="PYPL"/>
    <s v="California Northern District Court"/>
    <s v="12/28/2016"/>
    <s v="02/27/2017"/>
    <x v="1003"/>
    <s v="Individual"/>
    <x v="1013"/>
    <m/>
    <s v="PYPL.1.b"/>
    <m/>
    <m/>
    <m/>
    <n v="0"/>
    <x v="97"/>
    <s v="Contested"/>
    <s v="G-Ind"/>
    <x v="0"/>
  </r>
  <r>
    <x v="214"/>
    <s v="PYPL"/>
    <s v="California Northern District Court"/>
    <s v="12/28/2016"/>
    <s v="02/27/2017"/>
    <x v="1004"/>
    <s v="Individual"/>
    <x v="1014"/>
    <m/>
    <s v="PYPL.2"/>
    <m/>
    <n v="1"/>
    <n v="5960.49"/>
    <n v="3.9736600000000004E-3"/>
    <x v="8"/>
    <s v="Contested"/>
    <s v="Ind"/>
    <x v="0"/>
  </r>
  <r>
    <x v="215"/>
    <s v="PSO"/>
    <s v="New York Southern District Court"/>
    <s v="02/24/2017"/>
    <s v="04/25/2017"/>
    <x v="1005"/>
    <s v="Individual"/>
    <x v="1015"/>
    <m/>
    <s v="PSO.1.a"/>
    <n v="2"/>
    <n v="2"/>
    <n v="7159.93"/>
    <n v="4.3393515151515152E-3"/>
    <x v="10"/>
    <s v="Contested"/>
    <s v="G-Ind"/>
    <x v="0"/>
  </r>
  <r>
    <x v="215"/>
    <s v="PSO"/>
    <s v="New York Southern District Court"/>
    <s v="02/24/2017"/>
    <s v="04/25/2017"/>
    <x v="1006"/>
    <s v="Individual"/>
    <x v="1016"/>
    <s v="LIFO"/>
    <s v="PSO.1.b"/>
    <m/>
    <m/>
    <m/>
    <n v="0"/>
    <x v="10"/>
    <s v="Contested"/>
    <s v="G-Ind"/>
    <x v="0"/>
  </r>
  <r>
    <x v="215"/>
    <s v="PSO"/>
    <s v="New York Southern District Court"/>
    <s v="02/24/2017"/>
    <s v="04/25/2017"/>
    <x v="1007"/>
    <s v="Individual"/>
    <x v="1017"/>
    <m/>
    <s v="PSO.2"/>
    <m/>
    <n v="1"/>
    <n v="1149.07"/>
    <n v="6.9640606060606053E-4"/>
    <x v="8"/>
    <s v="Contested"/>
    <s v="Ind"/>
    <x v="0"/>
  </r>
  <r>
    <x v="216"/>
    <s v="PSG"/>
    <s v="New York Southern District Court"/>
    <s v="05/13/2016"/>
    <s v="05/17/2016"/>
    <x v="1008"/>
    <s v="Individual"/>
    <x v="1018"/>
    <m/>
    <s v="PSG.1"/>
    <n v="2"/>
    <n v="1"/>
    <n v="39750"/>
    <n v="2.7604166666666669E-2"/>
    <x v="151"/>
    <s v="Contested"/>
    <s v="Ind"/>
    <x v="0"/>
  </r>
  <r>
    <x v="216"/>
    <s v="PSG"/>
    <s v="New York Southern District Court"/>
    <s v="05/13/2016"/>
    <s v="05/17/2016"/>
    <x v="222"/>
    <s v="Institution"/>
    <x v="1019"/>
    <m/>
    <s v="PSG.2"/>
    <m/>
    <n v="1"/>
    <n v="928077.31"/>
    <n v="0.6444981319444445"/>
    <x v="323"/>
    <s v="Contested"/>
    <s v="Ins"/>
    <x v="1"/>
  </r>
  <r>
    <x v="217"/>
    <s v="PRGO"/>
    <s v="New Jersey District Court"/>
    <s v="05/18/2016"/>
    <s v="07/18/2016"/>
    <x v="1009"/>
    <s v="Institution"/>
    <x v="1020"/>
    <s v="FIFO"/>
    <s v="PRGO.1.a"/>
    <n v="4"/>
    <n v="6"/>
    <n v="68161973"/>
    <n v="1.514710511111111"/>
    <x v="324"/>
    <s v="Contested"/>
    <s v="G-Ins"/>
    <x v="0"/>
  </r>
  <r>
    <x v="217"/>
    <s v="PRGO"/>
    <s v="New Jersey District Court"/>
    <s v="05/18/2016"/>
    <s v="07/18/2016"/>
    <x v="1010"/>
    <s v="Institution"/>
    <x v="1021"/>
    <s v="FIFO"/>
    <s v="PRGO.1.b"/>
    <m/>
    <m/>
    <m/>
    <n v="0"/>
    <x v="324"/>
    <s v="Contested"/>
    <s v="G-Ins"/>
    <x v="0"/>
  </r>
  <r>
    <x v="217"/>
    <s v="PRGO"/>
    <s v="New Jersey District Court"/>
    <s v="05/18/2016"/>
    <s v="07/18/2016"/>
    <x v="883"/>
    <s v="Institution"/>
    <x v="1022"/>
    <s v="FIFO"/>
    <s v="PRGO.1.c"/>
    <m/>
    <m/>
    <m/>
    <n v="0"/>
    <x v="324"/>
    <s v="Contested"/>
    <s v="G-Ins"/>
    <x v="1"/>
  </r>
  <r>
    <x v="217"/>
    <s v="PRGO"/>
    <s v="New Jersey District Court"/>
    <s v="05/18/2016"/>
    <s v="07/18/2016"/>
    <x v="1011"/>
    <s v="Institution"/>
    <x v="1023"/>
    <s v="FIFO"/>
    <s v="PRGO.1.d"/>
    <m/>
    <m/>
    <m/>
    <n v="0"/>
    <x v="324"/>
    <s v="Contested"/>
    <s v="G-Ins"/>
    <x v="0"/>
  </r>
  <r>
    <x v="217"/>
    <s v="PRGO"/>
    <s v="New Jersey District Court"/>
    <s v="05/18/2016"/>
    <s v="07/18/2016"/>
    <x v="1012"/>
    <s v="Institution"/>
    <x v="1024"/>
    <s v="FIFO"/>
    <s v="PRGO.1.e"/>
    <m/>
    <m/>
    <m/>
    <n v="0"/>
    <x v="324"/>
    <s v="Contested"/>
    <s v="G-Ins"/>
    <x v="0"/>
  </r>
  <r>
    <x v="217"/>
    <s v="PRGO"/>
    <s v="New Jersey District Court"/>
    <s v="05/18/2016"/>
    <s v="07/18/2016"/>
    <x v="1013"/>
    <s v="Institution"/>
    <x v="1025"/>
    <s v="FIFO"/>
    <s v="PRGO.1.f"/>
    <m/>
    <m/>
    <m/>
    <n v="0"/>
    <x v="324"/>
    <s v="Contested"/>
    <s v="G-Ins"/>
    <x v="0"/>
  </r>
  <r>
    <x v="217"/>
    <s v="PRGO"/>
    <s v="New Jersey District Court"/>
    <s v="05/18/2016"/>
    <s v="07/18/2016"/>
    <x v="881"/>
    <s v="Individual"/>
    <x v="1026"/>
    <s v="LIFO"/>
    <s v="PRGO.2"/>
    <m/>
    <n v="1"/>
    <n v="28630628.02"/>
    <n v="0.63623617822222223"/>
    <x v="0"/>
    <s v="Contested"/>
    <s v="Ind"/>
    <x v="1"/>
  </r>
  <r>
    <x v="217"/>
    <s v="PRGO"/>
    <s v="New Jersey District Court"/>
    <s v="05/18/2016"/>
    <s v="07/18/2016"/>
    <x v="1014"/>
    <s v="Institution"/>
    <x v="1027"/>
    <m/>
    <s v="PRGO.3"/>
    <m/>
    <n v="1"/>
    <n v="25873825.07"/>
    <n v="0.57497389044444447"/>
    <x v="29"/>
    <s v="Contested"/>
    <s v="Ins"/>
    <x v="0"/>
  </r>
  <r>
    <x v="217"/>
    <s v="PRGO"/>
    <s v="New Jersey District Court"/>
    <s v="05/18/2016"/>
    <s v="07/18/2016"/>
    <x v="53"/>
    <s v="Individual"/>
    <x v="1028"/>
    <m/>
    <s v="PRGO.4"/>
    <m/>
    <n v="1"/>
    <n v="15009.09"/>
    <n v="3.335353333333333E-4"/>
    <x v="325"/>
    <s v="Contested"/>
    <s v="Ind"/>
    <x v="1"/>
  </r>
  <r>
    <x v="218"/>
    <s v="PPC"/>
    <s v="Colorado District Court"/>
    <s v="10/20/2016"/>
    <s v="12/19/2016"/>
    <x v="1015"/>
    <s v="Individual"/>
    <x v="1029"/>
    <s v="Dura"/>
    <s v="PPC.1"/>
    <n v="2"/>
    <n v="1"/>
    <n v="86537.77"/>
    <n v="0.12019134722222223"/>
    <x v="326"/>
    <s v="Contested"/>
    <s v="Ind"/>
    <x v="0"/>
  </r>
  <r>
    <x v="218"/>
    <s v="PPC"/>
    <s v="Colorado District Court"/>
    <s v="10/20/2016"/>
    <s v="12/19/2016"/>
    <x v="1016"/>
    <s v="Individual"/>
    <x v="1030"/>
    <m/>
    <s v="PPC.2.a"/>
    <m/>
    <n v="5"/>
    <n v="65489.26"/>
    <n v="9.0957305555555562E-2"/>
    <x v="146"/>
    <s v="Contested"/>
    <s v="G-Ind"/>
    <x v="0"/>
  </r>
  <r>
    <x v="218"/>
    <s v="PPC"/>
    <s v="Colorado District Court"/>
    <s v="10/20/2016"/>
    <s v="12/19/2016"/>
    <x v="1017"/>
    <s v="Individual"/>
    <x v="1031"/>
    <m/>
    <s v="PPC.2.b"/>
    <m/>
    <m/>
    <m/>
    <n v="0"/>
    <x v="146"/>
    <s v="Contested"/>
    <s v="G-Ind"/>
    <x v="0"/>
  </r>
  <r>
    <x v="218"/>
    <s v="PPC"/>
    <s v="Colorado District Court"/>
    <s v="10/20/2016"/>
    <s v="12/19/2016"/>
    <x v="1018"/>
    <s v="Individual"/>
    <x v="1032"/>
    <m/>
    <s v="PPC.2.c"/>
    <m/>
    <m/>
    <m/>
    <n v="0"/>
    <x v="146"/>
    <s v="Contested"/>
    <s v="G-Ind"/>
    <x v="0"/>
  </r>
  <r>
    <x v="218"/>
    <s v="PPC"/>
    <s v="Colorado District Court"/>
    <s v="10/20/2016"/>
    <s v="12/19/2016"/>
    <x v="1019"/>
    <s v="Individual"/>
    <x v="1033"/>
    <m/>
    <s v="PPC.2.d"/>
    <m/>
    <m/>
    <m/>
    <n v="0"/>
    <x v="146"/>
    <s v="Contested"/>
    <s v="G-Ind"/>
    <x v="0"/>
  </r>
  <r>
    <x v="218"/>
    <s v="PPC"/>
    <s v="Colorado District Court"/>
    <s v="10/20/2016"/>
    <s v="12/19/2016"/>
    <x v="1020"/>
    <s v="Individual"/>
    <x v="1034"/>
    <m/>
    <s v="PPC.2.e"/>
    <m/>
    <m/>
    <m/>
    <n v="0"/>
    <x v="146"/>
    <s v="Contested"/>
    <s v="G-Ind"/>
    <x v="0"/>
  </r>
  <r>
    <x v="219"/>
    <s v="PXRB"/>
    <s v="New Jersey District Court"/>
    <s v="01/25/2017"/>
    <s v="03/27/2017"/>
    <x v="1021"/>
    <s v="Individual"/>
    <x v="5"/>
    <m/>
    <s v="PXRB.1"/>
    <n v="2"/>
    <n v="1"/>
    <s v="***"/>
    <e v="#VALUE!"/>
    <x v="103"/>
    <s v="Contested"/>
    <s v="Ind"/>
    <x v="0"/>
  </r>
  <r>
    <x v="219"/>
    <s v="PXRB"/>
    <s v="New Jersey District Court"/>
    <s v="01/25/2017"/>
    <s v="03/27/2017"/>
    <x v="1022"/>
    <s v="Individual"/>
    <x v="1035"/>
    <m/>
    <s v="PXRB.2.a"/>
    <m/>
    <n v="3"/>
    <n v="347201.7"/>
    <n v="34.720170000000003"/>
    <x v="8"/>
    <s v="Contested"/>
    <s v="G-Ind"/>
    <x v="0"/>
  </r>
  <r>
    <x v="219"/>
    <s v="PXRB"/>
    <s v="New Jersey District Court"/>
    <s v="01/25/2017"/>
    <s v="03/27/2017"/>
    <x v="1023"/>
    <s v="Individual"/>
    <x v="1036"/>
    <m/>
    <s v="PXRB.2.b"/>
    <m/>
    <m/>
    <m/>
    <n v="0"/>
    <x v="8"/>
    <s v="Contested"/>
    <s v="G-Ind"/>
    <x v="0"/>
  </r>
  <r>
    <x v="219"/>
    <s v="PXRB"/>
    <s v="New Jersey District Court"/>
    <s v="01/25/2017"/>
    <s v="03/27/2017"/>
    <x v="1024"/>
    <s v="Individual"/>
    <x v="1037"/>
    <m/>
    <s v="PXRB.2.c"/>
    <m/>
    <m/>
    <m/>
    <n v="0"/>
    <x v="8"/>
    <s v="Contested"/>
    <s v="G-Ind"/>
    <x v="0"/>
  </r>
  <r>
    <x v="220"/>
    <s v="PJT"/>
    <s v="New York Southern District Court"/>
    <s v="04/15/2016"/>
    <s v="06/14/2016"/>
    <x v="1025"/>
    <s v="Individual"/>
    <x v="1038"/>
    <m/>
    <s v="PJT.1"/>
    <n v="1"/>
    <n v="1"/>
    <n v="150"/>
    <n v="6.0000000000000006E-4"/>
    <x v="106"/>
    <s v="Uncontested"/>
    <s v="Ind"/>
    <x v="0"/>
  </r>
  <r>
    <x v="221"/>
    <s v="PAH"/>
    <s v="Florida Southern District Court"/>
    <s v="03/30/2016"/>
    <s v="05/31/2016"/>
    <x v="1026"/>
    <s v="Individual"/>
    <x v="1039"/>
    <m/>
    <s v="PAH.1"/>
    <n v="2"/>
    <n v="1"/>
    <n v="8625"/>
    <n v="8.624999999999999E-3"/>
    <x v="56"/>
    <s v="Contested"/>
    <s v="Ind"/>
    <x v="0"/>
  </r>
  <r>
    <x v="221"/>
    <s v="PAH"/>
    <s v="Florida Southern District Court"/>
    <s v="03/30/2016"/>
    <s v="05/31/2016"/>
    <x v="1027"/>
    <s v="Individual"/>
    <x v="1040"/>
    <m/>
    <s v="PAH.2"/>
    <m/>
    <n v="1"/>
    <n v="20447.599999999999"/>
    <n v="2.04476E-2"/>
    <x v="162"/>
    <s v="Contested"/>
    <s v="Ind"/>
    <x v="0"/>
  </r>
  <r>
    <x v="222"/>
    <s v="PPMH"/>
    <s v="New Jersey District Court"/>
    <s v="03/03/2017"/>
    <s v="05/02/2017"/>
    <x v="1028"/>
    <s v="Individual"/>
    <x v="1041"/>
    <m/>
    <s v="PPMH.1.a"/>
    <n v="1"/>
    <n v="3"/>
    <n v="16176.08"/>
    <e v="#DIV/0!"/>
    <x v="8"/>
    <s v="Uncontested"/>
    <s v="G-Ind"/>
    <x v="0"/>
  </r>
  <r>
    <x v="222"/>
    <s v="PPMH"/>
    <s v="New Jersey District Court"/>
    <s v="03/03/2017"/>
    <s v="05/02/2017"/>
    <x v="1029"/>
    <s v="Individual"/>
    <x v="1042"/>
    <m/>
    <s v="PPMH.1.b"/>
    <m/>
    <m/>
    <m/>
    <e v="#DIV/0!"/>
    <x v="8"/>
    <s v="Uncontested"/>
    <s v="G-Ind"/>
    <x v="0"/>
  </r>
  <r>
    <x v="222"/>
    <s v="PPMH"/>
    <s v="New Jersey District Court"/>
    <s v="03/03/2017"/>
    <s v="05/02/2017"/>
    <x v="1030"/>
    <s v="Individual"/>
    <x v="1043"/>
    <m/>
    <s v="PPMH.1.c"/>
    <m/>
    <m/>
    <m/>
    <e v="#DIV/0!"/>
    <x v="8"/>
    <s v="Uncontested"/>
    <s v="G-Ind"/>
    <x v="0"/>
  </r>
  <r>
    <x v="223"/>
    <s v="PII"/>
    <s v="Minnesota District Court"/>
    <s v="09/16/2016"/>
    <s v="11/15/2016"/>
    <x v="1031"/>
    <s v="Institution"/>
    <x v="1044"/>
    <s v="FIFO"/>
    <s v="PII.1.a"/>
    <n v="4"/>
    <n v="2"/>
    <n v="355913.41"/>
    <n v="0.27377954615384614"/>
    <x v="327"/>
    <s v="Contested"/>
    <s v="Ins"/>
    <x v="0"/>
  </r>
  <r>
    <x v="223"/>
    <s v="PII"/>
    <s v="Minnesota District Court"/>
    <s v="09/16/2016"/>
    <s v="11/15/2016"/>
    <x v="278"/>
    <s v="Institution"/>
    <x v="1045"/>
    <s v="FIFO/LIFO"/>
    <s v="PII.1.b"/>
    <m/>
    <m/>
    <m/>
    <n v="0"/>
    <x v="327"/>
    <s v="Contested"/>
    <s v="Ins"/>
    <x v="1"/>
  </r>
  <r>
    <x v="223"/>
    <s v="PII"/>
    <s v="Minnesota District Court"/>
    <s v="09/16/2016"/>
    <s v="11/15/2016"/>
    <x v="1032"/>
    <s v="Individual"/>
    <x v="1046"/>
    <m/>
    <s v="PII.2"/>
    <m/>
    <n v="1"/>
    <n v="366731.87"/>
    <n v="0.28210143846153846"/>
    <x v="328"/>
    <s v="Contested"/>
    <s v="G-Mix"/>
    <x v="0"/>
  </r>
  <r>
    <x v="223"/>
    <s v="PII"/>
    <s v="Minnesota District Court"/>
    <s v="09/16/2016"/>
    <s v="11/15/2016"/>
    <x v="1033"/>
    <s v="Individual"/>
    <x v="1047"/>
    <m/>
    <s v="PII.3.a"/>
    <m/>
    <n v="4"/>
    <n v="18217"/>
    <n v="1.4013076923076923E-2"/>
    <x v="329"/>
    <s v="Contested"/>
    <s v="G-Mix"/>
    <x v="0"/>
  </r>
  <r>
    <x v="223"/>
    <s v="PII"/>
    <s v="Minnesota District Court"/>
    <s v="09/16/2016"/>
    <s v="11/15/2016"/>
    <x v="1034"/>
    <s v="Individual"/>
    <x v="1048"/>
    <m/>
    <s v="PII.3.b"/>
    <m/>
    <m/>
    <m/>
    <n v="0"/>
    <x v="329"/>
    <s v="Contested"/>
    <s v="G-Mix"/>
    <x v="0"/>
  </r>
  <r>
    <x v="223"/>
    <s v="PII"/>
    <s v="Minnesota District Court"/>
    <s v="09/16/2016"/>
    <s v="11/15/2016"/>
    <x v="1035"/>
    <s v="Individual"/>
    <x v="1049"/>
    <m/>
    <s v="PII.3.c"/>
    <m/>
    <m/>
    <m/>
    <n v="0"/>
    <x v="329"/>
    <s v="Contested"/>
    <s v="G-Mix"/>
    <x v="0"/>
  </r>
  <r>
    <x v="223"/>
    <s v="PII"/>
    <s v="Minnesota District Court"/>
    <s v="09/16/2016"/>
    <s v="11/15/2016"/>
    <x v="1036"/>
    <s v="Institution"/>
    <x v="1050"/>
    <m/>
    <s v="PII.3.d"/>
    <m/>
    <m/>
    <m/>
    <n v="0"/>
    <x v="329"/>
    <s v="Contested"/>
    <s v="G-Mix"/>
    <x v="0"/>
  </r>
  <r>
    <x v="223"/>
    <s v="PII"/>
    <s v="Minnesota District Court"/>
    <s v="09/16/2016"/>
    <s v="11/15/2016"/>
    <x v="285"/>
    <s v="Institution"/>
    <x v="1051"/>
    <m/>
    <s v="PII.4"/>
    <m/>
    <n v="1"/>
    <n v="780479.54"/>
    <n v="0.60036887692307694"/>
    <x v="330"/>
    <s v="Contested"/>
    <s v="Ins"/>
    <x v="1"/>
  </r>
  <r>
    <x v="224"/>
    <s v="PSIX"/>
    <s v="Illinois Northern District Court"/>
    <s v="08/22/2016"/>
    <s v="10/21/2016"/>
    <x v="1037"/>
    <s v="Individual"/>
    <x v="1052"/>
    <m/>
    <s v="PSIX.1"/>
    <n v="2"/>
    <n v="1"/>
    <n v="63629.11"/>
    <n v="1.4139802222222224"/>
    <x v="331"/>
    <s v="Contested"/>
    <s v="Ind"/>
    <x v="0"/>
  </r>
  <r>
    <x v="224"/>
    <s v="PSIX"/>
    <s v="Illinois Northern District Court"/>
    <s v="08/22/2016"/>
    <s v="10/21/2016"/>
    <x v="1038"/>
    <s v="Individual"/>
    <x v="1053"/>
    <m/>
    <s v="PSIX.2.a"/>
    <m/>
    <n v="2"/>
    <n v="4606"/>
    <n v="0.10235555555555556"/>
    <x v="106"/>
    <s v="Contested"/>
    <s v="G-Ind"/>
    <x v="0"/>
  </r>
  <r>
    <x v="224"/>
    <s v="PSIX"/>
    <s v="Illinois Northern District Court"/>
    <s v="08/22/2016"/>
    <s v="10/21/2016"/>
    <x v="1039"/>
    <s v="Individual"/>
    <x v="1054"/>
    <m/>
    <s v="PSIX.2.b"/>
    <m/>
    <m/>
    <m/>
    <n v="0"/>
    <x v="106"/>
    <s v="Contested"/>
    <s v="G-Ind"/>
    <x v="0"/>
  </r>
  <r>
    <x v="225"/>
    <s v="PCP"/>
    <s v="Oregon District Court"/>
    <s v="09/02/2016"/>
    <s v="11/01/2016"/>
    <x v="1040"/>
    <s v="Institution"/>
    <x v="5"/>
    <m/>
    <s v="PCP.1.a"/>
    <n v="3"/>
    <n v="2"/>
    <n v="0"/>
    <n v="0"/>
    <x v="332"/>
    <s v="Contested"/>
    <s v="G-Mix"/>
    <x v="0"/>
  </r>
  <r>
    <x v="225"/>
    <s v="PCP"/>
    <s v="Oregon District Court"/>
    <s v="09/02/2016"/>
    <s v="11/01/2016"/>
    <x v="37"/>
    <s v="Institution"/>
    <x v="5"/>
    <m/>
    <s v="PCP.1.b"/>
    <m/>
    <m/>
    <m/>
    <n v="0"/>
    <x v="332"/>
    <s v="Contested"/>
    <s v="G-Mix"/>
    <x v="1"/>
  </r>
  <r>
    <x v="225"/>
    <s v="PCP"/>
    <s v="Oregon District Court"/>
    <s v="03/25/2016"/>
    <s v="05/27/2016"/>
    <x v="537"/>
    <s v="Institution"/>
    <x v="1055"/>
    <s v="LIFO"/>
    <s v="PCP.2.a"/>
    <m/>
    <n v="2"/>
    <n v="3108874.39"/>
    <n v="0.10362914633333334"/>
    <x v="333"/>
    <s v="Contested"/>
    <s v="G-Ins"/>
    <x v="1"/>
  </r>
  <r>
    <x v="225"/>
    <s v="PCP"/>
    <s v="Oregon District Court"/>
    <s v="03/25/2016"/>
    <s v="05/27/2016"/>
    <x v="422"/>
    <s v="Institution"/>
    <x v="1056"/>
    <s v="LIFO"/>
    <s v="PCP.2.b"/>
    <m/>
    <m/>
    <m/>
    <n v="0"/>
    <x v="333"/>
    <s v="Contested"/>
    <s v="G-Ins"/>
    <x v="1"/>
  </r>
  <r>
    <x v="225"/>
    <s v="PCP"/>
    <s v="Oregon District Court"/>
    <s v="03/25/2016"/>
    <s v="05/27/2016"/>
    <x v="1041"/>
    <s v="Institution"/>
    <x v="1057"/>
    <s v="LIFO"/>
    <s v="PCP.3"/>
    <m/>
    <n v="1"/>
    <n v="1248176.04"/>
    <n v="4.1605868000000004E-2"/>
    <x v="334"/>
    <s v="Contested"/>
    <s v="Ins"/>
    <x v="1"/>
  </r>
  <r>
    <x v="226"/>
    <s v="PPP"/>
    <s v="California Central District Court"/>
    <s v="02/15/2016"/>
    <s v="04/15/2016"/>
    <x v="1042"/>
    <s v="Individual"/>
    <x v="1058"/>
    <m/>
    <s v="PPP.1.a"/>
    <n v="5"/>
    <n v="2"/>
    <n v="126883.51000000001"/>
    <n v="0.28196335555555557"/>
    <x v="26"/>
    <s v="Contested"/>
    <s v="G-Mix"/>
    <x v="0"/>
  </r>
  <r>
    <x v="226"/>
    <s v="PPP"/>
    <s v="California Central District Court"/>
    <s v="02/15/2016"/>
    <s v="04/15/2016"/>
    <x v="1043"/>
    <s v="Institution"/>
    <x v="1059"/>
    <m/>
    <s v="PPP.1.b"/>
    <m/>
    <m/>
    <m/>
    <n v="0"/>
    <x v="26"/>
    <s v="Contested"/>
    <s v="G-Mix"/>
    <x v="0"/>
  </r>
  <r>
    <x v="226"/>
    <s v="PPP"/>
    <s v="California Central District Court"/>
    <s v="02/15/2016"/>
    <s v="04/15/2016"/>
    <x v="1044"/>
    <s v="Individual"/>
    <x v="1060"/>
    <m/>
    <s v="PPP.2"/>
    <m/>
    <n v="1"/>
    <n v="146856.78"/>
    <n v="0.32634839999999998"/>
    <x v="1"/>
    <s v="Contested"/>
    <s v="Ind"/>
    <x v="0"/>
  </r>
  <r>
    <x v="226"/>
    <s v="PPP"/>
    <s v="California Central District Court"/>
    <s v="02/15/2016"/>
    <s v="04/15/2016"/>
    <x v="1045"/>
    <s v="Individual"/>
    <x v="1061"/>
    <m/>
    <s v="PPP.3"/>
    <m/>
    <n v="1"/>
    <n v="65308.160000000003"/>
    <n v="0.14512924444444444"/>
    <x v="10"/>
    <s v="Contested"/>
    <s v="Ind"/>
    <x v="0"/>
  </r>
  <r>
    <x v="226"/>
    <s v="PPP"/>
    <s v="California Central District Court"/>
    <s v="02/15/2016"/>
    <s v="04/15/2016"/>
    <x v="1046"/>
    <s v="Individual"/>
    <x v="1062"/>
    <m/>
    <s v="PPP.4.a"/>
    <m/>
    <n v="2"/>
    <n v="63665"/>
    <n v="0.14147777777777779"/>
    <x v="146"/>
    <s v="Contested"/>
    <s v="G-Ind"/>
    <x v="0"/>
  </r>
  <r>
    <x v="226"/>
    <s v="PPP"/>
    <s v="California Central District Court"/>
    <s v="02/15/2016"/>
    <s v="04/15/2016"/>
    <x v="1047"/>
    <s v="Individual"/>
    <x v="1063"/>
    <m/>
    <s v="PPP.4.b"/>
    <m/>
    <m/>
    <m/>
    <n v="0"/>
    <x v="146"/>
    <s v="Contested"/>
    <s v="G-Ind"/>
    <x v="0"/>
  </r>
  <r>
    <x v="226"/>
    <s v="PPP"/>
    <s v="California Central District Court"/>
    <s v="02/15/2016"/>
    <s v="04/15/2016"/>
    <x v="1048"/>
    <s v="Individual"/>
    <x v="1064"/>
    <m/>
    <s v="PPP.5"/>
    <m/>
    <n v="1"/>
    <n v="64313.49"/>
    <n v="0.14291886666666667"/>
    <x v="335"/>
    <s v="Contested"/>
    <s v="Ind"/>
    <x v="0"/>
  </r>
  <r>
    <x v="227"/>
    <s v="DNAI"/>
    <s v="New York Southern District Court"/>
    <s v="11/09/2016"/>
    <s v="01/09/2017"/>
    <x v="467"/>
    <s v="Individual"/>
    <x v="1065"/>
    <m/>
    <s v="DNAI.1.a"/>
    <n v="1"/>
    <n v="3"/>
    <n v="77222.789999999994"/>
    <n v="0.11031827142857142"/>
    <x v="10"/>
    <s v="Uncontested"/>
    <s v="G-Ind"/>
    <x v="1"/>
  </r>
  <r>
    <x v="227"/>
    <s v="DNAI"/>
    <s v="New York Southern District Court"/>
    <s v="11/09/2016"/>
    <s v="01/09/2017"/>
    <x v="1049"/>
    <s v="Individual"/>
    <x v="1066"/>
    <m/>
    <s v="DNAI.1.b"/>
    <m/>
    <m/>
    <m/>
    <n v="0"/>
    <x v="10"/>
    <s v="Uncontested"/>
    <s v="G-Ind"/>
    <x v="0"/>
  </r>
  <r>
    <x v="227"/>
    <s v="DNAI"/>
    <s v="New York Southern District Court"/>
    <s v="11/09/2016"/>
    <s v="01/09/2017"/>
    <x v="1050"/>
    <s v="Individual"/>
    <x v="1067"/>
    <m/>
    <s v="DNAI.1.c"/>
    <m/>
    <m/>
    <m/>
    <n v="0"/>
    <x v="10"/>
    <s v="Uncontested"/>
    <s v="G-Ind"/>
    <x v="0"/>
  </r>
  <r>
    <x v="228"/>
    <s v="PMD"/>
    <s v="Massachusetts District Court"/>
    <s v="02/02/2017"/>
    <s v="04/03/2017"/>
    <x v="1051"/>
    <s v="Individual"/>
    <x v="1068"/>
    <m/>
    <s v="PMD.1.a"/>
    <n v="2"/>
    <n v="5"/>
    <n v="1362.44"/>
    <n v="1.3973743589743589E-2"/>
    <x v="336"/>
    <s v="Contested"/>
    <s v="G-Ind"/>
    <x v="0"/>
  </r>
  <r>
    <x v="228"/>
    <s v="PMD"/>
    <s v="Massachusetts District Court"/>
    <s v="02/02/2017"/>
    <s v="04/03/2017"/>
    <x v="1052"/>
    <s v="Individual"/>
    <x v="1069"/>
    <m/>
    <s v="PMD.1.b"/>
    <m/>
    <m/>
    <m/>
    <n v="0"/>
    <x v="336"/>
    <s v="Contested"/>
    <s v="G-Ind"/>
    <x v="0"/>
  </r>
  <r>
    <x v="228"/>
    <s v="PMD"/>
    <s v="Massachusetts District Court"/>
    <s v="02/02/2017"/>
    <s v="04/03/2017"/>
    <x v="1053"/>
    <s v="Individual"/>
    <x v="1070"/>
    <m/>
    <s v="PMD.1.c"/>
    <m/>
    <m/>
    <m/>
    <n v="0"/>
    <x v="336"/>
    <s v="Contested"/>
    <s v="G-Ind"/>
    <x v="0"/>
  </r>
  <r>
    <x v="228"/>
    <s v="PMD"/>
    <s v="Massachusetts District Court"/>
    <s v="02/02/2017"/>
    <s v="04/03/2017"/>
    <x v="1054"/>
    <s v="Individual"/>
    <x v="1071"/>
    <m/>
    <s v="PMD.1.d"/>
    <m/>
    <m/>
    <m/>
    <n v="0"/>
    <x v="336"/>
    <s v="Contested"/>
    <s v="G-Ind"/>
    <x v="0"/>
  </r>
  <r>
    <x v="228"/>
    <s v="PMD"/>
    <s v="Massachusetts District Court"/>
    <s v="02/02/2017"/>
    <s v="04/03/2017"/>
    <x v="1055"/>
    <s v="Individual"/>
    <x v="1072"/>
    <m/>
    <s v="PMD.1.e"/>
    <m/>
    <m/>
    <m/>
    <n v="0"/>
    <x v="336"/>
    <s v="Contested"/>
    <s v="G-Ind"/>
    <x v="0"/>
  </r>
  <r>
    <x v="228"/>
    <s v="PMD"/>
    <s v="Massachusetts District Court"/>
    <s v="02/02/2017"/>
    <s v="04/03/2017"/>
    <x v="1056"/>
    <s v="Individual"/>
    <x v="1073"/>
    <m/>
    <s v="PMD.2"/>
    <m/>
    <n v="1"/>
    <n v="1667"/>
    <n v="1.7097435897435898E-2"/>
    <x v="337"/>
    <s v="Contested"/>
    <s v="Ind"/>
    <x v="0"/>
  </r>
  <r>
    <x v="229"/>
    <s v="PTC"/>
    <s v="Massachusetts District Court"/>
    <s v="03/07/2016"/>
    <s v="05/06/2016"/>
    <x v="1057"/>
    <s v="Individual"/>
    <x v="1074"/>
    <m/>
    <s v="PTC.1"/>
    <n v="1"/>
    <n v="1"/>
    <n v="160.53"/>
    <n v="1.6053000000000001E-4"/>
    <x v="232"/>
    <s v="Uncontested"/>
    <s v="Ind"/>
    <x v="0"/>
  </r>
  <r>
    <x v="230"/>
    <s v="PTCT"/>
    <s v="New Jersey District Court"/>
    <s v="03/03/2016"/>
    <s v="05/02/2016"/>
    <x v="1058"/>
    <s v="Individual"/>
    <x v="1075"/>
    <m/>
    <s v="PTCT.1.a"/>
    <n v="7"/>
    <n v="3"/>
    <n v="162192.35"/>
    <n v="2.9489518181818181E-2"/>
    <x v="231"/>
    <s v="Contested"/>
    <s v="G-Ind"/>
    <x v="0"/>
  </r>
  <r>
    <x v="230"/>
    <s v="PTCT"/>
    <s v="New Jersey District Court"/>
    <s v="03/03/2016"/>
    <s v="05/02/2016"/>
    <x v="1059"/>
    <s v="Individual"/>
    <x v="1076"/>
    <m/>
    <s v="PTCT.1.b"/>
    <m/>
    <m/>
    <m/>
    <n v="0"/>
    <x v="231"/>
    <s v="Contested"/>
    <s v="G-Ind"/>
    <x v="0"/>
  </r>
  <r>
    <x v="230"/>
    <s v="PTCT"/>
    <s v="New Jersey District Court"/>
    <s v="03/03/2016"/>
    <s v="05/02/2016"/>
    <x v="1060"/>
    <s v="Individual"/>
    <x v="1077"/>
    <m/>
    <s v="PTCT.1.c"/>
    <m/>
    <m/>
    <m/>
    <n v="0"/>
    <x v="231"/>
    <s v="Contested"/>
    <s v="G-Ind"/>
    <x v="0"/>
  </r>
  <r>
    <x v="230"/>
    <s v="PTCT"/>
    <s v="New Jersey District Court"/>
    <s v="03/03/2016"/>
    <s v="05/02/2016"/>
    <x v="1061"/>
    <s v="Institution"/>
    <x v="1078"/>
    <s v="LIFO"/>
    <s v="PTCT.2"/>
    <m/>
    <n v="1"/>
    <n v="931119"/>
    <n v="0.16929436363636363"/>
    <x v="164"/>
    <s v="Contested"/>
    <s v="Ins"/>
    <x v="1"/>
  </r>
  <r>
    <x v="230"/>
    <s v="PTCT"/>
    <s v="New Jersey District Court"/>
    <s v="03/03/2016"/>
    <s v="05/02/2016"/>
    <x v="298"/>
    <s v="Institution"/>
    <x v="1079"/>
    <s v="LIFO"/>
    <s v="PTCT.3"/>
    <m/>
    <n v="1"/>
    <n v="1355286.87"/>
    <n v="0.24641579454545456"/>
    <x v="338"/>
    <s v="Contested"/>
    <s v="Ins"/>
    <x v="1"/>
  </r>
  <r>
    <x v="230"/>
    <s v="PTCT"/>
    <s v="New Jersey District Court"/>
    <s v="03/03/2016"/>
    <s v="05/02/2016"/>
    <x v="1062"/>
    <s v="Individual"/>
    <x v="1080"/>
    <m/>
    <s v="PTCT.4.a"/>
    <m/>
    <n v="4"/>
    <n v="1285865.56"/>
    <n v="0.2337937381818182"/>
    <x v="10"/>
    <s v="Contested"/>
    <s v="G-Ind"/>
    <x v="0"/>
  </r>
  <r>
    <x v="230"/>
    <s v="PTCT"/>
    <s v="New Jersey District Court"/>
    <s v="03/03/2016"/>
    <s v="05/02/2016"/>
    <x v="1063"/>
    <s v="Individual"/>
    <x v="1081"/>
    <s v="LIFO"/>
    <s v="PTCT.4.b"/>
    <m/>
    <m/>
    <m/>
    <n v="0"/>
    <x v="10"/>
    <s v="Contested"/>
    <s v="G-Ind"/>
    <x v="0"/>
  </r>
  <r>
    <x v="230"/>
    <s v="PTCT"/>
    <s v="New Jersey District Court"/>
    <s v="03/03/2016"/>
    <s v="05/02/2016"/>
    <x v="1064"/>
    <s v="Individual"/>
    <x v="1082"/>
    <m/>
    <s v="PTCT.4.c"/>
    <m/>
    <m/>
    <m/>
    <n v="0"/>
    <x v="10"/>
    <s v="Contested"/>
    <s v="G-Ind"/>
    <x v="0"/>
  </r>
  <r>
    <x v="230"/>
    <s v="PTCT"/>
    <s v="New Jersey District Court"/>
    <s v="03/03/2016"/>
    <s v="05/02/2016"/>
    <x v="1065"/>
    <s v="Individual"/>
    <x v="1083"/>
    <m/>
    <s v="PTCT.4.d"/>
    <m/>
    <m/>
    <m/>
    <n v="0"/>
    <x v="10"/>
    <s v="Contested"/>
    <s v="G-Ind"/>
    <x v="0"/>
  </r>
  <r>
    <x v="230"/>
    <s v="PTCT"/>
    <s v="New Jersey District Court"/>
    <s v="03/03/2016"/>
    <s v="05/02/2016"/>
    <x v="38"/>
    <s v="Institution"/>
    <x v="1084"/>
    <s v="FIFO"/>
    <s v="PTCT.5.a"/>
    <m/>
    <n v="2"/>
    <n v="1032727"/>
    <n v="0.18776854545454544"/>
    <x v="339"/>
    <s v="Contested"/>
    <s v="G-Ins"/>
    <x v="1"/>
  </r>
  <r>
    <x v="230"/>
    <s v="PTCT"/>
    <s v="New Jersey District Court"/>
    <s v="03/03/2016"/>
    <s v="05/02/2016"/>
    <x v="1066"/>
    <s v="Institution"/>
    <x v="1085"/>
    <s v="FIFO"/>
    <s v="PTCT.5.b"/>
    <m/>
    <m/>
    <m/>
    <n v="0"/>
    <x v="339"/>
    <s v="Contested"/>
    <s v="G-Ins"/>
    <x v="0"/>
  </r>
  <r>
    <x v="230"/>
    <s v="PTCT"/>
    <s v="New Jersey District Court"/>
    <s v="03/03/2016"/>
    <s v="05/02/2016"/>
    <x v="1067"/>
    <s v="Individual"/>
    <x v="1086"/>
    <m/>
    <s v="PTCT.6"/>
    <m/>
    <n v="1"/>
    <n v="264115"/>
    <n v="4.8020909090909093E-2"/>
    <x v="301"/>
    <s v="Contested"/>
    <s v="Ind"/>
    <x v="0"/>
  </r>
  <r>
    <x v="230"/>
    <s v="PTCT"/>
    <s v="New Jersey District Court"/>
    <s v="03/03/2016"/>
    <s v="05/02/2016"/>
    <x v="1068"/>
    <s v="Individual"/>
    <x v="1087"/>
    <m/>
    <s v="PTCT.7"/>
    <m/>
    <n v="1"/>
    <n v="82725.7"/>
    <n v="1.5041036363636363E-2"/>
    <x v="8"/>
    <s v="Contested"/>
    <s v="Ind"/>
    <x v="0"/>
  </r>
  <r>
    <x v="231"/>
    <s v="QCOM"/>
    <s v="California Southern District Court"/>
    <s v="01/23/2017"/>
    <s v="03/24/2017"/>
    <x v="154"/>
    <s v="Institution"/>
    <x v="1088"/>
    <m/>
    <s v="QCOM.1.a"/>
    <n v="6"/>
    <n v="2"/>
    <n v="9745565.5199999996"/>
    <n v="0.32485218399999999"/>
    <x v="340"/>
    <s v="Contested"/>
    <s v="G-Ins"/>
    <x v="1"/>
  </r>
  <r>
    <x v="231"/>
    <s v="QCOM"/>
    <s v="California Southern District Court"/>
    <s v="01/23/2017"/>
    <s v="03/24/2017"/>
    <x v="49"/>
    <s v="Institution"/>
    <x v="1089"/>
    <s v="FIFO"/>
    <s v="QCOM.1.b"/>
    <m/>
    <m/>
    <m/>
    <n v="0"/>
    <x v="340"/>
    <s v="Contested"/>
    <s v="G-Ins"/>
    <x v="1"/>
  </r>
  <r>
    <x v="231"/>
    <s v="QCOM"/>
    <s v="California Southern District Court"/>
    <s v="11/30/2015"/>
    <s v="01/29/2016"/>
    <x v="138"/>
    <s v="Institution"/>
    <x v="1090"/>
    <s v="FIFO"/>
    <s v="QCOM.2"/>
    <m/>
    <n v="1"/>
    <n v="10697807.74"/>
    <n v="0.35659359133333335"/>
    <x v="341"/>
    <s v="Contested"/>
    <s v="Ins"/>
    <x v="1"/>
  </r>
  <r>
    <x v="231"/>
    <s v="QCOM"/>
    <s v="California Southern District Court"/>
    <s v="01/23/2017"/>
    <s v="03/24/2017"/>
    <x v="1069"/>
    <s v="Individual"/>
    <x v="1091"/>
    <m/>
    <s v="QCOM.3"/>
    <m/>
    <n v="1"/>
    <n v="76851.679999999993"/>
    <n v="2.5617226666666665E-3"/>
    <x v="10"/>
    <s v="Contested"/>
    <s v="Ind"/>
    <x v="0"/>
  </r>
  <r>
    <x v="231"/>
    <s v="QCOM"/>
    <s v="California Southern District Court"/>
    <s v="11/30/2015"/>
    <s v="01/29/2016"/>
    <x v="154"/>
    <s v="Institution"/>
    <x v="1092"/>
    <m/>
    <s v="QCOM.4"/>
    <m/>
    <n v="1"/>
    <n v="1105481.8899999999"/>
    <n v="3.6849396333333333E-2"/>
    <x v="342"/>
    <s v="Contested"/>
    <s v="Ins"/>
    <x v="1"/>
  </r>
  <r>
    <x v="231"/>
    <s v="QCOM"/>
    <s v="California Southern District Court"/>
    <s v="01/23/2017"/>
    <s v="03/24/2017"/>
    <x v="1070"/>
    <s v="Individual"/>
    <x v="1093"/>
    <m/>
    <s v="QCOM.5.a"/>
    <m/>
    <n v="3"/>
    <n v="182470"/>
    <n v="6.0823333333333328E-3"/>
    <x v="45"/>
    <s v="Contested"/>
    <s v="G-Ind"/>
    <x v="0"/>
  </r>
  <r>
    <x v="231"/>
    <s v="QCOM"/>
    <s v="California Southern District Court"/>
    <s v="01/23/2017"/>
    <s v="03/24/2017"/>
    <x v="1071"/>
    <s v="Individual"/>
    <x v="1094"/>
    <m/>
    <s v="QCOM.5.b"/>
    <m/>
    <m/>
    <m/>
    <n v="0"/>
    <x v="45"/>
    <s v="Contested"/>
    <s v="G-Ind"/>
    <x v="0"/>
  </r>
  <r>
    <x v="231"/>
    <s v="QCOM"/>
    <s v="California Southern District Court"/>
    <s v="01/23/2017"/>
    <s v="03/24/2017"/>
    <x v="1072"/>
    <s v="Individual"/>
    <x v="1095"/>
    <m/>
    <s v="QCOM.5.c"/>
    <m/>
    <m/>
    <m/>
    <n v="0"/>
    <x v="45"/>
    <s v="Contested"/>
    <s v="G-Ind"/>
    <x v="0"/>
  </r>
  <r>
    <x v="231"/>
    <s v="QCOM"/>
    <s v="California Southern District Court"/>
    <s v="01/23/2017"/>
    <s v="03/24/2017"/>
    <x v="1073"/>
    <s v="Individual"/>
    <x v="1096"/>
    <m/>
    <s v="QCOM.6"/>
    <m/>
    <n v="1"/>
    <n v="13663.17"/>
    <n v="4.5543900000000003E-4"/>
    <x v="8"/>
    <s v="Contested"/>
    <s v="Ind"/>
    <x v="0"/>
  </r>
  <r>
    <x v="232"/>
    <s v="QHC"/>
    <s v="Tennessee Middle District Court"/>
    <s v="09/09/2016"/>
    <s v="11/08/2016"/>
    <x v="1074"/>
    <s v="Institution"/>
    <x v="1097"/>
    <m/>
    <s v="QHC.1"/>
    <n v="5"/>
    <n v="1"/>
    <n v="37243.019999999997"/>
    <n v="3.9203178947368418E-2"/>
    <x v="343"/>
    <s v="Contested"/>
    <s v="Ins"/>
    <x v="0"/>
  </r>
  <r>
    <x v="232"/>
    <s v="QHC"/>
    <s v="Tennessee Middle District Court"/>
    <s v="09/09/2016"/>
    <s v="11/08/2016"/>
    <x v="1075"/>
    <s v="Individual"/>
    <x v="1098"/>
    <m/>
    <s v="QHC.2"/>
    <m/>
    <n v="1"/>
    <n v="20802.2"/>
    <n v="2.1897052631578949E-2"/>
    <x v="344"/>
    <s v="Contested"/>
    <s v="Ind"/>
    <x v="0"/>
  </r>
  <r>
    <x v="232"/>
    <s v="QHC"/>
    <s v="Tennessee Middle District Court"/>
    <s v="09/09/2016"/>
    <s v="11/08/2016"/>
    <x v="1076"/>
    <s v="Institution"/>
    <x v="1099"/>
    <m/>
    <s v="QHC.3"/>
    <m/>
    <n v="1"/>
    <n v="162909"/>
    <n v="0.17148315789473684"/>
    <x v="345"/>
    <s v="Contested"/>
    <s v="Ins"/>
    <x v="0"/>
  </r>
  <r>
    <x v="232"/>
    <s v="QHC"/>
    <s v="Tennessee Middle District Court"/>
    <s v="09/09/2016"/>
    <s v="11/08/2016"/>
    <x v="1077"/>
    <s v="Individual"/>
    <x v="1100"/>
    <m/>
    <s v="QHC.4"/>
    <m/>
    <n v="1"/>
    <n v="39755.5"/>
    <n v="4.1847894736842105E-2"/>
    <x v="346"/>
    <s v="Contested"/>
    <s v="Ind"/>
    <x v="0"/>
  </r>
  <r>
    <x v="232"/>
    <s v="QHC"/>
    <s v="Tennessee Middle District Court"/>
    <s v="09/09/2016"/>
    <s v="11/08/2016"/>
    <x v="1078"/>
    <s v="Individual"/>
    <x v="1101"/>
    <m/>
    <s v="QHC.5"/>
    <m/>
    <n v="1"/>
    <n v="12039.74"/>
    <n v="1.2673410526315791E-2"/>
    <x v="135"/>
    <s v="Contested"/>
    <s v="Ind"/>
    <x v="0"/>
  </r>
  <r>
    <x v="233"/>
    <s v="RGLS"/>
    <s v="California Southern District Court"/>
    <s v="01/31/2017"/>
    <s v="04/03/2017"/>
    <x v="1079"/>
    <s v="Individual"/>
    <x v="1102"/>
    <m/>
    <s v="RGLS.1.a"/>
    <n v="2"/>
    <n v="2"/>
    <n v="106925.19"/>
    <n v="0.42770076000000001"/>
    <x v="10"/>
    <s v="Contested"/>
    <s v="G-Ind"/>
    <x v="0"/>
  </r>
  <r>
    <x v="233"/>
    <s v="RGLS"/>
    <s v="California Southern District Court"/>
    <s v="01/31/2017"/>
    <s v="04/03/2017"/>
    <x v="1080"/>
    <s v="Individual"/>
    <x v="1103"/>
    <m/>
    <s v="RGLS.1.b"/>
    <m/>
    <m/>
    <m/>
    <n v="0"/>
    <x v="10"/>
    <s v="Contested"/>
    <s v="G-Ind"/>
    <x v="0"/>
  </r>
  <r>
    <x v="233"/>
    <s v="RGLS"/>
    <s v="California Southern District Court"/>
    <s v="01/31/2017"/>
    <s v="04/03/2017"/>
    <x v="1081"/>
    <s v="Individual"/>
    <x v="1104"/>
    <s v="FIFO/LIFO"/>
    <s v="RGLS.2.a"/>
    <m/>
    <n v="3"/>
    <n v="232649"/>
    <n v="0.93059599999999998"/>
    <x v="97"/>
    <s v="Contested"/>
    <s v="G-Ind"/>
    <x v="0"/>
  </r>
  <r>
    <x v="233"/>
    <s v="RGLS"/>
    <s v="California Southern District Court"/>
    <s v="01/31/2017"/>
    <s v="04/03/2017"/>
    <x v="1082"/>
    <s v="Individual"/>
    <x v="1105"/>
    <s v="FIFO"/>
    <s v="RGLS.2.b"/>
    <m/>
    <m/>
    <m/>
    <n v="0"/>
    <x v="97"/>
    <s v="Contested"/>
    <s v="G-Ind"/>
    <x v="0"/>
  </r>
  <r>
    <x v="233"/>
    <s v="RGLS"/>
    <s v="California Southern District Court"/>
    <s v="01/31/2017"/>
    <s v="04/03/2017"/>
    <x v="1083"/>
    <s v="Individual"/>
    <x v="1106"/>
    <s v="FIFO/LIFO"/>
    <s v="RGLS.2.c"/>
    <m/>
    <m/>
    <m/>
    <n v="0"/>
    <x v="97"/>
    <s v="Contested"/>
    <s v="G-Ind"/>
    <x v="0"/>
  </r>
  <r>
    <x v="234"/>
    <s v="RCII"/>
    <s v="Texas Eastern District Court"/>
    <s v="12/23/2016"/>
    <s v="02/21/2017"/>
    <x v="804"/>
    <s v="Institution"/>
    <x v="5"/>
    <m/>
    <s v="RCII.1"/>
    <n v="5"/>
    <n v="1"/>
    <s v="***"/>
    <e v="#VALUE!"/>
    <x v="347"/>
    <s v="Contested"/>
    <s v="Ins"/>
    <x v="1"/>
  </r>
  <r>
    <x v="234"/>
    <s v="RCII"/>
    <s v="Texas Eastern District Court"/>
    <s v="12/23/2016"/>
    <s v="02/21/2017"/>
    <x v="1084"/>
    <s v="Individual"/>
    <x v="1107"/>
    <m/>
    <s v="RCII.2.a"/>
    <m/>
    <n v="2"/>
    <n v="21193"/>
    <n v="1.1455675675675675E-2"/>
    <x v="275"/>
    <s v="Contested"/>
    <s v="G-Ind"/>
    <x v="0"/>
  </r>
  <r>
    <x v="234"/>
    <s v="RCII"/>
    <s v="Texas Eastern District Court"/>
    <s v="12/23/2016"/>
    <s v="02/21/2017"/>
    <x v="1085"/>
    <s v="Individual"/>
    <x v="1108"/>
    <m/>
    <s v="RCII.2.b"/>
    <m/>
    <m/>
    <m/>
    <n v="0"/>
    <x v="275"/>
    <s v="Contested"/>
    <s v="G-Ind"/>
    <x v="0"/>
  </r>
  <r>
    <x v="234"/>
    <s v="RCII"/>
    <s v="Texas Eastern District Court"/>
    <s v="12/23/2016"/>
    <s v="02/21/2017"/>
    <x v="537"/>
    <s v="Institution"/>
    <x v="1109"/>
    <s v="LIFO"/>
    <s v="RCII.3"/>
    <m/>
    <n v="1"/>
    <n v="431940.9"/>
    <n v="0.23348156756756755"/>
    <x v="348"/>
    <s v="Contested"/>
    <s v="Ins"/>
    <x v="1"/>
  </r>
  <r>
    <x v="234"/>
    <s v="RCII"/>
    <s v="Texas Eastern District Court"/>
    <s v="12/23/2016"/>
    <s v="02/21/2017"/>
    <x v="1086"/>
    <s v="Institution"/>
    <x v="1110"/>
    <m/>
    <s v="RCII.4"/>
    <m/>
    <n v="1"/>
    <n v="108334.34"/>
    <n v="5.8559102702702696E-2"/>
    <x v="5"/>
    <s v="Contested"/>
    <s v="Ins"/>
    <x v="1"/>
  </r>
  <r>
    <x v="234"/>
    <s v="RCII"/>
    <s v="Texas Eastern District Court"/>
    <s v="12/23/2016"/>
    <s v="02/21/2017"/>
    <x v="1087"/>
    <s v="Individual"/>
    <x v="1111"/>
    <m/>
    <s v="RCII.5.a"/>
    <m/>
    <n v="3"/>
    <n v="31519"/>
    <n v="1.7037297297297298E-2"/>
    <x v="349"/>
    <s v="Contested"/>
    <s v="G-Ind"/>
    <x v="0"/>
  </r>
  <r>
    <x v="234"/>
    <s v="RCII"/>
    <s v="Texas Eastern District Court"/>
    <s v="12/23/2016"/>
    <s v="02/21/2017"/>
    <x v="1088"/>
    <s v="Individual"/>
    <x v="1112"/>
    <m/>
    <s v="RCII.5.b"/>
    <m/>
    <m/>
    <m/>
    <n v="0"/>
    <x v="349"/>
    <s v="Contested"/>
    <s v="G-Ind"/>
    <x v="0"/>
  </r>
  <r>
    <x v="234"/>
    <s v="RCII"/>
    <s v="Texas Eastern District Court"/>
    <s v="12/23/2016"/>
    <s v="02/21/2017"/>
    <x v="1089"/>
    <s v="Individual"/>
    <x v="1113"/>
    <m/>
    <s v="RCII.5.c"/>
    <m/>
    <m/>
    <m/>
    <n v="0"/>
    <x v="349"/>
    <s v="Contested"/>
    <s v="G-Ind"/>
    <x v="0"/>
  </r>
  <r>
    <x v="235"/>
    <s v="RTK"/>
    <s v="New York Eastern District Court"/>
    <s v="02/22/2017"/>
    <s v="04/24/2017"/>
    <x v="1090"/>
    <s v="Individual"/>
    <x v="1114"/>
    <m/>
    <s v="RTK.1"/>
    <n v="2"/>
    <n v="1"/>
    <n v="44215.8"/>
    <n v="0.73693000000000008"/>
    <x v="240"/>
    <s v="Contested"/>
    <s v="Ind"/>
    <x v="0"/>
  </r>
  <r>
    <x v="235"/>
    <s v="RTK"/>
    <s v="New York Eastern District Court"/>
    <s v="02/22/2017"/>
    <s v="04/24/2017"/>
    <x v="1091"/>
    <s v="Individual"/>
    <x v="568"/>
    <m/>
    <s v="RTK.2.a"/>
    <m/>
    <n v="3"/>
    <n v="10552.75"/>
    <n v="0.17587916666666667"/>
    <x v="8"/>
    <s v="Contested"/>
    <s v="G-Ind"/>
    <x v="0"/>
  </r>
  <r>
    <x v="235"/>
    <s v="RTK"/>
    <s v="New York Eastern District Court"/>
    <s v="02/22/2017"/>
    <s v="04/24/2017"/>
    <x v="1092"/>
    <s v="Individual"/>
    <x v="1115"/>
    <m/>
    <s v="RTK.2.b"/>
    <m/>
    <m/>
    <m/>
    <n v="0"/>
    <x v="8"/>
    <s v="Contested"/>
    <s v="G-Ind"/>
    <x v="0"/>
  </r>
  <r>
    <x v="235"/>
    <s v="RTK"/>
    <s v="New York Eastern District Court"/>
    <s v="02/22/2017"/>
    <s v="04/24/2017"/>
    <x v="1093"/>
    <s v="Individual"/>
    <x v="1116"/>
    <m/>
    <s v="RTK.2.c"/>
    <m/>
    <m/>
    <m/>
    <n v="0"/>
    <x v="8"/>
    <s v="Contested"/>
    <s v="G-Ind"/>
    <x v="0"/>
  </r>
  <r>
    <x v="236"/>
    <s v="RWLK"/>
    <s v="Massachusetts District Court"/>
    <s v="01/31/2017"/>
    <s v="03/27/2017"/>
    <x v="1094"/>
    <s v="Individual"/>
    <x v="1117"/>
    <m/>
    <s v="RWLK.1.a"/>
    <n v="2"/>
    <n v="5"/>
    <n v="26969.3"/>
    <n v="0.10787719999999999"/>
    <x v="350"/>
    <s v="Contested"/>
    <s v="G-Ind"/>
    <x v="0"/>
  </r>
  <r>
    <x v="236"/>
    <s v="RWLK"/>
    <s v="Massachusetts District Court"/>
    <s v="01/31/2017"/>
    <s v="03/27/2017"/>
    <x v="1095"/>
    <s v="Individual"/>
    <x v="1118"/>
    <m/>
    <s v="RWLK.1.b"/>
    <m/>
    <m/>
    <m/>
    <n v="0"/>
    <x v="350"/>
    <s v="Contested"/>
    <s v="G-Ind"/>
    <x v="0"/>
  </r>
  <r>
    <x v="236"/>
    <s v="RWLK"/>
    <s v="Massachusetts District Court"/>
    <s v="01/31/2017"/>
    <s v="03/27/2017"/>
    <x v="1096"/>
    <s v="Individual"/>
    <x v="1119"/>
    <m/>
    <s v="RWLK.1.c"/>
    <m/>
    <m/>
    <m/>
    <n v="0"/>
    <x v="350"/>
    <s v="Contested"/>
    <s v="G-Ind"/>
    <x v="0"/>
  </r>
  <r>
    <x v="236"/>
    <s v="RWLK"/>
    <s v="Massachusetts District Court"/>
    <s v="01/31/2017"/>
    <s v="03/27/2017"/>
    <x v="1097"/>
    <s v="Individual"/>
    <x v="1120"/>
    <m/>
    <s v="RWLK.1.d"/>
    <m/>
    <m/>
    <m/>
    <n v="0"/>
    <x v="350"/>
    <s v="Contested"/>
    <s v="G-Ind"/>
    <x v="0"/>
  </r>
  <r>
    <x v="236"/>
    <s v="RWLK"/>
    <s v="Massachusetts District Court"/>
    <s v="01/31/2017"/>
    <s v="03/27/2017"/>
    <x v="1098"/>
    <s v="Individual"/>
    <x v="1120"/>
    <m/>
    <s v="RWLK.1.e"/>
    <m/>
    <m/>
    <m/>
    <n v="0"/>
    <x v="350"/>
    <s v="Contested"/>
    <s v="G-Ind"/>
    <x v="0"/>
  </r>
  <r>
    <x v="236"/>
    <s v="RWLK"/>
    <s v="Massachusetts District Court"/>
    <s v="01/31/2017"/>
    <s v="03/27/2017"/>
    <x v="1099"/>
    <s v="Individual"/>
    <x v="1121"/>
    <m/>
    <s v="RWLK.2"/>
    <m/>
    <n v="1"/>
    <n v="35460"/>
    <n v="0.14183999999999999"/>
    <x v="351"/>
    <s v="Contested"/>
    <s v="Ind"/>
    <x v="0"/>
  </r>
  <r>
    <x v="237"/>
    <s v="RH"/>
    <s v="California Northern District Court"/>
    <s v="02/02/2017"/>
    <s v="04/03/2017"/>
    <x v="2"/>
    <s v="Institution"/>
    <x v="1122"/>
    <m/>
    <s v="RH.1.a"/>
    <n v="4"/>
    <n v="2"/>
    <n v="3595409.37"/>
    <n v="0.47938791600000003"/>
    <x v="84"/>
    <s v="Contested"/>
    <s v="G-Ins"/>
    <x v="1"/>
  </r>
  <r>
    <x v="237"/>
    <s v="RH"/>
    <s v="California Northern District Court"/>
    <s v="02/02/2017"/>
    <s v="04/03/2017"/>
    <x v="140"/>
    <s v="Institution"/>
    <x v="1123"/>
    <s v="FIFO"/>
    <s v="RH.1.b"/>
    <m/>
    <m/>
    <m/>
    <n v="0"/>
    <x v="84"/>
    <s v="Contested"/>
    <s v="G-Ins"/>
    <x v="1"/>
  </r>
  <r>
    <x v="237"/>
    <s v="RH"/>
    <s v="California Northern District Court"/>
    <s v="02/02/2017"/>
    <s v="04/03/2017"/>
    <x v="1100"/>
    <s v="Individual"/>
    <x v="1124"/>
    <m/>
    <s v="RH.2"/>
    <m/>
    <n v="1"/>
    <n v="27403.61"/>
    <n v="3.6538146666666668E-3"/>
    <x v="10"/>
    <s v="Contested"/>
    <s v="Ind"/>
    <x v="0"/>
  </r>
  <r>
    <x v="237"/>
    <s v="RH"/>
    <s v="California Northern District Court"/>
    <s v="02/02/2017"/>
    <s v="04/03/2017"/>
    <x v="1101"/>
    <s v="Individual"/>
    <x v="1125"/>
    <m/>
    <s v="RH.3.a"/>
    <m/>
    <n v="4"/>
    <n v="104940"/>
    <n v="1.3992000000000001E-2"/>
    <x v="97"/>
    <s v="Contested"/>
    <s v="G-Ind"/>
    <x v="0"/>
  </r>
  <r>
    <x v="237"/>
    <s v="RH"/>
    <s v="California Northern District Court"/>
    <s v="02/02/2017"/>
    <s v="04/03/2017"/>
    <x v="1102"/>
    <s v="Individual"/>
    <x v="1126"/>
    <m/>
    <s v="RH.3.b"/>
    <m/>
    <m/>
    <m/>
    <n v="0"/>
    <x v="97"/>
    <s v="Contested"/>
    <s v="G-Ind"/>
    <x v="0"/>
  </r>
  <r>
    <x v="237"/>
    <s v="RH"/>
    <s v="California Northern District Court"/>
    <s v="02/02/2017"/>
    <s v="04/03/2017"/>
    <x v="1103"/>
    <s v="Individual"/>
    <x v="1127"/>
    <m/>
    <s v="RH.3.c"/>
    <m/>
    <m/>
    <m/>
    <n v="0"/>
    <x v="97"/>
    <s v="Contested"/>
    <s v="G-Ind"/>
    <x v="0"/>
  </r>
  <r>
    <x v="237"/>
    <s v="RH"/>
    <s v="California Northern District Court"/>
    <s v="02/02/2017"/>
    <s v="04/03/2017"/>
    <x v="1104"/>
    <s v="Individual"/>
    <x v="1128"/>
    <m/>
    <s v="RH.3.d"/>
    <m/>
    <m/>
    <m/>
    <n v="0"/>
    <x v="97"/>
    <s v="Contested"/>
    <s v="G-Ind"/>
    <x v="0"/>
  </r>
  <r>
    <x v="237"/>
    <s v="RH"/>
    <s v="California Northern District Court"/>
    <s v="02/02/2017"/>
    <s v="04/03/2017"/>
    <x v="681"/>
    <s v="Institution"/>
    <x v="1129"/>
    <m/>
    <s v="RH.4"/>
    <m/>
    <n v="1"/>
    <n v="367454.57"/>
    <n v="4.8993942666666665E-2"/>
    <x v="46"/>
    <s v="Contested"/>
    <s v="Ins"/>
    <x v="1"/>
  </r>
  <r>
    <x v="238"/>
    <s v="RIO"/>
    <s v="New York Southern District Court"/>
    <s v="12/12/2016"/>
    <s v="02/10/2017"/>
    <x v="1105"/>
    <s v="Individual"/>
    <x v="1130"/>
    <m/>
    <s v="RIO.1"/>
    <n v="1"/>
    <n v="1"/>
    <n v="22912"/>
    <n v="1.9093333333333332E-3"/>
    <x v="106"/>
    <s v="Uncontested"/>
    <s v="Ind"/>
    <x v="0"/>
  </r>
  <r>
    <x v="239"/>
    <s v="RITT"/>
    <s v="New Jersey District Court"/>
    <s v="07/28/2016"/>
    <s v="09/26/2016"/>
    <x v="1106"/>
    <s v="Individual"/>
    <x v="1131"/>
    <m/>
    <s v="RITT.1.a"/>
    <n v="3"/>
    <n v="2"/>
    <n v="49291"/>
    <n v="1.5166461538461538"/>
    <x v="132"/>
    <s v="Contested"/>
    <s v="G-Ind"/>
    <x v="0"/>
  </r>
  <r>
    <x v="239"/>
    <s v="RITT"/>
    <s v="New Jersey District Court"/>
    <s v="07/28/2016"/>
    <s v="09/26/2016"/>
    <x v="1107"/>
    <s v="Individual"/>
    <x v="1132"/>
    <m/>
    <s v="RITT.1.b"/>
    <m/>
    <m/>
    <m/>
    <n v="0"/>
    <x v="132"/>
    <s v="Contested"/>
    <s v="G-Ind"/>
    <x v="0"/>
  </r>
  <r>
    <x v="239"/>
    <s v="RITT"/>
    <s v="New Jersey District Court"/>
    <s v="07/28/2016"/>
    <s v="09/26/2016"/>
    <x v="1108"/>
    <s v="Individual"/>
    <x v="1133"/>
    <m/>
    <s v="RITT.2"/>
    <m/>
    <n v="1"/>
    <n v="13631.05"/>
    <n v="0.41941692307692302"/>
    <x v="10"/>
    <s v="Contested"/>
    <s v="Ind"/>
    <x v="0"/>
  </r>
  <r>
    <x v="239"/>
    <s v="RITT"/>
    <s v="New Jersey District Court"/>
    <s v="07/28/2016"/>
    <s v="09/26/2016"/>
    <x v="1109"/>
    <s v="Individual"/>
    <x v="1134"/>
    <m/>
    <s v="RITT.3"/>
    <m/>
    <n v="1"/>
    <n v="965.15"/>
    <n v="2.9696923076923079E-2"/>
    <x v="8"/>
    <s v="Contested"/>
    <s v="Ind"/>
    <x v="0"/>
  </r>
  <r>
    <x v="240"/>
    <s v="RAD"/>
    <s v="Pennsylvania Middle District Court"/>
    <s v="12/18/2015"/>
    <s v="02/22/2016"/>
    <x v="1110"/>
    <s v="Individual"/>
    <x v="5"/>
    <m/>
    <s v="RAD.1.a"/>
    <n v="1"/>
    <n v="3"/>
    <n v="0"/>
    <e v="#VALUE!"/>
    <x v="352"/>
    <s v="Uncontested"/>
    <s v="G-Ind"/>
    <x v="0"/>
  </r>
  <r>
    <x v="240"/>
    <s v="RAD"/>
    <s v="Pennsylvania Middle District Court"/>
    <s v="12/18/2015"/>
    <s v="02/22/2016"/>
    <x v="1111"/>
    <s v="Individual"/>
    <x v="5"/>
    <m/>
    <s v="RAD.1.b"/>
    <m/>
    <m/>
    <m/>
    <e v="#VALUE!"/>
    <x v="352"/>
    <s v="Uncontested"/>
    <s v="G-Ind"/>
    <x v="0"/>
  </r>
  <r>
    <x v="240"/>
    <s v="RAD"/>
    <s v="Pennsylvania Middle District Court"/>
    <s v="12/18/2015"/>
    <s v="02/22/2016"/>
    <x v="1112"/>
    <s v="Individual"/>
    <x v="5"/>
    <m/>
    <s v="RAD.1.c"/>
    <m/>
    <m/>
    <m/>
    <e v="#VALUE!"/>
    <x v="352"/>
    <s v="Uncontested"/>
    <s v="G-Ind"/>
    <x v="0"/>
  </r>
  <r>
    <x v="241"/>
    <s v="RRTS"/>
    <s v="Wisconsin Eastern District Court"/>
    <s v="01/31/2017"/>
    <s v="04/03/2017"/>
    <x v="138"/>
    <s v="Institution"/>
    <x v="1135"/>
    <s v="FIFO/LIFO"/>
    <s v="RRTS.1"/>
    <n v="4"/>
    <n v="1"/>
    <n v="796029"/>
    <n v="1.592058"/>
    <x v="174"/>
    <s v="Contested"/>
    <s v="Ins"/>
    <x v="1"/>
  </r>
  <r>
    <x v="241"/>
    <s v="RRTS"/>
    <s v="Wisconsin Eastern District Court"/>
    <s v="01/31/2017"/>
    <s v="04/03/2017"/>
    <x v="1113"/>
    <s v="Individual"/>
    <x v="1136"/>
    <m/>
    <s v="RRTS.2"/>
    <m/>
    <n v="1"/>
    <n v="35847.9"/>
    <n v="7.1695800000000004E-2"/>
    <x v="353"/>
    <s v="Contested"/>
    <s v="Ind"/>
    <x v="0"/>
  </r>
  <r>
    <x v="241"/>
    <s v="RRTS"/>
    <s v="Wisconsin Eastern District Court"/>
    <s v="01/31/2017"/>
    <s v="04/03/2017"/>
    <x v="1114"/>
    <s v="Individual"/>
    <x v="1137"/>
    <s v="LIFO"/>
    <s v="RRTS.3"/>
    <m/>
    <n v="1"/>
    <n v="75632"/>
    <n v="0.15126400000000001"/>
    <x v="354"/>
    <s v="Contested"/>
    <s v="Ind"/>
    <x v="0"/>
  </r>
  <r>
    <x v="241"/>
    <s v="RRTS"/>
    <s v="Wisconsin Eastern District Court"/>
    <s v="01/31/2017"/>
    <s v="04/03/2017"/>
    <x v="1115"/>
    <s v="Individual"/>
    <x v="1138"/>
    <m/>
    <s v="RRTS.4"/>
    <m/>
    <n v="1"/>
    <n v="100481.7"/>
    <n v="0.20096339999999996"/>
    <x v="355"/>
    <s v="Contested"/>
    <s v="Ind"/>
    <x v="0"/>
  </r>
  <r>
    <x v="242"/>
    <s v="RMTI"/>
    <s v="New York Southern District Court"/>
    <s v="03/04/2016"/>
    <s v="05/03/2016"/>
    <x v="1116"/>
    <s v="Individual"/>
    <x v="1139"/>
    <m/>
    <s v="RMTI.1"/>
    <n v="2"/>
    <n v="1"/>
    <n v="64669.23"/>
    <n v="0.14370940000000001"/>
    <x v="1"/>
    <s v="Contested"/>
    <s v="Ind"/>
    <x v="0"/>
  </r>
  <r>
    <x v="242"/>
    <s v="RMTI"/>
    <s v="New York Southern District Court"/>
    <s v="03/04/2016"/>
    <s v="05/03/2016"/>
    <x v="1117"/>
    <s v="Individual"/>
    <x v="1140"/>
    <m/>
    <s v="RMTI.2.a"/>
    <m/>
    <n v="2"/>
    <n v="86238"/>
    <n v="0.19164"/>
    <x v="8"/>
    <s v="Contested"/>
    <s v="G-Ind"/>
    <x v="0"/>
  </r>
  <r>
    <x v="242"/>
    <s v="RMTI"/>
    <s v="New York Southern District Court"/>
    <s v="03/04/2016"/>
    <s v="05/03/2016"/>
    <x v="1118"/>
    <s v="Individual"/>
    <x v="1141"/>
    <m/>
    <s v="RMTI.2.b"/>
    <m/>
    <m/>
    <m/>
    <n v="0"/>
    <x v="8"/>
    <s v="Contested"/>
    <s v="G-Ind"/>
    <x v="0"/>
  </r>
  <r>
    <x v="243"/>
    <s v="RT"/>
    <s v="New York Southern District Court"/>
    <s v="04/29/2016"/>
    <s v="06/28/2016"/>
    <x v="1119"/>
    <s v="Individual"/>
    <x v="1142"/>
    <m/>
    <s v="RT.1"/>
    <n v="2"/>
    <n v="1"/>
    <n v="72517.990000000005"/>
    <n v="0.36258995000000005"/>
    <x v="132"/>
    <s v="Contested"/>
    <s v="Ind"/>
    <x v="0"/>
  </r>
  <r>
    <x v="243"/>
    <s v="RT"/>
    <s v="New York Southern District Court"/>
    <s v="04/29/2016"/>
    <s v="06/28/2016"/>
    <x v="1120"/>
    <s v="Individual"/>
    <x v="1143"/>
    <m/>
    <s v="RT.2"/>
    <m/>
    <n v="1"/>
    <n v="10402.370000000001"/>
    <n v="5.2011850000000005E-2"/>
    <x v="8"/>
    <s v="Contested"/>
    <s v="Ind"/>
    <x v="0"/>
  </r>
  <r>
    <x v="244"/>
    <s v="RKUS"/>
    <s v="California Northern District Court"/>
    <s v="06/03/2016"/>
    <s v="08/01/2016"/>
    <x v="1121"/>
    <s v="Institution"/>
    <x v="5"/>
    <m/>
    <s v="RKUS.1"/>
    <n v="1"/>
    <n v="1"/>
    <s v="***"/>
    <e v="#VALUE!"/>
    <x v="356"/>
    <s v="Uncontested"/>
    <s v="Ins"/>
    <x v="1"/>
  </r>
  <r>
    <x v="245"/>
    <s v="VALE"/>
    <s v="New York Southern District Court"/>
    <s v="11/14/2016"/>
    <s v="01/13/2017"/>
    <x v="1122"/>
    <s v="Individual"/>
    <x v="1144"/>
    <m/>
    <s v="VALE.1"/>
    <n v="1"/>
    <n v="1"/>
    <n v="64910560"/>
    <n v="7.2933213483146062"/>
    <x v="106"/>
    <s v="Uncontested"/>
    <s v="Ind"/>
    <x v="0"/>
  </r>
  <r>
    <x v="246"/>
    <s v="SAFM"/>
    <s v="New York Southern District Court"/>
    <s v="10/28/2016"/>
    <s v="12/27/2016"/>
    <x v="1123"/>
    <s v="Individual"/>
    <x v="1145"/>
    <m/>
    <s v="SAFM.1.a"/>
    <n v="2"/>
    <n v="2"/>
    <n v="15429"/>
    <n v="3.4286666666666667E-2"/>
    <x v="126"/>
    <s v="Uncontested"/>
    <s v="G-Ind"/>
    <x v="0"/>
  </r>
  <r>
    <x v="246"/>
    <s v="SAFM"/>
    <s v="New York Southern District Court"/>
    <s v="10/28/2016"/>
    <s v="12/27/2016"/>
    <x v="1124"/>
    <s v="Individual"/>
    <x v="1146"/>
    <m/>
    <s v="SAFM.1.b"/>
    <m/>
    <m/>
    <m/>
    <n v="0"/>
    <x v="126"/>
    <s v="Uncontested"/>
    <s v="G-Ind"/>
    <x v="0"/>
  </r>
  <r>
    <x v="247"/>
    <s v="SC"/>
    <s v="Texas Northern District Court"/>
    <s v="03/18/2016"/>
    <s v="05/17/2016"/>
    <x v="1125"/>
    <s v="Individual"/>
    <x v="1147"/>
    <m/>
    <s v="SC.1"/>
    <n v="2"/>
    <n v="1"/>
    <n v="8558.18"/>
    <n v="7.1917478991596643E-3"/>
    <x v="357"/>
    <s v="Contested"/>
    <s v="Ind"/>
    <x v="0"/>
  </r>
  <r>
    <x v="247"/>
    <s v="SC"/>
    <s v="Texas Northern District Court"/>
    <s v="03/18/2016"/>
    <s v="05/17/2016"/>
    <x v="1126"/>
    <s v="Individual"/>
    <x v="1148"/>
    <m/>
    <s v="SC.2"/>
    <m/>
    <n v="1"/>
    <n v="12148.02"/>
    <n v="1.0208420168067228E-2"/>
    <x v="358"/>
    <s v="Contested"/>
    <s v="Ind"/>
    <x v="0"/>
  </r>
  <r>
    <x v="248"/>
    <s v="SCYX"/>
    <s v="New Jersey District Court"/>
    <s v="03/08/2017"/>
    <s v="05/08/2017"/>
    <x v="1127"/>
    <s v="Individual"/>
    <x v="1149"/>
    <m/>
    <s v="SCYX.1"/>
    <n v="1"/>
    <n v="1"/>
    <n v="10565.47"/>
    <n v="0.11739411111111109"/>
    <x v="49"/>
    <s v="Uncontested"/>
    <s v="Ind"/>
    <x v="0"/>
  </r>
  <r>
    <x v="249"/>
    <s v="SGEN"/>
    <s v="Washington Western District Court"/>
    <s v="01/10/2017"/>
    <s v="03/13/2017"/>
    <x v="1128"/>
    <s v="Individual"/>
    <x v="1150"/>
    <m/>
    <s v="SGEN.1"/>
    <n v="1"/>
    <n v="1"/>
    <n v="87662"/>
    <n v="5.8441333333333338E-2"/>
    <x v="249"/>
    <s v="Uncontested"/>
    <s v="Ind"/>
    <x v="0"/>
  </r>
  <r>
    <x v="250"/>
    <s v="SRE"/>
    <s v="California Southern District Court"/>
    <s v="02/29/2016"/>
    <s v="05/02/2016"/>
    <x v="1129"/>
    <s v="Individual"/>
    <x v="1151"/>
    <m/>
    <s v="SRE.1"/>
    <n v="2"/>
    <n v="1"/>
    <n v="2419.3000000000002"/>
    <n v="2.7649142857142858E-4"/>
    <x v="10"/>
    <s v="Contested"/>
    <s v="Ind"/>
    <x v="0"/>
  </r>
  <r>
    <x v="250"/>
    <s v="SRE"/>
    <s v="California Southern District Court"/>
    <s v="02/29/2016"/>
    <s v="05/02/2016"/>
    <x v="1130"/>
    <s v="Individual"/>
    <x v="1152"/>
    <m/>
    <s v="SRE.2"/>
    <m/>
    <n v="1"/>
    <n v="1792"/>
    <n v="2.0480000000000002E-4"/>
    <x v="7"/>
    <s v="Contested"/>
    <s v="Ind"/>
    <x v="0"/>
  </r>
  <r>
    <x v="251"/>
    <s v="SQNM"/>
    <s v="California Southern District Court"/>
    <s v="08/15/2016"/>
    <s v="11/07/2016"/>
    <x v="1131"/>
    <s v="Individual"/>
    <x v="5"/>
    <m/>
    <s v="SQNM.1"/>
    <n v="2"/>
    <n v="1"/>
    <s v="***"/>
    <e v="#VALUE!"/>
    <x v="359"/>
    <s v="Contested"/>
    <s v="Ind"/>
    <x v="0"/>
  </r>
  <r>
    <x v="251"/>
    <s v="SQNM"/>
    <s v="California Southern District Court"/>
    <s v="08/15/2016"/>
    <s v="11/07/2016"/>
    <x v="1132"/>
    <s v="Individual"/>
    <x v="5"/>
    <m/>
    <s v="SQNM.2"/>
    <m/>
    <m/>
    <s v="***"/>
    <e v="#VALUE!"/>
    <x v="87"/>
    <s v="Contested"/>
    <s v="Ind"/>
    <x v="0"/>
  </r>
  <r>
    <x v="252"/>
    <s v="MCRB"/>
    <s v="Massachusetts District Court"/>
    <s v="09/28/2016"/>
    <s v="11/28/2016"/>
    <x v="1133"/>
    <s v="Individual"/>
    <x v="1153"/>
    <m/>
    <s v="MCRB.1.a"/>
    <n v="4"/>
    <n v="3"/>
    <n v="507173.8"/>
    <n v="0.10143476000000001"/>
    <x v="360"/>
    <s v="Contested"/>
    <s v="G-Mix"/>
    <x v="0"/>
  </r>
  <r>
    <x v="252"/>
    <s v="MCRB"/>
    <s v="Massachusetts District Court"/>
    <s v="09/28/2016"/>
    <s v="11/28/2016"/>
    <x v="1134"/>
    <s v="Individual"/>
    <x v="1154"/>
    <m/>
    <s v="MCRB.1.b"/>
    <m/>
    <m/>
    <m/>
    <n v="0"/>
    <x v="360"/>
    <s v="Contested"/>
    <s v="G-Mix"/>
    <x v="0"/>
  </r>
  <r>
    <x v="252"/>
    <s v="MCRB"/>
    <s v="Massachusetts District Court"/>
    <s v="09/28/2016"/>
    <s v="11/28/2016"/>
    <x v="1135"/>
    <s v="Institution"/>
    <x v="1155"/>
    <s v="LIFO"/>
    <s v="MCRB.1.c"/>
    <m/>
    <m/>
    <m/>
    <n v="0"/>
    <x v="360"/>
    <s v="Contested"/>
    <s v="G-Mix"/>
    <x v="0"/>
  </r>
  <r>
    <x v="252"/>
    <s v="MCRB"/>
    <s v="Massachusetts District Court"/>
    <s v="09/28/2016"/>
    <s v="11/28/2016"/>
    <x v="1136"/>
    <s v="Individual"/>
    <x v="1156"/>
    <m/>
    <s v="MCRB.2"/>
    <m/>
    <n v="1"/>
    <n v="22244.09"/>
    <n v="4.4488179999999993E-3"/>
    <x v="361"/>
    <s v="Contested"/>
    <s v="Ind"/>
    <x v="0"/>
  </r>
  <r>
    <x v="252"/>
    <s v="MCRB"/>
    <s v="Massachusetts District Court"/>
    <s v="09/28/2016"/>
    <s v="11/28/2016"/>
    <x v="38"/>
    <s v="Institution"/>
    <x v="1157"/>
    <s v="FIFO"/>
    <s v="MCRB.3"/>
    <m/>
    <n v="1"/>
    <n v="371038.5"/>
    <n v="7.4207700000000001E-2"/>
    <x v="73"/>
    <s v="Contested"/>
    <s v="Ins"/>
    <x v="1"/>
  </r>
  <r>
    <x v="252"/>
    <s v="MCRB"/>
    <s v="Massachusetts District Court"/>
    <s v="09/28/2016"/>
    <s v="11/28/2016"/>
    <x v="1137"/>
    <s v="Individual"/>
    <x v="1158"/>
    <m/>
    <s v="MCRB.4"/>
    <m/>
    <n v="1"/>
    <n v="176559.52"/>
    <n v="3.5311903999999998E-2"/>
    <x v="362"/>
    <s v="Contested"/>
    <s v="Ind"/>
    <x v="0"/>
  </r>
  <r>
    <x v="253"/>
    <s v="SIG"/>
    <s v="New York Southern District Court"/>
    <s v="08/25/2016"/>
    <s v="10/24/2016"/>
    <x v="1138"/>
    <s v="Individual"/>
    <x v="1159"/>
    <m/>
    <s v="SIG.1.a"/>
    <n v="1"/>
    <n v="2"/>
    <n v="3076.3199999999997"/>
    <n v="5.1271999999999993E-4"/>
    <x v="50"/>
    <s v="Uncontested"/>
    <s v="G-Ind"/>
    <x v="1"/>
  </r>
  <r>
    <x v="253"/>
    <s v="SIG"/>
    <s v="New York Southern District Court"/>
    <s v="08/25/2016"/>
    <s v="10/24/2016"/>
    <x v="1139"/>
    <s v="Individual"/>
    <x v="1160"/>
    <m/>
    <s v="SIG.1.b"/>
    <m/>
    <m/>
    <m/>
    <n v="0"/>
    <x v="50"/>
    <s v="Uncontested"/>
    <s v="G-Ind"/>
    <x v="1"/>
  </r>
  <r>
    <x v="254"/>
    <s v="SITO"/>
    <s v="New Jersey District Court"/>
    <s v="02/17/2017"/>
    <s v="04/18/2017"/>
    <x v="1140"/>
    <s v="Institution"/>
    <x v="1161"/>
    <s v="Group Total"/>
    <s v="SITO.1.a"/>
    <n v="1"/>
    <n v="4"/>
    <n v="727910.44"/>
    <n v="6.0659203333333327"/>
    <x v="10"/>
    <s v="Uncontested"/>
    <s v="G-Ins"/>
    <x v="0"/>
  </r>
  <r>
    <x v="254"/>
    <s v="SITO"/>
    <s v="New Jersey District Court"/>
    <s v="02/17/2017"/>
    <s v="04/18/2017"/>
    <x v="1141"/>
    <s v="Institution"/>
    <x v="178"/>
    <m/>
    <s v="SITO.1.b"/>
    <m/>
    <m/>
    <m/>
    <n v="0"/>
    <x v="10"/>
    <s v="Uncontested"/>
    <s v="G-Ins"/>
    <x v="0"/>
  </r>
  <r>
    <x v="254"/>
    <s v="SITO"/>
    <s v="New Jersey District Court"/>
    <s v="02/17/2017"/>
    <s v="04/18/2017"/>
    <x v="1142"/>
    <s v="Institution"/>
    <x v="178"/>
    <m/>
    <s v="SITO.1.c"/>
    <m/>
    <m/>
    <m/>
    <n v="0"/>
    <x v="10"/>
    <s v="Uncontested"/>
    <s v="G-Ins"/>
    <x v="0"/>
  </r>
  <r>
    <x v="254"/>
    <s v="SITO"/>
    <s v="New Jersey District Court"/>
    <s v="02/17/2017"/>
    <s v="04/18/2017"/>
    <x v="1143"/>
    <s v="Institution"/>
    <x v="178"/>
    <m/>
    <s v="SITO.1.d"/>
    <m/>
    <m/>
    <m/>
    <n v="0"/>
    <x v="10"/>
    <s v="Uncontested"/>
    <s v="G-Ins"/>
    <x v="0"/>
  </r>
  <r>
    <x v="255"/>
    <s v="SZMK"/>
    <s v="Texas Western District Court"/>
    <s v="09/15/2016"/>
    <s v="12/05/2016"/>
    <x v="1144"/>
    <s v="Individual"/>
    <x v="5"/>
    <m/>
    <s v="SZMK.1"/>
    <n v="1"/>
    <n v="1"/>
    <s v="***"/>
    <e v="#VALUE!"/>
    <x v="363"/>
    <s v="Uncontested"/>
    <s v="Ind"/>
    <x v="0"/>
  </r>
  <r>
    <x v="256"/>
    <s v="USK"/>
    <s v="Utah District Court"/>
    <s v="02/12/2016"/>
    <s v="04/12/2016"/>
    <x v="1145"/>
    <s v="Individual"/>
    <x v="1162"/>
    <s v="FIFO/LIFO"/>
    <s v="USK.1.a"/>
    <n v="1"/>
    <n v="2"/>
    <n v="200604"/>
    <n v="0.57315428571428573"/>
    <x v="364"/>
    <s v="Uncontested"/>
    <s v="G-Ind"/>
    <x v="0"/>
  </r>
  <r>
    <x v="256"/>
    <s v="USK"/>
    <s v="Utah District Court"/>
    <s v="02/12/2016"/>
    <s v="04/12/2016"/>
    <x v="1146"/>
    <s v="Individual"/>
    <x v="1163"/>
    <s v="FIFO/LIFO"/>
    <s v="USK.1.b"/>
    <m/>
    <m/>
    <m/>
    <n v="0"/>
    <x v="364"/>
    <s v="Uncontested"/>
    <s v="G-Ind"/>
    <x v="0"/>
  </r>
  <r>
    <x v="257"/>
    <s v="SCTY"/>
    <s v="California Northern District Court"/>
    <s v="08/15/2016"/>
    <s v="10/14/2016"/>
    <x v="1061"/>
    <s v="Institution"/>
    <x v="1164"/>
    <s v="LIFO"/>
    <s v="SCTY.1"/>
    <n v="3"/>
    <n v="1"/>
    <n v="539153.05000000005"/>
    <n v="7.1887073333333343E-2"/>
    <x v="297"/>
    <s v="Contested"/>
    <s v="Ins"/>
    <x v="1"/>
  </r>
  <r>
    <x v="257"/>
    <s v="SCTY"/>
    <s v="California Northern District Court"/>
    <s v="08/15/2016"/>
    <s v="10/14/2016"/>
    <x v="1147"/>
    <s v="Individual"/>
    <x v="1165"/>
    <m/>
    <s v="SCTY.2.a"/>
    <m/>
    <n v="2"/>
    <n v="141597"/>
    <n v="1.88796E-2"/>
    <x v="56"/>
    <s v="Contested"/>
    <s v="G-Ind"/>
    <x v="0"/>
  </r>
  <r>
    <x v="257"/>
    <s v="SCTY"/>
    <s v="California Northern District Court"/>
    <s v="08/15/2016"/>
    <s v="10/14/2016"/>
    <x v="1148"/>
    <s v="Individual"/>
    <x v="1166"/>
    <m/>
    <s v="SCTY.2.b"/>
    <m/>
    <m/>
    <m/>
    <n v="0"/>
    <x v="56"/>
    <s v="Contested"/>
    <s v="G-Ind"/>
    <x v="0"/>
  </r>
  <r>
    <x v="257"/>
    <s v="SCTY"/>
    <s v="California Northern District Court"/>
    <s v="08/15/2016"/>
    <s v="10/14/2016"/>
    <x v="1149"/>
    <s v="Individual"/>
    <x v="1167"/>
    <m/>
    <s v="SCTY.3"/>
    <m/>
    <n v="1"/>
    <n v="1563260.3"/>
    <n v="0.20843470666666669"/>
    <x v="365"/>
    <s v="Contested"/>
    <s v="Ind"/>
    <x v="0"/>
  </r>
  <r>
    <x v="258"/>
    <s v="SWI"/>
    <s v="Texas Western District Court"/>
    <s v="12/28/2015"/>
    <s v="02/26/2016"/>
    <x v="1150"/>
    <s v="Individual"/>
    <x v="5"/>
    <m/>
    <s v="SWI.1"/>
    <n v="1"/>
    <n v="1"/>
    <s v="***"/>
    <e v="#VALUE!"/>
    <x v="366"/>
    <s v="Uncontested"/>
    <s v="Ind"/>
    <x v="0"/>
  </r>
  <r>
    <x v="259"/>
    <s v="SPPI"/>
    <s v="Nevada District Court"/>
    <s v="09/21/2016"/>
    <s v="11/21/2016"/>
    <x v="1151"/>
    <s v="Institution"/>
    <x v="1168"/>
    <s v="FIFO/LIFO"/>
    <s v="SPPI.1"/>
    <n v="2"/>
    <n v="1"/>
    <n v="23789.06"/>
    <n v="6.7968742857142855E-2"/>
    <x v="367"/>
    <s v="Contested"/>
    <s v="Ins"/>
    <x v="0"/>
  </r>
  <r>
    <x v="259"/>
    <s v="SPPI"/>
    <s v="Nevada District Court"/>
    <s v="09/21/2016"/>
    <s v="11/21/2016"/>
    <x v="1152"/>
    <s v="Individual"/>
    <x v="1169"/>
    <m/>
    <s v="SPPI.2.a"/>
    <m/>
    <n v="2"/>
    <n v="930015.78"/>
    <n v="2.657187942857143"/>
    <x v="368"/>
    <s v="Contested"/>
    <s v="G-Ind"/>
    <x v="0"/>
  </r>
  <r>
    <x v="259"/>
    <s v="SPPI"/>
    <s v="Nevada District Court"/>
    <s v="09/21/2016"/>
    <s v="11/21/2016"/>
    <x v="1153"/>
    <s v="Individual"/>
    <x v="1170"/>
    <m/>
    <s v="SPPI.2.b"/>
    <m/>
    <m/>
    <m/>
    <n v="0"/>
    <x v="368"/>
    <s v="Contested"/>
    <s v="G-Ind"/>
    <x v="0"/>
  </r>
  <r>
    <x v="260"/>
    <s v="STRZA"/>
    <s v="California Central District Court"/>
    <s v="11/09/2015"/>
    <s v="01/08/2016"/>
    <x v="1154"/>
    <s v="Individual"/>
    <x v="1171"/>
    <m/>
    <s v="STRZA.1"/>
    <n v="2"/>
    <n v="1"/>
    <n v="4364"/>
    <n v="2.9093333333333336E-3"/>
    <x v="1"/>
    <s v="Contested"/>
    <s v="Ind"/>
    <x v="0"/>
  </r>
  <r>
    <x v="260"/>
    <s v="STRZA"/>
    <s v="California Central District Court"/>
    <s v="11/09/2015"/>
    <s v="01/08/2016"/>
    <x v="1155"/>
    <s v="Individual"/>
    <x v="1172"/>
    <m/>
    <s v="STRZA.2"/>
    <m/>
    <n v="1"/>
    <n v="1172.28"/>
    <n v="7.8151999999999996E-4"/>
    <x v="72"/>
    <s v="Contested"/>
    <s v="Ind"/>
    <x v="0"/>
  </r>
  <r>
    <x v="261"/>
    <s v="STT"/>
    <s v="California Central District Court"/>
    <s v="01/27/2017"/>
    <s v="03/28/2017"/>
    <x v="1156"/>
    <s v="Individual"/>
    <x v="1173"/>
    <m/>
    <s v="STT.1"/>
    <n v="1"/>
    <n v="1"/>
    <n v="337.5"/>
    <n v="8.4374999999999991E-5"/>
    <x v="49"/>
    <s v="Uncontested"/>
    <s v="Ind"/>
    <x v="0"/>
  </r>
  <r>
    <x v="262"/>
    <s v="STML"/>
    <s v="New York Southern District Court"/>
    <s v="02/03/2017"/>
    <s v="04/04/2017"/>
    <x v="1157"/>
    <s v="Individual"/>
    <x v="1174"/>
    <m/>
    <s v="STML.1.a"/>
    <n v="2"/>
    <n v="3"/>
    <n v="20669.940000000002"/>
    <n v="7.655533333333335E-2"/>
    <x v="107"/>
    <s v="Contested"/>
    <s v="G-Ind"/>
    <x v="0"/>
  </r>
  <r>
    <x v="262"/>
    <s v="STML"/>
    <s v="New York Southern District Court"/>
    <s v="02/03/2017"/>
    <s v="04/04/2017"/>
    <x v="1158"/>
    <s v="Individual"/>
    <x v="1175"/>
    <m/>
    <s v="STML.1.b"/>
    <m/>
    <m/>
    <m/>
    <n v="0"/>
    <x v="107"/>
    <s v="Contested"/>
    <s v="G-Ind"/>
    <x v="0"/>
  </r>
  <r>
    <x v="262"/>
    <s v="STML"/>
    <s v="New York Southern District Court"/>
    <s v="02/03/2017"/>
    <s v="04/04/2017"/>
    <x v="1159"/>
    <s v="Individual"/>
    <x v="1176"/>
    <m/>
    <s v="STML.1.c"/>
    <m/>
    <m/>
    <m/>
    <n v="0"/>
    <x v="107"/>
    <s v="Contested"/>
    <s v="G-Ind"/>
    <x v="0"/>
  </r>
  <r>
    <x v="262"/>
    <s v="STML"/>
    <s v="New York Southern District Court"/>
    <s v="02/03/2017"/>
    <s v="04/04/2017"/>
    <x v="1160"/>
    <s v="Individual"/>
    <x v="1177"/>
    <m/>
    <s v="STML.2.a"/>
    <m/>
    <n v="3"/>
    <n v="32425.53"/>
    <n v="0.12009455555555555"/>
    <x v="146"/>
    <s v="Contested"/>
    <s v="G-Ind"/>
    <x v="0"/>
  </r>
  <r>
    <x v="262"/>
    <s v="STML"/>
    <s v="New York Southern District Court"/>
    <s v="02/03/2017"/>
    <s v="04/04/2017"/>
    <x v="1161"/>
    <s v="Individual"/>
    <x v="1178"/>
    <m/>
    <s v="STML.2.b"/>
    <m/>
    <m/>
    <m/>
    <n v="0"/>
    <x v="146"/>
    <s v="Contested"/>
    <s v="G-Ind"/>
    <x v="0"/>
  </r>
  <r>
    <x v="262"/>
    <s v="STML"/>
    <s v="New York Southern District Court"/>
    <s v="02/03/2017"/>
    <s v="04/04/2017"/>
    <x v="1162"/>
    <s v="Individual"/>
    <x v="1179"/>
    <m/>
    <s v="STML.2.c"/>
    <m/>
    <m/>
    <m/>
    <n v="0"/>
    <x v="146"/>
    <s v="Contested"/>
    <s v="G-Ind"/>
    <x v="0"/>
  </r>
  <r>
    <x v="263"/>
    <s v="SRCL"/>
    <s v="Illinois Northern District Court"/>
    <s v="07/11/2016"/>
    <s v="09/12/2016"/>
    <x v="166"/>
    <s v="Institution"/>
    <x v="1180"/>
    <s v="FIFO/LIFO"/>
    <s v="SRCL.1"/>
    <n v="2"/>
    <n v="1"/>
    <n v="205357"/>
    <n v="6.8452333333333332E-3"/>
    <x v="369"/>
    <s v="Contested"/>
    <s v="Ins"/>
    <x v="1"/>
  </r>
  <r>
    <x v="263"/>
    <s v="SRCL"/>
    <s v="Illinois Northern District Court"/>
    <s v="07/11/2016"/>
    <s v="09/12/2016"/>
    <x v="2"/>
    <s v="Individual"/>
    <x v="1181"/>
    <s v="FIFO/LIFO"/>
    <s v="SRCL.2.a"/>
    <m/>
    <n v="2"/>
    <n v="13072867.09"/>
    <n v="0.43576223633333333"/>
    <x v="84"/>
    <s v="Contested"/>
    <s v="G-Ind"/>
    <x v="1"/>
  </r>
  <r>
    <x v="263"/>
    <s v="SRCL"/>
    <s v="Illinois Northern District Court"/>
    <s v="07/11/2016"/>
    <s v="09/12/2016"/>
    <x v="138"/>
    <s v="Individual"/>
    <x v="1182"/>
    <s v="FIFO"/>
    <s v="SRCL.2.b"/>
    <m/>
    <m/>
    <m/>
    <n v="0"/>
    <x v="84"/>
    <s v="Contested"/>
    <s v="G-Ind"/>
    <x v="1"/>
  </r>
  <r>
    <x v="264"/>
    <s v="STON"/>
    <s v="Pennsylvania Eastern District Court"/>
    <s v="11/21/2016"/>
    <s v="01/20/2017"/>
    <x v="1163"/>
    <s v="Individual"/>
    <x v="1183"/>
    <s v="LIFO"/>
    <s v="STON.1.a"/>
    <n v="9"/>
    <n v="5"/>
    <n v="674588.41999999993"/>
    <n v="0.16864710499999996"/>
    <x v="370"/>
    <s v="Contested"/>
    <s v="G-Ind"/>
    <x v="0"/>
  </r>
  <r>
    <x v="264"/>
    <s v="STON"/>
    <s v="Pennsylvania Eastern District Court"/>
    <s v="11/21/2016"/>
    <s v="01/20/2017"/>
    <x v="1164"/>
    <s v="Individual"/>
    <x v="1184"/>
    <s v="LIFO"/>
    <s v="STON.1.b"/>
    <m/>
    <m/>
    <m/>
    <n v="0"/>
    <x v="370"/>
    <s v="Contested"/>
    <s v="G-Ind"/>
    <x v="0"/>
  </r>
  <r>
    <x v="264"/>
    <s v="STON"/>
    <s v="Pennsylvania Eastern District Court"/>
    <s v="11/21/2016"/>
    <s v="01/20/2017"/>
    <x v="1165"/>
    <s v="Individual"/>
    <x v="1185"/>
    <m/>
    <s v="STON.1.c"/>
    <m/>
    <m/>
    <m/>
    <n v="0"/>
    <x v="370"/>
    <s v="Contested"/>
    <s v="G-Ind"/>
    <x v="0"/>
  </r>
  <r>
    <x v="264"/>
    <s v="STON"/>
    <s v="Pennsylvania Eastern District Court"/>
    <s v="11/21/2016"/>
    <s v="01/20/2017"/>
    <x v="1166"/>
    <s v="Individual"/>
    <x v="1186"/>
    <s v="LIFO"/>
    <s v="STON.1.d"/>
    <m/>
    <m/>
    <m/>
    <n v="0"/>
    <x v="370"/>
    <s v="Contested"/>
    <s v="G-Ind"/>
    <x v="0"/>
  </r>
  <r>
    <x v="264"/>
    <s v="STON"/>
    <s v="Pennsylvania Eastern District Court"/>
    <s v="11/21/2016"/>
    <s v="01/20/2017"/>
    <x v="1167"/>
    <s v="Individual"/>
    <x v="1187"/>
    <m/>
    <s v="STON.1.e"/>
    <m/>
    <m/>
    <m/>
    <n v="0"/>
    <x v="370"/>
    <s v="Contested"/>
    <s v="G-Ind"/>
    <x v="0"/>
  </r>
  <r>
    <x v="264"/>
    <s v="STON"/>
    <s v="Pennsylvania Eastern District Court"/>
    <s v="11/21/2016"/>
    <s v="01/20/2017"/>
    <x v="1168"/>
    <s v="Individual"/>
    <x v="1188"/>
    <s v="LIFO"/>
    <s v="STON.2.a"/>
    <m/>
    <n v="4"/>
    <n v="399073.75"/>
    <n v="9.9768437500000001E-2"/>
    <x v="274"/>
    <s v="Contested"/>
    <s v="G-Ind"/>
    <x v="0"/>
  </r>
  <r>
    <x v="264"/>
    <s v="STON"/>
    <s v="Pennsylvania Eastern District Court"/>
    <s v="11/21/2016"/>
    <s v="01/20/2017"/>
    <x v="1169"/>
    <s v="Individual"/>
    <x v="1189"/>
    <s v="LIFO"/>
    <s v="STON.2.b"/>
    <m/>
    <m/>
    <m/>
    <n v="0"/>
    <x v="274"/>
    <s v="Contested"/>
    <s v="G-Ind"/>
    <x v="0"/>
  </r>
  <r>
    <x v="264"/>
    <s v="STON"/>
    <s v="Pennsylvania Eastern District Court"/>
    <s v="11/21/2016"/>
    <s v="01/20/2017"/>
    <x v="1170"/>
    <s v="Individual"/>
    <x v="1190"/>
    <s v="LIFO"/>
    <s v="STON.2.c"/>
    <m/>
    <m/>
    <m/>
    <n v="0"/>
    <x v="274"/>
    <s v="Contested"/>
    <s v="G-Ind"/>
    <x v="0"/>
  </r>
  <r>
    <x v="264"/>
    <s v="STON"/>
    <s v="Pennsylvania Eastern District Court"/>
    <s v="11/21/2016"/>
    <s v="01/20/2017"/>
    <x v="1171"/>
    <s v="Individual"/>
    <x v="1191"/>
    <s v="LIFO"/>
    <s v="STON.2.d"/>
    <m/>
    <m/>
    <m/>
    <n v="0"/>
    <x v="274"/>
    <s v="Contested"/>
    <s v="G-Ind"/>
    <x v="0"/>
  </r>
  <r>
    <x v="264"/>
    <s v="STON"/>
    <s v="Pennsylvania Eastern District Court"/>
    <s v="11/21/2016"/>
    <s v="01/20/2017"/>
    <x v="1172"/>
    <s v="Individual"/>
    <x v="1192"/>
    <m/>
    <s v="STON.3"/>
    <m/>
    <n v="1"/>
    <n v="82449.63"/>
    <n v="2.0612407500000002E-2"/>
    <x v="257"/>
    <s v="Contested"/>
    <s v="Ind"/>
    <x v="0"/>
  </r>
  <r>
    <x v="264"/>
    <s v="STON"/>
    <s v="Pennsylvania Eastern District Court"/>
    <s v="11/21/2016"/>
    <s v="01/20/2017"/>
    <x v="1173"/>
    <s v="Individual"/>
    <x v="1193"/>
    <s v="LIFO"/>
    <s v="STON.4"/>
    <m/>
    <n v="1"/>
    <n v="67025.34"/>
    <n v="1.6756334999999997E-2"/>
    <x v="1"/>
    <s v="Contested"/>
    <s v="Ind"/>
    <x v="0"/>
  </r>
  <r>
    <x v="264"/>
    <s v="STON"/>
    <s v="Pennsylvania Eastern District Court"/>
    <s v="11/21/2016"/>
    <s v="01/20/2017"/>
    <x v="1174"/>
    <s v="Individual"/>
    <x v="1194"/>
    <s v="Group loss / DURA"/>
    <s v="STON.5.a"/>
    <m/>
    <n v="2"/>
    <n v="383449.3"/>
    <n v="9.5862324999999998E-2"/>
    <x v="44"/>
    <s v="Contested"/>
    <s v="G-Ind"/>
    <x v="0"/>
  </r>
  <r>
    <x v="264"/>
    <s v="STON"/>
    <s v="Pennsylvania Eastern District Court"/>
    <s v="11/21/2016"/>
    <s v="01/20/2017"/>
    <x v="1175"/>
    <s v="Individual"/>
    <x v="178"/>
    <m/>
    <s v="STON.5.b"/>
    <m/>
    <m/>
    <m/>
    <n v="0"/>
    <x v="44"/>
    <s v="Contested"/>
    <s v="G-Ind"/>
    <x v="0"/>
  </r>
  <r>
    <x v="264"/>
    <s v="STON"/>
    <s v="Pennsylvania Eastern District Court"/>
    <s v="11/21/2016"/>
    <s v="01/20/2017"/>
    <x v="1176"/>
    <s v="Institution"/>
    <x v="1195"/>
    <s v="LIFO"/>
    <s v="STON.6.a"/>
    <m/>
    <n v="3"/>
    <n v="1762886.3"/>
    <n v="0.44072157500000003"/>
    <x v="371"/>
    <s v="Contested"/>
    <s v="G-Mix"/>
    <x v="0"/>
  </r>
  <r>
    <x v="264"/>
    <s v="STON"/>
    <s v="Pennsylvania Eastern District Court"/>
    <s v="11/21/2016"/>
    <s v="01/20/2017"/>
    <x v="1177"/>
    <s v="Individual"/>
    <x v="1196"/>
    <s v="LIFO"/>
    <s v="STON.6.b"/>
    <m/>
    <m/>
    <m/>
    <n v="0"/>
    <x v="371"/>
    <s v="Contested"/>
    <s v="G-Mix"/>
    <x v="0"/>
  </r>
  <r>
    <x v="264"/>
    <s v="STON"/>
    <s v="Pennsylvania Eastern District Court"/>
    <s v="11/21/2016"/>
    <s v="01/20/2017"/>
    <x v="1178"/>
    <s v="Institution"/>
    <x v="1197"/>
    <s v="LIFO"/>
    <s v="STON.6.c"/>
    <m/>
    <m/>
    <m/>
    <n v="0"/>
    <x v="371"/>
    <s v="Contested"/>
    <s v="G-Mix"/>
    <x v="0"/>
  </r>
  <r>
    <x v="264"/>
    <s v="STON"/>
    <s v="Pennsylvania Eastern District Court"/>
    <s v="11/21/2016"/>
    <s v="01/20/2017"/>
    <x v="1179"/>
    <s v="Individual"/>
    <x v="1198"/>
    <m/>
    <s v="STON.7.a"/>
    <m/>
    <n v="5"/>
    <n v="765744"/>
    <n v="0.191436"/>
    <x v="146"/>
    <s v="Contested"/>
    <s v="G-Ind"/>
    <x v="0"/>
  </r>
  <r>
    <x v="264"/>
    <s v="STON"/>
    <s v="Pennsylvania Eastern District Court"/>
    <s v="11/21/2016"/>
    <s v="01/20/2017"/>
    <x v="1180"/>
    <s v="Individual"/>
    <x v="1199"/>
    <m/>
    <s v="STON.7.b"/>
    <m/>
    <m/>
    <m/>
    <n v="0"/>
    <x v="146"/>
    <s v="Contested"/>
    <s v="G-Ind"/>
    <x v="0"/>
  </r>
  <r>
    <x v="264"/>
    <s v="STON"/>
    <s v="Pennsylvania Eastern District Court"/>
    <s v="11/21/2016"/>
    <s v="01/20/2017"/>
    <x v="1181"/>
    <s v="Individual"/>
    <x v="1200"/>
    <m/>
    <s v="STON.7.c"/>
    <m/>
    <m/>
    <m/>
    <n v="0"/>
    <x v="146"/>
    <s v="Contested"/>
    <s v="G-Ind"/>
    <x v="0"/>
  </r>
  <r>
    <x v="264"/>
    <s v="STON"/>
    <s v="Pennsylvania Eastern District Court"/>
    <s v="11/21/2016"/>
    <s v="01/20/2017"/>
    <x v="1182"/>
    <s v="Individual"/>
    <x v="1201"/>
    <m/>
    <s v="STON.7.d"/>
    <m/>
    <m/>
    <m/>
    <n v="0"/>
    <x v="146"/>
    <s v="Contested"/>
    <s v="G-Ind"/>
    <x v="0"/>
  </r>
  <r>
    <x v="264"/>
    <s v="STON"/>
    <s v="Pennsylvania Eastern District Court"/>
    <s v="11/21/2016"/>
    <s v="01/20/2017"/>
    <x v="1183"/>
    <s v="Individual"/>
    <x v="1202"/>
    <m/>
    <s v="STON.7.e"/>
    <m/>
    <m/>
    <m/>
    <n v="0"/>
    <x v="146"/>
    <s v="Contested"/>
    <s v="G-Ind"/>
    <x v="0"/>
  </r>
  <r>
    <x v="264"/>
    <s v="STON"/>
    <s v="Pennsylvania Eastern District Court"/>
    <s v="11/21/2016"/>
    <s v="01/20/2017"/>
    <x v="1184"/>
    <s v="Individual"/>
    <x v="1203"/>
    <m/>
    <s v="STON.8"/>
    <m/>
    <n v="1"/>
    <n v="2280000"/>
    <n v="0.57000000000000006"/>
    <x v="372"/>
    <s v="Contested"/>
    <s v="Ind"/>
    <x v="0"/>
  </r>
  <r>
    <x v="264"/>
    <s v="STON"/>
    <s v="Pennsylvania Eastern District Court"/>
    <s v="11/21/2016"/>
    <s v="01/20/2017"/>
    <x v="1185"/>
    <s v="Individual"/>
    <x v="1204"/>
    <m/>
    <s v="STON.9.a"/>
    <m/>
    <n v="5"/>
    <n v="542014.51"/>
    <n v="0.1355036275"/>
    <x v="373"/>
    <s v="Contested"/>
    <s v="G-Ind"/>
    <x v="0"/>
  </r>
  <r>
    <x v="264"/>
    <s v="STON"/>
    <s v="Pennsylvania Eastern District Court"/>
    <s v="11/21/2016"/>
    <s v="01/20/2017"/>
    <x v="1186"/>
    <s v="Individual"/>
    <x v="1205"/>
    <m/>
    <s v="STON.9.b"/>
    <m/>
    <m/>
    <m/>
    <n v="0"/>
    <x v="373"/>
    <s v="Contested"/>
    <s v="G-Ind"/>
    <x v="0"/>
  </r>
  <r>
    <x v="264"/>
    <s v="STON"/>
    <s v="Pennsylvania Eastern District Court"/>
    <s v="11/21/2016"/>
    <s v="01/20/2017"/>
    <x v="1187"/>
    <s v="Individual"/>
    <x v="1206"/>
    <m/>
    <s v="STON.9.c"/>
    <m/>
    <m/>
    <m/>
    <n v="0"/>
    <x v="373"/>
    <s v="Contested"/>
    <s v="G-Ind"/>
    <x v="0"/>
  </r>
  <r>
    <x v="264"/>
    <s v="STON"/>
    <s v="Pennsylvania Eastern District Court"/>
    <s v="11/21/2016"/>
    <s v="01/20/2017"/>
    <x v="1188"/>
    <s v="Individual"/>
    <x v="1207"/>
    <m/>
    <s v="STON.9.d"/>
    <m/>
    <m/>
    <m/>
    <n v="0"/>
    <x v="373"/>
    <s v="Contested"/>
    <s v="G-Ind"/>
    <x v="0"/>
  </r>
  <r>
    <x v="264"/>
    <s v="STON"/>
    <s v="Pennsylvania Eastern District Court"/>
    <s v="11/21/2016"/>
    <s v="01/20/2017"/>
    <x v="1189"/>
    <s v="Individual"/>
    <x v="1208"/>
    <m/>
    <s v="STON.9.e"/>
    <m/>
    <m/>
    <m/>
    <n v="0"/>
    <x v="373"/>
    <s v="Contested"/>
    <s v="G-Ind"/>
    <x v="0"/>
  </r>
  <r>
    <x v="265"/>
    <s v="STRP"/>
    <s v="New Jersey District Court"/>
    <s v="11/13/2015"/>
    <s v="01/12/2016"/>
    <x v="1190"/>
    <s v="Individual"/>
    <x v="1209"/>
    <m/>
    <s v="STRP.4.a"/>
    <n v="4"/>
    <n v="4"/>
    <n v="84409.53"/>
    <n v="6.4930407692307693E-2"/>
    <x v="151"/>
    <s v="Contested"/>
    <s v="G-Ind"/>
    <x v="0"/>
  </r>
  <r>
    <x v="265"/>
    <s v="STRP"/>
    <s v="New Jersey District Court"/>
    <s v="11/13/2015"/>
    <s v="01/12/2016"/>
    <x v="1191"/>
    <s v="Individual"/>
    <x v="1210"/>
    <m/>
    <s v="STRP.4.b"/>
    <m/>
    <m/>
    <m/>
    <n v="0"/>
    <x v="151"/>
    <s v="Contested"/>
    <s v="G-Ind"/>
    <x v="0"/>
  </r>
  <r>
    <x v="265"/>
    <s v="STRP"/>
    <s v="New Jersey District Court"/>
    <s v="11/13/2015"/>
    <s v="01/12/2016"/>
    <x v="1192"/>
    <s v="Individual"/>
    <x v="1211"/>
    <m/>
    <s v="STRP.4.c"/>
    <m/>
    <m/>
    <m/>
    <n v="0"/>
    <x v="151"/>
    <s v="Contested"/>
    <s v="G-Ind"/>
    <x v="0"/>
  </r>
  <r>
    <x v="265"/>
    <s v="STRP"/>
    <s v="New Jersey District Court"/>
    <s v="11/13/2015"/>
    <s v="01/12/2016"/>
    <x v="1193"/>
    <s v="Individual"/>
    <x v="1212"/>
    <m/>
    <s v="STRP.4.d"/>
    <m/>
    <m/>
    <m/>
    <n v="0"/>
    <x v="151"/>
    <s v="Contested"/>
    <s v="G-Ind"/>
    <x v="0"/>
  </r>
  <r>
    <x v="265"/>
    <s v="STRP"/>
    <s v="New Jersey District Court"/>
    <s v="11/13/2015"/>
    <s v="01/12/2016"/>
    <x v="1194"/>
    <s v="Individual"/>
    <x v="1213"/>
    <m/>
    <s v="STRP.1"/>
    <m/>
    <n v="1"/>
    <n v="105550"/>
    <n v="8.1192307692307689E-2"/>
    <x v="274"/>
    <s v="Contested"/>
    <s v="Ind"/>
    <x v="0"/>
  </r>
  <r>
    <x v="265"/>
    <s v="STRP"/>
    <s v="New Jersey District Court"/>
    <s v="11/13/2015"/>
    <s v="01/12/2016"/>
    <x v="1195"/>
    <s v="Individual"/>
    <x v="1214"/>
    <m/>
    <s v="STRP.2"/>
    <m/>
    <n v="1"/>
    <n v="3816131.82"/>
    <n v="2.935486015384615"/>
    <x v="374"/>
    <s v="Contested"/>
    <s v="Ind"/>
    <x v="0"/>
  </r>
  <r>
    <x v="265"/>
    <s v="STRP"/>
    <s v="New Jersey District Court"/>
    <s v="11/13/2015"/>
    <s v="01/12/2016"/>
    <x v="1196"/>
    <s v="Individual"/>
    <x v="1215"/>
    <s v="FIFO/LIFO"/>
    <s v="STRP.3"/>
    <m/>
    <n v="1"/>
    <n v="293541.74"/>
    <n v="0.22580133846153844"/>
    <x v="375"/>
    <s v="Contested"/>
    <s v="Ind"/>
    <x v="0"/>
  </r>
  <r>
    <x v="266"/>
    <s v="SUNE"/>
    <s v="Missouri Eastern District Court"/>
    <s v="11/30/2015"/>
    <s v="02/01/2016"/>
    <x v="1197"/>
    <s v="Institution"/>
    <x v="1216"/>
    <s v="FIFO"/>
    <s v="SUNE.1"/>
    <n v="6"/>
    <n v="1"/>
    <n v="8319268.9500000002"/>
    <n v="2.7730896500000002"/>
    <x v="376"/>
    <s v="Contested"/>
    <s v="Ins"/>
    <x v="0"/>
  </r>
  <r>
    <x v="266"/>
    <s v="SUNE"/>
    <s v="Missouri Eastern District Court"/>
    <s v="11/30/2015"/>
    <s v="02/01/2016"/>
    <x v="1198"/>
    <s v="Individual"/>
    <x v="1217"/>
    <m/>
    <s v="SUNE.2.a"/>
    <m/>
    <n v="2"/>
    <n v="434485.28"/>
    <n v="0.14482842666666668"/>
    <x v="377"/>
    <s v="Contested"/>
    <s v="G-Ind"/>
    <x v="0"/>
  </r>
  <r>
    <x v="266"/>
    <s v="SUNE"/>
    <s v="Missouri Eastern District Court"/>
    <s v="11/30/2015"/>
    <s v="02/01/2016"/>
    <x v="1199"/>
    <s v="Individual"/>
    <x v="1218"/>
    <m/>
    <s v="SUNE.2.b"/>
    <m/>
    <m/>
    <m/>
    <n v="0"/>
    <x v="377"/>
    <s v="Contested"/>
    <s v="G-Ind"/>
    <x v="0"/>
  </r>
  <r>
    <x v="266"/>
    <s v="SUNE"/>
    <s v="Missouri Eastern District Court"/>
    <s v="11/30/2015"/>
    <s v="02/01/2016"/>
    <x v="1200"/>
    <s v="Individual"/>
    <x v="1219"/>
    <m/>
    <s v="SUNE.3.a"/>
    <m/>
    <n v="3"/>
    <n v="4359500.2"/>
    <n v="1.4531667333333336"/>
    <x v="378"/>
    <s v="Contested"/>
    <s v="G-Mix"/>
    <x v="0"/>
  </r>
  <r>
    <x v="266"/>
    <s v="SUNE"/>
    <s v="Missouri Eastern District Court"/>
    <s v="11/30/2015"/>
    <s v="02/01/2016"/>
    <x v="1201"/>
    <s v="Individual"/>
    <x v="1220"/>
    <m/>
    <s v="SUNE.3.b"/>
    <m/>
    <m/>
    <m/>
    <n v="0"/>
    <x v="378"/>
    <s v="Contested"/>
    <s v="G-Mix"/>
    <x v="0"/>
  </r>
  <r>
    <x v="266"/>
    <s v="SUNE"/>
    <s v="Missouri Eastern District Court"/>
    <s v="11/30/2015"/>
    <s v="02/01/2016"/>
    <x v="1202"/>
    <s v="Institution"/>
    <x v="1221"/>
    <m/>
    <s v="SUNE.3.c"/>
    <m/>
    <m/>
    <m/>
    <n v="0"/>
    <x v="378"/>
    <s v="Contested"/>
    <s v="G-Mix"/>
    <x v="0"/>
  </r>
  <r>
    <x v="266"/>
    <s v="SUNE"/>
    <s v="Missouri Eastern District Court"/>
    <s v="11/30/2015"/>
    <s v="02/01/2016"/>
    <x v="1203"/>
    <s v="Individual"/>
    <x v="1222"/>
    <m/>
    <s v="SUNE.4"/>
    <m/>
    <n v="1"/>
    <n v="441058.82"/>
    <n v="0.14701960666666666"/>
    <x v="379"/>
    <s v="Contested"/>
    <s v="Ind"/>
    <x v="0"/>
  </r>
  <r>
    <x v="266"/>
    <s v="SUNE"/>
    <s v="Missouri Eastern District Court"/>
    <s v="11/30/2015"/>
    <s v="02/01/2016"/>
    <x v="1041"/>
    <s v="Institution"/>
    <x v="1223"/>
    <m/>
    <s v="SUNE.5.a"/>
    <m/>
    <n v="2"/>
    <n v="2508837.2200000002"/>
    <n v="0.8362790733333334"/>
    <x v="380"/>
    <s v="Contested"/>
    <s v="G-Ins"/>
    <x v="1"/>
  </r>
  <r>
    <x v="266"/>
    <s v="SUNE"/>
    <s v="Missouri Eastern District Court"/>
    <s v="11/30/2015"/>
    <s v="02/01/2016"/>
    <x v="38"/>
    <s v="Institution"/>
    <x v="1224"/>
    <m/>
    <s v="SUNE.5.b"/>
    <m/>
    <m/>
    <m/>
    <n v="0"/>
    <x v="380"/>
    <s v="Contested"/>
    <s v="G-Ins"/>
    <x v="1"/>
  </r>
  <r>
    <x v="266"/>
    <s v="SUNE"/>
    <s v="Missouri Eastern District Court"/>
    <s v="11/30/2015"/>
    <s v="02/01/2016"/>
    <x v="1204"/>
    <s v="Individual"/>
    <x v="1225"/>
    <m/>
    <s v="SUNE.6.a"/>
    <m/>
    <n v="5"/>
    <n v="3184042"/>
    <n v="1.0613473333333334"/>
    <x v="381"/>
    <s v="Contested"/>
    <s v="G-Ind"/>
    <x v="0"/>
  </r>
  <r>
    <x v="266"/>
    <s v="SUNE"/>
    <s v="Missouri Eastern District Court"/>
    <s v="11/30/2015"/>
    <s v="02/01/2016"/>
    <x v="1205"/>
    <s v="Individual"/>
    <x v="1226"/>
    <m/>
    <s v="SUNE.6.b"/>
    <m/>
    <m/>
    <m/>
    <n v="0"/>
    <x v="381"/>
    <s v="Contested"/>
    <s v="G-Ind"/>
    <x v="0"/>
  </r>
  <r>
    <x v="266"/>
    <s v="SUNE"/>
    <s v="Missouri Eastern District Court"/>
    <s v="11/30/2015"/>
    <s v="02/01/2016"/>
    <x v="1206"/>
    <s v="Individual"/>
    <x v="1227"/>
    <m/>
    <s v="SUNE.6.c"/>
    <m/>
    <m/>
    <m/>
    <n v="0"/>
    <x v="381"/>
    <s v="Contested"/>
    <s v="G-Ind"/>
    <x v="0"/>
  </r>
  <r>
    <x v="266"/>
    <s v="SUNE"/>
    <s v="Missouri Eastern District Court"/>
    <s v="11/30/2015"/>
    <s v="02/01/2016"/>
    <x v="1207"/>
    <s v="Individual"/>
    <x v="1228"/>
    <m/>
    <s v="SUNE.6.d"/>
    <m/>
    <m/>
    <m/>
    <n v="0"/>
    <x v="381"/>
    <s v="Contested"/>
    <s v="G-Ind"/>
    <x v="0"/>
  </r>
  <r>
    <x v="266"/>
    <s v="SUNE"/>
    <s v="Missouri Eastern District Court"/>
    <s v="11/30/2015"/>
    <s v="02/01/2016"/>
    <x v="1208"/>
    <s v="Individual"/>
    <x v="1229"/>
    <m/>
    <s v="SUNE.6.e"/>
    <m/>
    <m/>
    <m/>
    <n v="0"/>
    <x v="381"/>
    <s v="Contested"/>
    <s v="G-Ind"/>
    <x v="0"/>
  </r>
  <r>
    <x v="267"/>
    <s v="SPWR"/>
    <s v="California Northern District Court"/>
    <s v="08/16/2016"/>
    <s v="10/17/2016"/>
    <x v="1209"/>
    <s v="Individual"/>
    <x v="1230"/>
    <s v="Dura"/>
    <s v="SPWR.1"/>
    <n v="5"/>
    <n v="1"/>
    <n v="287950"/>
    <n v="0.26177272727272727"/>
    <x v="382"/>
    <s v="Contested"/>
    <s v="Ind"/>
    <x v="0"/>
  </r>
  <r>
    <x v="267"/>
    <s v="SPWR"/>
    <s v="California Northern District Court"/>
    <s v="08/16/2016"/>
    <s v="10/17/2016"/>
    <x v="1210"/>
    <s v="Individual"/>
    <x v="1231"/>
    <m/>
    <s v="SPWR.2.a"/>
    <m/>
    <n v="2"/>
    <n v="338885"/>
    <n v="0.3080772727272727"/>
    <x v="56"/>
    <s v="Contested"/>
    <s v="G-Ind"/>
    <x v="1"/>
  </r>
  <r>
    <x v="267"/>
    <s v="SPWR"/>
    <s v="California Northern District Court"/>
    <s v="08/16/2016"/>
    <s v="10/17/2016"/>
    <x v="1211"/>
    <s v="Individual"/>
    <x v="1232"/>
    <m/>
    <s v="SPWR.2.b"/>
    <m/>
    <m/>
    <m/>
    <n v="0"/>
    <x v="56"/>
    <s v="Contested"/>
    <s v="G-Ind"/>
    <x v="1"/>
  </r>
  <r>
    <x v="267"/>
    <s v="SPWR"/>
    <s v="California Northern District Court"/>
    <s v="08/16/2016"/>
    <s v="10/17/2016"/>
    <x v="1212"/>
    <s v="Individual"/>
    <x v="1233"/>
    <m/>
    <s v="SPWR.3.a"/>
    <m/>
    <n v="3"/>
    <n v="238015.54"/>
    <n v="0.21637776363636363"/>
    <x v="69"/>
    <s v="Contested"/>
    <s v="G-Ind"/>
    <x v="0"/>
  </r>
  <r>
    <x v="267"/>
    <s v="SPWR"/>
    <s v="California Northern District Court"/>
    <s v="08/16/2016"/>
    <s v="10/17/2016"/>
    <x v="1213"/>
    <s v="Individual"/>
    <x v="1234"/>
    <m/>
    <s v="SPWR.3.b"/>
    <m/>
    <m/>
    <m/>
    <n v="0"/>
    <x v="69"/>
    <s v="Contested"/>
    <s v="G-Ind"/>
    <x v="0"/>
  </r>
  <r>
    <x v="267"/>
    <s v="SPWR"/>
    <s v="California Northern District Court"/>
    <s v="08/16/2016"/>
    <s v="10/17/2016"/>
    <x v="1214"/>
    <s v="Individual"/>
    <x v="1235"/>
    <m/>
    <s v="SPWR.3.c"/>
    <m/>
    <m/>
    <m/>
    <n v="0"/>
    <x v="69"/>
    <s v="Contested"/>
    <s v="G-Ind"/>
    <x v="0"/>
  </r>
  <r>
    <x v="267"/>
    <s v="SPWR"/>
    <s v="California Northern District Court"/>
    <s v="08/16/2016"/>
    <s v="10/17/2016"/>
    <x v="1215"/>
    <s v="Individual"/>
    <x v="1236"/>
    <m/>
    <s v="SPWR.4"/>
    <m/>
    <n v="1"/>
    <n v="171179.43"/>
    <n v="0.15561766363636362"/>
    <x v="10"/>
    <s v="Contested"/>
    <s v="Ind"/>
    <x v="1"/>
  </r>
  <r>
    <x v="267"/>
    <s v="SPWR"/>
    <s v="California Northern District Court"/>
    <s v="08/16/2016"/>
    <s v="10/17/2016"/>
    <x v="1216"/>
    <s v="Individual"/>
    <x v="1237"/>
    <m/>
    <s v="SPWR.5.a"/>
    <m/>
    <n v="5"/>
    <n v="354909.42"/>
    <n v="0.32264492727272726"/>
    <x v="383"/>
    <s v="Contested"/>
    <s v="G-Ind"/>
    <x v="1"/>
  </r>
  <r>
    <x v="267"/>
    <s v="SPWR"/>
    <s v="California Northern District Court"/>
    <s v="08/16/2016"/>
    <s v="10/17/2016"/>
    <x v="1217"/>
    <s v="Individual"/>
    <x v="1238"/>
    <m/>
    <s v="SPWR.5.b"/>
    <m/>
    <m/>
    <m/>
    <n v="0"/>
    <x v="383"/>
    <s v="Contested"/>
    <s v="G-Ind"/>
    <x v="1"/>
  </r>
  <r>
    <x v="267"/>
    <s v="SPWR"/>
    <s v="California Northern District Court"/>
    <s v="08/16/2016"/>
    <s v="10/17/2016"/>
    <x v="1218"/>
    <s v="Individual"/>
    <x v="1239"/>
    <m/>
    <s v="SPWR.5.c"/>
    <m/>
    <m/>
    <m/>
    <n v="0"/>
    <x v="383"/>
    <s v="Contested"/>
    <s v="G-Ind"/>
    <x v="1"/>
  </r>
  <r>
    <x v="267"/>
    <s v="SPWR"/>
    <s v="California Northern District Court"/>
    <s v="08/16/2016"/>
    <s v="10/17/2016"/>
    <x v="1219"/>
    <s v="Individual"/>
    <x v="1240"/>
    <m/>
    <s v="SPWR.5.d"/>
    <m/>
    <m/>
    <m/>
    <n v="0"/>
    <x v="383"/>
    <s v="Contested"/>
    <s v="G-Ind"/>
    <x v="1"/>
  </r>
  <r>
    <x v="267"/>
    <s v="SPWR"/>
    <s v="California Northern District Court"/>
    <s v="08/16/2016"/>
    <s v="10/17/2016"/>
    <x v="1220"/>
    <s v="Individual"/>
    <x v="1241"/>
    <m/>
    <s v="SPWR.5.e"/>
    <m/>
    <m/>
    <m/>
    <n v="0"/>
    <x v="383"/>
    <s v="Contested"/>
    <s v="G-Ind"/>
    <x v="1"/>
  </r>
  <r>
    <x v="268"/>
    <s v="RUN"/>
    <s v="California Northern District Court"/>
    <s v="05/06/2016"/>
    <s v="07/05/2016"/>
    <x v="1221"/>
    <s v="Individual"/>
    <x v="1242"/>
    <m/>
    <s v="RUN.1"/>
    <n v="2"/>
    <n v="1"/>
    <n v="35650"/>
    <n v="0.11883333333333333"/>
    <x v="10"/>
    <s v="Contested"/>
    <s v="Ind"/>
    <x v="0"/>
  </r>
  <r>
    <x v="268"/>
    <s v="RUN"/>
    <s v="California Northern District Court"/>
    <s v="05/06/2016"/>
    <s v="07/05/2016"/>
    <x v="1222"/>
    <s v="Individual"/>
    <x v="1243"/>
    <m/>
    <s v="RUN.2.a"/>
    <m/>
    <n v="4"/>
    <n v="52350"/>
    <n v="0.17449999999999999"/>
    <x v="146"/>
    <s v="Contested"/>
    <s v="G-Ind"/>
    <x v="0"/>
  </r>
  <r>
    <x v="268"/>
    <s v="RUN"/>
    <s v="California Northern District Court"/>
    <s v="05/06/2016"/>
    <s v="07/05/2016"/>
    <x v="1223"/>
    <s v="Individual"/>
    <x v="1244"/>
    <m/>
    <s v="RUN.2.b"/>
    <m/>
    <m/>
    <m/>
    <n v="0"/>
    <x v="146"/>
    <s v="Contested"/>
    <s v="G-Ind"/>
    <x v="0"/>
  </r>
  <r>
    <x v="268"/>
    <s v="RUN"/>
    <s v="California Northern District Court"/>
    <s v="05/06/2016"/>
    <s v="07/05/2016"/>
    <x v="1224"/>
    <s v="Individual"/>
    <x v="1244"/>
    <m/>
    <s v="RUN.2.c"/>
    <m/>
    <m/>
    <m/>
    <n v="0"/>
    <x v="146"/>
    <s v="Contested"/>
    <s v="G-Ind"/>
    <x v="0"/>
  </r>
  <r>
    <x v="268"/>
    <s v="RUN"/>
    <s v="California Northern District Court"/>
    <s v="05/06/2016"/>
    <s v="07/05/2016"/>
    <x v="1225"/>
    <s v="Individual"/>
    <x v="1245"/>
    <m/>
    <s v="RUN.2.d"/>
    <m/>
    <m/>
    <m/>
    <n v="0"/>
    <x v="146"/>
    <s v="Contested"/>
    <s v="G-Ind"/>
    <x v="0"/>
  </r>
  <r>
    <x v="269"/>
    <s v="SPCB"/>
    <s v="New York Southern District Court"/>
    <s v="12/09/2015"/>
    <s v="02/08/2016"/>
    <x v="1226"/>
    <s v="Individual"/>
    <x v="1246"/>
    <m/>
    <s v="SPCB.1"/>
    <n v="3"/>
    <n v="1"/>
    <n v="203741"/>
    <n v="1.3582733333333332"/>
    <x v="56"/>
    <s v="Contested"/>
    <s v="Ind"/>
    <x v="0"/>
  </r>
  <r>
    <x v="269"/>
    <s v="SPCB"/>
    <s v="New York Southern District Court"/>
    <s v="12/09/2015"/>
    <s v="02/08/2016"/>
    <x v="1227"/>
    <s v="Institution"/>
    <x v="1247"/>
    <m/>
    <s v="SPCB.2"/>
    <m/>
    <n v="1"/>
    <n v="153219.51999999999"/>
    <n v="1.0214634666666667"/>
    <x v="384"/>
    <s v="Contested"/>
    <s v="Ins"/>
    <x v="0"/>
  </r>
  <r>
    <x v="269"/>
    <s v="SPCB"/>
    <s v="New York Southern District Court"/>
    <s v="12/09/2015"/>
    <s v="02/08/2016"/>
    <x v="1228"/>
    <s v="Individual"/>
    <x v="1248"/>
    <m/>
    <s v="SPCB.3"/>
    <m/>
    <n v="1"/>
    <n v="37223.18"/>
    <n v="0.24815453333333334"/>
    <x v="8"/>
    <s v="Contested"/>
    <s v="Ind"/>
    <x v="0"/>
  </r>
  <r>
    <x v="270"/>
    <s v="STS"/>
    <s v="Indiana Northern District Court"/>
    <s v="11/04/2016"/>
    <s v="01/03/2017"/>
    <x v="1229"/>
    <s v="Individual"/>
    <x v="1249"/>
    <m/>
    <s v="STS.1"/>
    <n v="2"/>
    <n v="1"/>
    <n v="18065"/>
    <n v="7.8543478260869562E-2"/>
    <x v="385"/>
    <s v="Contested"/>
    <s v="Ind"/>
    <x v="0"/>
  </r>
  <r>
    <x v="270"/>
    <s v="STS"/>
    <s v="Indiana Northern District Court"/>
    <s v="11/04/2016"/>
    <s v="01/03/2017"/>
    <x v="1230"/>
    <s v="Individual"/>
    <x v="1250"/>
    <m/>
    <s v="STS.2"/>
    <m/>
    <n v="1"/>
    <n v="3097.25"/>
    <n v="1.3466304347826087E-2"/>
    <x v="8"/>
    <s v="Contested"/>
    <s v="Ind"/>
    <x v="0"/>
  </r>
  <r>
    <x v="271"/>
    <s v="SNCR"/>
    <s v="New Jersey District Court"/>
    <s v="05/01/2017"/>
    <s v="06/30/2017"/>
    <x v="1231"/>
    <s v="Individual"/>
    <x v="1251"/>
    <s v="LIFO"/>
    <s v="SNCR.1"/>
    <n v="5"/>
    <n v="1"/>
    <n v="122081"/>
    <n v="4.069366666666667E-2"/>
    <x v="26"/>
    <s v="Contested"/>
    <s v="Ind"/>
    <x v="0"/>
  </r>
  <r>
    <x v="271"/>
    <s v="SNCR"/>
    <s v="New Jersey District Court"/>
    <s v="05/01/2017"/>
    <s v="06/30/2017"/>
    <x v="489"/>
    <s v="Institution"/>
    <x v="1252"/>
    <s v="FIFO/LIFO"/>
    <s v="SNCR.2"/>
    <m/>
    <n v="1"/>
    <n v="2467510"/>
    <n v="0.82250333333333325"/>
    <x v="386"/>
    <s v="Contested"/>
    <s v="Ins"/>
    <x v="1"/>
  </r>
  <r>
    <x v="271"/>
    <s v="SNCR"/>
    <s v="New Jersey District Court"/>
    <s v="05/01/2017"/>
    <s v="06/30/2017"/>
    <x v="1232"/>
    <s v="Individual"/>
    <x v="1253"/>
    <m/>
    <s v="SNCR.3"/>
    <m/>
    <n v="1"/>
    <n v="432072.78"/>
    <n v="0.14402425999999999"/>
    <x v="10"/>
    <s v="Contested"/>
    <s v="Ind"/>
    <x v="0"/>
  </r>
  <r>
    <x v="271"/>
    <s v="SNCR"/>
    <s v="New Jersey District Court"/>
    <s v="05/01/2017"/>
    <s v="06/30/2017"/>
    <x v="1233"/>
    <s v="Individual"/>
    <x v="1254"/>
    <m/>
    <s v="SNCR,4.a"/>
    <m/>
    <n v="5"/>
    <n v="89773"/>
    <n v="2.9924333333333334E-2"/>
    <x v="387"/>
    <s v="Contested"/>
    <s v="G-Ind"/>
    <x v="0"/>
  </r>
  <r>
    <x v="271"/>
    <s v="SNCR"/>
    <s v="New Jersey District Court"/>
    <s v="05/01/2017"/>
    <s v="06/30/2017"/>
    <x v="1234"/>
    <s v="Individual"/>
    <x v="1255"/>
    <m/>
    <s v="SNCR.4.b"/>
    <m/>
    <m/>
    <m/>
    <n v="0"/>
    <x v="387"/>
    <s v="Contested"/>
    <s v="G-Ind"/>
    <x v="0"/>
  </r>
  <r>
    <x v="271"/>
    <s v="SNCR"/>
    <s v="New Jersey District Court"/>
    <s v="05/01/2017"/>
    <s v="06/30/2017"/>
    <x v="1235"/>
    <s v="Individual"/>
    <x v="1256"/>
    <m/>
    <s v="SNCR.4.c"/>
    <m/>
    <m/>
    <m/>
    <n v="0"/>
    <x v="387"/>
    <s v="Contested"/>
    <s v="G-Ind"/>
    <x v="0"/>
  </r>
  <r>
    <x v="271"/>
    <s v="SNCR"/>
    <s v="New Jersey District Court"/>
    <s v="05/01/2017"/>
    <s v="06/30/2017"/>
    <x v="1236"/>
    <s v="Individual"/>
    <x v="1257"/>
    <m/>
    <s v="SNCR.4.d"/>
    <m/>
    <m/>
    <m/>
    <n v="0"/>
    <x v="387"/>
    <s v="Contested"/>
    <s v="G-Ind"/>
    <x v="0"/>
  </r>
  <r>
    <x v="271"/>
    <s v="SNCR"/>
    <s v="New Jersey District Court"/>
    <s v="05/01/2017"/>
    <s v="06/30/2017"/>
    <x v="1237"/>
    <s v="Individual"/>
    <x v="1258"/>
    <m/>
    <s v="SNCR.4.e"/>
    <m/>
    <m/>
    <m/>
    <n v="0"/>
    <x v="387"/>
    <s v="Contested"/>
    <s v="G-Ind"/>
    <x v="0"/>
  </r>
  <r>
    <x v="271"/>
    <s v="SNCR"/>
    <s v="New Jersey District Court"/>
    <s v="05/01/2017"/>
    <s v="06/30/2017"/>
    <x v="284"/>
    <s v="Institution"/>
    <x v="1259"/>
    <s v="LIFO"/>
    <s v="SNCR.5.a"/>
    <m/>
    <n v="2"/>
    <n v="1226503"/>
    <n v="0.40883433333333336"/>
    <x v="388"/>
    <s v="Contested"/>
    <s v="G-Ins"/>
    <x v="1"/>
  </r>
  <r>
    <x v="271"/>
    <s v="SNCR"/>
    <s v="New Jersey District Court"/>
    <s v="05/01/2017"/>
    <s v="06/30/2017"/>
    <x v="285"/>
    <s v="Institution"/>
    <x v="1260"/>
    <s v="LIFO"/>
    <s v="SNCR.5.b"/>
    <m/>
    <m/>
    <m/>
    <n v="0"/>
    <x v="388"/>
    <s v="Contested"/>
    <s v="G-Ins"/>
    <x v="1"/>
  </r>
  <r>
    <x v="272"/>
    <s v="TLRD"/>
    <s v="Texas Southern District Court"/>
    <s v="03/29/2016"/>
    <s v="05/31/2016"/>
    <x v="536"/>
    <s v="Institution"/>
    <x v="1261"/>
    <s v="FIFO"/>
    <s v="TLRD.1.a"/>
    <n v="4"/>
    <n v="2"/>
    <n v="3110095.69"/>
    <n v="0.37698129575757572"/>
    <x v="389"/>
    <s v="Contested"/>
    <s v="G-Ins"/>
    <x v="1"/>
  </r>
  <r>
    <x v="272"/>
    <s v="TLRD"/>
    <s v="Texas Southern District Court"/>
    <s v="03/29/2016"/>
    <s v="05/31/2016"/>
    <x v="401"/>
    <s v="Institution"/>
    <x v="1262"/>
    <s v="FIFO/LIFO"/>
    <s v="TLRD.1.b"/>
    <m/>
    <m/>
    <m/>
    <n v="0"/>
    <x v="389"/>
    <s v="Contested"/>
    <s v="G-Ins"/>
    <x v="1"/>
  </r>
  <r>
    <x v="272"/>
    <s v="TLRD"/>
    <s v="Texas Southern District Court"/>
    <s v="03/29/2016"/>
    <s v="05/31/2016"/>
    <x v="52"/>
    <s v="Institution"/>
    <x v="1263"/>
    <m/>
    <s v="TLRD.2"/>
    <m/>
    <n v="1"/>
    <n v="2096045.22"/>
    <n v="0.25406608727272728"/>
    <x v="390"/>
    <s v="Contested"/>
    <s v="G-Ins"/>
    <x v="1"/>
  </r>
  <r>
    <x v="272"/>
    <s v="TLRD"/>
    <s v="Texas Southern District Court"/>
    <s v="03/29/2016"/>
    <s v="05/31/2016"/>
    <x v="1210"/>
    <s v="Individual"/>
    <x v="1264"/>
    <m/>
    <s v="TLRD.3.a"/>
    <m/>
    <n v="2"/>
    <n v="192991.32"/>
    <n v="2.3392887272727276E-2"/>
    <x v="391"/>
    <s v="Contested"/>
    <s v="Ind"/>
    <x v="1"/>
  </r>
  <r>
    <x v="272"/>
    <s v="TLRD"/>
    <s v="Texas Southern District Court"/>
    <s v="03/29/2016"/>
    <s v="05/31/2016"/>
    <x v="523"/>
    <s v="Institution"/>
    <x v="1265"/>
    <m/>
    <s v="TLRD.3.b"/>
    <m/>
    <m/>
    <m/>
    <n v="0"/>
    <x v="391"/>
    <s v="Contested"/>
    <s v="Ins"/>
    <x v="1"/>
  </r>
  <r>
    <x v="272"/>
    <s v="TLRD"/>
    <s v="Texas Southern District Court"/>
    <s v="03/29/2016"/>
    <s v="05/31/2016"/>
    <x v="595"/>
    <s v="Institution"/>
    <x v="1266"/>
    <m/>
    <s v="TLRD.4"/>
    <m/>
    <n v="1"/>
    <n v="486994"/>
    <n v="5.9029575757575753E-2"/>
    <x v="221"/>
    <s v="Contested"/>
    <s v="Ins"/>
    <x v="1"/>
  </r>
  <r>
    <x v="273"/>
    <s v="TLMR"/>
    <s v="Michigan Eastern District"/>
    <s v="06/16/2016"/>
    <s v="08/16/2016"/>
    <x v="1238"/>
    <s v="Institution"/>
    <x v="5"/>
    <m/>
    <s v="TLMR.1"/>
    <n v="1"/>
    <n v="1"/>
    <s v="***"/>
    <e v="#VALUE!"/>
    <x v="392"/>
    <s v="Uncontested"/>
    <s v="G-Ins"/>
    <x v="0"/>
  </r>
  <r>
    <x v="274"/>
    <s v="TNGO"/>
    <s v="Connecticut District Court"/>
    <s v="05/24/2016"/>
    <s v="07/25/2016"/>
    <x v="33"/>
    <s v="Institution"/>
    <x v="1267"/>
    <m/>
    <s v="TNGO.1"/>
    <n v="2"/>
    <n v="1"/>
    <n v="16160.11"/>
    <n v="0.10773406666666667"/>
    <x v="393"/>
    <s v="Contested"/>
    <s v="Ins"/>
    <x v="1"/>
  </r>
  <r>
    <x v="274"/>
    <s v="TNGO"/>
    <s v="Connecticut District Court"/>
    <s v="05/24/2016"/>
    <s v="07/25/2016"/>
    <x v="1239"/>
    <s v="Individual"/>
    <x v="1268"/>
    <m/>
    <s v="TNGO.2"/>
    <m/>
    <n v="1"/>
    <n v="7710"/>
    <n v="5.1400000000000001E-2"/>
    <x v="103"/>
    <s v="Contested"/>
    <s v="Ind"/>
    <x v="0"/>
  </r>
  <r>
    <x v="275"/>
    <s v="TGT"/>
    <s v="Minnesota District Court"/>
    <s v="05/17/2016"/>
    <s v="07/18/2016"/>
    <x v="1240"/>
    <s v="Institution"/>
    <x v="1269"/>
    <m/>
    <s v="TGT.1"/>
    <n v="1"/>
    <n v="1"/>
    <n v="282619.56"/>
    <n v="2.355163E-2"/>
    <x v="394"/>
    <s v="Uncontested"/>
    <s v="Ins"/>
    <x v="1"/>
  </r>
  <r>
    <x v="276"/>
    <s v="TARO"/>
    <s v="New York Southern District Court"/>
    <s v="10/25/2016"/>
    <s v="12/27/2016"/>
    <x v="284"/>
    <s v="Institution"/>
    <x v="1270"/>
    <m/>
    <s v="TARO.1"/>
    <n v="3"/>
    <n v="1"/>
    <n v="166256.29"/>
    <n v="0.33251258"/>
    <x v="284"/>
    <s v="Contested"/>
    <s v="Ins"/>
    <x v="1"/>
  </r>
  <r>
    <x v="276"/>
    <s v="TARO"/>
    <s v="New York Southern District Court"/>
    <s v="10/25/2016"/>
    <s v="12/27/2016"/>
    <x v="1241"/>
    <s v="Individual"/>
    <x v="1271"/>
    <m/>
    <s v="TARO.2.a"/>
    <m/>
    <n v="2"/>
    <n v="41610"/>
    <n v="8.3219999999999988E-2"/>
    <x v="97"/>
    <s v="Contested"/>
    <s v="G-Ind"/>
    <x v="0"/>
  </r>
  <r>
    <x v="276"/>
    <s v="TARO"/>
    <s v="New York Southern District Court"/>
    <s v="10/25/2016"/>
    <s v="12/27/2016"/>
    <x v="1242"/>
    <s v="Individual"/>
    <x v="1272"/>
    <m/>
    <s v="TARO.2.b"/>
    <m/>
    <m/>
    <m/>
    <n v="0"/>
    <x v="97"/>
    <s v="Contested"/>
    <s v="G-Ind"/>
    <x v="0"/>
  </r>
  <r>
    <x v="276"/>
    <s v="TARO"/>
    <s v="New York Southern District Court"/>
    <s v="10/25/2016"/>
    <s v="12/27/2016"/>
    <x v="1243"/>
    <s v="Institution"/>
    <x v="1273"/>
    <m/>
    <s v="TARO.3"/>
    <m/>
    <n v="1"/>
    <n v="5518"/>
    <n v="1.1035999999999999E-2"/>
    <x v="8"/>
    <s v="Contested"/>
    <s v="Ins"/>
    <x v="0"/>
  </r>
  <r>
    <x v="277"/>
    <s v="TCPIF"/>
    <s v="Ohio Northern District Court"/>
    <s v="11/11/2015"/>
    <s v="01/11/2016"/>
    <x v="1244"/>
    <s v="Individual"/>
    <x v="1274"/>
    <m/>
    <s v="TCPIF.1"/>
    <n v="3"/>
    <n v="1"/>
    <n v="9001.23"/>
    <n v="1.0844855421686747E-2"/>
    <x v="1"/>
    <s v="Contested"/>
    <s v="Ind"/>
    <x v="0"/>
  </r>
  <r>
    <x v="277"/>
    <s v="TCPIF"/>
    <s v="Ohio Northern District Court"/>
    <s v="11/11/2015"/>
    <s v="01/11/2016"/>
    <x v="1245"/>
    <s v="Individual"/>
    <x v="1275"/>
    <m/>
    <s v="TCPIF.2.a"/>
    <m/>
    <n v="3"/>
    <n v="12474"/>
    <n v="1.5028915662650601E-2"/>
    <x v="82"/>
    <s v="Contested"/>
    <s v="G-Ind"/>
    <x v="0"/>
  </r>
  <r>
    <x v="277"/>
    <s v="TCPIF"/>
    <s v="Ohio Northern District Court"/>
    <s v="11/11/2015"/>
    <s v="01/11/2016"/>
    <x v="1246"/>
    <s v="Individual"/>
    <x v="1276"/>
    <m/>
    <s v="TCPIF.2.b"/>
    <m/>
    <m/>
    <m/>
    <n v="0"/>
    <x v="82"/>
    <s v="Contested"/>
    <s v="G-Ind"/>
    <x v="0"/>
  </r>
  <r>
    <x v="277"/>
    <s v="TCPIF"/>
    <s v="Ohio Northern District Court"/>
    <s v="11/11/2015"/>
    <s v="01/11/2016"/>
    <x v="1247"/>
    <s v="Individual"/>
    <x v="1277"/>
    <m/>
    <s v="TCPIF.2.c"/>
    <m/>
    <m/>
    <m/>
    <n v="0"/>
    <x v="82"/>
    <s v="Contested"/>
    <s v="G-Ind"/>
    <x v="0"/>
  </r>
  <r>
    <x v="277"/>
    <s v="TCPIF"/>
    <s v="Ohio Northern District Court"/>
    <s v="11/11/2015"/>
    <s v="01/11/2016"/>
    <x v="1248"/>
    <s v="Individual"/>
    <x v="1278"/>
    <m/>
    <s v="TCPIF.3"/>
    <m/>
    <n v="1"/>
    <n v="9118"/>
    <n v="1.0985542168674698E-2"/>
    <x v="82"/>
    <s v="Contested"/>
    <s v="G-Ind"/>
    <x v="0"/>
  </r>
  <r>
    <x v="278"/>
    <s v="TK"/>
    <s v="Washington Western District Court"/>
    <s v="03/01/2016"/>
    <s v="05/02/2016"/>
    <x v="1249"/>
    <s v="Individual"/>
    <x v="1279"/>
    <m/>
    <s v="TK.1"/>
    <n v="3"/>
    <n v="1"/>
    <n v="204539.73"/>
    <n v="8.1815892000000001E-2"/>
    <x v="395"/>
    <s v="Contested"/>
    <s v="Ind"/>
    <x v="0"/>
  </r>
  <r>
    <x v="278"/>
    <s v="TK"/>
    <s v="Washington Western District Court"/>
    <s v="03/01/2016"/>
    <s v="05/02/2016"/>
    <x v="1250"/>
    <s v="Institution"/>
    <x v="1280"/>
    <s v="FIFO/LIFO"/>
    <s v="TK.2"/>
    <m/>
    <n v="1"/>
    <n v="506482.14"/>
    <n v="0.20259285600000002"/>
    <x v="396"/>
    <s v="Contested"/>
    <s v="Ins"/>
    <x v="0"/>
  </r>
  <r>
    <x v="278"/>
    <s v="TK"/>
    <s v="Washington Western District Court"/>
    <s v="03/01/2016"/>
    <s v="05/02/2016"/>
    <x v="1251"/>
    <s v="Individual"/>
    <x v="1281"/>
    <s v="LIFO"/>
    <s v="TK.3.a"/>
    <m/>
    <n v="2"/>
    <n v="76678.559999999998"/>
    <n v="3.0671423999999999E-2"/>
    <x v="20"/>
    <s v="Contested"/>
    <s v="G-Ind"/>
    <x v="0"/>
  </r>
  <r>
    <x v="278"/>
    <s v="TK"/>
    <s v="Washington Western District Court"/>
    <s v="03/01/2016"/>
    <s v="05/02/2016"/>
    <x v="1252"/>
    <s v="Individual"/>
    <x v="1282"/>
    <s v="LIFO"/>
    <s v="TK.3.b"/>
    <m/>
    <m/>
    <m/>
    <n v="0"/>
    <x v="20"/>
    <s v="Contested"/>
    <s v="G-Ind"/>
    <x v="0"/>
  </r>
  <r>
    <x v="279"/>
    <s v="TPX"/>
    <s v="New York Southern District Court"/>
    <s v="03/24/2017"/>
    <s v="05/23/2017"/>
    <x v="1253"/>
    <s v="Individual"/>
    <x v="1283"/>
    <m/>
    <s v="TPX.1"/>
    <n v="3"/>
    <n v="1"/>
    <n v="3681.68"/>
    <n v="8.1815111111111101E-4"/>
    <x v="107"/>
    <s v="Contested"/>
    <s v="Ind"/>
    <x v="0"/>
  </r>
  <r>
    <x v="279"/>
    <s v="TPX"/>
    <s v="New York Southern District Court"/>
    <s v="03/24/2017"/>
    <s v="05/23/2017"/>
    <x v="536"/>
    <s v="Institution"/>
    <x v="1284"/>
    <s v="LIFO"/>
    <s v="TPX.2"/>
    <m/>
    <n v="1"/>
    <n v="37833.58"/>
    <n v="8.4074622222222225E-3"/>
    <x v="70"/>
    <s v="Contested"/>
    <s v="Ins"/>
    <x v="1"/>
  </r>
  <r>
    <x v="279"/>
    <s v="TPX"/>
    <s v="New York Southern District Court"/>
    <s v="03/24/2017"/>
    <s v="05/23/2017"/>
    <x v="1254"/>
    <s v="Individual"/>
    <x v="1285"/>
    <m/>
    <s v="TPX.3"/>
    <m/>
    <n v="1"/>
    <n v="3654.84"/>
    <n v="8.1218666666666676E-4"/>
    <x v="8"/>
    <s v="Contested"/>
    <s v="Ind"/>
    <x v="0"/>
  </r>
  <r>
    <x v="280"/>
    <s v="THC"/>
    <s v="Texas Northern District Court"/>
    <s v="10/10/2016"/>
    <s v="12/06/2016"/>
    <x v="1255"/>
    <s v="Individual"/>
    <x v="1286"/>
    <m/>
    <s v="THC.1.a"/>
    <n v="1"/>
    <n v="4"/>
    <n v="186136.88"/>
    <n v="0.13295491428571429"/>
    <x v="397"/>
    <s v="Uncontested"/>
    <s v="G-Ind"/>
    <x v="0"/>
  </r>
  <r>
    <x v="280"/>
    <s v="THC"/>
    <s v="Texas Northern District Court"/>
    <s v="10/10/2016"/>
    <s v="12/06/2016"/>
    <x v="1256"/>
    <s v="Individual"/>
    <x v="1287"/>
    <m/>
    <s v="THC.1.b"/>
    <m/>
    <m/>
    <m/>
    <n v="0"/>
    <x v="397"/>
    <s v="Uncontested"/>
    <s v="G-Ind"/>
    <x v="0"/>
  </r>
  <r>
    <x v="280"/>
    <s v="THC"/>
    <s v="Texas Northern District Court"/>
    <s v="10/10/2016"/>
    <s v="12/06/2016"/>
    <x v="1257"/>
    <s v="Individual"/>
    <x v="1288"/>
    <m/>
    <s v="THC.1.c"/>
    <m/>
    <m/>
    <m/>
    <n v="0"/>
    <x v="397"/>
    <s v="Uncontested"/>
    <s v="G-Ind"/>
    <x v="0"/>
  </r>
  <r>
    <x v="280"/>
    <s v="THC"/>
    <s v="Texas Northern District Court"/>
    <s v="10/10/2016"/>
    <s v="12/06/2016"/>
    <x v="1258"/>
    <s v="Individual"/>
    <x v="1289"/>
    <m/>
    <s v="THC.1.d"/>
    <m/>
    <m/>
    <m/>
    <n v="0"/>
    <x v="397"/>
    <s v="Uncontested"/>
    <s v="G-Ind"/>
    <x v="0"/>
  </r>
  <r>
    <x v="281"/>
    <s v="TERP"/>
    <s v="Maryland District Court"/>
    <s v="04/04/2016"/>
    <s v="06/03/2016"/>
    <x v="1259"/>
    <s v="Individual"/>
    <x v="1290"/>
    <m/>
    <s v="TERP.1.a"/>
    <n v="1"/>
    <n v="2"/>
    <n v="63148"/>
    <n v="0.25259199999999998"/>
    <x v="398"/>
    <s v="Uncontested"/>
    <s v="G-Ind"/>
    <x v="0"/>
  </r>
  <r>
    <x v="281"/>
    <s v="TERP"/>
    <s v="Maryland District Court"/>
    <s v="04/04/2016"/>
    <s v="06/03/2016"/>
    <x v="1260"/>
    <s v="Individual"/>
    <x v="1291"/>
    <m/>
    <s v="TERP.1.b"/>
    <m/>
    <m/>
    <m/>
    <n v="0"/>
    <x v="398"/>
    <s v="Uncontested"/>
    <s v="G-Ind"/>
    <x v="0"/>
  </r>
  <r>
    <x v="282"/>
    <s v="TVIA"/>
    <s v="California Northern District Court"/>
    <s v="11/16/2016"/>
    <s v="01/17/2017"/>
    <x v="1261"/>
    <s v="Individual"/>
    <x v="1292"/>
    <m/>
    <s v="TVIA.1.a"/>
    <n v="1"/>
    <n v="5"/>
    <n v="142657.67000000001"/>
    <n v="4.7552556666666668"/>
    <x v="399"/>
    <s v="Uncontested"/>
    <s v="G-Ind"/>
    <x v="0"/>
  </r>
  <r>
    <x v="282"/>
    <s v="TVIA"/>
    <s v="California Northern District Court"/>
    <s v="11/16/2016"/>
    <s v="01/17/2017"/>
    <x v="1262"/>
    <s v="Individual"/>
    <x v="1293"/>
    <s v="FIFO"/>
    <s v="TVIA.1.b"/>
    <m/>
    <m/>
    <m/>
    <n v="0"/>
    <x v="399"/>
    <s v="Uncontested"/>
    <s v="G-Ind"/>
    <x v="0"/>
  </r>
  <r>
    <x v="282"/>
    <s v="TVIA"/>
    <s v="California Northern District Court"/>
    <s v="11/16/2016"/>
    <s v="01/17/2017"/>
    <x v="1263"/>
    <s v="Individual"/>
    <x v="1294"/>
    <m/>
    <s v="TVIA.1.c"/>
    <m/>
    <m/>
    <m/>
    <n v="0"/>
    <x v="399"/>
    <s v="Uncontested"/>
    <s v="G-Ind"/>
    <x v="0"/>
  </r>
  <r>
    <x v="282"/>
    <s v="TVIA"/>
    <s v="California Northern District Court"/>
    <s v="11/16/2016"/>
    <s v="01/17/2017"/>
    <x v="1264"/>
    <s v="Individual"/>
    <x v="1295"/>
    <s v="FIFO"/>
    <s v="TVIA.1.d"/>
    <m/>
    <m/>
    <m/>
    <n v="0"/>
    <x v="399"/>
    <s v="Uncontested"/>
    <s v="G-Ind"/>
    <x v="0"/>
  </r>
  <r>
    <x v="282"/>
    <s v="TVIA"/>
    <s v="California Northern District Court"/>
    <s v="11/16/2016"/>
    <s v="01/17/2017"/>
    <x v="1265"/>
    <s v="Individual"/>
    <x v="1296"/>
    <m/>
    <s v="TVIA.1.e"/>
    <m/>
    <m/>
    <m/>
    <n v="0"/>
    <x v="399"/>
    <s v="Uncontested"/>
    <s v="G-Ind"/>
    <x v="0"/>
  </r>
  <r>
    <x v="283"/>
    <s v="TTPH"/>
    <s v="Massachusetts District Court"/>
    <s v="01/28/2016"/>
    <s v="03/28/2016"/>
    <x v="1266"/>
    <s v="Individual"/>
    <x v="1297"/>
    <m/>
    <s v="TTPH.1"/>
    <n v="5"/>
    <n v="1"/>
    <n v="166128.20000000001"/>
    <n v="2.1575090909090912E-2"/>
    <x v="400"/>
    <s v="Contested"/>
    <s v="Ind"/>
    <x v="0"/>
  </r>
  <r>
    <x v="283"/>
    <s v="TTPH"/>
    <s v="Massachusetts District Court"/>
    <s v="01/28/2016"/>
    <s v="03/28/2016"/>
    <x v="1267"/>
    <s v="Individual"/>
    <x v="1298"/>
    <m/>
    <s v="TTPH.2.a"/>
    <m/>
    <n v="2"/>
    <n v="607372.78"/>
    <n v="7.8879581818181818E-2"/>
    <x v="401"/>
    <s v="Contested"/>
    <s v="G-Ind"/>
    <x v="0"/>
  </r>
  <r>
    <x v="283"/>
    <s v="TTPH"/>
    <s v="Massachusetts District Court"/>
    <s v="01/28/2016"/>
    <s v="03/28/2016"/>
    <x v="1268"/>
    <s v="Individual"/>
    <x v="1299"/>
    <m/>
    <s v="TTPH.2.b"/>
    <m/>
    <m/>
    <m/>
    <n v="0"/>
    <x v="401"/>
    <s v="Contested"/>
    <s v="G-Ind"/>
    <x v="0"/>
  </r>
  <r>
    <x v="283"/>
    <s v="TTPH"/>
    <s v="Massachusetts District Court"/>
    <s v="01/28/2016"/>
    <s v="03/28/2016"/>
    <x v="1269"/>
    <s v="Institution"/>
    <x v="1300"/>
    <m/>
    <s v="TTPH.3"/>
    <m/>
    <n v="1"/>
    <n v="1194554.3999999999"/>
    <n v="0.15513693506493506"/>
    <x v="10"/>
    <s v="Contested"/>
    <s v="Ins"/>
    <x v="0"/>
  </r>
  <r>
    <x v="283"/>
    <s v="TTPH"/>
    <s v="Massachusetts District Court"/>
    <s v="01/28/2016"/>
    <s v="03/28/2016"/>
    <x v="1270"/>
    <s v="Institution"/>
    <x v="1301"/>
    <m/>
    <s v="TTPH.4"/>
    <m/>
    <n v="1"/>
    <n v="84305.62"/>
    <n v="1.0948781818181817E-2"/>
    <x v="402"/>
    <s v="Contested"/>
    <s v="Ins"/>
    <x v="0"/>
  </r>
  <r>
    <x v="283"/>
    <s v="TTPH"/>
    <s v="Massachusetts District Court"/>
    <s v="01/28/2016"/>
    <s v="03/28/2016"/>
    <x v="522"/>
    <s v="Institution"/>
    <x v="1302"/>
    <s v="LIFO"/>
    <s v="TTPH.5"/>
    <m/>
    <n v="1"/>
    <n v="502683.95"/>
    <n v="6.5283629870129867E-2"/>
    <x v="20"/>
    <s v="Contested"/>
    <s v="Ins"/>
    <x v="1"/>
  </r>
  <r>
    <x v="284"/>
    <s v="TEVA"/>
    <s v="Connecticut District Court"/>
    <s v="11/06/2016"/>
    <s v="01/05/2017"/>
    <x v="1271"/>
    <s v="Institution"/>
    <x v="1303"/>
    <s v="FIFO/LIFO"/>
    <s v="TEVA.1"/>
    <n v="5"/>
    <n v="1"/>
    <n v="23236125.890000001"/>
    <n v="3.3194465557142858"/>
    <x v="403"/>
    <s v="Contested"/>
    <s v="Ins"/>
    <x v="0"/>
  </r>
  <r>
    <x v="284"/>
    <s v="TEVA"/>
    <s v="Connecticut District Court"/>
    <s v="11/06/2016"/>
    <s v="01/05/2017"/>
    <x v="140"/>
    <s v="Institution"/>
    <x v="1304"/>
    <s v="LIFO"/>
    <s v="TEVA.2.a"/>
    <m/>
    <n v="3"/>
    <n v="47843638.240000002"/>
    <n v="6.834805462857144"/>
    <x v="404"/>
    <s v="Contested"/>
    <s v="G-Mix"/>
    <x v="1"/>
  </r>
  <r>
    <x v="284"/>
    <s v="TEVA"/>
    <s v="Connecticut District Court"/>
    <s v="11/06/2016"/>
    <s v="01/05/2017"/>
    <x v="1272"/>
    <s v="Institution"/>
    <x v="1305"/>
    <s v="LIFO"/>
    <s v="TEVA.2.b"/>
    <m/>
    <m/>
    <m/>
    <n v="0"/>
    <x v="404"/>
    <s v="Contested"/>
    <s v="G-Mix"/>
    <x v="1"/>
  </r>
  <r>
    <x v="284"/>
    <s v="TEVA"/>
    <s v="Connecticut District Court"/>
    <s v="11/06/2016"/>
    <s v="01/05/2017"/>
    <x v="881"/>
    <s v="Individual"/>
    <x v="1306"/>
    <s v="LIFO"/>
    <s v="TEVA.2.c"/>
    <m/>
    <m/>
    <m/>
    <n v="0"/>
    <x v="404"/>
    <s v="Contested"/>
    <s v="G-Mix"/>
    <x v="1"/>
  </r>
  <r>
    <x v="284"/>
    <s v="TEVA"/>
    <s v="Connecticut District Court"/>
    <s v="11/06/2016"/>
    <s v="01/05/2017"/>
    <x v="488"/>
    <s v="Institution"/>
    <x v="1307"/>
    <m/>
    <s v="TEVA.3"/>
    <m/>
    <n v="1"/>
    <n v="42525806.719999999"/>
    <n v="6.0751152457142856"/>
    <x v="46"/>
    <s v="Contested"/>
    <s v="Ins"/>
    <x v="1"/>
  </r>
  <r>
    <x v="284"/>
    <s v="TEVA"/>
    <s v="Connecticut District Court"/>
    <s v="11/06/2016"/>
    <s v="01/05/2017"/>
    <x v="1273"/>
    <s v="Institution"/>
    <x v="1308"/>
    <s v="LIFO/FIFO"/>
    <s v="TEVA.4.a"/>
    <m/>
    <n v="3"/>
    <n v="814014.98"/>
    <n v="0.1162878542857143"/>
    <x v="48"/>
    <s v="Contested"/>
    <s v="G-Ins"/>
    <x v="1"/>
  </r>
  <r>
    <x v="284"/>
    <s v="TEVA"/>
    <s v="Connecticut District Court"/>
    <s v="11/06/2016"/>
    <s v="01/05/2017"/>
    <x v="1274"/>
    <s v="Institution"/>
    <x v="1309"/>
    <s v="FIFO"/>
    <s v="TEVA.4.b"/>
    <m/>
    <m/>
    <m/>
    <n v="0"/>
    <x v="48"/>
    <s v="Contested"/>
    <s v="G-Ins"/>
    <x v="0"/>
  </r>
  <r>
    <x v="284"/>
    <s v="TEVA"/>
    <s v="Connecticut District Court"/>
    <s v="11/06/2016"/>
    <s v="01/05/2017"/>
    <x v="89"/>
    <s v="Institution"/>
    <x v="1310"/>
    <s v="LIFO/FIFO"/>
    <s v="TEVA.4.c"/>
    <m/>
    <m/>
    <m/>
    <n v="0"/>
    <x v="48"/>
    <s v="Contested"/>
    <s v="G-Ins"/>
    <x v="1"/>
  </r>
  <r>
    <x v="284"/>
    <s v="TEVA"/>
    <s v="Connecticut District Court"/>
    <s v="11/06/2016"/>
    <s v="01/05/2017"/>
    <x v="1275"/>
    <s v="Individual"/>
    <x v="1311"/>
    <m/>
    <s v="TEVA.5"/>
    <m/>
    <n v="1"/>
    <n v="2303773.0099999998"/>
    <n v="0.32911042999999995"/>
    <x v="8"/>
    <s v="Contested"/>
    <s v="Ind"/>
    <x v="0"/>
  </r>
  <r>
    <x v="285"/>
    <s v="TGTX"/>
    <s v="New York Southern District Court"/>
    <s v="01/06/2017"/>
    <s v="03/07/2017"/>
    <x v="1276"/>
    <s v="Individual"/>
    <x v="1312"/>
    <m/>
    <s v="TGTX.1.a"/>
    <n v="1"/>
    <n v="2"/>
    <n v="64531.48"/>
    <n v="0.10755246666666668"/>
    <x v="10"/>
    <s v="Uncontested"/>
    <s v="G-Ind"/>
    <x v="0"/>
  </r>
  <r>
    <x v="285"/>
    <s v="TGTX"/>
    <s v="New York Southern District Court"/>
    <s v="01/06/2017"/>
    <s v="03/07/2017"/>
    <x v="1277"/>
    <s v="Individual"/>
    <x v="1313"/>
    <m/>
    <s v="TGTX.1.b"/>
    <m/>
    <m/>
    <m/>
    <n v="0"/>
    <x v="10"/>
    <s v="Uncontested"/>
    <s v="G-Ind"/>
    <x v="0"/>
  </r>
  <r>
    <x v="286"/>
    <s v="ALL"/>
    <s v="Illinois Northern District Court"/>
    <s v="11/10/2016"/>
    <s v="01/09/2017"/>
    <x v="1278"/>
    <s v="Institution"/>
    <x v="1314"/>
    <s v="LIFO"/>
    <s v="ALL.1.a"/>
    <n v="2"/>
    <n v="2"/>
    <n v="917351.15999999992"/>
    <e v="#DIV/0!"/>
    <x v="405"/>
    <s v="Contested"/>
    <s v="G-Ins"/>
    <x v="0"/>
  </r>
  <r>
    <x v="286"/>
    <s v="ALL"/>
    <s v="Illinois Northern District Court"/>
    <s v="11/10/2016"/>
    <s v="01/09/2017"/>
    <x v="682"/>
    <s v="Institution"/>
    <x v="1315"/>
    <s v="LIFO"/>
    <s v="ALL.1.b"/>
    <m/>
    <m/>
    <m/>
    <e v="#DIV/0!"/>
    <x v="405"/>
    <s v="Contested"/>
    <s v="G-Ins"/>
    <x v="1"/>
  </r>
  <r>
    <x v="286"/>
    <s v="ALL"/>
    <s v="Illinois Northern District Court"/>
    <s v="11/10/2016"/>
    <s v="01/09/2017"/>
    <x v="1279"/>
    <s v="Institution"/>
    <x v="1316"/>
    <m/>
    <s v="ALL.2"/>
    <m/>
    <n v="1"/>
    <n v="303249.44"/>
    <e v="#DIV/0!"/>
    <x v="46"/>
    <s v="Contested"/>
    <s v="Ins"/>
    <x v="1"/>
  </r>
  <r>
    <x v="287"/>
    <s v="TFM"/>
    <s v="North Carolina Middle District Court"/>
    <s v="03/03/2017"/>
    <s v="05/02/2017"/>
    <x v="1280"/>
    <s v="Individual"/>
    <x v="1317"/>
    <s v="Holdings"/>
    <s v="TFM.1.a"/>
    <n v="1"/>
    <n v="2"/>
    <n v="527690"/>
    <e v="#VALUE!"/>
    <x v="406"/>
    <s v="Uncontested"/>
    <s v="G-Ind"/>
    <x v="0"/>
  </r>
  <r>
    <x v="287"/>
    <s v="TFM"/>
    <s v="North Carolina Middle District Court"/>
    <s v="03/03/2017"/>
    <s v="05/02/2017"/>
    <x v="1281"/>
    <s v="Individual"/>
    <x v="178"/>
    <m/>
    <s v="TFM.1.b"/>
    <m/>
    <m/>
    <m/>
    <e v="#VALUE!"/>
    <x v="406"/>
    <s v="Uncontested"/>
    <s v="G-Ind"/>
    <x v="0"/>
  </r>
  <r>
    <x v="288"/>
    <s v="GEO"/>
    <s v="Florida Southern District Court"/>
    <s v="08/25/2016"/>
    <s v="10/24/2016"/>
    <x v="1282"/>
    <s v="Individual"/>
    <x v="1318"/>
    <s v="FIFO/LIFO"/>
    <s v="GEO.3"/>
    <n v="3"/>
    <n v="1"/>
    <n v="64567.199999999997"/>
    <e v="#DIV/0!"/>
    <x v="407"/>
    <s v="Contested"/>
    <s v="Ind"/>
    <x v="0"/>
  </r>
  <r>
    <x v="288"/>
    <s v="GEO"/>
    <s v="Florida Southern District Court"/>
    <s v="08/25/2016"/>
    <s v="10/24/2016"/>
    <x v="1283"/>
    <s v="Individual"/>
    <x v="1319"/>
    <m/>
    <s v="GEO.1.a"/>
    <m/>
    <n v="2"/>
    <n v="564417"/>
    <e v="#DIV/0!"/>
    <x v="106"/>
    <s v="Contested"/>
    <s v="G-Ind"/>
    <x v="0"/>
  </r>
  <r>
    <x v="288"/>
    <s v="GEO"/>
    <s v="Florida Southern District Court"/>
    <s v="08/25/2016"/>
    <s v="10/24/2016"/>
    <x v="1284"/>
    <s v="Individual"/>
    <x v="1320"/>
    <m/>
    <s v="GEO.1.b"/>
    <m/>
    <m/>
    <m/>
    <e v="#DIV/0!"/>
    <x v="106"/>
    <s v="Contested"/>
    <s v="G-Ind"/>
    <x v="0"/>
  </r>
  <r>
    <x v="288"/>
    <s v="GEO"/>
    <s v="Florida Southern District Court"/>
    <s v="08/25/2016"/>
    <s v="10/24/2016"/>
    <x v="1285"/>
    <s v="Individual"/>
    <x v="1321"/>
    <m/>
    <s v="GEO.2.a"/>
    <m/>
    <n v="2"/>
    <n v="33091.160000000003"/>
    <e v="#DIV/0!"/>
    <x v="8"/>
    <s v="Contested"/>
    <s v="G-Ind"/>
    <x v="0"/>
  </r>
  <r>
    <x v="288"/>
    <s v="GEO"/>
    <s v="Florida Southern District Court"/>
    <s v="08/25/2016"/>
    <s v="10/24/2016"/>
    <x v="1286"/>
    <s v="Individual"/>
    <x v="1322"/>
    <m/>
    <s v="GEO.2.b"/>
    <m/>
    <m/>
    <m/>
    <e v="#DIV/0!"/>
    <x v="8"/>
    <s v="Contested"/>
    <s v="G-Ind"/>
    <x v="0"/>
  </r>
  <r>
    <x v="289"/>
    <s v="HAIN"/>
    <s v="New York Eastern District Court"/>
    <s v="08/17/2016"/>
    <s v="10/17/2016"/>
    <x v="1287"/>
    <s v="Individual"/>
    <x v="1323"/>
    <m/>
    <s v="HAIN.1"/>
    <n v="5"/>
    <n v="1"/>
    <n v="822519.96"/>
    <e v="#DIV/0!"/>
    <x v="408"/>
    <s v="Contested"/>
    <s v="Ind"/>
    <x v="0"/>
  </r>
  <r>
    <x v="289"/>
    <s v="HAIN"/>
    <s v="New York Eastern District Court"/>
    <s v="08/17/2016"/>
    <s v="10/17/2016"/>
    <x v="1288"/>
    <s v="Institution"/>
    <x v="1324"/>
    <s v="LIFO/FIFO"/>
    <s v="HAIN.2"/>
    <m/>
    <n v="1"/>
    <n v="1548333.33"/>
    <e v="#DIV/0!"/>
    <x v="409"/>
    <s v="Contested"/>
    <s v="Ins"/>
    <x v="0"/>
  </r>
  <r>
    <x v="289"/>
    <s v="HAIN"/>
    <s v="New York Eastern District Court"/>
    <s v="08/17/2016"/>
    <s v="10/17/2016"/>
    <x v="1289"/>
    <s v="Individual"/>
    <x v="1325"/>
    <s v="FIFO/LIFO"/>
    <s v="HAIN.3"/>
    <m/>
    <n v="1"/>
    <n v="463804.31"/>
    <e v="#DIV/0!"/>
    <x v="410"/>
    <s v="Contested"/>
    <s v="Ind"/>
    <x v="0"/>
  </r>
  <r>
    <x v="289"/>
    <s v="HAIN"/>
    <s v="New York Eastern District Court"/>
    <s v="08/17/2016"/>
    <s v="10/17/2016"/>
    <x v="1290"/>
    <s v="Individual"/>
    <x v="1326"/>
    <m/>
    <s v="HAIN.4"/>
    <m/>
    <n v="1"/>
    <n v="125593"/>
    <e v="#DIV/0!"/>
    <x v="97"/>
    <s v="Contested"/>
    <s v="Ind"/>
    <x v="0"/>
  </r>
  <r>
    <x v="289"/>
    <s v="HAIN"/>
    <s v="New York Eastern District Court"/>
    <s v="08/17/2016"/>
    <s v="10/17/2016"/>
    <x v="1291"/>
    <s v="Institution"/>
    <x v="1327"/>
    <m/>
    <s v="HAIN.5.a"/>
    <m/>
    <n v="6"/>
    <n v="470488.05"/>
    <e v="#DIV/0!"/>
    <x v="46"/>
    <s v="Contested"/>
    <s v="G-Ins"/>
    <x v="0"/>
  </r>
  <r>
    <x v="289"/>
    <s v="HAIN"/>
    <s v="New York Eastern District Court"/>
    <s v="08/17/2016"/>
    <s v="10/17/2016"/>
    <x v="1292"/>
    <s v="Institution"/>
    <x v="1328"/>
    <m/>
    <s v="HAIN.5.b"/>
    <m/>
    <m/>
    <m/>
    <e v="#DIV/0!"/>
    <x v="46"/>
    <s v="Contested"/>
    <s v="G-Ins"/>
    <x v="0"/>
  </r>
  <r>
    <x v="289"/>
    <s v="HAIN"/>
    <s v="New York Eastern District Court"/>
    <s v="08/17/2016"/>
    <s v="10/17/2016"/>
    <x v="1293"/>
    <s v="Institution"/>
    <x v="1329"/>
    <m/>
    <s v="HAIN.5.c"/>
    <m/>
    <m/>
    <m/>
    <e v="#DIV/0!"/>
    <x v="46"/>
    <s v="Contested"/>
    <s v="G-Ins"/>
    <x v="0"/>
  </r>
  <r>
    <x v="289"/>
    <s v="HAIN"/>
    <s v="New York Eastern District Court"/>
    <s v="08/17/2016"/>
    <s v="10/17/2016"/>
    <x v="1294"/>
    <s v="Institution"/>
    <x v="1330"/>
    <m/>
    <s v="HAIN.5.d"/>
    <m/>
    <m/>
    <m/>
    <e v="#DIV/0!"/>
    <x v="46"/>
    <s v="Contested"/>
    <s v="G-Ins"/>
    <x v="0"/>
  </r>
  <r>
    <x v="289"/>
    <s v="HAIN"/>
    <s v="New York Eastern District Court"/>
    <s v="08/17/2016"/>
    <s v="10/17/2016"/>
    <x v="1295"/>
    <s v="Institution"/>
    <x v="1331"/>
    <m/>
    <s v="HAIN.5.e"/>
    <m/>
    <m/>
    <m/>
    <e v="#DIV/0!"/>
    <x v="46"/>
    <s v="Contested"/>
    <s v="G-Ins"/>
    <x v="0"/>
  </r>
  <r>
    <x v="289"/>
    <s v="HAIN"/>
    <s v="New York Eastern District Court"/>
    <s v="08/17/2016"/>
    <s v="10/17/2016"/>
    <x v="1296"/>
    <s v="Individual"/>
    <x v="1332"/>
    <m/>
    <s v="HAIN.5.f"/>
    <m/>
    <m/>
    <m/>
    <e v="#DIV/0!"/>
    <x v="8"/>
    <s v="Contested"/>
    <s v="Ind"/>
    <x v="0"/>
  </r>
  <r>
    <x v="290"/>
    <s v="SO"/>
    <s v="Georgia Northern District Court"/>
    <s v="01/20/2017"/>
    <s v="03/24/2017"/>
    <x v="731"/>
    <s v="Institution"/>
    <x v="1333"/>
    <m/>
    <s v="SO.1"/>
    <n v="1"/>
    <n v="1"/>
    <n v="60445.59"/>
    <e v="#DIV/0!"/>
    <x v="155"/>
    <s v="Uncontested"/>
    <s v="Ins"/>
    <x v="1"/>
  </r>
  <r>
    <x v="291"/>
    <s v="TD"/>
    <s v="New Jersey District Court"/>
    <s v="03/12/2017"/>
    <s v="05/11/2017"/>
    <x v="1297"/>
    <s v="Individual"/>
    <x v="1334"/>
    <m/>
    <s v="TD.1"/>
    <n v="3"/>
    <n v="1"/>
    <n v="23625"/>
    <n v="2.6249999999999999E-2"/>
    <x v="9"/>
    <s v="Contested"/>
    <s v="Ind"/>
    <x v="0"/>
  </r>
  <r>
    <x v="291"/>
    <s v="TD"/>
    <s v="New Jersey District Court"/>
    <s v="03/12/2017"/>
    <s v="05/11/2017"/>
    <x v="1298"/>
    <s v="Individual"/>
    <x v="1335"/>
    <m/>
    <s v="TD.2"/>
    <m/>
    <n v="1"/>
    <n v="49669"/>
    <n v="5.518777777777778E-2"/>
    <x v="128"/>
    <s v="Contested"/>
    <s v="Ind"/>
    <x v="0"/>
  </r>
  <r>
    <x v="291"/>
    <s v="TD"/>
    <s v="New Jersey District Court"/>
    <s v="03/12/2017"/>
    <s v="05/11/2017"/>
    <x v="1299"/>
    <s v="Individual"/>
    <x v="1336"/>
    <m/>
    <s v="TD.3.a"/>
    <m/>
    <n v="2"/>
    <n v="8785.5399999999991"/>
    <n v="9.7617111111111092E-3"/>
    <x v="8"/>
    <s v="Contested"/>
    <s v="G-Ind"/>
    <x v="0"/>
  </r>
  <r>
    <x v="291"/>
    <s v="TD"/>
    <s v="New Jersey District Court"/>
    <s v="03/12/2017"/>
    <s v="05/11/2017"/>
    <x v="1300"/>
    <s v="Individual"/>
    <x v="1337"/>
    <m/>
    <s v="TD.3.b"/>
    <m/>
    <m/>
    <m/>
    <n v="0"/>
    <x v="8"/>
    <s v="Contested"/>
    <s v="G-Ind"/>
    <x v="0"/>
  </r>
  <r>
    <x v="292"/>
    <s v="WU"/>
    <s v="Colorado District Court"/>
    <s v="01/26/2017"/>
    <s v="03/27/2017"/>
    <x v="1301"/>
    <s v="Individual"/>
    <x v="1338"/>
    <m/>
    <s v="WU.1"/>
    <n v="3"/>
    <n v="1"/>
    <n v="10771"/>
    <e v="#DIV/0!"/>
    <x v="97"/>
    <s v="Contested"/>
    <s v="Ind"/>
    <x v="0"/>
  </r>
  <r>
    <x v="292"/>
    <s v="WU"/>
    <s v="Colorado District Court"/>
    <s v="01/26/2017"/>
    <s v="03/27/2017"/>
    <x v="258"/>
    <s v="Institution"/>
    <x v="1339"/>
    <m/>
    <s v="WU.2"/>
    <m/>
    <n v="1"/>
    <n v="175974.71"/>
    <e v="#DIV/0!"/>
    <x v="46"/>
    <s v="Contested"/>
    <s v="Ins"/>
    <x v="1"/>
  </r>
  <r>
    <x v="292"/>
    <s v="WU"/>
    <s v="Colorado District Court"/>
    <s v="01/26/2017"/>
    <s v="03/27/2017"/>
    <x v="1302"/>
    <s v="Individual"/>
    <x v="1340"/>
    <m/>
    <s v="WU.3"/>
    <m/>
    <n v="1"/>
    <n v="326"/>
    <e v="#DIV/0!"/>
    <x v="8"/>
    <s v="Contested"/>
    <s v="Ind"/>
    <x v="0"/>
  </r>
  <r>
    <x v="293"/>
    <s v="TXMD"/>
    <s v="Florida Southern District Court"/>
    <s v="04/17/2017"/>
    <s v="06/19/2017"/>
    <x v="1303"/>
    <s v="Individual"/>
    <x v="1341"/>
    <m/>
    <s v="TXMD.1.a"/>
    <n v="3"/>
    <n v="3"/>
    <n v="14511.98"/>
    <n v="3.2248844444444438E-2"/>
    <x v="411"/>
    <s v="Contested"/>
    <s v="G-Ind"/>
    <x v="0"/>
  </r>
  <r>
    <x v="293"/>
    <s v="TXMD"/>
    <s v="Florida Southern District Court"/>
    <s v="04/17/2017"/>
    <s v="06/19/2017"/>
    <x v="1304"/>
    <s v="Individual"/>
    <x v="1342"/>
    <m/>
    <s v="TXMD.1.b"/>
    <m/>
    <m/>
    <m/>
    <n v="0"/>
    <x v="411"/>
    <s v="Contested"/>
    <s v="G-Ind"/>
    <x v="0"/>
  </r>
  <r>
    <x v="293"/>
    <s v="TXMD"/>
    <s v="Florida Southern District Court"/>
    <s v="04/17/2017"/>
    <s v="06/19/2017"/>
    <x v="1305"/>
    <s v="Individual"/>
    <x v="1343"/>
    <m/>
    <s v="TXMD.1.c"/>
    <m/>
    <m/>
    <m/>
    <n v="0"/>
    <x v="411"/>
    <s v="Contested"/>
    <s v="G-Ind"/>
    <x v="0"/>
  </r>
  <r>
    <x v="293"/>
    <s v="TXMD"/>
    <s v="Florida Southern District Court"/>
    <s v="04/17/2017"/>
    <s v="06/19/2017"/>
    <x v="1306"/>
    <s v="Individual"/>
    <x v="1344"/>
    <m/>
    <s v="TXMD.2"/>
    <m/>
    <n v="1"/>
    <n v="185712.7"/>
    <n v="0.41269488888888889"/>
    <x v="162"/>
    <s v="Contested"/>
    <s v="Ind"/>
    <x v="0"/>
  </r>
  <r>
    <x v="293"/>
    <s v="TXMD"/>
    <s v="Florida Southern District Court"/>
    <s v="04/17/2017"/>
    <s v="06/19/2017"/>
    <x v="1307"/>
    <s v="Individual"/>
    <x v="1345"/>
    <m/>
    <s v="TXMD.3.a"/>
    <m/>
    <n v="3"/>
    <n v="132102"/>
    <n v="0.29355999999999999"/>
    <x v="305"/>
    <s v="Contested"/>
    <s v="G-Ind"/>
    <x v="0"/>
  </r>
  <r>
    <x v="293"/>
    <s v="TXMD"/>
    <s v="Florida Southern District Court"/>
    <s v="04/17/2017"/>
    <s v="06/19/2017"/>
    <x v="1308"/>
    <s v="Individual"/>
    <x v="1346"/>
    <m/>
    <s v="TXMD.3.b"/>
    <m/>
    <m/>
    <m/>
    <n v="0"/>
    <x v="305"/>
    <s v="Contested"/>
    <s v="G-Ind"/>
    <x v="0"/>
  </r>
  <r>
    <x v="293"/>
    <s v="TXMD"/>
    <s v="Florida Southern District Court"/>
    <s v="04/17/2017"/>
    <s v="06/19/2017"/>
    <x v="1309"/>
    <s v="Individual"/>
    <x v="1347"/>
    <m/>
    <s v="TXMD.3.c"/>
    <m/>
    <m/>
    <m/>
    <n v="0"/>
    <x v="305"/>
    <s v="Contested"/>
    <s v="G-Ind"/>
    <x v="0"/>
  </r>
  <r>
    <x v="294"/>
    <s v="TFCIX,TFCVX"/>
    <s v="New York Southern District Court"/>
    <s v="01/28/2016"/>
    <s v="03/29/2016"/>
    <x v="1310"/>
    <s v="Individual"/>
    <x v="1348"/>
    <m/>
    <s v="TFCIX,TFCVX.1"/>
    <n v="5"/>
    <n v="1"/>
    <n v="198000"/>
    <n v="6.6000000000000003E-2"/>
    <x v="412"/>
    <s v="Contested"/>
    <s v="Ind"/>
    <x v="0"/>
  </r>
  <r>
    <x v="294"/>
    <s v="TFCIX,TFCVX"/>
    <s v="New York Southern District Court"/>
    <s v="01/28/2016"/>
    <s v="03/29/2016"/>
    <x v="1311"/>
    <s v="Individual"/>
    <x v="1349"/>
    <m/>
    <s v="TFCIX,TFCVX.2.a"/>
    <m/>
    <n v="2"/>
    <n v="135414.64000000001"/>
    <n v="4.5138213333333337E-2"/>
    <x v="163"/>
    <s v="Contested"/>
    <s v="G-Ind"/>
    <x v="0"/>
  </r>
  <r>
    <x v="294"/>
    <s v="TFCIX,TFCVX"/>
    <s v="New York Southern District Court"/>
    <s v="01/28/2016"/>
    <s v="03/29/2016"/>
    <x v="1312"/>
    <s v="Individual"/>
    <x v="1350"/>
    <m/>
    <s v="TFCIX,TFCVX.2.b"/>
    <m/>
    <m/>
    <m/>
    <n v="0"/>
    <x v="163"/>
    <s v="Contested"/>
    <s v="G-Ind"/>
    <x v="0"/>
  </r>
  <r>
    <x v="294"/>
    <s v="TFCIX,TFCVX"/>
    <s v="New York Southern District Court"/>
    <s v="01/28/2016"/>
    <s v="03/29/2016"/>
    <x v="1313"/>
    <s v="Individual"/>
    <x v="1351"/>
    <m/>
    <s v="TFCIX,TFCVX.3.a"/>
    <m/>
    <n v="3"/>
    <n v="26581"/>
    <n v="8.8603333333333346E-3"/>
    <x v="106"/>
    <s v="Contested"/>
    <s v="G-Ind"/>
    <x v="0"/>
  </r>
  <r>
    <x v="294"/>
    <s v="TFCIX,TFCVX"/>
    <s v="New York Southern District Court"/>
    <s v="01/28/2016"/>
    <s v="03/29/2016"/>
    <x v="1314"/>
    <s v="Individual"/>
    <x v="1352"/>
    <m/>
    <s v="TFCIX,TFCVX.3.b"/>
    <m/>
    <m/>
    <m/>
    <n v="0"/>
    <x v="106"/>
    <s v="Contested"/>
    <s v="G-Ind"/>
    <x v="0"/>
  </r>
  <r>
    <x v="294"/>
    <s v="TFCIX,TFCVX"/>
    <s v="New York Southern District Court"/>
    <s v="01/28/2016"/>
    <s v="03/29/2016"/>
    <x v="1315"/>
    <s v="Individual"/>
    <x v="1353"/>
    <m/>
    <s v="TFCIX,TFCVX.3.c"/>
    <m/>
    <m/>
    <m/>
    <n v="0"/>
    <x v="106"/>
    <s v="Contested"/>
    <s v="G-Ind"/>
    <x v="0"/>
  </r>
  <r>
    <x v="294"/>
    <s v="TFCIX,TFCVX"/>
    <s v="New York Southern District Court"/>
    <s v="01/28/2016"/>
    <s v="03/29/2016"/>
    <x v="1316"/>
    <s v="Institution"/>
    <x v="1354"/>
    <m/>
    <s v="TFCIX,TFCVX.4"/>
    <m/>
    <n v="1"/>
    <n v="1306744.52"/>
    <n v="0.43558150666666667"/>
    <x v="413"/>
    <s v="Contested"/>
    <s v="Ins"/>
    <x v="0"/>
  </r>
  <r>
    <x v="294"/>
    <s v="TFCIX,TFCVX"/>
    <s v="New York Southern District Court"/>
    <s v="01/28/2016"/>
    <s v="03/29/2016"/>
    <x v="1317"/>
    <s v="Individual"/>
    <x v="1355"/>
    <m/>
    <s v="TFCIX,TFCVX.5.a"/>
    <m/>
    <n v="4"/>
    <n v="140287.54"/>
    <n v="4.6762513333333339E-2"/>
    <x v="8"/>
    <s v="Contested"/>
    <s v="G-Ind"/>
    <x v="0"/>
  </r>
  <r>
    <x v="294"/>
    <s v="TFCIX,TFCVX"/>
    <s v="New York Southern District Court"/>
    <s v="01/28/2016"/>
    <s v="03/29/2016"/>
    <x v="1318"/>
    <s v="Individual"/>
    <x v="1356"/>
    <m/>
    <s v="TFCIX,TFCVX.5.b"/>
    <m/>
    <m/>
    <m/>
    <n v="0"/>
    <x v="8"/>
    <s v="Contested"/>
    <s v="G-Ind"/>
    <x v="0"/>
  </r>
  <r>
    <x v="294"/>
    <s v="TFCIX,TFCVX"/>
    <s v="New York Southern District Court"/>
    <s v="01/28/2016"/>
    <s v="03/29/2016"/>
    <x v="1319"/>
    <s v="Individual"/>
    <x v="1357"/>
    <m/>
    <s v="TFCIX,TFCVX.5.c"/>
    <m/>
    <m/>
    <m/>
    <n v="0"/>
    <x v="8"/>
    <s v="Contested"/>
    <s v="G-Ind"/>
    <x v="0"/>
  </r>
  <r>
    <x v="294"/>
    <s v="TFCIX,TFCVX"/>
    <s v="New York Southern District Court"/>
    <s v="01/28/2016"/>
    <s v="03/29/2016"/>
    <x v="1320"/>
    <s v="Individual"/>
    <x v="1358"/>
    <m/>
    <s v="TFCIX,TFCVX.5.d"/>
    <m/>
    <m/>
    <m/>
    <n v="0"/>
    <x v="8"/>
    <s v="Contested"/>
    <s v="G-Ind"/>
    <x v="0"/>
  </r>
  <r>
    <x v="295"/>
    <s v="TKAI"/>
    <s v="Massachusetts District Court"/>
    <s v="08/01/2016"/>
    <s v="09/30/2016"/>
    <x v="1321"/>
    <s v="Individual"/>
    <x v="1359"/>
    <m/>
    <s v="TKAI.1"/>
    <n v="2"/>
    <n v="1"/>
    <n v="390105"/>
    <n v="1.9505249999999998"/>
    <x v="106"/>
    <s v="Contested"/>
    <s v="Ind"/>
    <x v="0"/>
  </r>
  <r>
    <x v="295"/>
    <s v="TKAI"/>
    <s v="Massachusetts District Court"/>
    <s v="08/01/2016"/>
    <s v="09/30/2016"/>
    <x v="1322"/>
    <s v="Individual"/>
    <x v="1360"/>
    <m/>
    <s v="TKAI.2"/>
    <m/>
    <n v="1"/>
    <n v="8386.76"/>
    <n v="4.19338E-2"/>
    <x v="8"/>
    <s v="Contested"/>
    <s v="G-Ind"/>
    <x v="0"/>
  </r>
  <r>
    <x v="296"/>
    <s v="TSEM"/>
    <s v="California Central District Court"/>
    <s v="01/22/2016"/>
    <s v="03/22/2016"/>
    <x v="1323"/>
    <s v="Individual"/>
    <x v="1361"/>
    <m/>
    <s v="TSEM.1.a"/>
    <n v="2"/>
    <n v="2"/>
    <n v="6123"/>
    <n v="1.1132727272727273E-2"/>
    <x v="106"/>
    <s v="Contested"/>
    <s v="G-Ind"/>
    <x v="0"/>
  </r>
  <r>
    <x v="296"/>
    <s v="TSEM"/>
    <s v="California Central District Court"/>
    <s v="01/22/2016"/>
    <s v="03/22/2016"/>
    <x v="1324"/>
    <s v="Individual"/>
    <x v="1362"/>
    <m/>
    <s v="TSEM.1.b"/>
    <m/>
    <m/>
    <m/>
    <n v="0"/>
    <x v="106"/>
    <s v="Contested"/>
    <s v="G-Ind"/>
    <x v="0"/>
  </r>
  <r>
    <x v="296"/>
    <s v="TSEM"/>
    <s v="California Central District Court"/>
    <s v="01/22/2016"/>
    <s v="03/22/2016"/>
    <x v="1325"/>
    <s v="Individual"/>
    <x v="1363"/>
    <m/>
    <s v="TSEM.2"/>
    <m/>
    <n v="1"/>
    <n v="47644.68"/>
    <n v="8.6626690909090906E-2"/>
    <x v="8"/>
    <s v="Contested"/>
    <s v="Ind"/>
    <x v="0"/>
  </r>
  <r>
    <x v="297"/>
    <s v="TRXC"/>
    <s v="North Carolina Eastern District Court"/>
    <s v="06/02/2016"/>
    <s v="08/01/2016"/>
    <x v="1326"/>
    <s v="Individual"/>
    <x v="1364"/>
    <m/>
    <s v="TRXC.1.a"/>
    <n v="7"/>
    <n v="4"/>
    <n v="120799"/>
    <n v="0.30199749999999997"/>
    <x v="414"/>
    <s v="Contested"/>
    <s v="G-Ind"/>
    <x v="0"/>
  </r>
  <r>
    <x v="297"/>
    <s v="TRXC"/>
    <s v="North Carolina Eastern District Court"/>
    <s v="06/02/2016"/>
    <s v="08/01/2016"/>
    <x v="1327"/>
    <s v="Individual"/>
    <x v="1365"/>
    <m/>
    <s v="TRXC.1.b"/>
    <m/>
    <m/>
    <m/>
    <n v="0"/>
    <x v="414"/>
    <s v="Contested"/>
    <s v="G-Ind"/>
    <x v="0"/>
  </r>
  <r>
    <x v="297"/>
    <s v="TRXC"/>
    <s v="North Carolina Eastern District Court"/>
    <s v="06/02/2016"/>
    <s v="08/01/2016"/>
    <x v="1328"/>
    <s v="Individual"/>
    <x v="1366"/>
    <m/>
    <s v="TRXC.1.c"/>
    <m/>
    <m/>
    <m/>
    <n v="0"/>
    <x v="414"/>
    <s v="Contested"/>
    <s v="G-Ind"/>
    <x v="0"/>
  </r>
  <r>
    <x v="297"/>
    <s v="TRXC"/>
    <s v="North Carolina Eastern District Court"/>
    <s v="06/02/2016"/>
    <s v="08/01/2016"/>
    <x v="1329"/>
    <s v="Individual"/>
    <x v="1367"/>
    <m/>
    <s v="TRXC.1.d"/>
    <m/>
    <m/>
    <m/>
    <n v="0"/>
    <x v="414"/>
    <s v="Contested"/>
    <s v="G-Ind"/>
    <x v="0"/>
  </r>
  <r>
    <x v="297"/>
    <s v="TRXC"/>
    <s v="North Carolina Eastern District Court"/>
    <s v="06/02/2016"/>
    <s v="08/01/2016"/>
    <x v="1330"/>
    <s v="Individual"/>
    <x v="1368"/>
    <s v="LIFO"/>
    <s v="TRXC.2.a"/>
    <m/>
    <n v="3"/>
    <n v="244897.64"/>
    <n v="0.61224410000000007"/>
    <x v="415"/>
    <s v="Contested"/>
    <s v="G-Ind"/>
    <x v="0"/>
  </r>
  <r>
    <x v="297"/>
    <s v="TRXC"/>
    <s v="North Carolina Eastern District Court"/>
    <s v="06/02/2016"/>
    <s v="08/01/2016"/>
    <x v="1331"/>
    <s v="Individual"/>
    <x v="1369"/>
    <s v="FIFO/LIFO"/>
    <s v="TRXC.2.b"/>
    <m/>
    <m/>
    <m/>
    <n v="0"/>
    <x v="415"/>
    <s v="Contested"/>
    <s v="G-Ind"/>
    <x v="0"/>
  </r>
  <r>
    <x v="297"/>
    <s v="TRXC"/>
    <s v="North Carolina Eastern District Court"/>
    <s v="06/02/2016"/>
    <s v="08/01/2016"/>
    <x v="1332"/>
    <s v="Individual"/>
    <x v="1370"/>
    <s v="FIFO/LIFO"/>
    <s v="TRXC.2.c"/>
    <m/>
    <m/>
    <m/>
    <n v="0"/>
    <x v="415"/>
    <s v="Contested"/>
    <s v="G-Ind"/>
    <x v="0"/>
  </r>
  <r>
    <x v="297"/>
    <s v="TRXC"/>
    <s v="North Carolina Eastern District Court"/>
    <s v="06/02/2016"/>
    <s v="08/01/2016"/>
    <x v="1333"/>
    <s v="Individual"/>
    <x v="1371"/>
    <m/>
    <s v="TRXC.3"/>
    <m/>
    <n v="1"/>
    <n v="105691.72"/>
    <n v="0.2642293"/>
    <x v="416"/>
    <s v="Contested"/>
    <s v="Ind"/>
    <x v="0"/>
  </r>
  <r>
    <x v="297"/>
    <s v="TRXC"/>
    <s v="North Carolina Eastern District Court"/>
    <s v="06/02/2016"/>
    <s v="08/01/2016"/>
    <x v="1334"/>
    <s v="Individual"/>
    <x v="1372"/>
    <m/>
    <s v="TRXC.4.a"/>
    <m/>
    <n v="3"/>
    <n v="452479.22"/>
    <n v="1.1311980499999998"/>
    <x v="417"/>
    <s v="Contested"/>
    <s v="G-Ind"/>
    <x v="0"/>
  </r>
  <r>
    <x v="297"/>
    <s v="TRXC"/>
    <s v="North Carolina Eastern District Court"/>
    <s v="06/02/2016"/>
    <s v="08/01/2016"/>
    <x v="1335"/>
    <s v="Individual"/>
    <x v="1373"/>
    <m/>
    <s v="TRXC.4.b"/>
    <m/>
    <m/>
    <m/>
    <n v="0"/>
    <x v="417"/>
    <s v="Contested"/>
    <s v="G-Ind"/>
    <x v="0"/>
  </r>
  <r>
    <x v="297"/>
    <s v="TRXC"/>
    <s v="North Carolina Eastern District Court"/>
    <s v="06/02/2016"/>
    <s v="08/01/2016"/>
    <x v="1336"/>
    <s v="Individual"/>
    <x v="1374"/>
    <m/>
    <s v="TRXC.4.c"/>
    <m/>
    <m/>
    <m/>
    <n v="0"/>
    <x v="417"/>
    <s v="Contested"/>
    <s v="G-Ind"/>
    <x v="0"/>
  </r>
  <r>
    <x v="297"/>
    <s v="TRXC"/>
    <s v="North Carolina Eastern District Court"/>
    <s v="06/02/2016"/>
    <s v="08/01/2016"/>
    <x v="1337"/>
    <s v="Institution"/>
    <x v="1375"/>
    <s v="LIFO"/>
    <s v="TRXC.5"/>
    <m/>
    <n v="1"/>
    <n v="118287.99"/>
    <n v="0.29571997500000002"/>
    <x v="418"/>
    <s v="Contested"/>
    <s v="Ins"/>
    <x v="0"/>
  </r>
  <r>
    <x v="297"/>
    <s v="TRXC"/>
    <s v="North Carolina Eastern District Court"/>
    <s v="06/02/2016"/>
    <s v="08/01/2016"/>
    <x v="1338"/>
    <s v="Institution"/>
    <x v="1376"/>
    <m/>
    <s v="TRXC.6.a"/>
    <m/>
    <n v="4"/>
    <n v="1745259.0699999998"/>
    <n v="4.3631476749999996"/>
    <x v="419"/>
    <s v="Contested"/>
    <s v="G-Mix"/>
    <x v="0"/>
  </r>
  <r>
    <x v="297"/>
    <s v="TRXC"/>
    <s v="North Carolina Eastern District Court"/>
    <s v="06/02/2016"/>
    <s v="08/01/2016"/>
    <x v="1339"/>
    <s v="Institution"/>
    <x v="1377"/>
    <m/>
    <s v="TRXC.6.b"/>
    <m/>
    <m/>
    <m/>
    <n v="0"/>
    <x v="419"/>
    <s v="Contested"/>
    <s v="G-Mix"/>
    <x v="0"/>
  </r>
  <r>
    <x v="297"/>
    <s v="TRXC"/>
    <s v="North Carolina Eastern District Court"/>
    <s v="06/02/2016"/>
    <s v="08/01/2016"/>
    <x v="1340"/>
    <s v="Individual"/>
    <x v="1378"/>
    <m/>
    <s v="TRXC.6.c"/>
    <m/>
    <m/>
    <m/>
    <n v="0"/>
    <x v="419"/>
    <s v="Contested"/>
    <s v="G-Mix"/>
    <x v="0"/>
  </r>
  <r>
    <x v="297"/>
    <s v="TRXC"/>
    <s v="North Carolina Eastern District Court"/>
    <s v="06/02/2016"/>
    <s v="08/01/2016"/>
    <x v="1341"/>
    <s v="Individual"/>
    <x v="1379"/>
    <m/>
    <s v="TRXC.6.d"/>
    <m/>
    <m/>
    <m/>
    <n v="0"/>
    <x v="419"/>
    <s v="Contested"/>
    <s v="G-Mix"/>
    <x v="0"/>
  </r>
  <r>
    <x v="297"/>
    <s v="TRXC"/>
    <s v="North Carolina Eastern District Court"/>
    <s v="06/02/2016"/>
    <s v="08/01/2016"/>
    <x v="1342"/>
    <s v="Individual"/>
    <x v="1380"/>
    <m/>
    <s v="TRXC.7.a"/>
    <m/>
    <n v="7"/>
    <n v="210905.61"/>
    <n v="0.52726402499999991"/>
    <x v="58"/>
    <s v="Contested"/>
    <s v="G-Ind"/>
    <x v="0"/>
  </r>
  <r>
    <x v="297"/>
    <s v="TRXC"/>
    <s v="North Carolina Eastern District Court"/>
    <s v="06/02/2016"/>
    <s v="08/01/2016"/>
    <x v="1343"/>
    <s v="Individual"/>
    <x v="1381"/>
    <m/>
    <s v="TRXC.7.b"/>
    <m/>
    <m/>
    <m/>
    <n v="0"/>
    <x v="58"/>
    <s v="Contested"/>
    <s v="G-Ind"/>
    <x v="0"/>
  </r>
  <r>
    <x v="298"/>
    <s v="THS"/>
    <s v="Illinois Northern District Court"/>
    <s v="11/16/2016"/>
    <s v="01/17/2017"/>
    <x v="1344"/>
    <s v="Individual"/>
    <x v="1382"/>
    <m/>
    <s v="THS.1"/>
    <n v="4"/>
    <n v="1"/>
    <n v="918.69"/>
    <n v="1.8373799999999999E-4"/>
    <x v="331"/>
    <s v="Contested"/>
    <s v="Ind"/>
    <x v="0"/>
  </r>
  <r>
    <x v="298"/>
    <s v="THS"/>
    <s v="Illinois Northern District Court"/>
    <s v="11/16/2016"/>
    <s v="01/17/2017"/>
    <x v="1345"/>
    <s v="Individual"/>
    <x v="1383"/>
    <m/>
    <s v="THS.2"/>
    <m/>
    <n v="1"/>
    <n v="31199"/>
    <n v="6.2397999999999993E-3"/>
    <x v="420"/>
    <s v="Contested"/>
    <s v="Ind"/>
    <x v="0"/>
  </r>
  <r>
    <x v="298"/>
    <s v="THS"/>
    <s v="Illinois Northern District Court"/>
    <s v="11/16/2016"/>
    <s v="01/17/2017"/>
    <x v="1346"/>
    <s v="Institution"/>
    <x v="1384"/>
    <m/>
    <s v="THS.3.a"/>
    <m/>
    <n v="2"/>
    <n v="209325.7"/>
    <n v="4.1865140000000002E-2"/>
    <x v="175"/>
    <s v="Contested"/>
    <s v="G-Ins"/>
    <x v="0"/>
  </r>
  <r>
    <x v="298"/>
    <s v="THS"/>
    <s v="Illinois Northern District Court"/>
    <s v="11/16/2016"/>
    <s v="01/17/2017"/>
    <x v="1347"/>
    <s v="Institution"/>
    <x v="1385"/>
    <m/>
    <s v="THS.3.b"/>
    <m/>
    <m/>
    <m/>
    <n v="0"/>
    <x v="175"/>
    <s v="Contested"/>
    <s v="G-Ins"/>
    <x v="0"/>
  </r>
  <r>
    <x v="298"/>
    <s v="THS"/>
    <s v="Illinois Northern District Court"/>
    <s v="11/16/2016"/>
    <s v="01/17/2017"/>
    <x v="138"/>
    <s v="Institution"/>
    <x v="1386"/>
    <m/>
    <s v="THS.4"/>
    <m/>
    <n v="1"/>
    <n v="5439420"/>
    <n v="1.0878840000000001"/>
    <x v="421"/>
    <s v="Contested"/>
    <s v="Ins"/>
    <x v="1"/>
  </r>
  <r>
    <x v="299"/>
    <s v="TWTR"/>
    <s v="California Northern District Court"/>
    <s v="09/16/2016"/>
    <s v="11/15/2016"/>
    <x v="1348"/>
    <s v="Individual"/>
    <x v="1387"/>
    <s v="Dura"/>
    <s v="TWTR.1"/>
    <n v="7"/>
    <n v="1"/>
    <n v="139589.67000000001"/>
    <n v="9.3059780000000012E-3"/>
    <x v="382"/>
    <s v="Contested"/>
    <s v="Ind"/>
    <x v="0"/>
  </r>
  <r>
    <x v="299"/>
    <s v="TWTR"/>
    <s v="California Northern District Court"/>
    <s v="09/16/2016"/>
    <s v="11/15/2016"/>
    <x v="1349"/>
    <s v="Individual"/>
    <x v="1388"/>
    <m/>
    <s v="TWTR.2.a"/>
    <m/>
    <n v="3"/>
    <n v="848876.64"/>
    <n v="5.6591775999999996E-2"/>
    <x v="44"/>
    <s v="Contested"/>
    <s v="G-Ind"/>
    <x v="0"/>
  </r>
  <r>
    <x v="299"/>
    <s v="TWTR"/>
    <s v="California Northern District Court"/>
    <s v="09/16/2016"/>
    <s v="11/15/2016"/>
    <x v="1350"/>
    <s v="Individual"/>
    <x v="1389"/>
    <m/>
    <s v="TWTR.2.b"/>
    <m/>
    <m/>
    <m/>
    <n v="0"/>
    <x v="44"/>
    <s v="Contested"/>
    <s v="G-Ind"/>
    <x v="0"/>
  </r>
  <r>
    <x v="299"/>
    <s v="TWTR"/>
    <s v="California Northern District Court"/>
    <s v="09/16/2016"/>
    <s v="11/15/2016"/>
    <x v="1351"/>
    <s v="Individual"/>
    <x v="1390"/>
    <m/>
    <s v="TWTR.2.c"/>
    <m/>
    <m/>
    <m/>
    <n v="0"/>
    <x v="44"/>
    <s v="Contested"/>
    <s v="G-Ind"/>
    <x v="0"/>
  </r>
  <r>
    <x v="299"/>
    <s v="TWTR"/>
    <s v="California Northern District Court"/>
    <s v="09/16/2016"/>
    <s v="11/15/2016"/>
    <x v="1352"/>
    <s v="Individual"/>
    <x v="1391"/>
    <s v="LIFO"/>
    <s v="TWTR.3"/>
    <m/>
    <n v="1"/>
    <n v="7179573.3600000003"/>
    <n v="0.47863822400000006"/>
    <x v="70"/>
    <s v="Contested"/>
    <s v="Ind"/>
    <x v="0"/>
  </r>
  <r>
    <x v="299"/>
    <s v="TWTR"/>
    <s v="California Northern District Court"/>
    <s v="09/16/2016"/>
    <s v="11/15/2016"/>
    <x v="1041"/>
    <s v="Institution"/>
    <x v="1392"/>
    <s v="FIFO"/>
    <s v="TWTR.4"/>
    <m/>
    <n v="1"/>
    <n v="9799353.5500000007"/>
    <n v="0.65329023666666663"/>
    <x v="422"/>
    <s v="Contested"/>
    <s v="Ins"/>
    <x v="1"/>
  </r>
  <r>
    <x v="299"/>
    <s v="TWTR"/>
    <s v="California Northern District Court"/>
    <s v="09/16/2016"/>
    <s v="11/15/2016"/>
    <x v="1353"/>
    <s v="Individual"/>
    <x v="1393"/>
    <m/>
    <s v="TWTR.5.a"/>
    <m/>
    <n v="4"/>
    <n v="617115"/>
    <n v="4.1141000000000004E-2"/>
    <x v="45"/>
    <s v="Contested"/>
    <s v="G-Ind"/>
    <x v="0"/>
  </r>
  <r>
    <x v="299"/>
    <s v="TWTR"/>
    <s v="California Northern District Court"/>
    <s v="09/16/2016"/>
    <s v="11/15/2016"/>
    <x v="1354"/>
    <s v="Individual"/>
    <x v="1394"/>
    <m/>
    <s v="TWTR.5.b"/>
    <m/>
    <m/>
    <m/>
    <n v="0"/>
    <x v="45"/>
    <s v="Contested"/>
    <s v="G-Ind"/>
    <x v="0"/>
  </r>
  <r>
    <x v="299"/>
    <s v="TWTR"/>
    <s v="California Northern District Court"/>
    <s v="09/16/2016"/>
    <s v="11/15/2016"/>
    <x v="1355"/>
    <s v="Individual"/>
    <x v="1395"/>
    <m/>
    <s v="TWTR.5.c"/>
    <m/>
    <m/>
    <m/>
    <n v="0"/>
    <x v="45"/>
    <s v="Contested"/>
    <s v="G-Ind"/>
    <x v="0"/>
  </r>
  <r>
    <x v="299"/>
    <s v="TWTR"/>
    <s v="California Northern District Court"/>
    <s v="09/16/2016"/>
    <s v="11/15/2016"/>
    <x v="1356"/>
    <s v="Individual"/>
    <x v="1396"/>
    <m/>
    <s v="TWTR.5.d"/>
    <m/>
    <m/>
    <m/>
    <n v="0"/>
    <x v="45"/>
    <s v="Contested"/>
    <s v="G-Ind"/>
    <x v="0"/>
  </r>
  <r>
    <x v="299"/>
    <s v="TWTR"/>
    <s v="California Northern District Court"/>
    <s v="09/16/2016"/>
    <s v="11/15/2016"/>
    <x v="1357"/>
    <s v="Institution"/>
    <x v="1397"/>
    <m/>
    <s v="TWTR.6"/>
    <m/>
    <n v="1"/>
    <n v="1558133.51"/>
    <n v="0.10387556733333332"/>
    <x v="95"/>
    <s v="Contested"/>
    <s v="Ins"/>
    <x v="0"/>
  </r>
  <r>
    <x v="299"/>
    <s v="TWTR"/>
    <s v="California Northern District Court"/>
    <s v="09/16/2016"/>
    <s v="11/15/2016"/>
    <x v="1358"/>
    <s v="Individual"/>
    <x v="1398"/>
    <m/>
    <s v="TWTR.7"/>
    <m/>
    <n v="1"/>
    <n v="106577.46"/>
    <n v="7.1051639999999998E-3"/>
    <x v="8"/>
    <s v="Contested"/>
    <s v="Ind"/>
    <x v="0"/>
  </r>
  <r>
    <x v="300"/>
    <s v="TSN"/>
    <s v="Arkansas Western District Court"/>
    <s v="11/28/2016"/>
    <s v="12/16/2016"/>
    <x v="1359"/>
    <s v="Institution"/>
    <x v="1399"/>
    <s v="FIFO"/>
    <s v="TSN.1.a"/>
    <n v="3"/>
    <n v="3"/>
    <n v="4315587.43"/>
    <n v="1.7262349720000001"/>
    <x v="84"/>
    <s v="Contested"/>
    <s v="G-Ins"/>
    <x v="1"/>
  </r>
  <r>
    <x v="300"/>
    <s v="TSN"/>
    <s v="Arkansas Western District Court"/>
    <s v="11/28/2016"/>
    <s v="12/16/2016"/>
    <x v="1360"/>
    <s v="Institution"/>
    <x v="1400"/>
    <s v="FIFO"/>
    <s v="TSN.1.b"/>
    <m/>
    <m/>
    <m/>
    <n v="0"/>
    <x v="84"/>
    <s v="Contested"/>
    <s v="G-Ins"/>
    <x v="1"/>
  </r>
  <r>
    <x v="300"/>
    <s v="TSN"/>
    <s v="Arkansas Western District Court"/>
    <s v="11/28/2016"/>
    <s v="12/16/2016"/>
    <x v="489"/>
    <s v="Institution"/>
    <x v="1401"/>
    <s v="FIFO"/>
    <s v="TSN.1.c"/>
    <m/>
    <m/>
    <m/>
    <n v="0"/>
    <x v="84"/>
    <s v="Contested"/>
    <s v="G-Ins"/>
    <x v="1"/>
  </r>
  <r>
    <x v="300"/>
    <s v="TSN"/>
    <s v="Arkansas Western District Court"/>
    <s v="11/28/2016"/>
    <s v="12/16/2016"/>
    <x v="1361"/>
    <s v="Individual"/>
    <x v="5"/>
    <m/>
    <s v="TSN.2.a"/>
    <m/>
    <n v="2"/>
    <n v="0"/>
    <n v="0"/>
    <x v="7"/>
    <s v="Contested"/>
    <s v="G-Ind"/>
    <x v="0"/>
  </r>
  <r>
    <x v="300"/>
    <s v="TSN"/>
    <s v="Arkansas Western District Court"/>
    <s v="11/28/2016"/>
    <s v="12/16/2016"/>
    <x v="1362"/>
    <s v="Individual"/>
    <x v="5"/>
    <m/>
    <s v="TSN.2.b"/>
    <m/>
    <m/>
    <m/>
    <n v="0"/>
    <x v="7"/>
    <s v="Contested"/>
    <s v="G-Ind"/>
    <x v="0"/>
  </r>
  <r>
    <x v="300"/>
    <s v="TSN"/>
    <s v="Arkansas Western District Court"/>
    <s v="11/28/2016"/>
    <s v="12/16/2016"/>
    <x v="1363"/>
    <s v="Individual"/>
    <x v="5"/>
    <m/>
    <s v="TSN.3"/>
    <m/>
    <n v="1"/>
    <s v="***"/>
    <e v="#VALUE!"/>
    <x v="131"/>
    <s v="Contested"/>
    <s v="Ind"/>
    <x v="0"/>
  </r>
  <r>
    <x v="301"/>
    <s v="USCR"/>
    <s v="Texas Northern District Court"/>
    <s v="03/28/2017"/>
    <s v="05/30/2017"/>
    <x v="1364"/>
    <s v="Individual"/>
    <x v="1402"/>
    <m/>
    <s v="USCR.1.a"/>
    <n v="2"/>
    <n v="2"/>
    <n v="5500.96"/>
    <n v="3.6673066666666664E-2"/>
    <x v="423"/>
    <s v="Contested"/>
    <s v="G-Ind"/>
    <x v="0"/>
  </r>
  <r>
    <x v="301"/>
    <s v="USCR"/>
    <s v="Texas Northern District Court"/>
    <s v="03/28/2017"/>
    <s v="05/30/2017"/>
    <x v="1365"/>
    <s v="Individual"/>
    <x v="1403"/>
    <m/>
    <s v="USCR.1.b"/>
    <m/>
    <m/>
    <m/>
    <n v="0"/>
    <x v="423"/>
    <s v="Contested"/>
    <s v="G-Ind"/>
    <x v="0"/>
  </r>
  <r>
    <x v="301"/>
    <s v="USCR"/>
    <s v="Texas Northern District Court"/>
    <s v="03/28/2017"/>
    <s v="05/30/2017"/>
    <x v="1366"/>
    <s v="Individual"/>
    <x v="1404"/>
    <m/>
    <s v="USCR.2.a"/>
    <m/>
    <n v="2"/>
    <n v="121125.58"/>
    <n v="0.80750386666666663"/>
    <x v="3"/>
    <s v="Contested"/>
    <s v="G-Ind"/>
    <x v="0"/>
  </r>
  <r>
    <x v="301"/>
    <s v="USCR"/>
    <s v="Texas Northern District Court"/>
    <s v="03/28/2017"/>
    <s v="05/30/2017"/>
    <x v="1367"/>
    <s v="Individual"/>
    <x v="1405"/>
    <m/>
    <s v="USCR.2.b"/>
    <m/>
    <m/>
    <m/>
    <n v="0"/>
    <x v="3"/>
    <s v="Contested"/>
    <s v="G-Ind"/>
    <x v="0"/>
  </r>
  <r>
    <x v="302"/>
    <s v="USPH"/>
    <s v="New York Southern District Court"/>
    <s v="03/31/2017"/>
    <s v="05/30/2017"/>
    <x v="1368"/>
    <s v="Individual"/>
    <x v="1406"/>
    <m/>
    <s v="USPH.1"/>
    <n v="1"/>
    <n v="1"/>
    <n v="162.81"/>
    <n v="2.1007741935483871E-3"/>
    <x v="49"/>
    <s v="Uncontested"/>
    <s v="Ind"/>
    <x v="0"/>
  </r>
  <r>
    <x v="303"/>
    <s v="UA"/>
    <s v="Maryland District Court"/>
    <s v="02/10/2017"/>
    <s v="04/11/2017"/>
    <x v="1369"/>
    <s v="Institution"/>
    <x v="1407"/>
    <s v="LIFO"/>
    <s v="UA.1"/>
    <n v="3"/>
    <n v="1"/>
    <n v="795207.3"/>
    <n v="9.3553800000000006E-2"/>
    <x v="424"/>
    <s v="Contested"/>
    <s v="Ins"/>
    <x v="0"/>
  </r>
  <r>
    <x v="303"/>
    <s v="UA"/>
    <s v="Maryland District Court"/>
    <s v="02/10/2017"/>
    <s v="04/11/2017"/>
    <x v="1370"/>
    <s v="Individual"/>
    <x v="1408"/>
    <m/>
    <s v="UA.2.a"/>
    <m/>
    <n v="3"/>
    <n v="1206918"/>
    <n v="0.14199035294117648"/>
    <x v="425"/>
    <s v="Contested"/>
    <s v="G-Ind"/>
    <x v="0"/>
  </r>
  <r>
    <x v="303"/>
    <s v="UA"/>
    <s v="Maryland District Court"/>
    <s v="02/10/2017"/>
    <s v="04/11/2017"/>
    <x v="1371"/>
    <s v="Individual"/>
    <x v="1409"/>
    <m/>
    <s v="UA.2.b"/>
    <m/>
    <m/>
    <m/>
    <n v="0"/>
    <x v="425"/>
    <s v="Contested"/>
    <s v="G-Ind"/>
    <x v="0"/>
  </r>
  <r>
    <x v="303"/>
    <s v="UA"/>
    <s v="Maryland District Court"/>
    <s v="02/10/2017"/>
    <s v="04/11/2017"/>
    <x v="1372"/>
    <s v="Individual"/>
    <x v="1410"/>
    <m/>
    <s v="UA.2.c"/>
    <m/>
    <m/>
    <m/>
    <n v="0"/>
    <x v="425"/>
    <s v="Contested"/>
    <s v="G-Ind"/>
    <x v="0"/>
  </r>
  <r>
    <x v="303"/>
    <s v="UA"/>
    <s v="Maryland District Court"/>
    <s v="02/10/2017"/>
    <s v="04/11/2017"/>
    <x v="1373"/>
    <s v="Institution"/>
    <x v="1411"/>
    <m/>
    <s v="UA.3"/>
    <m/>
    <n v="1"/>
    <n v="8956650.5500000007"/>
    <n v="1.053723594117647"/>
    <x v="426"/>
    <s v="Contested"/>
    <s v="Ins"/>
    <x v="0"/>
  </r>
  <r>
    <x v="304"/>
    <s v="UNIS"/>
    <s v="New York Southern District Court"/>
    <s v="05/26/2016"/>
    <s v="07/25/2016"/>
    <x v="1374"/>
    <s v="Individual"/>
    <x v="1412"/>
    <m/>
    <s v="UNIS.1.a"/>
    <n v="2"/>
    <n v="2"/>
    <n v="1178896.8600000001"/>
    <n v="4.534218692307693"/>
    <x v="50"/>
    <s v="Contested"/>
    <s v="G-Ind"/>
    <x v="0"/>
  </r>
  <r>
    <x v="304"/>
    <s v="UNIS"/>
    <s v="New York Southern District Court"/>
    <s v="05/26/2016"/>
    <s v="07/25/2016"/>
    <x v="1375"/>
    <s v="Individual"/>
    <x v="1413"/>
    <m/>
    <s v="UNIS.1.b"/>
    <m/>
    <m/>
    <m/>
    <n v="0"/>
    <x v="50"/>
    <s v="Contested"/>
    <s v="G-Ind"/>
    <x v="0"/>
  </r>
  <r>
    <x v="304"/>
    <s v="UNIS"/>
    <s v="New York Southern District Court"/>
    <s v="05/26/2016"/>
    <s v="07/25/2016"/>
    <x v="1376"/>
    <s v="Individual"/>
    <x v="1414"/>
    <m/>
    <s v="UNIS.2"/>
    <m/>
    <n v="1"/>
    <n v="43190"/>
    <n v="0.16611538461538461"/>
    <x v="11"/>
    <s v="Contested"/>
    <s v="Ind"/>
    <x v="0"/>
  </r>
  <r>
    <x v="305"/>
    <s v="UDFI"/>
    <s v="Texas Northern District Court"/>
    <s v="12/21/2015"/>
    <s v="02/19/2016"/>
    <x v="1377"/>
    <s v="Individual"/>
    <x v="1415"/>
    <s v="LIFO/FIFO"/>
    <s v="UDFI.1.a"/>
    <n v="5"/>
    <n v="2"/>
    <n v="550123.77"/>
    <n v="0.25587152093023258"/>
    <x v="186"/>
    <s v="Contested"/>
    <s v="Ind"/>
    <x v="0"/>
  </r>
  <r>
    <x v="305"/>
    <s v="UDFI"/>
    <s v="Texas Northern District Court"/>
    <s v="12/21/2015"/>
    <s v="02/19/2016"/>
    <x v="1378"/>
    <s v="Individual"/>
    <x v="1416"/>
    <s v="LIFO/FIFO"/>
    <s v="UDFI.1.b"/>
    <m/>
    <m/>
    <m/>
    <n v="0"/>
    <x v="186"/>
    <s v="Contested"/>
    <s v="Ind"/>
    <x v="0"/>
  </r>
  <r>
    <x v="305"/>
    <s v="UDFI"/>
    <s v="Texas Northern District Court"/>
    <s v="12/21/2015"/>
    <s v="02/19/2016"/>
    <x v="1379"/>
    <s v="Individual"/>
    <x v="1417"/>
    <m/>
    <s v="UDFI.2"/>
    <m/>
    <n v="1"/>
    <n v="820189.87"/>
    <n v="0.38148366046511628"/>
    <x v="187"/>
    <s v="Contested"/>
    <s v="Ind"/>
    <x v="0"/>
  </r>
  <r>
    <x v="305"/>
    <s v="UDFI"/>
    <s v="Texas Northern District Court"/>
    <s v="12/21/2015"/>
    <s v="02/19/2016"/>
    <x v="1380"/>
    <s v="Individual"/>
    <x v="1418"/>
    <m/>
    <s v="UDFI.3"/>
    <m/>
    <n v="1"/>
    <n v="86042.06"/>
    <n v="4.0019562790697676E-2"/>
    <x v="427"/>
    <s v="Contested"/>
    <s v="Ind"/>
    <x v="0"/>
  </r>
  <r>
    <x v="305"/>
    <s v="UDFI"/>
    <s v="Texas Northern District Court"/>
    <s v="12/21/2015"/>
    <s v="02/19/2016"/>
    <x v="1381"/>
    <s v="Individual"/>
    <x v="1419"/>
    <m/>
    <s v="UDFI.4.a"/>
    <m/>
    <n v="3"/>
    <n v="305945"/>
    <n v="0.14230000000000001"/>
    <x v="106"/>
    <s v="Contested"/>
    <s v="G-Ind"/>
    <x v="0"/>
  </r>
  <r>
    <x v="305"/>
    <s v="UDFI"/>
    <s v="Texas Northern District Court"/>
    <s v="12/21/2015"/>
    <s v="02/19/2016"/>
    <x v="1382"/>
    <s v="Individual"/>
    <x v="1420"/>
    <m/>
    <s v="UDFI.4.b"/>
    <m/>
    <m/>
    <m/>
    <n v="0"/>
    <x v="106"/>
    <s v="Contested"/>
    <s v="G-Ind"/>
    <x v="0"/>
  </r>
  <r>
    <x v="305"/>
    <s v="UDFI"/>
    <s v="Texas Northern District Court"/>
    <s v="12/21/2015"/>
    <s v="02/19/2016"/>
    <x v="1383"/>
    <s v="Individual"/>
    <x v="1421"/>
    <m/>
    <s v="UDFI.4.c"/>
    <m/>
    <m/>
    <m/>
    <n v="0"/>
    <x v="106"/>
    <s v="Contested"/>
    <s v="G-Ind"/>
    <x v="0"/>
  </r>
  <r>
    <x v="305"/>
    <s v="UDFI"/>
    <s v="Texas Northern District Court"/>
    <s v="12/21/2015"/>
    <s v="02/19/2016"/>
    <x v="1384"/>
    <s v="Individual"/>
    <x v="1422"/>
    <m/>
    <s v="UDFI.5"/>
    <m/>
    <n v="1"/>
    <n v="283886.95"/>
    <n v="0.13204044186046512"/>
    <x v="358"/>
    <s v="Contested"/>
    <s v="Ind"/>
    <x v="0"/>
  </r>
  <r>
    <x v="306"/>
    <s v="UHS"/>
    <s v="California Central District Court"/>
    <s v="12/23/2016"/>
    <s v="02/21/2017"/>
    <x v="218"/>
    <s v="Institution"/>
    <x v="1423"/>
    <s v="LIFO"/>
    <s v="UHS.1"/>
    <n v="4"/>
    <n v="1"/>
    <n v="23544.29"/>
    <n v="3.9240483333333335E-3"/>
    <x v="428"/>
    <s v="Contested"/>
    <s v="Ins"/>
    <x v="1"/>
  </r>
  <r>
    <x v="306"/>
    <s v="UHS"/>
    <s v="California Central District Court"/>
    <s v="12/23/2016"/>
    <s v="02/21/2017"/>
    <x v="296"/>
    <s v="Institution"/>
    <x v="1424"/>
    <m/>
    <s v="UHS.2"/>
    <m/>
    <n v="1"/>
    <n v="85520.33"/>
    <n v="1.4253388333333334E-2"/>
    <x v="429"/>
    <s v="Contested"/>
    <s v="Ins"/>
    <x v="1"/>
  </r>
  <r>
    <x v="306"/>
    <s v="UHS"/>
    <s v="California Central District Court"/>
    <s v="12/23/2016"/>
    <s v="02/21/2017"/>
    <x v="169"/>
    <s v="Institution"/>
    <x v="1425"/>
    <s v="FIFO"/>
    <s v="UHS.3.a"/>
    <m/>
    <n v="2"/>
    <n v="170900"/>
    <n v="2.8483333333333333E-2"/>
    <x v="430"/>
    <s v="Contested"/>
    <s v="G-Ins"/>
    <x v="1"/>
  </r>
  <r>
    <x v="306"/>
    <s v="UHS"/>
    <s v="California Central District Court"/>
    <s v="12/23/2016"/>
    <s v="02/21/2017"/>
    <x v="1385"/>
    <s v="Institution"/>
    <x v="1426"/>
    <s v="FIFO/LIFO"/>
    <s v="UHS.3.b"/>
    <m/>
    <m/>
    <m/>
    <n v="0"/>
    <x v="430"/>
    <s v="Contested"/>
    <s v="G-Ins"/>
    <x v="0"/>
  </r>
  <r>
    <x v="306"/>
    <s v="UHS"/>
    <s v="California Central District Court"/>
    <s v="12/23/2016"/>
    <s v="02/21/2017"/>
    <x v="1386"/>
    <s v="Individual"/>
    <x v="1427"/>
    <m/>
    <s v="UHS.4"/>
    <m/>
    <n v="1"/>
    <n v="3380.19"/>
    <n v="5.6336500000000002E-4"/>
    <x v="8"/>
    <s v="Contested"/>
    <s v="Ind"/>
    <x v="0"/>
  </r>
  <r>
    <x v="307"/>
    <s v="USNA"/>
    <s v="Utah District Court"/>
    <s v="02/13/2017"/>
    <s v="04/14/2017"/>
    <x v="1387"/>
    <s v="Individual"/>
    <x v="1428"/>
    <m/>
    <s v="USNA.1"/>
    <n v="1"/>
    <n v="1"/>
    <n v="161101"/>
    <n v="0.2478476923076923"/>
    <x v="56"/>
    <s v="Uncontested"/>
    <s v="Ind"/>
    <x v="0"/>
  </r>
  <r>
    <x v="308"/>
    <s v="VALE"/>
    <s v="New York Southern District Court"/>
    <s v="12/07/2015"/>
    <s v="02/05/2016"/>
    <x v="1388"/>
    <s v="Institution"/>
    <x v="1429"/>
    <m/>
    <s v="VALE.1.a"/>
    <n v="6"/>
    <n v="2"/>
    <n v="15297748.09"/>
    <n v="1.7188480999999998"/>
    <x v="84"/>
    <s v="Contested"/>
    <s v="G-Ins"/>
    <x v="0"/>
  </r>
  <r>
    <x v="308"/>
    <s v="VALE"/>
    <s v="New York Southern District Court"/>
    <s v="12/07/2015"/>
    <s v="02/05/2016"/>
    <x v="3"/>
    <s v="Institution"/>
    <x v="1430"/>
    <m/>
    <s v="VALE.1.b"/>
    <m/>
    <m/>
    <m/>
    <n v="0"/>
    <x v="84"/>
    <s v="Contested"/>
    <s v="G-Ins"/>
    <x v="1"/>
  </r>
  <r>
    <x v="308"/>
    <s v="VALE"/>
    <s v="New York Southern District Court"/>
    <s v="12/07/2015"/>
    <s v="02/05/2016"/>
    <x v="1389"/>
    <s v="Individual"/>
    <x v="1431"/>
    <m/>
    <s v="VALE.2"/>
    <m/>
    <n v="1"/>
    <n v="293749"/>
    <n v="3.3005505617977528E-2"/>
    <x v="431"/>
    <s v="Contested"/>
    <s v="Ind"/>
    <x v="1"/>
  </r>
  <r>
    <x v="308"/>
    <s v="VALE"/>
    <s v="New York Southern District Court"/>
    <s v="12/07/2015"/>
    <s v="02/05/2016"/>
    <x v="1390"/>
    <s v="Individual"/>
    <x v="1432"/>
    <m/>
    <s v="VALE.3.a"/>
    <m/>
    <n v="5"/>
    <n v="1024846"/>
    <n v="0.11515123595505618"/>
    <x v="147"/>
    <s v="Contested"/>
    <s v="G-Ind"/>
    <x v="0"/>
  </r>
  <r>
    <x v="308"/>
    <s v="VALE"/>
    <s v="New York Southern District Court"/>
    <s v="12/07/2015"/>
    <s v="02/05/2016"/>
    <x v="1391"/>
    <s v="Individual"/>
    <x v="1433"/>
    <m/>
    <s v="VALE.3.b"/>
    <m/>
    <m/>
    <m/>
    <n v="0"/>
    <x v="147"/>
    <s v="Contested"/>
    <s v="G-Ind"/>
    <x v="0"/>
  </r>
  <r>
    <x v="308"/>
    <s v="VALE"/>
    <s v="New York Southern District Court"/>
    <s v="12/07/2015"/>
    <s v="02/05/2016"/>
    <x v="1392"/>
    <s v="Individual"/>
    <x v="1434"/>
    <m/>
    <s v="VALE.3.c"/>
    <m/>
    <m/>
    <m/>
    <n v="0"/>
    <x v="147"/>
    <s v="Contested"/>
    <s v="G-Ind"/>
    <x v="0"/>
  </r>
  <r>
    <x v="308"/>
    <s v="VALE"/>
    <s v="New York Southern District Court"/>
    <s v="12/07/2015"/>
    <s v="02/05/2016"/>
    <x v="1389"/>
    <s v="Individual"/>
    <x v="1435"/>
    <m/>
    <s v="VALE.3.d"/>
    <m/>
    <m/>
    <m/>
    <n v="0"/>
    <x v="147"/>
    <s v="Contested"/>
    <s v="G-Ind"/>
    <x v="1"/>
  </r>
  <r>
    <x v="308"/>
    <s v="VALE"/>
    <s v="New York Southern District Court"/>
    <s v="12/07/2015"/>
    <s v="02/05/2016"/>
    <x v="1393"/>
    <s v="Individual"/>
    <x v="1436"/>
    <m/>
    <s v="VALE.3.e"/>
    <m/>
    <m/>
    <m/>
    <n v="0"/>
    <x v="147"/>
    <s v="Contested"/>
    <s v="G-Ind"/>
    <x v="0"/>
  </r>
  <r>
    <x v="308"/>
    <s v="VALE"/>
    <s v="New York Southern District Court"/>
    <s v="12/07/2015"/>
    <s v="02/05/2016"/>
    <x v="1394"/>
    <s v="Individual"/>
    <x v="1437"/>
    <s v="LIFO"/>
    <s v="VALE.4.a"/>
    <m/>
    <n v="3"/>
    <n v="713671.76"/>
    <n v="8.0187838202247189E-2"/>
    <x v="432"/>
    <s v="Contested"/>
    <s v="G-Ind"/>
    <x v="0"/>
  </r>
  <r>
    <x v="308"/>
    <s v="VALE"/>
    <s v="New York Southern District Court"/>
    <s v="12/07/2015"/>
    <s v="02/05/2016"/>
    <x v="558"/>
    <s v="Individual"/>
    <x v="1438"/>
    <s v="LIFO"/>
    <s v="VALE.4.b"/>
    <m/>
    <m/>
    <m/>
    <n v="0"/>
    <x v="432"/>
    <s v="Contested"/>
    <s v="G-Ind"/>
    <x v="1"/>
  </r>
  <r>
    <x v="308"/>
    <s v="VALE"/>
    <s v="New York Southern District Court"/>
    <s v="12/07/2015"/>
    <s v="02/05/2016"/>
    <x v="1395"/>
    <s v="Individual"/>
    <x v="1439"/>
    <s v="LIFO"/>
    <s v="VALE.4.c"/>
    <m/>
    <m/>
    <m/>
    <n v="0"/>
    <x v="432"/>
    <s v="Contested"/>
    <s v="G-Ind"/>
    <x v="0"/>
  </r>
  <r>
    <x v="308"/>
    <s v="VALE"/>
    <s v="New York Southern District Court"/>
    <s v="12/07/2015"/>
    <s v="02/05/2016"/>
    <x v="1396"/>
    <s v="Institution"/>
    <x v="1440"/>
    <s v="LIFO"/>
    <s v="VALE.5"/>
    <m/>
    <n v="1"/>
    <n v="354112"/>
    <n v="3.9787865168539327E-2"/>
    <x v="69"/>
    <s v="Contested"/>
    <s v="Ins"/>
    <x v="0"/>
  </r>
  <r>
    <x v="308"/>
    <s v="VALE"/>
    <s v="New York Southern District Court"/>
    <s v="12/07/2015"/>
    <s v="02/05/2016"/>
    <x v="1397"/>
    <s v="Individual"/>
    <x v="1441"/>
    <m/>
    <s v="VALE.6"/>
    <m/>
    <n v="1"/>
    <n v="319372.34000000003"/>
    <n v="3.5884532584269671E-2"/>
    <x v="10"/>
    <s v="Contested"/>
    <s v="Ind"/>
    <x v="0"/>
  </r>
  <r>
    <x v="309"/>
    <s v="VEON"/>
    <s v="New York Southern District Court"/>
    <s v="11/04/2015"/>
    <s v="01/04/2016"/>
    <x v="1398"/>
    <s v="Individual"/>
    <x v="1442"/>
    <m/>
    <s v="VEON.1"/>
    <n v="4"/>
    <n v="1"/>
    <n v="679339.06"/>
    <n v="0.9057854133333334"/>
    <x v="103"/>
    <s v="Contested"/>
    <s v="Ind"/>
    <x v="0"/>
  </r>
  <r>
    <x v="309"/>
    <s v="VEON"/>
    <s v="New York Southern District Court"/>
    <s v="11/04/2015"/>
    <s v="01/04/2016"/>
    <x v="1399"/>
    <s v="Individual"/>
    <x v="1443"/>
    <m/>
    <s v="VEON.2.a"/>
    <m/>
    <n v="2"/>
    <n v="96669.19"/>
    <n v="0.12889225333333332"/>
    <x v="1"/>
    <s v="Contested"/>
    <s v="G-Ind"/>
    <x v="0"/>
  </r>
  <r>
    <x v="309"/>
    <s v="VEON"/>
    <s v="New York Southern District Court"/>
    <s v="11/04/2015"/>
    <s v="01/04/2016"/>
    <x v="1400"/>
    <s v="Individual"/>
    <x v="1444"/>
    <m/>
    <s v="VEON.2.b"/>
    <m/>
    <m/>
    <m/>
    <n v="0"/>
    <x v="1"/>
    <s v="Contested"/>
    <s v="G-Ind"/>
    <x v="0"/>
  </r>
  <r>
    <x v="309"/>
    <s v="VEON"/>
    <s v="New York Southern District Court"/>
    <s v="11/04/2015"/>
    <s v="01/04/2016"/>
    <x v="1401"/>
    <s v="Individual"/>
    <x v="620"/>
    <m/>
    <s v="VEON.3.a"/>
    <m/>
    <n v="3"/>
    <n v="678587.27"/>
    <n v="0.90478302666666677"/>
    <x v="72"/>
    <s v="Contested"/>
    <s v="G-Ind"/>
    <x v="0"/>
  </r>
  <r>
    <x v="309"/>
    <s v="VEON"/>
    <s v="New York Southern District Court"/>
    <s v="11/04/2015"/>
    <s v="01/04/2016"/>
    <x v="1402"/>
    <s v="Individual"/>
    <x v="1445"/>
    <m/>
    <s v="VEON.3.b"/>
    <m/>
    <m/>
    <m/>
    <n v="0"/>
    <x v="72"/>
    <s v="Contested"/>
    <s v="G-Ind"/>
    <x v="0"/>
  </r>
  <r>
    <x v="309"/>
    <s v="VEON"/>
    <s v="New York Southern District Court"/>
    <s v="11/04/2015"/>
    <s v="01/04/2016"/>
    <x v="1403"/>
    <s v="Individual"/>
    <x v="1446"/>
    <m/>
    <s v="VEON.3.c"/>
    <m/>
    <m/>
    <m/>
    <n v="0"/>
    <x v="72"/>
    <s v="Contested"/>
    <s v="G-Ind"/>
    <x v="0"/>
  </r>
  <r>
    <x v="309"/>
    <s v="VEON"/>
    <s v="New York Southern District Court"/>
    <s v="11/04/2015"/>
    <s v="01/04/2016"/>
    <x v="1404"/>
    <s v="Individual"/>
    <x v="1447"/>
    <m/>
    <s v="VEON.4.a"/>
    <m/>
    <n v="2"/>
    <n v="89877"/>
    <n v="0.11983600000000001"/>
    <x v="97"/>
    <s v="Contested"/>
    <s v="G-Ind"/>
    <x v="0"/>
  </r>
  <r>
    <x v="309"/>
    <s v="VEON"/>
    <s v="New York Southern District Court"/>
    <s v="11/04/2015"/>
    <s v="01/04/2016"/>
    <x v="1405"/>
    <s v="Individual"/>
    <x v="1448"/>
    <m/>
    <s v="VEON.4.b"/>
    <m/>
    <m/>
    <m/>
    <n v="0"/>
    <x v="97"/>
    <s v="Contested"/>
    <s v="G-Ind"/>
    <x v="0"/>
  </r>
  <r>
    <x v="310"/>
    <s v="VSTO"/>
    <s v="Utah District Court"/>
    <s v="01/25/2017"/>
    <s v="03/27/2017"/>
    <x v="1406"/>
    <s v="Institution"/>
    <x v="1449"/>
    <m/>
    <s v="VSTO.1"/>
    <n v="4"/>
    <n v="1"/>
    <n v="87737.63"/>
    <n v="4.8743127777777784E-2"/>
    <x v="433"/>
    <s v="Contested"/>
    <s v="Ins"/>
    <x v="0"/>
  </r>
  <r>
    <x v="310"/>
    <s v="VSTO"/>
    <s v="Utah District Court"/>
    <s v="01/25/2017"/>
    <s v="03/27/2017"/>
    <x v="1407"/>
    <s v="Institution"/>
    <x v="1450"/>
    <m/>
    <s v="VSTO.2"/>
    <m/>
    <n v="1"/>
    <n v="76042.19"/>
    <n v="4.224566111111111E-2"/>
    <x v="434"/>
    <s v="Contested"/>
    <s v="Ins"/>
    <x v="0"/>
  </r>
  <r>
    <x v="310"/>
    <s v="VSTO"/>
    <s v="Utah District Court"/>
    <s v="01/25/2017"/>
    <s v="03/27/2017"/>
    <x v="1408"/>
    <s v="Individual"/>
    <x v="1451"/>
    <m/>
    <s v="VSTO.3"/>
    <m/>
    <n v="1"/>
    <n v="258951.5"/>
    <n v="0.14386194444444445"/>
    <x v="265"/>
    <s v="Contested"/>
    <s v="Ind"/>
    <x v="0"/>
  </r>
  <r>
    <x v="310"/>
    <s v="VSTO"/>
    <s v="Utah District Court"/>
    <s v="01/25/2017"/>
    <s v="03/27/2017"/>
    <x v="716"/>
    <s v="Institution"/>
    <x v="1452"/>
    <s v="-"/>
    <s v="VSTO.4"/>
    <m/>
    <n v="1"/>
    <n v="339133.77"/>
    <n v="0.18840765000000001"/>
    <x v="435"/>
    <s v="Contested"/>
    <s v="Ins"/>
    <x v="1"/>
  </r>
  <r>
    <x v="311"/>
    <s v="VTL"/>
    <s v="California Southern District Court"/>
    <s v="12/02/2015"/>
    <s v="02/01/2016"/>
    <x v="1409"/>
    <s v="Individual"/>
    <x v="1453"/>
    <m/>
    <s v="VTL.1"/>
    <n v="3"/>
    <n v="1"/>
    <n v="2728.14"/>
    <n v="1.0912560000000001E-3"/>
    <x v="72"/>
    <s v="Contested"/>
    <s v="Ind"/>
    <x v="0"/>
  </r>
  <r>
    <x v="311"/>
    <s v="VTL"/>
    <s v="California Southern District Court"/>
    <s v="12/02/2015"/>
    <s v="02/01/2016"/>
    <x v="1410"/>
    <s v="Individual"/>
    <x v="1454"/>
    <m/>
    <s v="VTL.2"/>
    <m/>
    <n v="1"/>
    <n v="24534.44"/>
    <n v="9.8137759999999997E-3"/>
    <x v="10"/>
    <s v="Contested"/>
    <s v="Ind"/>
    <x v="0"/>
  </r>
  <r>
    <x v="311"/>
    <s v="VTL"/>
    <s v="California Southern District Court"/>
    <s v="12/02/2015"/>
    <s v="02/01/2016"/>
    <x v="1411"/>
    <s v="Individual"/>
    <x v="1455"/>
    <m/>
    <s v="VTL.3"/>
    <m/>
    <n v="1"/>
    <n v="8558"/>
    <n v="3.4231999999999999E-3"/>
    <x v="106"/>
    <s v="Contested"/>
    <s v="Ind"/>
    <x v="0"/>
  </r>
  <r>
    <x v="312"/>
    <s v="VSLR"/>
    <s v="Missouri Eastern District Court"/>
    <s v="05/03/2016"/>
    <s v="07/05/2016"/>
    <x v="1412"/>
    <s v="Individual"/>
    <x v="1456"/>
    <m/>
    <s v="VSLR.1"/>
    <n v="1"/>
    <n v="1"/>
    <n v="61765"/>
    <n v="0.15441249999999998"/>
    <x v="436"/>
    <s v="Uncontested"/>
    <s v="Ind"/>
    <x v="0"/>
  </r>
  <r>
    <x v="313"/>
    <s v="VLKAY"/>
    <s v="California Northern District Court"/>
    <s v="06/20/2016"/>
    <s v="08/22/2016"/>
    <x v="1413"/>
    <s v="Institution"/>
    <x v="1457"/>
    <s v="LIFO/FIFO"/>
    <s v="VLKAY.1"/>
    <n v="1"/>
    <n v="1"/>
    <n v="66552.100000000006"/>
    <n v="1.923471098265896E-2"/>
    <x v="21"/>
    <s v="Uncontested"/>
    <s v="Ins"/>
    <x v="0"/>
  </r>
  <r>
    <x v="314"/>
    <s v="WAC"/>
    <s v="Pennsylvania Eastern District Court"/>
    <s v="03/16/2017"/>
    <s v="05/15/2017"/>
    <x v="1414"/>
    <s v="Individual"/>
    <x v="1458"/>
    <m/>
    <s v="WAC.1"/>
    <n v="3"/>
    <n v="1"/>
    <n v="20671.88"/>
    <n v="0.12159929411764707"/>
    <x v="437"/>
    <s v="Contested"/>
    <s v="Ind"/>
    <x v="0"/>
  </r>
  <r>
    <x v="314"/>
    <s v="WAC"/>
    <s v="Pennsylvania Eastern District Court"/>
    <s v="03/16/2017"/>
    <s v="05/15/2017"/>
    <x v="1415"/>
    <s v="Individual"/>
    <x v="1459"/>
    <m/>
    <s v="WAC.2"/>
    <m/>
    <n v="1"/>
    <n v="83796.350000000006"/>
    <n v="0.49291970588235301"/>
    <x v="1"/>
    <s v="Contested"/>
    <s v="Ind"/>
    <x v="0"/>
  </r>
  <r>
    <x v="314"/>
    <s v="WAC"/>
    <s v="Pennsylvania Eastern District Court"/>
    <s v="03/16/2017"/>
    <s v="05/15/2017"/>
    <x v="1416"/>
    <s v="Individual"/>
    <x v="1460"/>
    <m/>
    <s v="WAC.3.a"/>
    <m/>
    <n v="3"/>
    <n v="22456.23"/>
    <n v="0.13209547058823529"/>
    <x v="8"/>
    <s v="Contested"/>
    <s v="G-Ind"/>
    <x v="0"/>
  </r>
  <r>
    <x v="314"/>
    <s v="WAC"/>
    <s v="Pennsylvania Eastern District Court"/>
    <s v="03/16/2017"/>
    <s v="05/15/2017"/>
    <x v="1417"/>
    <s v="Individual"/>
    <x v="1461"/>
    <m/>
    <s v="WAC.3.b"/>
    <m/>
    <m/>
    <m/>
    <n v="0"/>
    <x v="8"/>
    <s v="Contested"/>
    <s v="G-Ind"/>
    <x v="0"/>
  </r>
  <r>
    <x v="314"/>
    <s v="WAC"/>
    <s v="Pennsylvania Eastern District Court"/>
    <s v="03/16/2017"/>
    <s v="05/15/2017"/>
    <x v="1418"/>
    <s v="Individual"/>
    <x v="1462"/>
    <m/>
    <s v="WAC.3.c"/>
    <m/>
    <m/>
    <m/>
    <n v="0"/>
    <x v="8"/>
    <s v="Contested"/>
    <s v="G-Ind"/>
    <x v="0"/>
  </r>
  <r>
    <x v="315"/>
    <s v="WRES"/>
    <s v="Colorado District Court"/>
    <s v="08/11/2016"/>
    <s v="10/11/2016"/>
    <x v="1419"/>
    <s v="Individual"/>
    <x v="1463"/>
    <s v="Combined losses"/>
    <s v="WRES.1.a"/>
    <n v="2"/>
    <n v="2"/>
    <n v="84500"/>
    <n v="4.2250000000000003E-2"/>
    <x v="438"/>
    <s v="Contested"/>
    <s v="G-Ind"/>
    <x v="0"/>
  </r>
  <r>
    <x v="315"/>
    <s v="WRES"/>
    <s v="Colorado District Court"/>
    <s v="08/11/2016"/>
    <s v="10/11/2016"/>
    <x v="1420"/>
    <s v="Individual"/>
    <x v="5"/>
    <m/>
    <s v="WRES.1.b"/>
    <m/>
    <m/>
    <m/>
    <n v="0"/>
    <x v="438"/>
    <s v="Contested"/>
    <s v="G-Ind"/>
    <x v="0"/>
  </r>
  <r>
    <x v="315"/>
    <s v="WRES"/>
    <s v="Colorado District Court"/>
    <s v="08/11/2016"/>
    <s v="10/11/2016"/>
    <x v="1421"/>
    <s v="Individual"/>
    <x v="1464"/>
    <s v="FIFO"/>
    <s v="WRES.2.a"/>
    <m/>
    <n v="3"/>
    <n v="452608.67000000004"/>
    <n v="0.226304335"/>
    <x v="439"/>
    <s v="Contested"/>
    <s v="G-Ind"/>
    <x v="0"/>
  </r>
  <r>
    <x v="315"/>
    <s v="WRES"/>
    <s v="Colorado District Court"/>
    <s v="08/11/2016"/>
    <s v="10/11/2016"/>
    <x v="1422"/>
    <s v="Individual"/>
    <x v="1465"/>
    <s v="LIFO/FIFO"/>
    <s v="WRES.2.b"/>
    <m/>
    <m/>
    <m/>
    <n v="0"/>
    <x v="439"/>
    <s v="Contested"/>
    <s v="G-Ind"/>
    <x v="0"/>
  </r>
  <r>
    <x v="315"/>
    <s v="WRES"/>
    <s v="Colorado District Court"/>
    <s v="08/11/2016"/>
    <s v="10/11/2016"/>
    <x v="1423"/>
    <s v="Individual"/>
    <x v="1466"/>
    <s v="LIFO/FIFO"/>
    <s v="WRES.2.c"/>
    <m/>
    <m/>
    <m/>
    <n v="0"/>
    <x v="439"/>
    <s v="Contested"/>
    <s v="G-Ind"/>
    <x v="0"/>
  </r>
  <r>
    <x v="315"/>
    <s v="WRES"/>
    <s v="Colorado District Court"/>
    <s v="08/11/2016"/>
    <s v="10/11/2016"/>
    <x v="1424"/>
    <s v="Individual"/>
    <x v="1467"/>
    <s v="Combined losses"/>
    <s v="WRES.3.a"/>
    <m/>
    <n v="3"/>
    <n v="193307.51"/>
    <n v="9.6653755000000008E-2"/>
    <x v="8"/>
    <s v="Contested"/>
    <s v="G-Ind"/>
    <x v="0"/>
  </r>
  <r>
    <x v="315"/>
    <s v="WRES"/>
    <s v="Colorado District Court"/>
    <s v="08/11/2016"/>
    <s v="10/11/2016"/>
    <x v="1425"/>
    <s v="Individual"/>
    <x v="178"/>
    <m/>
    <s v="WRES.3.b"/>
    <m/>
    <m/>
    <m/>
    <n v="0"/>
    <x v="8"/>
    <s v="Contested"/>
    <s v="G-Ind"/>
    <x v="0"/>
  </r>
  <r>
    <x v="315"/>
    <s v="WRES"/>
    <s v="Colorado District Court"/>
    <s v="08/11/2016"/>
    <s v="10/11/2016"/>
    <x v="1426"/>
    <s v="Individual"/>
    <x v="178"/>
    <m/>
    <s v="WRES.3.c"/>
    <m/>
    <m/>
    <m/>
    <n v="0"/>
    <x v="8"/>
    <s v="Contested"/>
    <s v="G-Ind"/>
    <x v="0"/>
  </r>
  <r>
    <x v="315"/>
    <s v="WRES"/>
    <s v="Colorado District Court"/>
    <s v="08/11/2016"/>
    <s v="10/11/2016"/>
    <x v="1427"/>
    <s v="Individual"/>
    <x v="1468"/>
    <m/>
    <s v="WRES.4.a"/>
    <m/>
    <n v="4"/>
    <n v="116190.34"/>
    <n v="5.8095169999999995E-2"/>
    <x v="200"/>
    <s v="Contested"/>
    <s v="G-Ind"/>
    <x v="0"/>
  </r>
  <r>
    <x v="315"/>
    <s v="WRES"/>
    <s v="Colorado District Court"/>
    <s v="08/11/2016"/>
    <s v="10/11/2016"/>
    <x v="1428"/>
    <s v="Individual"/>
    <x v="1469"/>
    <m/>
    <s v="WRES.4.b"/>
    <m/>
    <m/>
    <m/>
    <n v="0"/>
    <x v="200"/>
    <s v="Contested"/>
    <s v="G-Ind"/>
    <x v="0"/>
  </r>
  <r>
    <x v="315"/>
    <s v="WRES"/>
    <s v="Colorado District Court"/>
    <s v="08/11/2016"/>
    <s v="10/11/2016"/>
    <x v="1429"/>
    <s v="Individual"/>
    <x v="1470"/>
    <m/>
    <s v="WRES.4.c"/>
    <m/>
    <m/>
    <m/>
    <n v="0"/>
    <x v="200"/>
    <s v="Contested"/>
    <s v="G-Ind"/>
    <x v="0"/>
  </r>
  <r>
    <x v="315"/>
    <s v="WRES"/>
    <s v="Colorado District Court"/>
    <s v="08/11/2016"/>
    <s v="10/11/2016"/>
    <x v="1430"/>
    <s v="Individual"/>
    <x v="1471"/>
    <m/>
    <s v="WRES.4.d"/>
    <m/>
    <m/>
    <m/>
    <n v="0"/>
    <x v="200"/>
    <s v="Contested"/>
    <s v="G-Ind"/>
    <x v="0"/>
  </r>
  <r>
    <x v="316"/>
    <s v="WFC"/>
    <s v="California Northern District Court"/>
    <s v="09/26/2016"/>
    <s v="11/25/2016"/>
    <x v="49"/>
    <s v="Institution"/>
    <x v="1472"/>
    <s v="LIFO"/>
    <s v="WFC.1"/>
    <n v="4"/>
    <n v="1"/>
    <n v="3027824.65"/>
    <n v="4.3254637857142855E-2"/>
    <x v="133"/>
    <s v="Contested"/>
    <s v="Ins"/>
    <x v="1"/>
  </r>
  <r>
    <x v="316"/>
    <s v="WFC"/>
    <s v="California Northern District Court"/>
    <s v="09/26/2016"/>
    <s v="11/25/2016"/>
    <x v="50"/>
    <s v="Institution"/>
    <x v="1473"/>
    <s v="FIFO"/>
    <s v="WFC.2"/>
    <m/>
    <n v="1"/>
    <n v="11041699.35"/>
    <n v="0.15773856214285714"/>
    <x v="88"/>
    <s v="Contested"/>
    <s v="Ins"/>
    <x v="1"/>
  </r>
  <r>
    <x v="316"/>
    <s v="WFC"/>
    <s v="California Northern District Court"/>
    <s v="09/26/2016"/>
    <s v="11/25/2016"/>
    <x v="1431"/>
    <s v="Individual"/>
    <x v="1474"/>
    <m/>
    <s v="WFC.3.a"/>
    <m/>
    <n v="7"/>
    <n v="501680"/>
    <n v="7.1668571428571432E-3"/>
    <x v="106"/>
    <s v="Contested"/>
    <s v="G-Ind"/>
    <x v="0"/>
  </r>
  <r>
    <x v="316"/>
    <s v="WFC"/>
    <s v="California Northern District Court"/>
    <s v="09/26/2016"/>
    <s v="11/25/2016"/>
    <x v="1432"/>
    <s v="Individual"/>
    <x v="1475"/>
    <m/>
    <s v="WFC.3.b"/>
    <m/>
    <m/>
    <m/>
    <n v="0"/>
    <x v="106"/>
    <s v="Contested"/>
    <s v="G-Ind"/>
    <x v="0"/>
  </r>
  <r>
    <x v="316"/>
    <s v="WFC"/>
    <s v="California Northern District Court"/>
    <s v="09/26/2016"/>
    <s v="11/25/2016"/>
    <x v="1433"/>
    <s v="Individual"/>
    <x v="1476"/>
    <m/>
    <s v="WFC.3.c"/>
    <m/>
    <m/>
    <m/>
    <n v="0"/>
    <x v="106"/>
    <s v="Contested"/>
    <s v="G-Ind"/>
    <x v="0"/>
  </r>
  <r>
    <x v="316"/>
    <s v="WFC"/>
    <s v="California Northern District Court"/>
    <s v="09/26/2016"/>
    <s v="11/25/2016"/>
    <x v="1434"/>
    <s v="Individual"/>
    <x v="1477"/>
    <m/>
    <s v="WFC.3.d"/>
    <m/>
    <m/>
    <m/>
    <n v="0"/>
    <x v="106"/>
    <s v="Contested"/>
    <s v="G-Ind"/>
    <x v="0"/>
  </r>
  <r>
    <x v="316"/>
    <s v="WFC"/>
    <s v="California Northern District Court"/>
    <s v="09/26/2016"/>
    <s v="11/25/2016"/>
    <x v="1435"/>
    <s v="Individual"/>
    <x v="1478"/>
    <m/>
    <s v="WFC.3.e"/>
    <m/>
    <m/>
    <m/>
    <n v="0"/>
    <x v="106"/>
    <s v="Contested"/>
    <s v="G-Ind"/>
    <x v="0"/>
  </r>
  <r>
    <x v="316"/>
    <s v="WFC"/>
    <s v="California Northern District Court"/>
    <s v="09/26/2016"/>
    <s v="11/25/2016"/>
    <x v="1436"/>
    <s v="Individual"/>
    <x v="1479"/>
    <m/>
    <s v="WFC.3.f"/>
    <m/>
    <m/>
    <m/>
    <n v="0"/>
    <x v="106"/>
    <s v="Contested"/>
    <s v="G-Ind"/>
    <x v="0"/>
  </r>
  <r>
    <x v="316"/>
    <s v="WFC"/>
    <s v="California Northern District Court"/>
    <s v="09/26/2016"/>
    <s v="11/25/2016"/>
    <x v="1437"/>
    <s v="Individual"/>
    <x v="1480"/>
    <m/>
    <s v="WFC.3.g"/>
    <m/>
    <m/>
    <m/>
    <n v="0"/>
    <x v="106"/>
    <s v="Contested"/>
    <s v="G-Ind"/>
    <x v="0"/>
  </r>
  <r>
    <x v="316"/>
    <s v="WFC"/>
    <s v="California Northern District Court"/>
    <s v="09/26/2016"/>
    <s v="11/25/2016"/>
    <x v="1272"/>
    <s v="Institution"/>
    <x v="1481"/>
    <s v="FIFO"/>
    <s v="WFC.4"/>
    <m/>
    <n v="1"/>
    <n v="5642096.6200000001"/>
    <n v="8.0601380285714286E-2"/>
    <x v="440"/>
    <s v="Contested"/>
    <s v="Ins"/>
    <x v="1"/>
  </r>
  <r>
    <x v="317"/>
    <s v="WPZ"/>
    <s v="Oklahoma Northern District Court"/>
    <s v="03/07/2016"/>
    <s v="05/06/2016"/>
    <x v="1438"/>
    <s v="Individual"/>
    <x v="1482"/>
    <m/>
    <s v="WPZ.1"/>
    <n v="3"/>
    <n v="1"/>
    <n v="6783.94"/>
    <n v="1.6959849999999999E-3"/>
    <x v="441"/>
    <s v="Contested"/>
    <s v="Ind"/>
    <x v="0"/>
  </r>
  <r>
    <x v="317"/>
    <s v="WPZ"/>
    <s v="Oklahoma Northern District Court"/>
    <s v="03/07/2016"/>
    <s v="05/06/2016"/>
    <x v="1439"/>
    <s v="Individual"/>
    <x v="1483"/>
    <m/>
    <s v="WPZ.2.a"/>
    <m/>
    <n v="2"/>
    <n v="24942.5"/>
    <n v="6.2356249999999998E-3"/>
    <x v="132"/>
    <s v="Contested"/>
    <s v="G-Ind"/>
    <x v="0"/>
  </r>
  <r>
    <x v="317"/>
    <s v="WPZ"/>
    <s v="Oklahoma Northern District Court"/>
    <s v="03/07/2016"/>
    <s v="05/06/2016"/>
    <x v="1440"/>
    <s v="Individual"/>
    <x v="1484"/>
    <m/>
    <s v="WPZ.2.b"/>
    <m/>
    <m/>
    <m/>
    <n v="0"/>
    <x v="132"/>
    <s v="Contested"/>
    <s v="G-Ind"/>
    <x v="0"/>
  </r>
  <r>
    <x v="317"/>
    <s v="WPZ"/>
    <s v="Oklahoma Northern District Court"/>
    <s v="03/07/2016"/>
    <s v="05/06/2016"/>
    <x v="1441"/>
    <s v="Institution"/>
    <x v="1485"/>
    <s v="LIFO"/>
    <s v="WPZ.3"/>
    <m/>
    <n v="1"/>
    <n v="111358.31"/>
    <n v="2.7839577500000001E-2"/>
    <x v="442"/>
    <s v="Contested"/>
    <s v="Ins"/>
    <x v="1"/>
  </r>
  <r>
    <x v="318"/>
    <s v="WINS"/>
    <s v="California Central District Court"/>
    <s v="04/20/2017"/>
    <s v="06/05/2017"/>
    <x v="1442"/>
    <s v="Individual"/>
    <x v="1486"/>
    <s v="LIFO"/>
    <s v="WINS.1.a"/>
    <n v="2"/>
    <n v="2"/>
    <n v="13976.33"/>
    <n v="0.10751023076923077"/>
    <x v="443"/>
    <s v="Contested"/>
    <s v="G-Ind"/>
    <x v="0"/>
  </r>
  <r>
    <x v="318"/>
    <s v="WINS"/>
    <s v="California Central District Court"/>
    <s v="04/20/2017"/>
    <s v="06/05/2017"/>
    <x v="1443"/>
    <s v="Individual"/>
    <x v="1487"/>
    <s v="LIFO"/>
    <s v="WINS.1.b"/>
    <m/>
    <m/>
    <m/>
    <n v="0"/>
    <x v="443"/>
    <s v="Contested"/>
    <s v="G-Ind"/>
    <x v="0"/>
  </r>
  <r>
    <x v="318"/>
    <s v="WINS"/>
    <s v="California Central District Court"/>
    <s v="04/20/2017"/>
    <s v="06/05/2017"/>
    <x v="1444"/>
    <s v="Individual"/>
    <x v="1488"/>
    <m/>
    <s v="WINS.2.a"/>
    <m/>
    <n v="3"/>
    <n v="156075.24"/>
    <n v="1.200578769230769"/>
    <x v="214"/>
    <s v="Contested"/>
    <s v="G-Ind"/>
    <x v="0"/>
  </r>
  <r>
    <x v="318"/>
    <s v="WINS"/>
    <s v="California Central District Court"/>
    <s v="04/20/2017"/>
    <s v="06/05/2017"/>
    <x v="1445"/>
    <s v="Individual"/>
    <x v="1489"/>
    <m/>
    <s v="WINS.2.b"/>
    <m/>
    <m/>
    <m/>
    <n v="0"/>
    <x v="214"/>
    <s v="Contested"/>
    <s v="G-Ind"/>
    <x v="0"/>
  </r>
  <r>
    <x v="318"/>
    <s v="WINS"/>
    <s v="California Central District Court"/>
    <s v="04/20/2017"/>
    <s v="06/05/2017"/>
    <x v="1446"/>
    <s v="Individual"/>
    <x v="1490"/>
    <m/>
    <s v="WINS.2.c"/>
    <m/>
    <m/>
    <m/>
    <n v="0"/>
    <x v="214"/>
    <s v="Contested"/>
    <s v="G-Ind"/>
    <x v="0"/>
  </r>
  <r>
    <x v="319"/>
    <s v="XBIT"/>
    <s v="Texas Western District Court"/>
    <s v="12/02/2015"/>
    <s v="02/01/2016"/>
    <x v="1447"/>
    <s v="Individual"/>
    <x v="1491"/>
    <m/>
    <s v="XBIT.1"/>
    <n v="4"/>
    <n v="1"/>
    <n v="737324"/>
    <n v="1.84331"/>
    <x v="444"/>
    <s v="Contested"/>
    <s v="Ind"/>
    <x v="0"/>
  </r>
  <r>
    <x v="319"/>
    <s v="XBIT"/>
    <s v="Texas Western District Court"/>
    <s v="12/02/2015"/>
    <s v="02/01/2016"/>
    <x v="1448"/>
    <s v="Individual"/>
    <x v="1492"/>
    <m/>
    <s v="XBIT.2"/>
    <m/>
    <n v="1"/>
    <n v="8109.08"/>
    <n v="2.0272699999999998E-2"/>
    <x v="187"/>
    <s v="Contested"/>
    <s v="Ind"/>
    <x v="0"/>
  </r>
  <r>
    <x v="319"/>
    <s v="XBIT"/>
    <s v="Texas Western District Court"/>
    <s v="12/02/2015"/>
    <s v="02/01/2016"/>
    <x v="1449"/>
    <s v="Individual"/>
    <x v="1493"/>
    <m/>
    <s v="XBIT.3"/>
    <m/>
    <n v="1"/>
    <n v="9859.59"/>
    <n v="2.4648975E-2"/>
    <x v="189"/>
    <s v="Contested"/>
    <s v="Ind"/>
    <x v="0"/>
  </r>
  <r>
    <x v="319"/>
    <s v="XBIT"/>
    <s v="Texas Western District Court"/>
    <s v="12/02/2015"/>
    <s v="02/01/2016"/>
    <x v="1450"/>
    <s v="Individual"/>
    <x v="1494"/>
    <m/>
    <s v="XBIT.4"/>
    <m/>
    <n v="1"/>
    <n v="23605.25"/>
    <n v="5.9013125E-2"/>
    <x v="445"/>
    <s v="Contested"/>
    <s v="Ind"/>
    <x v="0"/>
  </r>
  <r>
    <x v="320"/>
    <s v="XRX"/>
    <s v="New York Southern District Court"/>
    <s v="10/21/2016"/>
    <s v="12/23/2016"/>
    <x v="1451"/>
    <s v="Institution"/>
    <x v="1495"/>
    <m/>
    <s v="XRX.1"/>
    <n v="4"/>
    <n v="1"/>
    <n v="427384"/>
    <n v="6.105485714285714E-2"/>
    <x v="138"/>
    <s v="Contested"/>
    <s v="Ins"/>
    <x v="0"/>
  </r>
  <r>
    <x v="320"/>
    <s v="XRX"/>
    <s v="New York Southern District Court"/>
    <s v="10/21/2016"/>
    <s v="12/23/2016"/>
    <x v="903"/>
    <s v="Institution"/>
    <x v="1496"/>
    <s v="FIFO"/>
    <s v="XRX.2"/>
    <m/>
    <n v="1"/>
    <n v="1612283.42"/>
    <n v="0.23032620285714286"/>
    <x v="68"/>
    <s v="Contested"/>
    <s v="Ins"/>
    <x v="1"/>
  </r>
  <r>
    <x v="320"/>
    <s v="XRX"/>
    <s v="New York Southern District Court"/>
    <s v="10/21/2016"/>
    <s v="12/23/2016"/>
    <x v="1452"/>
    <s v="Individual"/>
    <x v="1497"/>
    <m/>
    <s v="XRX.3"/>
    <m/>
    <n v="1"/>
    <n v="102302.86"/>
    <n v="1.4614694285714287E-2"/>
    <x v="10"/>
    <s v="Contested"/>
    <s v="Ind"/>
    <x v="0"/>
  </r>
  <r>
    <x v="320"/>
    <s v="XRX"/>
    <s v="New York Southern District Court"/>
    <s v="10/21/2016"/>
    <s v="12/23/2016"/>
    <x v="1453"/>
    <s v="Institution"/>
    <x v="1498"/>
    <m/>
    <s v="XRX.4"/>
    <m/>
    <n v="1"/>
    <n v="171890.15"/>
    <n v="2.4555735714285716E-2"/>
    <x v="211"/>
    <s v="Contested"/>
    <s v="Ins"/>
    <x v="0"/>
  </r>
  <r>
    <x v="321"/>
    <s v="YHOO"/>
    <s v="California Northern District Court"/>
    <s v="01/24/2017"/>
    <s v="03/27/2017"/>
    <x v="1454"/>
    <s v="Individual"/>
    <x v="1499"/>
    <m/>
    <s v="YHOO.1.a"/>
    <n v="1"/>
    <n v="2"/>
    <n v="1180889"/>
    <n v="0.19681483333333336"/>
    <x v="50"/>
    <s v="Uncontested"/>
    <s v="G-Ind"/>
    <x v="0"/>
  </r>
  <r>
    <x v="321"/>
    <s v="YHOO"/>
    <s v="California Northern District Court"/>
    <s v="01/24/2017"/>
    <s v="03/27/2017"/>
    <x v="1455"/>
    <s v="Individual"/>
    <x v="1500"/>
    <m/>
    <s v="YHOO.1.b"/>
    <m/>
    <m/>
    <m/>
    <n v="0"/>
    <x v="50"/>
    <s v="Uncontested"/>
    <s v="G-Ind"/>
    <x v="0"/>
  </r>
  <r>
    <x v="322"/>
    <s v="YRD"/>
    <s v="California Central District Court"/>
    <s v="08/26/2016"/>
    <s v="10/25/2016"/>
    <x v="1456"/>
    <s v="Individual"/>
    <x v="1501"/>
    <m/>
    <s v="YRD.1.a"/>
    <n v="2"/>
    <n v="2"/>
    <n v="79776.160000000003"/>
    <n v="0.11396594285714287"/>
    <x v="65"/>
    <s v="Contested"/>
    <s v="G-Ind"/>
    <x v="0"/>
  </r>
  <r>
    <x v="322"/>
    <s v="YRD"/>
    <s v="California Central District Court"/>
    <s v="08/26/2016"/>
    <s v="10/25/2016"/>
    <x v="1457"/>
    <s v="Individual"/>
    <x v="1502"/>
    <m/>
    <s v="YRD.1.b"/>
    <m/>
    <m/>
    <m/>
    <n v="0"/>
    <x v="65"/>
    <s v="Contested"/>
    <s v="G-Ind"/>
    <x v="0"/>
  </r>
  <r>
    <x v="322"/>
    <s v="YRD"/>
    <s v="California Central District Court"/>
    <s v="08/26/2016"/>
    <s v="10/25/2016"/>
    <x v="1458"/>
    <s v="Individual"/>
    <x v="1503"/>
    <m/>
    <s v="YRD.2.a"/>
    <m/>
    <n v="2"/>
    <n v="342009"/>
    <n v="0.48858428571428569"/>
    <x v="45"/>
    <s v="Contested"/>
    <s v="G-Ind"/>
    <x v="0"/>
  </r>
  <r>
    <x v="322"/>
    <s v="YRD"/>
    <s v="California Central District Court"/>
    <s v="08/26/2016"/>
    <s v="10/25/2016"/>
    <x v="1459"/>
    <s v="Individual"/>
    <x v="1504"/>
    <m/>
    <s v="YRD.2.b"/>
    <m/>
    <m/>
    <m/>
    <n v="0"/>
    <x v="45"/>
    <s v="Contested"/>
    <s v="G-Ind"/>
    <x v="0"/>
  </r>
  <r>
    <x v="323"/>
    <s v="ZBH"/>
    <s v="Indiana Northern District Court"/>
    <s v="12/02/2016"/>
    <s v="01/31/2017"/>
    <x v="1460"/>
    <s v="Individual"/>
    <x v="1505"/>
    <m/>
    <s v="ZBH.1.a"/>
    <n v="1"/>
    <n v="3"/>
    <n v="5473.37"/>
    <n v="1.5638199999999998E-3"/>
    <x v="446"/>
    <s v="Uncontested"/>
    <s v="Ind"/>
    <x v="0"/>
  </r>
  <r>
    <x v="323"/>
    <s v="ZBH"/>
    <s v="Indiana Northern District Court"/>
    <s v="12/02/2016"/>
    <s v="01/31/2017"/>
    <x v="1461"/>
    <s v="Individual"/>
    <x v="1506"/>
    <m/>
    <s v="ZBH.1.b"/>
    <m/>
    <m/>
    <m/>
    <n v="0"/>
    <x v="446"/>
    <s v="Uncontested"/>
    <s v="Ind"/>
    <x v="0"/>
  </r>
  <r>
    <x v="323"/>
    <s v="ZBH"/>
    <s v="Indiana Northern District Court"/>
    <s v="12/02/2016"/>
    <s v="01/31/2017"/>
    <x v="1462"/>
    <s v="Individual"/>
    <x v="1507"/>
    <m/>
    <s v="ZBH.1.c"/>
    <m/>
    <m/>
    <m/>
    <n v="0"/>
    <x v="446"/>
    <s v="Uncontested"/>
    <s v="Ind"/>
    <x v="0"/>
  </r>
  <r>
    <x v="324"/>
    <m/>
    <s v="New Jersey District Court"/>
    <s v="08/25/2017"/>
    <s v="10/24/2017"/>
    <x v="1463"/>
    <s v="Individual"/>
    <x v="1508"/>
    <m/>
    <m/>
    <m/>
    <m/>
    <m/>
    <m/>
    <x v="8"/>
    <s v="Contested"/>
    <s v="Ind"/>
    <x v="0"/>
  </r>
  <r>
    <x v="324"/>
    <m/>
    <s v="New Jersey District Court"/>
    <s v="08/25/2017"/>
    <s v="10/24/2017"/>
    <x v="1464"/>
    <s v="Individual"/>
    <x v="1509"/>
    <s v="LIFO"/>
    <m/>
    <m/>
    <m/>
    <m/>
    <m/>
    <x v="10"/>
    <s v="Contested"/>
    <s v="Ind"/>
    <x v="0"/>
  </r>
  <r>
    <x v="324"/>
    <m/>
    <s v="New Jersey District Court"/>
    <s v="08/25/2017"/>
    <s v="10/24/2017"/>
    <x v="138"/>
    <s v="Institution"/>
    <x v="1510"/>
    <s v="LIFO"/>
    <m/>
    <m/>
    <m/>
    <m/>
    <m/>
    <x v="447"/>
    <s v="Contested"/>
    <s v="Ind"/>
    <x v="1"/>
  </r>
  <r>
    <x v="325"/>
    <m/>
    <s v="Florida Southern District Court"/>
    <s v="08/25/2017"/>
    <s v="10/24/2017"/>
    <x v="1465"/>
    <s v="Individual"/>
    <x v="1511"/>
    <m/>
    <m/>
    <m/>
    <m/>
    <m/>
    <m/>
    <x v="8"/>
    <s v="Contested"/>
    <s v="Ind"/>
    <x v="0"/>
  </r>
  <r>
    <x v="325"/>
    <m/>
    <s v="Florida Southern District Court"/>
    <s v="08/25/2017"/>
    <s v="10/24/2017"/>
    <x v="1466"/>
    <s v="Individual"/>
    <x v="1512"/>
    <m/>
    <m/>
    <m/>
    <m/>
    <m/>
    <m/>
    <x v="411"/>
    <s v="Contested"/>
    <s v="Ind"/>
    <x v="0"/>
  </r>
  <r>
    <x v="325"/>
    <m/>
    <s v="Florida Southern District Court"/>
    <s v="08/25/2017"/>
    <s v="10/24/2017"/>
    <x v="1467"/>
    <s v="Individual"/>
    <x v="1513"/>
    <m/>
    <m/>
    <m/>
    <m/>
    <m/>
    <m/>
    <x v="305"/>
    <s v="Contested"/>
    <s v="G-Ind"/>
    <x v="0"/>
  </r>
  <r>
    <x v="325"/>
    <m/>
    <s v="Florida Southern District Court"/>
    <s v="08/25/2017"/>
    <s v="10/24/2017"/>
    <x v="1468"/>
    <s v="Individual"/>
    <x v="1514"/>
    <m/>
    <m/>
    <m/>
    <m/>
    <m/>
    <m/>
    <x v="305"/>
    <s v="Contested"/>
    <s v="G-Ind"/>
    <x v="0"/>
  </r>
  <r>
    <x v="326"/>
    <m/>
    <s v="Delaware District Court"/>
    <s v="08/02/2017"/>
    <s v="10/23/2017"/>
    <x v="1469"/>
    <m/>
    <x v="1515"/>
    <m/>
    <m/>
    <m/>
    <m/>
    <m/>
    <m/>
    <x v="448"/>
    <m/>
    <m/>
    <x v="0"/>
  </r>
  <r>
    <x v="327"/>
    <m/>
    <s v="Texas Southern District Court"/>
    <s v="08/02/2017"/>
    <s v="10/23/2017"/>
    <x v="1469"/>
    <m/>
    <x v="1515"/>
    <m/>
    <m/>
    <m/>
    <m/>
    <m/>
    <m/>
    <x v="448"/>
    <m/>
    <m/>
    <x v="0"/>
  </r>
  <r>
    <x v="328"/>
    <m/>
    <s v="Maryland District Court"/>
    <s v="08/04/2017"/>
    <s v="10/23/2017"/>
    <x v="1470"/>
    <s v="Individual"/>
    <x v="1516"/>
    <s v="Shares Held"/>
    <m/>
    <m/>
    <m/>
    <m/>
    <m/>
    <x v="449"/>
    <s v="Uncontested"/>
    <s v="Ind"/>
    <x v="0"/>
  </r>
  <r>
    <x v="329"/>
    <m/>
    <s v="California Central District Court"/>
    <s v="08/22/2017"/>
    <s v="10/23/2017"/>
    <x v="1471"/>
    <s v="Individual"/>
    <x v="1517"/>
    <m/>
    <m/>
    <m/>
    <m/>
    <m/>
    <m/>
    <x v="33"/>
    <s v="Uncontested"/>
    <s v="Ind"/>
    <x v="0"/>
  </r>
  <r>
    <x v="329"/>
    <m/>
    <s v="California Central District Court"/>
    <s v="08/22/2017"/>
    <s v="10/23/2017"/>
    <x v="1472"/>
    <s v="Individual"/>
    <x v="1518"/>
    <m/>
    <m/>
    <m/>
    <m/>
    <m/>
    <m/>
    <x v="33"/>
    <s v="Uncontested"/>
    <s v="Ind"/>
    <x v="0"/>
  </r>
  <r>
    <x v="329"/>
    <m/>
    <s v="California Central District Court"/>
    <s v="08/22/2017"/>
    <s v="10/23/2017"/>
    <x v="1473"/>
    <s v="Individual"/>
    <x v="1519"/>
    <m/>
    <m/>
    <m/>
    <m/>
    <m/>
    <m/>
    <x v="33"/>
    <s v="Uncontested"/>
    <s v="Ind"/>
    <x v="0"/>
  </r>
  <r>
    <x v="330"/>
    <m/>
    <s v="New York Eastern District Court"/>
    <s v="08/23/2017"/>
    <s v="10/23/2017"/>
    <x v="1474"/>
    <s v="Individual"/>
    <x v="1515"/>
    <m/>
    <m/>
    <m/>
    <m/>
    <m/>
    <m/>
    <x v="138"/>
    <s v="Contested"/>
    <s v="Ind"/>
    <x v="0"/>
  </r>
  <r>
    <x v="330"/>
    <m/>
    <s v="New York Eastern District Court"/>
    <s v="08/23/2017"/>
    <s v="10/23/2017"/>
    <x v="1475"/>
    <s v="Individual"/>
    <x v="1515"/>
    <m/>
    <m/>
    <m/>
    <m/>
    <m/>
    <m/>
    <x v="8"/>
    <s v="Contested"/>
    <s v="Ind"/>
    <x v="0"/>
  </r>
  <r>
    <x v="330"/>
    <m/>
    <s v="New York Eastern District Court"/>
    <s v="08/23/2017"/>
    <s v="10/23/2017"/>
    <x v="1476"/>
    <s v="Individual"/>
    <x v="1520"/>
    <m/>
    <m/>
    <m/>
    <m/>
    <m/>
    <m/>
    <x v="1"/>
    <s v="Contested"/>
    <s v="G-Ind"/>
    <x v="0"/>
  </r>
  <r>
    <x v="330"/>
    <m/>
    <s v="New York Eastern District Court"/>
    <s v="08/23/2017"/>
    <s v="10/23/2017"/>
    <x v="1477"/>
    <s v="Individual"/>
    <x v="1521"/>
    <m/>
    <m/>
    <m/>
    <m/>
    <m/>
    <m/>
    <x v="1"/>
    <s v="Contested"/>
    <s v="G-Ind"/>
    <x v="0"/>
  </r>
  <r>
    <x v="330"/>
    <m/>
    <s v="New York Eastern District Court"/>
    <s v="08/23/2017"/>
    <s v="10/23/2017"/>
    <x v="1478"/>
    <s v="Individual"/>
    <x v="1522"/>
    <m/>
    <m/>
    <m/>
    <m/>
    <m/>
    <m/>
    <x v="44"/>
    <s v="Contested"/>
    <s v="G-Ind"/>
    <x v="0"/>
  </r>
  <r>
    <x v="330"/>
    <m/>
    <s v="New York Eastern District Court"/>
    <s v="08/23/2017"/>
    <s v="10/23/2017"/>
    <x v="1479"/>
    <s v="Individual"/>
    <x v="1523"/>
    <m/>
    <m/>
    <m/>
    <m/>
    <m/>
    <m/>
    <x v="44"/>
    <s v="Contested"/>
    <s v="G-Ind"/>
    <x v="0"/>
  </r>
  <r>
    <x v="330"/>
    <m/>
    <s v="New York Eastern District Court"/>
    <s v="08/23/2017"/>
    <s v="10/23/2017"/>
    <x v="1480"/>
    <s v="Individual"/>
    <x v="1524"/>
    <m/>
    <m/>
    <m/>
    <m/>
    <m/>
    <m/>
    <x v="97"/>
    <s v="Contested"/>
    <s v="G-Ind"/>
    <x v="0"/>
  </r>
  <r>
    <x v="330"/>
    <m/>
    <s v="New York Eastern District Court"/>
    <s v="08/23/2017"/>
    <s v="10/23/2017"/>
    <x v="1481"/>
    <s v="Individual"/>
    <x v="1525"/>
    <m/>
    <m/>
    <m/>
    <m/>
    <m/>
    <m/>
    <x v="97"/>
    <s v="Contested"/>
    <s v="G-Ind"/>
    <x v="0"/>
  </r>
  <r>
    <x v="330"/>
    <m/>
    <s v="New York Eastern District Court"/>
    <s v="08/23/2017"/>
    <s v="10/23/2017"/>
    <x v="1482"/>
    <s v="Individual"/>
    <x v="1526"/>
    <m/>
    <m/>
    <m/>
    <m/>
    <m/>
    <m/>
    <x v="97"/>
    <s v="Contested"/>
    <s v="G-Ind"/>
    <x v="0"/>
  </r>
  <r>
    <x v="330"/>
    <m/>
    <s v="New York Eastern District Court"/>
    <s v="08/23/2017"/>
    <s v="10/23/2017"/>
    <x v="1483"/>
    <s v="Individual"/>
    <x v="1527"/>
    <m/>
    <m/>
    <m/>
    <m/>
    <m/>
    <m/>
    <x v="46"/>
    <s v="Contested"/>
    <s v="G-Ind"/>
    <x v="0"/>
  </r>
  <r>
    <x v="330"/>
    <m/>
    <s v="New York Eastern District Court"/>
    <s v="08/23/2017"/>
    <s v="10/23/2017"/>
    <x v="1484"/>
    <s v="Individual"/>
    <x v="1528"/>
    <m/>
    <m/>
    <m/>
    <m/>
    <m/>
    <m/>
    <x v="46"/>
    <s v="Contested"/>
    <s v="G-Ind"/>
    <x v="0"/>
  </r>
  <r>
    <x v="284"/>
    <m/>
    <s v="Pennsylvania Eastern District Court"/>
    <s v="08/30/2017"/>
    <s v="10/23/2017"/>
    <x v="1485"/>
    <s v="Individual"/>
    <x v="1529"/>
    <m/>
    <m/>
    <m/>
    <m/>
    <m/>
    <m/>
    <x v="151"/>
    <s v="Contested"/>
    <s v="Ind"/>
    <x v="0"/>
  </r>
  <r>
    <x v="284"/>
    <m/>
    <s v="Pennsylvania Eastern District Court"/>
    <s v="08/30/2017"/>
    <s v="10/23/2017"/>
    <x v="1486"/>
    <s v="Individual"/>
    <x v="1530"/>
    <m/>
    <m/>
    <m/>
    <m/>
    <m/>
    <m/>
    <x v="450"/>
    <s v="Contested"/>
    <s v="G-Ind"/>
    <x v="0"/>
  </r>
  <r>
    <x v="284"/>
    <m/>
    <s v="Pennsylvania Eastern District Court"/>
    <s v="08/30/2017"/>
    <s v="10/23/2017"/>
    <x v="1487"/>
    <s v="Individual"/>
    <x v="1531"/>
    <m/>
    <m/>
    <m/>
    <m/>
    <m/>
    <m/>
    <x v="450"/>
    <s v="Contested"/>
    <s v="G-Ind"/>
    <x v="0"/>
  </r>
  <r>
    <x v="284"/>
    <m/>
    <s v="Pennsylvania Eastern District Court"/>
    <s v="08/30/2017"/>
    <s v="10/23/2017"/>
    <x v="1488"/>
    <s v="Individual"/>
    <x v="1532"/>
    <m/>
    <m/>
    <m/>
    <m/>
    <m/>
    <m/>
    <x v="450"/>
    <s v="Contested"/>
    <s v="G-Ind"/>
    <x v="0"/>
  </r>
  <r>
    <x v="284"/>
    <m/>
    <s v="Pennsylvania Eastern District Court"/>
    <s v="08/30/2017"/>
    <s v="10/23/2017"/>
    <x v="1489"/>
    <s v="Individual"/>
    <x v="1533"/>
    <m/>
    <m/>
    <m/>
    <m/>
    <m/>
    <m/>
    <x v="450"/>
    <s v="Contested"/>
    <s v="G-Ind"/>
    <x v="0"/>
  </r>
  <r>
    <x v="284"/>
    <m/>
    <s v="Pennsylvania Eastern District Court"/>
    <s v="08/30/2017"/>
    <s v="10/23/2017"/>
    <x v="1490"/>
    <s v="Individual"/>
    <x v="1534"/>
    <m/>
    <m/>
    <m/>
    <m/>
    <m/>
    <m/>
    <x v="450"/>
    <s v="Contested"/>
    <s v="G-Ind"/>
    <x v="0"/>
  </r>
  <r>
    <x v="284"/>
    <m/>
    <s v="Pennsylvania Eastern District Court"/>
    <s v="08/30/2017"/>
    <s v="10/23/2017"/>
    <x v="1491"/>
    <s v="Individual"/>
    <x v="1535"/>
    <m/>
    <m/>
    <m/>
    <m/>
    <m/>
    <m/>
    <x v="450"/>
    <s v="Contested"/>
    <s v="G-Ind"/>
    <x v="0"/>
  </r>
  <r>
    <x v="284"/>
    <m/>
    <s v="Pennsylvania Eastern District Court"/>
    <s v="08/30/2017"/>
    <s v="10/23/2017"/>
    <x v="1492"/>
    <s v="Individual"/>
    <x v="1536"/>
    <m/>
    <m/>
    <m/>
    <m/>
    <m/>
    <m/>
    <x v="451"/>
    <s v="Contested"/>
    <s v="G-Ind"/>
    <x v="0"/>
  </r>
  <r>
    <x v="284"/>
    <m/>
    <s v="Pennsylvania Eastern District Court"/>
    <s v="08/30/2017"/>
    <s v="10/23/2017"/>
    <x v="1493"/>
    <s v="Individual"/>
    <x v="1537"/>
    <m/>
    <m/>
    <m/>
    <m/>
    <m/>
    <m/>
    <x v="451"/>
    <s v="Contested"/>
    <s v="G-Ind"/>
    <x v="0"/>
  </r>
  <r>
    <x v="284"/>
    <m/>
    <s v="Pennsylvania Eastern District Court"/>
    <s v="08/30/2017"/>
    <s v="10/23/2017"/>
    <x v="1494"/>
    <s v="Individual"/>
    <x v="1538"/>
    <s v="LIFO"/>
    <m/>
    <m/>
    <m/>
    <m/>
    <m/>
    <x v="26"/>
    <s v="Contested"/>
    <s v="Ind"/>
    <x v="0"/>
  </r>
  <r>
    <x v="284"/>
    <m/>
    <s v="Pennsylvania Eastern District Court"/>
    <s v="08/30/2017"/>
    <s v="10/23/2017"/>
    <x v="1495"/>
    <s v="Individual"/>
    <x v="1539"/>
    <m/>
    <m/>
    <m/>
    <m/>
    <m/>
    <m/>
    <x v="452"/>
    <s v="Contested"/>
    <s v="Ind"/>
    <x v="0"/>
  </r>
  <r>
    <x v="284"/>
    <m/>
    <s v="Pennsylvania Eastern District Court"/>
    <s v="08/30/2017"/>
    <s v="10/23/2017"/>
    <x v="1496"/>
    <s v="Individual"/>
    <x v="1540"/>
    <m/>
    <m/>
    <m/>
    <m/>
    <m/>
    <m/>
    <x v="240"/>
    <s v="Contested"/>
    <s v="G-Ind"/>
    <x v="0"/>
  </r>
  <r>
    <x v="284"/>
    <m/>
    <s v="Pennsylvania Eastern District Court"/>
    <s v="08/30/2017"/>
    <s v="10/23/2017"/>
    <x v="1497"/>
    <s v="Individual"/>
    <x v="1541"/>
    <m/>
    <m/>
    <m/>
    <m/>
    <m/>
    <m/>
    <x v="240"/>
    <s v="Contested"/>
    <s v="G-Ind"/>
    <x v="0"/>
  </r>
  <r>
    <x v="284"/>
    <m/>
    <s v="Pennsylvania Eastern District Court"/>
    <s v="08/30/2017"/>
    <s v="10/23/2017"/>
    <x v="133"/>
    <s v="Institution"/>
    <x v="1542"/>
    <s v="LIFO"/>
    <m/>
    <m/>
    <m/>
    <m/>
    <m/>
    <x v="453"/>
    <s v="Contested"/>
    <s v="Ins"/>
    <x v="1"/>
  </r>
  <r>
    <x v="331"/>
    <m/>
    <s v="California Northern District Court"/>
    <s v="08/18/2017"/>
    <s v="10/17/2017"/>
    <x v="482"/>
    <s v="Individual"/>
    <x v="1543"/>
    <m/>
    <m/>
    <m/>
    <m/>
    <m/>
    <m/>
    <x v="10"/>
    <s v="Contested"/>
    <s v="G-Ind"/>
    <x v="1"/>
  </r>
  <r>
    <x v="331"/>
    <m/>
    <s v="California Northern District Court"/>
    <s v="08/18/2017"/>
    <s v="10/17/2017"/>
    <x v="1498"/>
    <s v="Individual"/>
    <x v="1544"/>
    <m/>
    <m/>
    <m/>
    <m/>
    <m/>
    <m/>
    <x v="10"/>
    <s v="Contested"/>
    <s v="G-Ind"/>
    <x v="0"/>
  </r>
  <r>
    <x v="331"/>
    <m/>
    <s v="California Northern District Court"/>
    <s v="08/18/2017"/>
    <s v="10/17/2017"/>
    <x v="483"/>
    <s v="Individual"/>
    <x v="1545"/>
    <m/>
    <m/>
    <m/>
    <m/>
    <m/>
    <m/>
    <x v="10"/>
    <s v="Contested"/>
    <s v="G-Ind"/>
    <x v="1"/>
  </r>
  <r>
    <x v="331"/>
    <m/>
    <s v="California Northern District Court"/>
    <s v="08/18/2017"/>
    <s v="10/17/2017"/>
    <x v="1499"/>
    <s v="Individual"/>
    <x v="1546"/>
    <m/>
    <m/>
    <m/>
    <m/>
    <m/>
    <m/>
    <x v="10"/>
    <s v="Contested"/>
    <s v="G-Ind"/>
    <x v="0"/>
  </r>
  <r>
    <x v="331"/>
    <m/>
    <s v="California Northern District Court"/>
    <s v="08/18/2017"/>
    <s v="10/17/2017"/>
    <x v="1121"/>
    <s v="Institution"/>
    <x v="1547"/>
    <m/>
    <m/>
    <m/>
    <m/>
    <m/>
    <m/>
    <x v="67"/>
    <s v="Contested"/>
    <s v="Ins"/>
    <x v="1"/>
  </r>
  <r>
    <x v="331"/>
    <m/>
    <s v="California Northern District Court"/>
    <s v="08/18/2017"/>
    <s v="10/17/2017"/>
    <x v="1500"/>
    <s v="Individual"/>
    <x v="1548"/>
    <m/>
    <m/>
    <m/>
    <m/>
    <m/>
    <m/>
    <x v="8"/>
    <s v="Contested"/>
    <s v="Ind"/>
    <x v="0"/>
  </r>
  <r>
    <x v="331"/>
    <m/>
    <s v="California Northern District Court"/>
    <s v="08/18/2017"/>
    <s v="10/17/2017"/>
    <x v="1501"/>
    <s v="Individual"/>
    <x v="1549"/>
    <m/>
    <m/>
    <m/>
    <m/>
    <m/>
    <m/>
    <x v="1"/>
    <s v="Contested"/>
    <s v="G-Ind"/>
    <x v="0"/>
  </r>
  <r>
    <x v="331"/>
    <m/>
    <s v="California Northern District Court"/>
    <s v="08/18/2017"/>
    <s v="10/17/2017"/>
    <x v="1502"/>
    <s v="Individual"/>
    <x v="1550"/>
    <m/>
    <m/>
    <m/>
    <m/>
    <m/>
    <m/>
    <x v="1"/>
    <s v="Contested"/>
    <s v="G-Ind"/>
    <x v="0"/>
  </r>
  <r>
    <x v="331"/>
    <m/>
    <s v="California Northern District Court"/>
    <s v="08/18/2017"/>
    <s v="10/17/2017"/>
    <x v="1503"/>
    <s v="Individual"/>
    <x v="1551"/>
    <m/>
    <m/>
    <m/>
    <m/>
    <m/>
    <m/>
    <x v="106"/>
    <s v="Contested"/>
    <s v="G-Ind"/>
    <x v="0"/>
  </r>
  <r>
    <x v="331"/>
    <m/>
    <s v="California Northern District Court"/>
    <s v="08/18/2017"/>
    <s v="10/17/2017"/>
    <x v="1504"/>
    <s v="Individual"/>
    <x v="1552"/>
    <m/>
    <m/>
    <m/>
    <m/>
    <m/>
    <m/>
    <x v="106"/>
    <s v="Contested"/>
    <s v="G-Ind"/>
    <x v="0"/>
  </r>
  <r>
    <x v="331"/>
    <m/>
    <s v="California Northern District Court"/>
    <s v="08/18/2017"/>
    <s v="10/17/2017"/>
    <x v="1505"/>
    <s v="Individual"/>
    <x v="1553"/>
    <m/>
    <m/>
    <m/>
    <m/>
    <m/>
    <m/>
    <x v="106"/>
    <s v="Contested"/>
    <s v="G-Ind"/>
    <x v="0"/>
  </r>
  <r>
    <x v="331"/>
    <m/>
    <s v="California Northern District Court"/>
    <s v="08/18/2017"/>
    <s v="10/17/2017"/>
    <x v="1506"/>
    <s v="Individual"/>
    <x v="1554"/>
    <m/>
    <m/>
    <m/>
    <m/>
    <m/>
    <m/>
    <x v="106"/>
    <s v="Contested"/>
    <s v="G-Ind"/>
    <x v="0"/>
  </r>
  <r>
    <x v="332"/>
    <m/>
    <s v="Pennsylvania Eastern District Court"/>
    <s v="08/18/2017"/>
    <s v="10/17/2017"/>
    <x v="52"/>
    <s v="Individual"/>
    <x v="1555"/>
    <s v="FIFO/LIFO"/>
    <m/>
    <m/>
    <m/>
    <m/>
    <m/>
    <x v="174"/>
    <s v="Contested"/>
    <s v="Ins"/>
    <x v="1"/>
  </r>
  <r>
    <x v="332"/>
    <m/>
    <s v="Pennsylvania Eastern District Court"/>
    <s v="08/18/2017"/>
    <s v="10/17/2017"/>
    <x v="1507"/>
    <s v="Individual"/>
    <x v="1556"/>
    <m/>
    <m/>
    <m/>
    <m/>
    <m/>
    <m/>
    <x v="450"/>
    <s v="Contested"/>
    <s v="G-Mix"/>
    <x v="0"/>
  </r>
  <r>
    <x v="332"/>
    <m/>
    <s v="Pennsylvania Eastern District Court"/>
    <s v="08/18/2017"/>
    <s v="10/17/2017"/>
    <x v="1508"/>
    <s v="Institution"/>
    <x v="1557"/>
    <m/>
    <m/>
    <m/>
    <m/>
    <m/>
    <m/>
    <x v="450"/>
    <s v="Contested"/>
    <s v="G-Mix"/>
    <x v="0"/>
  </r>
  <r>
    <x v="332"/>
    <m/>
    <s v="Pennsylvania Eastern District Court"/>
    <s v="08/18/2017"/>
    <s v="10/17/2017"/>
    <x v="1509"/>
    <s v="Individual"/>
    <x v="1558"/>
    <m/>
    <m/>
    <m/>
    <m/>
    <m/>
    <m/>
    <x v="450"/>
    <s v="Contested"/>
    <s v="G-Mix"/>
    <x v="0"/>
  </r>
  <r>
    <x v="332"/>
    <m/>
    <s v="Pennsylvania Eastern District Court"/>
    <s v="08/18/2017"/>
    <s v="10/17/2017"/>
    <x v="1510"/>
    <s v="Individual"/>
    <x v="1559"/>
    <m/>
    <m/>
    <m/>
    <m/>
    <m/>
    <m/>
    <x v="146"/>
    <s v="Contested"/>
    <s v="G-Ind"/>
    <x v="0"/>
  </r>
  <r>
    <x v="332"/>
    <m/>
    <s v="Pennsylvania Eastern District Court"/>
    <s v="08/18/2017"/>
    <s v="10/17/2017"/>
    <x v="1511"/>
    <s v="Individual"/>
    <x v="1560"/>
    <m/>
    <m/>
    <m/>
    <m/>
    <m/>
    <m/>
    <x v="146"/>
    <s v="Contested"/>
    <s v="G-Ind"/>
    <x v="0"/>
  </r>
  <r>
    <x v="332"/>
    <m/>
    <s v="Pennsylvania Eastern District Court"/>
    <s v="08/18/2017"/>
    <s v="10/17/2017"/>
    <x v="78"/>
    <s v="Institution"/>
    <x v="1561"/>
    <s v="LIFO"/>
    <m/>
    <m/>
    <m/>
    <m/>
    <m/>
    <x v="454"/>
    <s v="Contested"/>
    <s v="Ins"/>
    <x v="1"/>
  </r>
  <r>
    <x v="332"/>
    <m/>
    <s v="Pennsylvania Eastern District Court"/>
    <s v="08/18/2017"/>
    <s v="10/17/2017"/>
    <x v="1512"/>
    <s v="Institution"/>
    <x v="1562"/>
    <s v="LIFO"/>
    <m/>
    <m/>
    <m/>
    <m/>
    <m/>
    <x v="133"/>
    <s v="Contested"/>
    <s v="Ins"/>
    <x v="0"/>
  </r>
  <r>
    <x v="333"/>
    <m/>
    <s v="New York Southern District Court"/>
    <s v="08/14/2017"/>
    <s v="10/16/2017"/>
    <x v="1513"/>
    <s v="Individual"/>
    <x v="1563"/>
    <s v="Shares Held"/>
    <m/>
    <m/>
    <m/>
    <m/>
    <m/>
    <x v="455"/>
    <s v="Contested"/>
    <s v="Ind"/>
    <x v="1"/>
  </r>
  <r>
    <x v="333"/>
    <m/>
    <s v="New York Southern District Court"/>
    <s v="08/14/2017"/>
    <s v="10/16/2017"/>
    <x v="1514"/>
    <s v="Individual"/>
    <x v="1515"/>
    <m/>
    <m/>
    <m/>
    <m/>
    <m/>
    <m/>
    <x v="308"/>
    <s v="Contested"/>
    <s v="G-Ind"/>
    <x v="0"/>
  </r>
  <r>
    <x v="333"/>
    <m/>
    <s v="New York Southern District Court"/>
    <s v="08/14/2017"/>
    <s v="10/16/2017"/>
    <x v="1515"/>
    <s v="Individual"/>
    <x v="1515"/>
    <m/>
    <m/>
    <m/>
    <m/>
    <m/>
    <m/>
    <x v="308"/>
    <s v="Contested"/>
    <s v="G-Ind"/>
    <x v="0"/>
  </r>
  <r>
    <x v="333"/>
    <m/>
    <s v="New York Southern District Court"/>
    <s v="08/14/2017"/>
    <s v="10/16/2017"/>
    <x v="1516"/>
    <s v="Institution"/>
    <x v="1515"/>
    <m/>
    <m/>
    <m/>
    <m/>
    <m/>
    <m/>
    <x v="308"/>
    <s v="Contested"/>
    <s v="G-Ind"/>
    <x v="0"/>
  </r>
  <r>
    <x v="333"/>
    <m/>
    <s v="New York Southern District Court"/>
    <s v="08/14/2017"/>
    <s v="10/16/2017"/>
    <x v="1517"/>
    <s v="Individual"/>
    <x v="1515"/>
    <m/>
    <m/>
    <m/>
    <m/>
    <m/>
    <m/>
    <x v="308"/>
    <s v="Contested"/>
    <s v="G-Ind"/>
    <x v="0"/>
  </r>
  <r>
    <x v="333"/>
    <m/>
    <s v="New York Southern District Court"/>
    <s v="08/14/2017"/>
    <s v="10/16/2017"/>
    <x v="1518"/>
    <s v="Individual"/>
    <x v="1564"/>
    <m/>
    <m/>
    <m/>
    <m/>
    <m/>
    <m/>
    <x v="69"/>
    <s v="Contested"/>
    <s v="G-Ind"/>
    <x v="0"/>
  </r>
  <r>
    <x v="333"/>
    <m/>
    <s v="New York Southern District Court"/>
    <s v="08/14/2017"/>
    <s v="10/16/2017"/>
    <x v="1519"/>
    <s v="Individual"/>
    <x v="1564"/>
    <m/>
    <m/>
    <m/>
    <m/>
    <m/>
    <m/>
    <x v="69"/>
    <s v="Contested"/>
    <s v="G-Ind"/>
    <x v="0"/>
  </r>
  <r>
    <x v="333"/>
    <m/>
    <s v="New York Southern District Court"/>
    <s v="08/14/2017"/>
    <s v="10/16/2017"/>
    <x v="1520"/>
    <s v="Individual"/>
    <x v="1564"/>
    <m/>
    <m/>
    <m/>
    <m/>
    <m/>
    <m/>
    <x v="69"/>
    <s v="Contested"/>
    <s v="G-Ind"/>
    <x v="0"/>
  </r>
  <r>
    <x v="333"/>
    <m/>
    <s v="New York Southern District Court"/>
    <s v="08/14/2017"/>
    <s v="10/16/2017"/>
    <x v="1521"/>
    <s v="Individual"/>
    <x v="1565"/>
    <m/>
    <m/>
    <m/>
    <m/>
    <m/>
    <m/>
    <x v="69"/>
    <s v="Contested"/>
    <s v="G-Ind"/>
    <x v="0"/>
  </r>
  <r>
    <x v="334"/>
    <m/>
    <s v="New York Eastern District Court"/>
    <s v="08/17/2017"/>
    <s v="10/16/2017"/>
    <x v="1513"/>
    <s v="Individual"/>
    <x v="1566"/>
    <s v="Shares Held"/>
    <m/>
    <m/>
    <m/>
    <m/>
    <m/>
    <x v="455"/>
    <s v="Contested"/>
    <s v="Ind"/>
    <x v="1"/>
  </r>
  <r>
    <x v="334"/>
    <m/>
    <s v="New York Eastern District Court"/>
    <s v="08/17/2017"/>
    <s v="10/16/2017"/>
    <x v="1522"/>
    <s v="Individual"/>
    <x v="1567"/>
    <m/>
    <m/>
    <m/>
    <m/>
    <m/>
    <m/>
    <x v="456"/>
    <s v="Contested"/>
    <s v="G-Ind"/>
    <x v="0"/>
  </r>
  <r>
    <x v="334"/>
    <m/>
    <s v="New York Eastern District Court"/>
    <s v="08/17/2017"/>
    <s v="10/16/2017"/>
    <x v="1523"/>
    <s v="Individual"/>
    <x v="1568"/>
    <m/>
    <m/>
    <m/>
    <m/>
    <m/>
    <m/>
    <x v="456"/>
    <s v="Contested"/>
    <s v="G-Ind"/>
    <x v="0"/>
  </r>
  <r>
    <x v="334"/>
    <m/>
    <s v="New York Eastern District Court"/>
    <s v="08/17/2017"/>
    <s v="10/16/2017"/>
    <x v="1524"/>
    <s v="Individual"/>
    <x v="1569"/>
    <m/>
    <m/>
    <m/>
    <m/>
    <m/>
    <m/>
    <x v="89"/>
    <s v="Contested"/>
    <s v="G-Ind"/>
    <x v="0"/>
  </r>
  <r>
    <x v="334"/>
    <m/>
    <s v="New York Eastern District Court"/>
    <s v="08/17/2017"/>
    <s v="10/16/2017"/>
    <x v="1525"/>
    <s v="Individual"/>
    <x v="1570"/>
    <m/>
    <m/>
    <m/>
    <m/>
    <m/>
    <m/>
    <x v="89"/>
    <s v="Contested"/>
    <s v="G-Ind"/>
    <x v="1"/>
  </r>
  <r>
    <x v="334"/>
    <m/>
    <s v="New York Eastern District Court"/>
    <s v="08/17/2017"/>
    <s v="10/16/2017"/>
    <x v="1526"/>
    <s v="Individual"/>
    <x v="1571"/>
    <m/>
    <m/>
    <m/>
    <m/>
    <m/>
    <m/>
    <x v="89"/>
    <s v="Contested"/>
    <s v="G-Ind"/>
    <x v="0"/>
  </r>
  <r>
    <x v="334"/>
    <m/>
    <s v="New York Eastern District Court"/>
    <s v="08/17/2017"/>
    <s v="10/16/2017"/>
    <x v="1527"/>
    <s v="Individual"/>
    <x v="1572"/>
    <m/>
    <m/>
    <m/>
    <m/>
    <m/>
    <m/>
    <x v="89"/>
    <s v="Contested"/>
    <s v="G-Ind"/>
    <x v="0"/>
  </r>
  <r>
    <x v="335"/>
    <m/>
    <s v="Tennessee Middle District Court"/>
    <s v="08/17/2017"/>
    <s v="10/16/2017"/>
    <x v="1528"/>
    <s v="Institution"/>
    <x v="1573"/>
    <m/>
    <m/>
    <m/>
    <m/>
    <m/>
    <m/>
    <x v="457"/>
    <s v="Uncontested"/>
    <s v="Ins"/>
    <x v="0"/>
  </r>
  <r>
    <x v="335"/>
    <m/>
    <s v="Tennessee Middle District Court"/>
    <s v="08/17/2017"/>
    <s v="10/16/2017"/>
    <x v="1529"/>
    <s v="Institution"/>
    <x v="1574"/>
    <m/>
    <m/>
    <m/>
    <m/>
    <m/>
    <m/>
    <x v="457"/>
    <s v="Uncontested"/>
    <s v="Ins"/>
    <x v="0"/>
  </r>
  <r>
    <x v="336"/>
    <m/>
    <s v="New York Eastern District Court"/>
    <s v="08/14/2017"/>
    <s v="10/13/2017"/>
    <x v="1530"/>
    <s v="Individual"/>
    <x v="1575"/>
    <m/>
    <m/>
    <m/>
    <m/>
    <m/>
    <m/>
    <x v="1"/>
    <m/>
    <m/>
    <x v="0"/>
  </r>
  <r>
    <x v="336"/>
    <m/>
    <s v="New York Eastern District Court"/>
    <s v="08/14/2017"/>
    <s v="10/13/2017"/>
    <x v="1531"/>
    <s v="Individual"/>
    <x v="1576"/>
    <m/>
    <m/>
    <m/>
    <m/>
    <m/>
    <m/>
    <x v="146"/>
    <m/>
    <m/>
    <x v="0"/>
  </r>
  <r>
    <x v="336"/>
    <m/>
    <s v="New York Eastern District Court"/>
    <s v="08/14/2017"/>
    <s v="10/13/2017"/>
    <x v="1532"/>
    <s v="Individual"/>
    <x v="1577"/>
    <m/>
    <m/>
    <m/>
    <m/>
    <m/>
    <m/>
    <x v="146"/>
    <m/>
    <m/>
    <x v="0"/>
  </r>
  <r>
    <x v="336"/>
    <m/>
    <s v="New York Eastern District Court"/>
    <s v="08/14/2017"/>
    <s v="10/13/2017"/>
    <x v="1533"/>
    <s v="Individual"/>
    <x v="1578"/>
    <m/>
    <m/>
    <m/>
    <m/>
    <m/>
    <m/>
    <x v="146"/>
    <m/>
    <m/>
    <x v="0"/>
  </r>
  <r>
    <x v="336"/>
    <m/>
    <s v="New York Eastern District Court"/>
    <s v="08/14/2017"/>
    <s v="10/13/2017"/>
    <x v="1534"/>
    <s v="Individual"/>
    <x v="1579"/>
    <m/>
    <m/>
    <m/>
    <m/>
    <m/>
    <m/>
    <x v="146"/>
    <m/>
    <m/>
    <x v="0"/>
  </r>
  <r>
    <x v="336"/>
    <m/>
    <s v="New York Eastern District Court"/>
    <s v="08/14/2017"/>
    <s v="10/13/2017"/>
    <x v="1535"/>
    <s v="Individual"/>
    <x v="1580"/>
    <m/>
    <m/>
    <m/>
    <m/>
    <m/>
    <m/>
    <x v="145"/>
    <m/>
    <m/>
    <x v="0"/>
  </r>
  <r>
    <x v="337"/>
    <m/>
    <s v="Massachusetts District Court"/>
    <s v="08/14/2017"/>
    <s v="10/13/2017"/>
    <x v="1536"/>
    <s v="Individual"/>
    <x v="1581"/>
    <m/>
    <m/>
    <m/>
    <m/>
    <m/>
    <m/>
    <x v="458"/>
    <m/>
    <m/>
    <x v="0"/>
  </r>
  <r>
    <x v="337"/>
    <m/>
    <s v="Massachusetts District Court"/>
    <s v="08/14/2017"/>
    <s v="10/13/2017"/>
    <x v="1537"/>
    <s v="Institution"/>
    <x v="1582"/>
    <m/>
    <m/>
    <m/>
    <m/>
    <m/>
    <m/>
    <x v="458"/>
    <m/>
    <m/>
    <x v="0"/>
  </r>
  <r>
    <x v="337"/>
    <m/>
    <s v="Massachusetts District Court"/>
    <s v="08/14/2017"/>
    <s v="10/13/2017"/>
    <x v="1538"/>
    <s v="Individual"/>
    <x v="1583"/>
    <m/>
    <m/>
    <m/>
    <m/>
    <m/>
    <m/>
    <x v="8"/>
    <m/>
    <m/>
    <x v="0"/>
  </r>
  <r>
    <x v="337"/>
    <m/>
    <s v="Massachusetts District Court"/>
    <s v="08/14/2017"/>
    <s v="10/13/2017"/>
    <x v="1539"/>
    <s v="Individual"/>
    <x v="1584"/>
    <m/>
    <m/>
    <m/>
    <m/>
    <m/>
    <m/>
    <x v="459"/>
    <m/>
    <m/>
    <x v="0"/>
  </r>
  <r>
    <x v="337"/>
    <m/>
    <s v="Massachusetts District Court"/>
    <s v="08/14/2017"/>
    <s v="10/13/2017"/>
    <x v="1540"/>
    <s v="Individual"/>
    <x v="1585"/>
    <m/>
    <m/>
    <m/>
    <m/>
    <m/>
    <m/>
    <x v="460"/>
    <m/>
    <m/>
    <x v="0"/>
  </r>
  <r>
    <x v="337"/>
    <m/>
    <s v="Massachusetts District Court"/>
    <s v="08/14/2017"/>
    <s v="10/13/2017"/>
    <x v="1541"/>
    <s v="Individual"/>
    <x v="1515"/>
    <m/>
    <m/>
    <m/>
    <m/>
    <m/>
    <m/>
    <x v="12"/>
    <m/>
    <m/>
    <x v="0"/>
  </r>
  <r>
    <x v="338"/>
    <m/>
    <s v="New York Eastern District Court"/>
    <s v="08/09/2017"/>
    <s v="10/10/2017"/>
    <x v="1542"/>
    <s v="Individual"/>
    <x v="1586"/>
    <m/>
    <m/>
    <m/>
    <m/>
    <m/>
    <m/>
    <x v="89"/>
    <m/>
    <m/>
    <x v="0"/>
  </r>
  <r>
    <x v="338"/>
    <m/>
    <s v="New York Eastern District Court"/>
    <s v="08/09/2017"/>
    <s v="10/10/2017"/>
    <x v="1543"/>
    <s v="Individual"/>
    <x v="1587"/>
    <m/>
    <m/>
    <m/>
    <m/>
    <m/>
    <m/>
    <x v="89"/>
    <m/>
    <m/>
    <x v="0"/>
  </r>
  <r>
    <x v="338"/>
    <m/>
    <s v="New York Eastern District Court"/>
    <s v="08/09/2017"/>
    <s v="10/10/2017"/>
    <x v="1544"/>
    <s v="Individual"/>
    <x v="1588"/>
    <m/>
    <m/>
    <m/>
    <m/>
    <m/>
    <m/>
    <x v="1"/>
    <m/>
    <m/>
    <x v="0"/>
  </r>
  <r>
    <x v="338"/>
    <m/>
    <s v="New York Eastern District Court"/>
    <s v="08/09/2017"/>
    <s v="10/10/2017"/>
    <x v="1545"/>
    <s v="Institution"/>
    <x v="1589"/>
    <m/>
    <m/>
    <m/>
    <m/>
    <m/>
    <m/>
    <x v="461"/>
    <m/>
    <m/>
    <x v="0"/>
  </r>
  <r>
    <x v="339"/>
    <m/>
    <s v="Texas Western District Court"/>
    <s v="08/09/2017"/>
    <s v="10/10/2017"/>
    <x v="1546"/>
    <s v="Individual"/>
    <x v="1590"/>
    <m/>
    <m/>
    <m/>
    <m/>
    <m/>
    <m/>
    <x v="121"/>
    <m/>
    <m/>
    <x v="0"/>
  </r>
  <r>
    <x v="339"/>
    <m/>
    <s v="Texas Western District Court"/>
    <s v="08/09/2017"/>
    <s v="10/10/2017"/>
    <x v="1547"/>
    <s v="Individual"/>
    <x v="1591"/>
    <s v="FIFO"/>
    <m/>
    <m/>
    <m/>
    <m/>
    <m/>
    <x v="462"/>
    <m/>
    <m/>
    <x v="0"/>
  </r>
  <r>
    <x v="340"/>
    <m/>
    <s v="Ohio Northern District Court"/>
    <s v="08/10/2017"/>
    <s v="10/10/2017"/>
    <x v="1548"/>
    <s v="Institution"/>
    <x v="1592"/>
    <s v="FIFO"/>
    <m/>
    <m/>
    <m/>
    <m/>
    <m/>
    <x v="463"/>
    <m/>
    <m/>
    <x v="0"/>
  </r>
  <r>
    <x v="340"/>
    <m/>
    <s v="Ohio Northern District Court"/>
    <s v="08/10/2017"/>
    <s v="10/10/2017"/>
    <x v="1086"/>
    <s v="Institution"/>
    <x v="1593"/>
    <m/>
    <m/>
    <m/>
    <m/>
    <m/>
    <m/>
    <x v="464"/>
    <m/>
    <m/>
    <x v="1"/>
  </r>
  <r>
    <x v="341"/>
    <m/>
    <s v="New Jersey District Court"/>
    <s v="08/10/2017"/>
    <s v="10/10/2017"/>
    <x v="1549"/>
    <s v="Individual"/>
    <x v="1594"/>
    <m/>
    <m/>
    <m/>
    <m/>
    <m/>
    <m/>
    <x v="8"/>
    <m/>
    <m/>
    <x v="0"/>
  </r>
  <r>
    <x v="341"/>
    <m/>
    <s v="New Jersey District Court"/>
    <s v="08/10/2017"/>
    <s v="10/10/2017"/>
    <x v="1550"/>
    <s v="Individual"/>
    <x v="1595"/>
    <m/>
    <m/>
    <m/>
    <m/>
    <m/>
    <m/>
    <x v="9"/>
    <m/>
    <m/>
    <x v="0"/>
  </r>
  <r>
    <x v="342"/>
    <m/>
    <s v="Virginia Eastern District Court"/>
    <s v="08/04/2017"/>
    <s v="10/06/2017"/>
    <x v="51"/>
    <s v="Institution"/>
    <x v="1596"/>
    <s v="LIFO"/>
    <m/>
    <m/>
    <m/>
    <m/>
    <m/>
    <x v="465"/>
    <m/>
    <m/>
    <x v="1"/>
  </r>
  <r>
    <x v="343"/>
    <m/>
    <s v="Texas Southern District Court"/>
    <s v="08/05/2017"/>
    <s v="10/04/2017"/>
    <x v="1551"/>
    <s v="Individual"/>
    <x v="1597"/>
    <m/>
    <m/>
    <m/>
    <m/>
    <m/>
    <m/>
    <x v="466"/>
    <m/>
    <m/>
    <x v="0"/>
  </r>
  <r>
    <x v="343"/>
    <m/>
    <s v="Texas Southern District Court"/>
    <s v="08/05/2017"/>
    <s v="10/04/2017"/>
    <x v="1552"/>
    <s v="Individual"/>
    <x v="1598"/>
    <m/>
    <m/>
    <m/>
    <m/>
    <m/>
    <m/>
    <x v="466"/>
    <m/>
    <m/>
    <x v="0"/>
  </r>
  <r>
    <x v="343"/>
    <m/>
    <s v="Texas Southern District Court"/>
    <s v="08/05/2017"/>
    <s v="10/04/2017"/>
    <x v="1553"/>
    <s v="Individual"/>
    <x v="1599"/>
    <m/>
    <m/>
    <m/>
    <m/>
    <m/>
    <m/>
    <x v="466"/>
    <m/>
    <m/>
    <x v="0"/>
  </r>
  <r>
    <x v="343"/>
    <m/>
    <s v="Texas Southern District Court"/>
    <s v="08/05/2017"/>
    <s v="10/04/2017"/>
    <x v="1554"/>
    <s v="Individual"/>
    <x v="1600"/>
    <m/>
    <m/>
    <m/>
    <m/>
    <m/>
    <m/>
    <x v="466"/>
    <m/>
    <m/>
    <x v="0"/>
  </r>
  <r>
    <x v="343"/>
    <m/>
    <s v="Texas Southern District Court"/>
    <s v="08/05/2017"/>
    <s v="10/04/2017"/>
    <x v="1555"/>
    <s v="Individual"/>
    <x v="1601"/>
    <m/>
    <m/>
    <m/>
    <m/>
    <m/>
    <m/>
    <x v="466"/>
    <m/>
    <m/>
    <x v="0"/>
  </r>
  <r>
    <x v="343"/>
    <m/>
    <s v="Texas Southern District Court"/>
    <s v="08/05/2017"/>
    <s v="10/04/2017"/>
    <x v="1556"/>
    <s v="Individual"/>
    <x v="1602"/>
    <s v="LIFO"/>
    <m/>
    <m/>
    <m/>
    <m/>
    <m/>
    <x v="467"/>
    <m/>
    <m/>
    <x v="0"/>
  </r>
  <r>
    <x v="343"/>
    <m/>
    <s v="Texas Southern District Court"/>
    <s v="08/05/2017"/>
    <s v="10/04/2017"/>
    <x v="1557"/>
    <s v="Individual"/>
    <x v="1603"/>
    <m/>
    <m/>
    <m/>
    <m/>
    <m/>
    <m/>
    <x v="468"/>
    <m/>
    <m/>
    <x v="0"/>
  </r>
  <r>
    <x v="343"/>
    <m/>
    <s v="Texas Southern District Court"/>
    <s v="08/05/2017"/>
    <s v="10/04/2017"/>
    <x v="1558"/>
    <s v="Individual"/>
    <x v="1604"/>
    <m/>
    <m/>
    <m/>
    <m/>
    <m/>
    <m/>
    <x v="389"/>
    <m/>
    <m/>
    <x v="0"/>
  </r>
  <r>
    <x v="343"/>
    <m/>
    <s v="Texas Southern District Court"/>
    <s v="08/05/2017"/>
    <s v="10/04/2017"/>
    <x v="1559"/>
    <s v="Individual"/>
    <x v="1605"/>
    <m/>
    <m/>
    <m/>
    <m/>
    <m/>
    <m/>
    <x v="469"/>
    <m/>
    <m/>
    <x v="0"/>
  </r>
  <r>
    <x v="344"/>
    <m/>
    <s v="California Northern District Court"/>
    <s v="07/20/2017"/>
    <s v="10/03/2017"/>
    <x v="1560"/>
    <s v="Individual"/>
    <x v="1606"/>
    <s v="Shares Held"/>
    <m/>
    <m/>
    <m/>
    <m/>
    <m/>
    <x v="470"/>
    <m/>
    <m/>
    <x v="0"/>
  </r>
  <r>
    <x v="345"/>
    <m/>
    <s v="Tennessee Middle District Court"/>
    <s v="08/04/2017"/>
    <s v="10/03/2017"/>
    <x v="680"/>
    <s v="Institution"/>
    <x v="1607"/>
    <m/>
    <m/>
    <m/>
    <m/>
    <m/>
    <m/>
    <x v="471"/>
    <m/>
    <m/>
    <x v="1"/>
  </r>
  <r>
    <x v="345"/>
    <m/>
    <s v="Tennessee Middle District Court"/>
    <s v="08/04/2017"/>
    <s v="10/03/2017"/>
    <x v="1561"/>
    <s v="Individual"/>
    <x v="1608"/>
    <m/>
    <m/>
    <m/>
    <m/>
    <m/>
    <m/>
    <x v="135"/>
    <m/>
    <m/>
    <x v="0"/>
  </r>
  <r>
    <x v="345"/>
    <m/>
    <s v="Tennessee Middle District Court"/>
    <s v="08/04/2017"/>
    <s v="10/03/2017"/>
    <x v="1240"/>
    <s v="Institution"/>
    <x v="1609"/>
    <s v="FIFO/LIFO"/>
    <m/>
    <m/>
    <m/>
    <m/>
    <m/>
    <x v="472"/>
    <m/>
    <m/>
    <x v="1"/>
  </r>
  <r>
    <x v="345"/>
    <m/>
    <s v="Tennessee Middle District Court"/>
    <s v="08/04/2017"/>
    <s v="10/03/2017"/>
    <x v="1562"/>
    <s v="Institution"/>
    <x v="1610"/>
    <s v="FIFO/LIFO"/>
    <m/>
    <m/>
    <m/>
    <m/>
    <m/>
    <x v="472"/>
    <m/>
    <m/>
    <x v="0"/>
  </r>
  <r>
    <x v="345"/>
    <m/>
    <s v="Tennessee Middle District Court"/>
    <s v="08/04/2017"/>
    <s v="10/03/2017"/>
    <x v="522"/>
    <s v="Institution"/>
    <x v="1611"/>
    <s v="LIFO"/>
    <m/>
    <m/>
    <m/>
    <m/>
    <m/>
    <x v="473"/>
    <m/>
    <m/>
    <x v="1"/>
  </r>
  <r>
    <x v="345"/>
    <m/>
    <s v="Tennessee Middle District Court"/>
    <s v="08/04/2017"/>
    <s v="10/03/2017"/>
    <x v="89"/>
    <s v="Institution"/>
    <x v="1612"/>
    <s v="LIFO/FIFO"/>
    <m/>
    <m/>
    <m/>
    <m/>
    <m/>
    <x v="474"/>
    <m/>
    <m/>
    <x v="1"/>
  </r>
  <r>
    <x v="345"/>
    <m/>
    <s v="Tennessee Middle District Court"/>
    <s v="08/04/2017"/>
    <s v="10/03/2017"/>
    <x v="337"/>
    <s v="Institution"/>
    <x v="1613"/>
    <s v="Group Total"/>
    <m/>
    <m/>
    <m/>
    <m/>
    <m/>
    <x v="137"/>
    <m/>
    <m/>
    <x v="1"/>
  </r>
  <r>
    <x v="345"/>
    <m/>
    <s v="Tennessee Middle District Court"/>
    <s v="08/04/2017"/>
    <s v="10/03/2017"/>
    <x v="1563"/>
    <s v="Institution"/>
    <x v="1515"/>
    <m/>
    <m/>
    <m/>
    <m/>
    <m/>
    <m/>
    <x v="137"/>
    <m/>
    <m/>
    <x v="0"/>
  </r>
  <r>
    <x v="345"/>
    <m/>
    <s v="Tennessee Middle District Court"/>
    <s v="08/04/2017"/>
    <s v="10/03/2017"/>
    <x v="1564"/>
    <s v="Institution"/>
    <x v="1515"/>
    <m/>
    <m/>
    <m/>
    <m/>
    <m/>
    <m/>
    <x v="137"/>
    <m/>
    <m/>
    <x v="0"/>
  </r>
  <r>
    <x v="346"/>
    <m/>
    <s v="Maryland District Court"/>
    <s v="08/04/2017"/>
    <s v="10/03/2017"/>
    <x v="1469"/>
    <m/>
    <x v="1515"/>
    <m/>
    <m/>
    <m/>
    <m/>
    <m/>
    <m/>
    <x v="448"/>
    <m/>
    <m/>
    <x v="0"/>
  </r>
  <r>
    <x v="347"/>
    <m/>
    <s v="Texas Southern District Court"/>
    <s v="08/03/2017"/>
    <s v="10/02/2017"/>
    <x v="1565"/>
    <s v="Individual"/>
    <x v="1614"/>
    <m/>
    <m/>
    <m/>
    <m/>
    <m/>
    <m/>
    <x v="296"/>
    <m/>
    <m/>
    <x v="0"/>
  </r>
  <r>
    <x v="348"/>
    <m/>
    <s v="New York Southern District Court"/>
    <s v="08/03/2017"/>
    <s v="10/02/2017"/>
    <x v="522"/>
    <s v="Institution"/>
    <x v="1615"/>
    <s v="LIFO"/>
    <m/>
    <m/>
    <m/>
    <m/>
    <m/>
    <x v="454"/>
    <m/>
    <m/>
    <x v="1"/>
  </r>
  <r>
    <x v="348"/>
    <m/>
    <s v="New York Southern District Court"/>
    <s v="08/03/2017"/>
    <s v="10/02/2017"/>
    <x v="284"/>
    <s v="Institution"/>
    <x v="1616"/>
    <m/>
    <m/>
    <m/>
    <m/>
    <m/>
    <m/>
    <x v="46"/>
    <m/>
    <m/>
    <x v="1"/>
  </r>
  <r>
    <x v="348"/>
    <m/>
    <s v="New York Southern District Court"/>
    <s v="08/03/2017"/>
    <s v="10/02/2017"/>
    <x v="285"/>
    <s v="Institution"/>
    <x v="1617"/>
    <m/>
    <m/>
    <m/>
    <m/>
    <m/>
    <m/>
    <x v="46"/>
    <m/>
    <m/>
    <x v="1"/>
  </r>
  <r>
    <x v="349"/>
    <m/>
    <s v="Delaware District Court"/>
    <s v="07/10/2017"/>
    <s v="09/29/2017"/>
    <x v="1469"/>
    <m/>
    <x v="1515"/>
    <m/>
    <m/>
    <m/>
    <m/>
    <m/>
    <m/>
    <x v="448"/>
    <m/>
    <m/>
    <x v="0"/>
  </r>
  <r>
    <x v="350"/>
    <m/>
    <s v="New York Southern District Court"/>
    <s v="07/28/2017"/>
    <s v="09/29/2017"/>
    <x v="1566"/>
    <s v="Individual"/>
    <x v="1515"/>
    <m/>
    <m/>
    <m/>
    <m/>
    <m/>
    <m/>
    <x v="44"/>
    <m/>
    <m/>
    <x v="0"/>
  </r>
  <r>
    <x v="350"/>
    <m/>
    <s v="New York Southern District Court"/>
    <s v="07/28/2017"/>
    <s v="09/29/2017"/>
    <x v="1567"/>
    <s v="Individual"/>
    <x v="1618"/>
    <s v="Group Loss"/>
    <m/>
    <m/>
    <m/>
    <m/>
    <m/>
    <x v="44"/>
    <m/>
    <m/>
    <x v="0"/>
  </r>
  <r>
    <x v="350"/>
    <m/>
    <s v="New York Southern District Court"/>
    <s v="07/28/2017"/>
    <s v="09/29/2017"/>
    <x v="1568"/>
    <s v="Individual"/>
    <x v="1515"/>
    <m/>
    <m/>
    <m/>
    <m/>
    <m/>
    <m/>
    <x v="44"/>
    <m/>
    <m/>
    <x v="0"/>
  </r>
  <r>
    <x v="350"/>
    <m/>
    <s v="New York Southern District Court"/>
    <s v="07/28/2017"/>
    <s v="09/29/2017"/>
    <x v="1569"/>
    <s v="Individual"/>
    <x v="1619"/>
    <m/>
    <m/>
    <m/>
    <m/>
    <m/>
    <m/>
    <x v="146"/>
    <m/>
    <m/>
    <x v="0"/>
  </r>
  <r>
    <x v="350"/>
    <m/>
    <s v="New York Southern District Court"/>
    <s v="07/28/2017"/>
    <s v="09/29/2017"/>
    <x v="1570"/>
    <s v="Individual"/>
    <x v="1620"/>
    <m/>
    <m/>
    <m/>
    <m/>
    <m/>
    <m/>
    <x v="146"/>
    <m/>
    <m/>
    <x v="0"/>
  </r>
  <r>
    <x v="351"/>
    <m/>
    <s v="Massachusetts District Court"/>
    <s v="07/28/2017"/>
    <s v="09/26/2017"/>
    <x v="1571"/>
    <s v="Individual"/>
    <x v="1621"/>
    <m/>
    <m/>
    <m/>
    <m/>
    <m/>
    <m/>
    <x v="475"/>
    <m/>
    <m/>
    <x v="0"/>
  </r>
  <r>
    <x v="351"/>
    <m/>
    <s v="Massachusetts District Court"/>
    <s v="07/28/2017"/>
    <s v="09/26/2017"/>
    <x v="1572"/>
    <s v="Individual"/>
    <x v="1622"/>
    <m/>
    <m/>
    <m/>
    <m/>
    <m/>
    <m/>
    <x v="475"/>
    <m/>
    <m/>
    <x v="0"/>
  </r>
  <r>
    <x v="352"/>
    <m/>
    <s v="New York Southern District Court"/>
    <s v="07/28/2017"/>
    <s v="09/26/2017"/>
    <x v="1573"/>
    <s v="Individual"/>
    <x v="1623"/>
    <m/>
    <m/>
    <m/>
    <m/>
    <m/>
    <m/>
    <x v="49"/>
    <m/>
    <m/>
    <x v="0"/>
  </r>
  <r>
    <x v="352"/>
    <m/>
    <s v="New York Southern District Court"/>
    <s v="07/28/2017"/>
    <s v="09/26/2017"/>
    <x v="78"/>
    <s v="Institution"/>
    <x v="1624"/>
    <s v="LIFO"/>
    <m/>
    <m/>
    <m/>
    <m/>
    <m/>
    <x v="70"/>
    <m/>
    <m/>
    <x v="1"/>
  </r>
  <r>
    <x v="352"/>
    <m/>
    <s v="New York Southern District Court"/>
    <s v="07/28/2017"/>
    <s v="09/26/2017"/>
    <x v="681"/>
    <s v="Institution"/>
    <x v="1625"/>
    <s v="LIFO"/>
    <m/>
    <m/>
    <m/>
    <m/>
    <m/>
    <x v="70"/>
    <m/>
    <m/>
    <x v="1"/>
  </r>
  <r>
    <x v="352"/>
    <m/>
    <s v="New York Southern District Court"/>
    <s v="07/28/2017"/>
    <s v="09/26/2017"/>
    <x v="1574"/>
    <s v="Individual"/>
    <x v="1626"/>
    <m/>
    <m/>
    <m/>
    <m/>
    <m/>
    <m/>
    <x v="97"/>
    <m/>
    <m/>
    <x v="0"/>
  </r>
  <r>
    <x v="352"/>
    <m/>
    <s v="New York Southern District Court"/>
    <s v="07/28/2017"/>
    <s v="09/26/2017"/>
    <x v="1575"/>
    <s v="Individual"/>
    <x v="1627"/>
    <m/>
    <m/>
    <m/>
    <m/>
    <m/>
    <m/>
    <x v="97"/>
    <m/>
    <m/>
    <x v="0"/>
  </r>
  <r>
    <x v="352"/>
    <m/>
    <s v="New York Southern District Court"/>
    <s v="07/28/2017"/>
    <s v="09/26/2017"/>
    <x v="222"/>
    <s v="Institution"/>
    <x v="1628"/>
    <m/>
    <m/>
    <m/>
    <m/>
    <m/>
    <m/>
    <x v="95"/>
    <m/>
    <m/>
    <x v="1"/>
  </r>
  <r>
    <x v="353"/>
    <m/>
    <s v="New York Eastern District Court"/>
    <s v="07/26/2017"/>
    <s v="09/25/2017"/>
    <x v="1576"/>
    <s v="Individual"/>
    <x v="1629"/>
    <m/>
    <m/>
    <m/>
    <m/>
    <m/>
    <m/>
    <x v="44"/>
    <m/>
    <m/>
    <x v="0"/>
  </r>
  <r>
    <x v="353"/>
    <m/>
    <s v="New York Eastern District Court"/>
    <s v="07/26/2017"/>
    <s v="09/25/2017"/>
    <x v="1577"/>
    <s v="Institution"/>
    <x v="1630"/>
    <m/>
    <m/>
    <m/>
    <m/>
    <m/>
    <m/>
    <x v="155"/>
    <m/>
    <m/>
    <x v="0"/>
  </r>
  <r>
    <x v="354"/>
    <m/>
    <s v="Delaware District Court"/>
    <s v="07/07/2017"/>
    <s v="09/25/2017"/>
    <x v="1469"/>
    <m/>
    <x v="1515"/>
    <m/>
    <m/>
    <m/>
    <m/>
    <m/>
    <m/>
    <x v="448"/>
    <m/>
    <m/>
    <x v="0"/>
  </r>
  <r>
    <x v="355"/>
    <m/>
    <s v="New York Southern District Court"/>
    <s v="07/20/2017"/>
    <s v="09/19/2017"/>
    <x v="1578"/>
    <s v="Individual"/>
    <x v="1631"/>
    <m/>
    <m/>
    <m/>
    <m/>
    <m/>
    <m/>
    <x v="11"/>
    <m/>
    <m/>
    <x v="0"/>
  </r>
  <r>
    <x v="355"/>
    <m/>
    <s v="New York Southern District Court"/>
    <s v="07/20/2017"/>
    <s v="09/19/2017"/>
    <x v="1086"/>
    <s v="Institution"/>
    <x v="1632"/>
    <m/>
    <m/>
    <m/>
    <m/>
    <m/>
    <m/>
    <x v="46"/>
    <m/>
    <m/>
    <x v="1"/>
  </r>
  <r>
    <x v="355"/>
    <m/>
    <s v="New York Southern District Court"/>
    <s v="07/20/2017"/>
    <s v="09/19/2017"/>
    <x v="537"/>
    <s v="Institution"/>
    <x v="1633"/>
    <s v="LIFO"/>
    <m/>
    <m/>
    <m/>
    <m/>
    <m/>
    <x v="70"/>
    <m/>
    <m/>
    <x v="1"/>
  </r>
  <r>
    <x v="356"/>
    <m/>
    <s v="Colorado District Court"/>
    <s v="07/21/2017"/>
    <s v="09/19/2017"/>
    <x v="1469"/>
    <m/>
    <x v="1515"/>
    <m/>
    <m/>
    <m/>
    <m/>
    <m/>
    <m/>
    <x v="448"/>
    <m/>
    <m/>
    <x v="0"/>
  </r>
  <r>
    <x v="357"/>
    <m/>
    <s v="Virginia Eastern District Court"/>
    <s v="07/19/2017"/>
    <s v="09/18/2017"/>
    <x v="1469"/>
    <m/>
    <x v="1515"/>
    <m/>
    <m/>
    <m/>
    <m/>
    <m/>
    <m/>
    <x v="448"/>
    <m/>
    <m/>
    <x v="0"/>
  </r>
  <r>
    <x v="54"/>
    <m/>
    <s v="Colorado District Court"/>
    <s v="07/20/2017"/>
    <s v="09/18/2017"/>
    <x v="1579"/>
    <s v="Individual"/>
    <x v="1634"/>
    <s v="FIFO"/>
    <m/>
    <m/>
    <m/>
    <m/>
    <m/>
    <x v="106"/>
    <m/>
    <m/>
    <x v="0"/>
  </r>
  <r>
    <x v="54"/>
    <m/>
    <s v="Colorado District Court"/>
    <s v="07/20/2017"/>
    <s v="09/18/2017"/>
    <x v="1580"/>
    <s v="Individual"/>
    <x v="1635"/>
    <m/>
    <m/>
    <m/>
    <m/>
    <m/>
    <m/>
    <x v="10"/>
    <m/>
    <m/>
    <x v="0"/>
  </r>
  <r>
    <x v="358"/>
    <m/>
    <s v="Maryland District Court"/>
    <s v="07/21/2017"/>
    <s v="09/18/2017"/>
    <x v="1469"/>
    <m/>
    <x v="1515"/>
    <m/>
    <m/>
    <m/>
    <m/>
    <m/>
    <m/>
    <x v="448"/>
    <m/>
    <m/>
    <x v="0"/>
  </r>
  <r>
    <x v="359"/>
    <m/>
    <s v="Nebraska District Court"/>
    <s v="06/26/2017"/>
    <s v="09/15/2017"/>
    <x v="1469"/>
    <m/>
    <x v="1515"/>
    <m/>
    <m/>
    <m/>
    <m/>
    <m/>
    <m/>
    <x v="448"/>
    <m/>
    <m/>
    <x v="0"/>
  </r>
  <r>
    <x v="360"/>
    <m/>
    <s v="Maryland District Court"/>
    <s v="06/26/2017"/>
    <s v="09/15/2017"/>
    <x v="1469"/>
    <m/>
    <x v="1515"/>
    <m/>
    <m/>
    <m/>
    <m/>
    <m/>
    <m/>
    <x v="448"/>
    <m/>
    <m/>
    <x v="0"/>
  </r>
  <r>
    <x v="361"/>
    <m/>
    <s v="New York Eastern District Court"/>
    <s v="08/02/2017"/>
    <s v="09/12/2017"/>
    <x v="1581"/>
    <s v="Institution"/>
    <x v="1636"/>
    <s v="Group Total"/>
    <m/>
    <m/>
    <m/>
    <m/>
    <m/>
    <x v="476"/>
    <m/>
    <m/>
    <x v="0"/>
  </r>
  <r>
    <x v="361"/>
    <m/>
    <s v="New York Eastern District Court"/>
    <s v="08/02/2017"/>
    <s v="09/12/2017"/>
    <x v="1582"/>
    <s v="Institution"/>
    <x v="1515"/>
    <m/>
    <m/>
    <m/>
    <m/>
    <m/>
    <m/>
    <x v="476"/>
    <m/>
    <m/>
    <x v="0"/>
  </r>
  <r>
    <x v="361"/>
    <m/>
    <s v="New York Eastern District Court"/>
    <s v="08/02/2017"/>
    <s v="09/12/2017"/>
    <x v="1583"/>
    <s v="Individual"/>
    <x v="1637"/>
    <m/>
    <m/>
    <m/>
    <m/>
    <m/>
    <m/>
    <x v="141"/>
    <m/>
    <m/>
    <x v="0"/>
  </r>
  <r>
    <x v="361"/>
    <m/>
    <s v="New York Eastern District Court"/>
    <s v="08/02/2017"/>
    <s v="09/12/2017"/>
    <x v="1584"/>
    <s v="Individual"/>
    <x v="1638"/>
    <m/>
    <m/>
    <m/>
    <m/>
    <m/>
    <m/>
    <x v="141"/>
    <m/>
    <m/>
    <x v="0"/>
  </r>
  <r>
    <x v="361"/>
    <m/>
    <s v="New York Eastern District Court"/>
    <s v="08/02/2017"/>
    <s v="09/12/2017"/>
    <x v="1585"/>
    <s v="Individual"/>
    <x v="1639"/>
    <m/>
    <m/>
    <m/>
    <m/>
    <m/>
    <m/>
    <x v="477"/>
    <m/>
    <m/>
    <x v="0"/>
  </r>
  <r>
    <x v="361"/>
    <m/>
    <s v="New York Eastern District Court"/>
    <s v="08/02/2017"/>
    <s v="09/12/2017"/>
    <x v="1586"/>
    <s v="Individual"/>
    <x v="1640"/>
    <m/>
    <m/>
    <m/>
    <m/>
    <m/>
    <m/>
    <x v="478"/>
    <m/>
    <m/>
    <x v="0"/>
  </r>
  <r>
    <x v="361"/>
    <m/>
    <s v="New York Eastern District Court"/>
    <s v="08/02/2017"/>
    <s v="09/12/2017"/>
    <x v="1587"/>
    <s v="Individual"/>
    <x v="1515"/>
    <m/>
    <m/>
    <m/>
    <m/>
    <m/>
    <m/>
    <x v="72"/>
    <m/>
    <m/>
    <x v="0"/>
  </r>
  <r>
    <x v="361"/>
    <m/>
    <s v="New York Eastern District Court"/>
    <s v="08/02/2017"/>
    <s v="09/12/2017"/>
    <x v="1588"/>
    <s v="Individual"/>
    <x v="1641"/>
    <m/>
    <m/>
    <m/>
    <m/>
    <m/>
    <m/>
    <x v="115"/>
    <m/>
    <m/>
    <x v="0"/>
  </r>
  <r>
    <x v="361"/>
    <m/>
    <s v="New York Eastern District Court"/>
    <s v="08/02/2017"/>
    <s v="09/12/2017"/>
    <x v="1589"/>
    <s v="Individual"/>
    <x v="1642"/>
    <m/>
    <m/>
    <m/>
    <m/>
    <m/>
    <m/>
    <x v="115"/>
    <m/>
    <m/>
    <x v="0"/>
  </r>
  <r>
    <x v="361"/>
    <m/>
    <s v="New York Eastern District Court"/>
    <s v="08/02/2017"/>
    <s v="09/12/2017"/>
    <x v="1590"/>
    <s v="Individual"/>
    <x v="1643"/>
    <m/>
    <m/>
    <m/>
    <m/>
    <m/>
    <m/>
    <x v="115"/>
    <m/>
    <m/>
    <x v="0"/>
  </r>
  <r>
    <x v="361"/>
    <m/>
    <s v="New York Eastern District Court"/>
    <s v="08/02/2017"/>
    <s v="09/12/2017"/>
    <x v="1591"/>
    <s v="Individual"/>
    <x v="1644"/>
    <m/>
    <m/>
    <m/>
    <m/>
    <m/>
    <m/>
    <x v="479"/>
    <m/>
    <m/>
    <x v="0"/>
  </r>
  <r>
    <x v="361"/>
    <m/>
    <s v="New York Eastern District Court"/>
    <s v="08/02/2017"/>
    <s v="09/12/2017"/>
    <x v="1592"/>
    <s v="Individual"/>
    <x v="1515"/>
    <m/>
    <m/>
    <m/>
    <m/>
    <m/>
    <m/>
    <x v="480"/>
    <m/>
    <m/>
    <x v="0"/>
  </r>
  <r>
    <x v="361"/>
    <m/>
    <s v="New York Eastern District Court"/>
    <s v="08/02/2017"/>
    <s v="09/12/2017"/>
    <x v="1593"/>
    <s v="Individual"/>
    <x v="1515"/>
    <m/>
    <m/>
    <m/>
    <m/>
    <m/>
    <m/>
    <x v="480"/>
    <m/>
    <m/>
    <x v="0"/>
  </r>
  <r>
    <x v="361"/>
    <m/>
    <s v="New York Eastern District Court"/>
    <s v="08/02/2017"/>
    <s v="09/12/2017"/>
    <x v="1594"/>
    <s v="Individual"/>
    <x v="1515"/>
    <m/>
    <m/>
    <m/>
    <m/>
    <m/>
    <m/>
    <x v="480"/>
    <m/>
    <m/>
    <x v="0"/>
  </r>
  <r>
    <x v="361"/>
    <m/>
    <s v="New York Eastern District Court"/>
    <s v="08/02/2017"/>
    <s v="09/12/2017"/>
    <x v="1595"/>
    <s v="Individual"/>
    <x v="1515"/>
    <m/>
    <m/>
    <m/>
    <m/>
    <m/>
    <m/>
    <x v="480"/>
    <m/>
    <m/>
    <x v="0"/>
  </r>
  <r>
    <x v="361"/>
    <m/>
    <s v="New York Eastern District Court"/>
    <s v="08/02/2017"/>
    <s v="09/12/2017"/>
    <x v="1596"/>
    <s v="Individual"/>
    <x v="1515"/>
    <m/>
    <m/>
    <m/>
    <m/>
    <m/>
    <m/>
    <x v="480"/>
    <m/>
    <m/>
    <x v="0"/>
  </r>
  <r>
    <x v="361"/>
    <m/>
    <s v="New York Eastern District Court"/>
    <s v="08/02/2017"/>
    <s v="09/12/2017"/>
    <x v="1597"/>
    <s v="Individual"/>
    <x v="1645"/>
    <m/>
    <m/>
    <m/>
    <m/>
    <m/>
    <m/>
    <x v="46"/>
    <m/>
    <m/>
    <x v="0"/>
  </r>
  <r>
    <x v="361"/>
    <m/>
    <s v="New York Eastern District Court"/>
    <s v="08/02/2017"/>
    <s v="09/12/2017"/>
    <x v="1598"/>
    <s v="Individual"/>
    <x v="1646"/>
    <m/>
    <m/>
    <m/>
    <m/>
    <m/>
    <m/>
    <x v="46"/>
    <m/>
    <m/>
    <x v="0"/>
  </r>
  <r>
    <x v="361"/>
    <m/>
    <s v="New York Eastern District Court"/>
    <s v="08/02/2017"/>
    <s v="09/12/2017"/>
    <x v="1599"/>
    <s v="Individual"/>
    <x v="1647"/>
    <m/>
    <m/>
    <m/>
    <m/>
    <m/>
    <m/>
    <x v="46"/>
    <m/>
    <m/>
    <x v="0"/>
  </r>
  <r>
    <x v="361"/>
    <m/>
    <s v="New York Eastern District Court"/>
    <s v="08/02/2017"/>
    <s v="09/12/2017"/>
    <x v="1600"/>
    <s v="Individual"/>
    <x v="1648"/>
    <m/>
    <m/>
    <m/>
    <m/>
    <m/>
    <m/>
    <x v="147"/>
    <m/>
    <m/>
    <x v="0"/>
  </r>
  <r>
    <x v="362"/>
    <m/>
    <s v="Georgia Northern District Court"/>
    <s v="07/11/2017"/>
    <s v="09/11/2017"/>
    <x v="1601"/>
    <s v="Institution"/>
    <x v="1649"/>
    <s v="LIFO"/>
    <m/>
    <m/>
    <m/>
    <m/>
    <m/>
    <x v="481"/>
    <m/>
    <m/>
    <x v="0"/>
  </r>
  <r>
    <x v="362"/>
    <m/>
    <s v="Georgia Northern District Court"/>
    <s v="07/11/2017"/>
    <s v="09/11/2017"/>
    <x v="1602"/>
    <s v="Institution"/>
    <x v="1650"/>
    <s v="LIFO"/>
    <m/>
    <m/>
    <m/>
    <m/>
    <m/>
    <x v="481"/>
    <m/>
    <m/>
    <x v="0"/>
  </r>
  <r>
    <x v="362"/>
    <m/>
    <s v="Georgia Northern District Court"/>
    <s v="07/11/2017"/>
    <s v="09/11/2017"/>
    <x v="1603"/>
    <s v="Institution"/>
    <x v="1651"/>
    <s v="LIFO"/>
    <m/>
    <m/>
    <m/>
    <m/>
    <m/>
    <x v="481"/>
    <m/>
    <m/>
    <x v="0"/>
  </r>
  <r>
    <x v="362"/>
    <m/>
    <s v="Georgia Northern District Court"/>
    <s v="07/11/2017"/>
    <s v="09/11/2017"/>
    <x v="1604"/>
    <s v="Institution"/>
    <x v="1652"/>
    <s v="LIFO"/>
    <m/>
    <m/>
    <m/>
    <m/>
    <m/>
    <x v="482"/>
    <m/>
    <m/>
    <x v="0"/>
  </r>
  <r>
    <x v="362"/>
    <m/>
    <s v="Georgia Northern District Court"/>
    <s v="07/11/2017"/>
    <s v="09/11/2017"/>
    <x v="416"/>
    <s v="Institution"/>
    <x v="1653"/>
    <s v="LIFO"/>
    <m/>
    <m/>
    <m/>
    <m/>
    <m/>
    <x v="482"/>
    <m/>
    <m/>
    <x v="1"/>
  </r>
  <r>
    <x v="363"/>
    <m/>
    <s v="Michigan Eastern District"/>
    <s v="06/20/2017"/>
    <s v="09/08/2017"/>
    <x v="1469"/>
    <m/>
    <x v="1515"/>
    <m/>
    <m/>
    <m/>
    <m/>
    <m/>
    <m/>
    <x v="448"/>
    <m/>
    <m/>
    <x v="0"/>
  </r>
  <r>
    <x v="364"/>
    <m/>
    <s v="California Northern District Court"/>
    <s v="05/22/2017"/>
    <s v="09/05/2017"/>
    <x v="1605"/>
    <s v="Individual"/>
    <x v="1654"/>
    <m/>
    <m/>
    <m/>
    <m/>
    <m/>
    <m/>
    <x v="151"/>
    <m/>
    <m/>
    <x v="0"/>
  </r>
  <r>
    <x v="364"/>
    <m/>
    <s v="California Northern District Court"/>
    <s v="05/22/2017"/>
    <s v="09/05/2017"/>
    <x v="1606"/>
    <s v="Individual"/>
    <x v="1655"/>
    <s v="Shares Held"/>
    <m/>
    <m/>
    <m/>
    <m/>
    <m/>
    <x v="20"/>
    <m/>
    <m/>
    <x v="0"/>
  </r>
  <r>
    <x v="364"/>
    <m/>
    <s v="California Northern District Court"/>
    <s v="05/22/2017"/>
    <s v="09/05/2017"/>
    <x v="1607"/>
    <s v="Individual"/>
    <x v="1515"/>
    <m/>
    <m/>
    <m/>
    <m/>
    <m/>
    <m/>
    <x v="20"/>
    <m/>
    <m/>
    <x v="0"/>
  </r>
  <r>
    <x v="364"/>
    <m/>
    <s v="California Northern District Court"/>
    <s v="05/22/2017"/>
    <s v="09/05/2017"/>
    <x v="1608"/>
    <s v="Individual"/>
    <x v="1656"/>
    <s v="Group Total"/>
    <m/>
    <m/>
    <m/>
    <m/>
    <m/>
    <x v="483"/>
    <m/>
    <m/>
    <x v="0"/>
  </r>
  <r>
    <x v="364"/>
    <m/>
    <s v="California Northern District Court"/>
    <s v="05/22/2017"/>
    <s v="09/05/2017"/>
    <x v="1609"/>
    <s v="Individual"/>
    <x v="1515"/>
    <m/>
    <m/>
    <m/>
    <m/>
    <m/>
    <m/>
    <x v="483"/>
    <m/>
    <m/>
    <x v="0"/>
  </r>
  <r>
    <x v="365"/>
    <m/>
    <s v="New Jersey District Court"/>
    <s v="07/07/2017"/>
    <s v="09/05/2017"/>
    <x v="1610"/>
    <s v="Individual"/>
    <x v="1657"/>
    <m/>
    <m/>
    <m/>
    <m/>
    <m/>
    <m/>
    <x v="8"/>
    <m/>
    <m/>
    <x v="0"/>
  </r>
  <r>
    <x v="365"/>
    <m/>
    <s v="New Jersey District Court"/>
    <s v="07/07/2017"/>
    <s v="09/05/2017"/>
    <x v="1611"/>
    <s v="Individual"/>
    <x v="1658"/>
    <m/>
    <m/>
    <m/>
    <m/>
    <m/>
    <m/>
    <x v="9"/>
    <m/>
    <m/>
    <x v="0"/>
  </r>
  <r>
    <x v="365"/>
    <m/>
    <s v="New Jersey District Court"/>
    <s v="07/07/2017"/>
    <s v="09/05/2017"/>
    <x v="1612"/>
    <s v="Individual"/>
    <x v="1659"/>
    <m/>
    <m/>
    <m/>
    <m/>
    <m/>
    <m/>
    <x v="443"/>
    <m/>
    <m/>
    <x v="0"/>
  </r>
  <r>
    <x v="365"/>
    <m/>
    <s v="New Jersey District Court"/>
    <s v="07/07/2017"/>
    <s v="09/05/2017"/>
    <x v="1613"/>
    <s v="Individual"/>
    <x v="1660"/>
    <m/>
    <m/>
    <m/>
    <m/>
    <m/>
    <m/>
    <x v="443"/>
    <m/>
    <m/>
    <x v="0"/>
  </r>
  <r>
    <x v="365"/>
    <m/>
    <s v="New Jersey District Court"/>
    <s v="07/07/2017"/>
    <s v="09/05/2017"/>
    <x v="1614"/>
    <s v="Individual"/>
    <x v="1661"/>
    <m/>
    <m/>
    <m/>
    <m/>
    <m/>
    <m/>
    <x v="443"/>
    <m/>
    <m/>
    <x v="0"/>
  </r>
  <r>
    <x v="365"/>
    <m/>
    <s v="New Jersey District Court"/>
    <s v="07/07/2017"/>
    <s v="09/05/2017"/>
    <x v="1615"/>
    <s v="Individual"/>
    <x v="1662"/>
    <m/>
    <m/>
    <m/>
    <m/>
    <m/>
    <m/>
    <x v="443"/>
    <m/>
    <m/>
    <x v="0"/>
  </r>
  <r>
    <x v="365"/>
    <m/>
    <s v="New Jersey District Court"/>
    <s v="07/07/2017"/>
    <s v="09/05/2017"/>
    <x v="1616"/>
    <s v="Individual"/>
    <x v="1663"/>
    <m/>
    <m/>
    <m/>
    <m/>
    <m/>
    <m/>
    <x v="443"/>
    <m/>
    <m/>
    <x v="0"/>
  </r>
  <r>
    <x v="365"/>
    <m/>
    <s v="New Jersey District Court"/>
    <s v="07/07/2017"/>
    <s v="09/05/2017"/>
    <x v="1617"/>
    <s v="Individual"/>
    <x v="1664"/>
    <s v="LIFO"/>
    <m/>
    <m/>
    <m/>
    <m/>
    <m/>
    <x v="96"/>
    <m/>
    <m/>
    <x v="0"/>
  </r>
  <r>
    <x v="365"/>
    <m/>
    <s v="New Jersey District Court"/>
    <s v="07/07/2017"/>
    <s v="09/05/2017"/>
    <x v="1618"/>
    <s v="Individual"/>
    <x v="1665"/>
    <s v="LIFO"/>
    <m/>
    <m/>
    <m/>
    <m/>
    <m/>
    <x v="26"/>
    <m/>
    <m/>
    <x v="0"/>
  </r>
  <r>
    <x v="365"/>
    <m/>
    <s v="New Jersey District Court"/>
    <s v="07/07/2017"/>
    <s v="09/05/2017"/>
    <x v="1619"/>
    <s v="Individual"/>
    <x v="1666"/>
    <m/>
    <m/>
    <m/>
    <m/>
    <m/>
    <m/>
    <x v="269"/>
    <m/>
    <m/>
    <x v="0"/>
  </r>
  <r>
    <x v="365"/>
    <m/>
    <s v="New Jersey District Court"/>
    <s v="07/07/2017"/>
    <s v="09/05/2017"/>
    <x v="1620"/>
    <s v="Individual"/>
    <x v="1667"/>
    <m/>
    <m/>
    <m/>
    <m/>
    <m/>
    <m/>
    <x v="269"/>
    <m/>
    <m/>
    <x v="0"/>
  </r>
  <r>
    <x v="365"/>
    <m/>
    <s v="New Jersey District Court"/>
    <s v="07/07/2017"/>
    <s v="09/05/2017"/>
    <x v="1621"/>
    <s v="Individual"/>
    <x v="1668"/>
    <m/>
    <m/>
    <m/>
    <m/>
    <m/>
    <m/>
    <x v="269"/>
    <m/>
    <m/>
    <x v="0"/>
  </r>
  <r>
    <x v="366"/>
    <m/>
    <s v="New York Southern District Court"/>
    <s v="07/07/2017"/>
    <s v="09/05/2017"/>
    <x v="1622"/>
    <s v="Individual"/>
    <x v="1515"/>
    <m/>
    <m/>
    <m/>
    <m/>
    <m/>
    <m/>
    <x v="8"/>
    <m/>
    <m/>
    <x v="0"/>
  </r>
  <r>
    <x v="366"/>
    <m/>
    <s v="New York Southern District Court"/>
    <s v="07/07/2017"/>
    <s v="09/05/2017"/>
    <x v="1623"/>
    <s v="Individual"/>
    <x v="1515"/>
    <m/>
    <m/>
    <m/>
    <m/>
    <m/>
    <m/>
    <x v="484"/>
    <m/>
    <m/>
    <x v="0"/>
  </r>
  <r>
    <x v="366"/>
    <m/>
    <s v="New York Southern District Court"/>
    <s v="07/07/2017"/>
    <s v="09/05/2017"/>
    <x v="1624"/>
    <s v="Individual"/>
    <x v="1515"/>
    <m/>
    <m/>
    <m/>
    <m/>
    <m/>
    <m/>
    <x v="133"/>
    <m/>
    <m/>
    <x v="0"/>
  </r>
  <r>
    <x v="366"/>
    <m/>
    <s v="New York Southern District Court"/>
    <s v="07/07/2017"/>
    <s v="09/05/2017"/>
    <x v="1625"/>
    <s v="Individual"/>
    <x v="1515"/>
    <m/>
    <m/>
    <m/>
    <m/>
    <m/>
    <m/>
    <x v="26"/>
    <m/>
    <m/>
    <x v="0"/>
  </r>
  <r>
    <x v="366"/>
    <m/>
    <s v="New York Southern District Court"/>
    <s v="07/07/2017"/>
    <s v="09/05/2017"/>
    <x v="1626"/>
    <s v="Individual"/>
    <x v="1515"/>
    <m/>
    <m/>
    <m/>
    <m/>
    <m/>
    <m/>
    <x v="485"/>
    <m/>
    <m/>
    <x v="0"/>
  </r>
  <r>
    <x v="366"/>
    <m/>
    <s v="New York Southern District Court"/>
    <s v="07/07/2017"/>
    <s v="09/05/2017"/>
    <x v="1627"/>
    <s v="Individual"/>
    <x v="1515"/>
    <m/>
    <m/>
    <m/>
    <m/>
    <m/>
    <m/>
    <x v="485"/>
    <m/>
    <m/>
    <x v="0"/>
  </r>
  <r>
    <x v="366"/>
    <m/>
    <s v="New York Southern District Court"/>
    <s v="07/07/2017"/>
    <s v="09/05/2017"/>
    <x v="1628"/>
    <s v="Individual"/>
    <x v="1515"/>
    <m/>
    <m/>
    <m/>
    <m/>
    <m/>
    <m/>
    <x v="485"/>
    <m/>
    <m/>
    <x v="0"/>
  </r>
  <r>
    <x v="367"/>
    <m/>
    <s v="New Jersey District Court"/>
    <s v="06/27/2017"/>
    <s v="08/28/2017"/>
    <x v="1629"/>
    <s v="Individual"/>
    <x v="1669"/>
    <s v="LIFO"/>
    <m/>
    <m/>
    <m/>
    <m/>
    <m/>
    <x v="10"/>
    <m/>
    <m/>
    <x v="0"/>
  </r>
  <r>
    <x v="367"/>
    <m/>
    <s v="New Jersey District Court"/>
    <s v="06/27/2017"/>
    <s v="08/28/2017"/>
    <x v="1630"/>
    <s v="Individual"/>
    <x v="1670"/>
    <m/>
    <m/>
    <m/>
    <m/>
    <m/>
    <m/>
    <x v="49"/>
    <m/>
    <m/>
    <x v="0"/>
  </r>
  <r>
    <x v="367"/>
    <m/>
    <s v="New Jersey District Court"/>
    <s v="06/27/2017"/>
    <s v="08/28/2017"/>
    <x v="1631"/>
    <s v="Individual"/>
    <x v="1671"/>
    <m/>
    <m/>
    <m/>
    <m/>
    <m/>
    <m/>
    <x v="49"/>
    <m/>
    <m/>
    <x v="0"/>
  </r>
  <r>
    <x v="368"/>
    <m/>
    <s v="California Central District Court"/>
    <s v="06/27/2017"/>
    <s v="08/28/2017"/>
    <x v="1273"/>
    <s v="Institution"/>
    <x v="1672"/>
    <m/>
    <m/>
    <m/>
    <m/>
    <m/>
    <m/>
    <x v="155"/>
    <m/>
    <m/>
    <x v="1"/>
  </r>
  <r>
    <x v="368"/>
    <m/>
    <s v="California Central District Court"/>
    <s v="06/27/2017"/>
    <s v="08/28/2017"/>
    <x v="1632"/>
    <s v="Individual"/>
    <x v="1673"/>
    <m/>
    <m/>
    <m/>
    <m/>
    <m/>
    <m/>
    <x v="10"/>
    <m/>
    <m/>
    <x v="0"/>
  </r>
  <r>
    <x v="368"/>
    <m/>
    <s v="California Central District Court"/>
    <s v="06/27/2017"/>
    <s v="08/28/2017"/>
    <x v="1633"/>
    <s v="Individual"/>
    <x v="1674"/>
    <m/>
    <m/>
    <m/>
    <m/>
    <m/>
    <m/>
    <x v="146"/>
    <m/>
    <m/>
    <x v="0"/>
  </r>
  <r>
    <x v="368"/>
    <m/>
    <s v="California Central District Court"/>
    <s v="06/27/2017"/>
    <s v="08/28/2017"/>
    <x v="1634"/>
    <s v="Individual"/>
    <x v="1675"/>
    <m/>
    <m/>
    <m/>
    <m/>
    <m/>
    <m/>
    <x v="146"/>
    <m/>
    <m/>
    <x v="0"/>
  </r>
  <r>
    <x v="368"/>
    <m/>
    <s v="California Central District Court"/>
    <s v="06/27/2017"/>
    <s v="08/28/2017"/>
    <x v="1635"/>
    <s v="Individual"/>
    <x v="1676"/>
    <m/>
    <m/>
    <m/>
    <m/>
    <m/>
    <m/>
    <x v="146"/>
    <m/>
    <m/>
    <x v="0"/>
  </r>
  <r>
    <x v="368"/>
    <m/>
    <s v="California Central District Court"/>
    <s v="06/27/2017"/>
    <s v="08/28/2017"/>
    <x v="1636"/>
    <s v="Individual"/>
    <x v="1677"/>
    <m/>
    <m/>
    <m/>
    <m/>
    <m/>
    <m/>
    <x v="146"/>
    <m/>
    <m/>
    <x v="0"/>
  </r>
  <r>
    <x v="369"/>
    <m/>
    <s v="New York Southern District Court"/>
    <s v="06/29/2017"/>
    <s v="08/28/2017"/>
    <x v="1637"/>
    <s v="Individual"/>
    <x v="1678"/>
    <m/>
    <m/>
    <m/>
    <m/>
    <m/>
    <m/>
    <x v="97"/>
    <m/>
    <m/>
    <x v="0"/>
  </r>
  <r>
    <x v="369"/>
    <m/>
    <s v="New York Southern District Court"/>
    <s v="06/29/2017"/>
    <s v="08/28/2017"/>
    <x v="1638"/>
    <s v="Individual"/>
    <x v="1679"/>
    <m/>
    <m/>
    <m/>
    <m/>
    <m/>
    <m/>
    <x v="97"/>
    <m/>
    <m/>
    <x v="0"/>
  </r>
  <r>
    <x v="369"/>
    <m/>
    <s v="New York Southern District Court"/>
    <s v="06/29/2017"/>
    <s v="08/28/2017"/>
    <x v="1639"/>
    <s v="Individual"/>
    <x v="1680"/>
    <m/>
    <m/>
    <m/>
    <m/>
    <m/>
    <m/>
    <x v="97"/>
    <m/>
    <m/>
    <x v="0"/>
  </r>
  <r>
    <x v="370"/>
    <m/>
    <s v="New York Eastern District Court"/>
    <s v="06/23/2017"/>
    <s v="08/22/2017"/>
    <x v="1640"/>
    <s v="Individual"/>
    <x v="1681"/>
    <m/>
    <m/>
    <m/>
    <m/>
    <m/>
    <m/>
    <x v="8"/>
    <m/>
    <m/>
    <x v="0"/>
  </r>
  <r>
    <x v="370"/>
    <m/>
    <s v="New York Eastern District Court"/>
    <s v="06/23/2017"/>
    <s v="08/22/2017"/>
    <x v="1641"/>
    <s v="Individual"/>
    <x v="1682"/>
    <m/>
    <m/>
    <m/>
    <m/>
    <m/>
    <m/>
    <x v="1"/>
    <m/>
    <m/>
    <x v="0"/>
  </r>
  <r>
    <x v="371"/>
    <m/>
    <s v="New Jersey District Court"/>
    <s v="06/21/2017"/>
    <s v="08/21/2017"/>
    <x v="1469"/>
    <m/>
    <x v="1515"/>
    <m/>
    <m/>
    <m/>
    <m/>
    <m/>
    <m/>
    <x v="448"/>
    <m/>
    <m/>
    <x v="0"/>
  </r>
  <r>
    <x v="372"/>
    <m/>
    <s v="New York Southern District Court"/>
    <s v="06/22/2017"/>
    <s v="08/21/2017"/>
    <x v="1642"/>
    <s v="Individual"/>
    <x v="1683"/>
    <m/>
    <m/>
    <m/>
    <m/>
    <m/>
    <m/>
    <x v="8"/>
    <m/>
    <m/>
    <x v="0"/>
  </r>
  <r>
    <x v="372"/>
    <m/>
    <s v="New York Southern District Court"/>
    <s v="06/22/2017"/>
    <s v="08/21/2017"/>
    <x v="1643"/>
    <s v="Individual"/>
    <x v="1684"/>
    <s v="LIFO"/>
    <m/>
    <m/>
    <m/>
    <m/>
    <m/>
    <x v="443"/>
    <m/>
    <m/>
    <x v="0"/>
  </r>
  <r>
    <x v="372"/>
    <m/>
    <s v="New York Southern District Court"/>
    <s v="06/22/2017"/>
    <s v="08/21/2017"/>
    <x v="1644"/>
    <s v="Individual"/>
    <x v="1685"/>
    <m/>
    <m/>
    <m/>
    <m/>
    <m/>
    <m/>
    <x v="443"/>
    <m/>
    <m/>
    <x v="0"/>
  </r>
  <r>
    <x v="372"/>
    <m/>
    <s v="New York Southern District Court"/>
    <s v="06/22/2017"/>
    <s v="08/21/2017"/>
    <x v="1645"/>
    <s v="Individual"/>
    <x v="1686"/>
    <s v="LIFO"/>
    <m/>
    <m/>
    <m/>
    <m/>
    <m/>
    <x v="443"/>
    <m/>
    <m/>
    <x v="0"/>
  </r>
  <r>
    <x v="372"/>
    <m/>
    <s v="New York Southern District Court"/>
    <s v="06/22/2017"/>
    <s v="08/21/2017"/>
    <x v="1646"/>
    <s v="Individual"/>
    <x v="1687"/>
    <s v="FIFO"/>
    <m/>
    <m/>
    <m/>
    <m/>
    <m/>
    <x v="96"/>
    <m/>
    <m/>
    <x v="0"/>
  </r>
  <r>
    <x v="372"/>
    <m/>
    <s v="New York Southern District Court"/>
    <s v="06/22/2017"/>
    <s v="08/21/2017"/>
    <x v="1647"/>
    <s v="Individual"/>
    <x v="1688"/>
    <s v="FIFO"/>
    <m/>
    <m/>
    <m/>
    <m/>
    <m/>
    <x v="96"/>
    <m/>
    <m/>
    <x v="0"/>
  </r>
  <r>
    <x v="372"/>
    <m/>
    <s v="New York Southern District Court"/>
    <s v="06/22/2017"/>
    <s v="08/21/2017"/>
    <x v="1648"/>
    <s v="Individual"/>
    <x v="1689"/>
    <s v="LIFO/FIFO"/>
    <m/>
    <m/>
    <m/>
    <m/>
    <m/>
    <x v="97"/>
    <m/>
    <m/>
    <x v="0"/>
  </r>
  <r>
    <x v="372"/>
    <m/>
    <s v="New York Southern District Court"/>
    <s v="06/22/2017"/>
    <s v="08/21/2017"/>
    <x v="1649"/>
    <s v="Institution"/>
    <x v="1690"/>
    <s v="FIFO"/>
    <m/>
    <m/>
    <m/>
    <m/>
    <m/>
    <x v="97"/>
    <m/>
    <m/>
    <x v="0"/>
  </r>
  <r>
    <x v="373"/>
    <m/>
    <s v="Louisiana Western District Court"/>
    <s v="06/22/2017"/>
    <s v="08/21/2017"/>
    <x v="1650"/>
    <s v="Institution"/>
    <x v="1691"/>
    <s v="LIFO"/>
    <m/>
    <m/>
    <m/>
    <m/>
    <m/>
    <x v="486"/>
    <m/>
    <m/>
    <x v="0"/>
  </r>
  <r>
    <x v="373"/>
    <m/>
    <s v="Louisiana Western District Court"/>
    <s v="06/22/2017"/>
    <s v="08/21/2017"/>
    <x v="801"/>
    <s v="Institution"/>
    <x v="1692"/>
    <s v="LIFO"/>
    <m/>
    <m/>
    <m/>
    <m/>
    <m/>
    <x v="486"/>
    <m/>
    <m/>
    <x v="1"/>
  </r>
  <r>
    <x v="373"/>
    <m/>
    <s v="Louisiana Western District Court"/>
    <s v="06/22/2017"/>
    <s v="08/21/2017"/>
    <x v="1041"/>
    <s v="Institution"/>
    <x v="1693"/>
    <m/>
    <m/>
    <m/>
    <m/>
    <m/>
    <m/>
    <x v="487"/>
    <m/>
    <m/>
    <x v="1"/>
  </r>
  <r>
    <x v="373"/>
    <m/>
    <s v="Louisiana Western District Court"/>
    <s v="06/22/2017"/>
    <s v="08/21/2017"/>
    <x v="1651"/>
    <s v="Institution"/>
    <x v="1694"/>
    <s v="FIFO"/>
    <m/>
    <m/>
    <m/>
    <m/>
    <m/>
    <x v="488"/>
    <m/>
    <m/>
    <x v="0"/>
  </r>
  <r>
    <x v="373"/>
    <m/>
    <s v="Louisiana Western District Court"/>
    <s v="06/22/2017"/>
    <s v="08/21/2017"/>
    <x v="51"/>
    <s v="Institution"/>
    <x v="1695"/>
    <m/>
    <m/>
    <m/>
    <m/>
    <m/>
    <m/>
    <x v="182"/>
    <m/>
    <m/>
    <x v="1"/>
  </r>
  <r>
    <x v="373"/>
    <m/>
    <s v="Louisiana Western District Court"/>
    <s v="06/22/2017"/>
    <s v="08/21/2017"/>
    <x v="1652"/>
    <s v="Individual"/>
    <x v="1515"/>
    <m/>
    <m/>
    <m/>
    <m/>
    <m/>
    <m/>
    <x v="489"/>
    <m/>
    <m/>
    <x v="0"/>
  </r>
  <r>
    <x v="373"/>
    <m/>
    <s v="Louisiana Western District Court"/>
    <s v="06/22/2017"/>
    <s v="08/21/2017"/>
    <x v="1653"/>
    <s v="Individual"/>
    <x v="1515"/>
    <m/>
    <m/>
    <m/>
    <m/>
    <m/>
    <m/>
    <x v="490"/>
    <m/>
    <m/>
    <x v="0"/>
  </r>
  <r>
    <x v="373"/>
    <m/>
    <s v="Louisiana Western District Court"/>
    <s v="06/22/2017"/>
    <s v="08/21/2017"/>
    <x v="1654"/>
    <s v="Individual"/>
    <x v="1515"/>
    <m/>
    <m/>
    <m/>
    <m/>
    <m/>
    <m/>
    <x v="490"/>
    <m/>
    <m/>
    <x v="0"/>
  </r>
  <r>
    <x v="373"/>
    <m/>
    <s v="Louisiana Western District Court"/>
    <s v="06/22/2017"/>
    <s v="08/21/2017"/>
    <x v="1655"/>
    <s v="Individual"/>
    <x v="1515"/>
    <m/>
    <m/>
    <m/>
    <m/>
    <m/>
    <m/>
    <x v="490"/>
    <m/>
    <m/>
    <x v="0"/>
  </r>
  <r>
    <x v="373"/>
    <m/>
    <s v="Louisiana Western District Court"/>
    <s v="06/22/2017"/>
    <s v="08/21/2017"/>
    <x v="1656"/>
    <s v="Individual"/>
    <x v="1515"/>
    <m/>
    <m/>
    <m/>
    <m/>
    <m/>
    <m/>
    <x v="490"/>
    <m/>
    <m/>
    <x v="0"/>
  </r>
  <r>
    <x v="373"/>
    <m/>
    <s v="Louisiana Western District Court"/>
    <s v="06/22/2017"/>
    <s v="08/21/2017"/>
    <x v="1657"/>
    <s v="Individual"/>
    <x v="1515"/>
    <m/>
    <m/>
    <m/>
    <m/>
    <m/>
    <m/>
    <x v="490"/>
    <m/>
    <m/>
    <x v="0"/>
  </r>
  <r>
    <x v="374"/>
    <m/>
    <s v="Virginia Eastern District Court"/>
    <s v="06/19/2017"/>
    <s v="08/18/2017"/>
    <x v="1658"/>
    <s v="Institution"/>
    <x v="1696"/>
    <m/>
    <m/>
    <m/>
    <m/>
    <m/>
    <m/>
    <x v="314"/>
    <m/>
    <m/>
    <x v="0"/>
  </r>
  <r>
    <x v="374"/>
    <m/>
    <s v="Virginia Eastern District Court"/>
    <s v="06/19/2017"/>
    <s v="08/18/2017"/>
    <x v="1659"/>
    <s v="Institution"/>
    <x v="1697"/>
    <s v="LIFO"/>
    <m/>
    <m/>
    <m/>
    <m/>
    <m/>
    <x v="454"/>
    <m/>
    <m/>
    <x v="0"/>
  </r>
  <r>
    <x v="375"/>
    <m/>
    <s v="Georgia Northern District Court"/>
    <s v="06/16/2017"/>
    <s v="08/18/2017"/>
    <x v="2"/>
    <s v="Institution"/>
    <x v="1698"/>
    <s v="LIFO"/>
    <m/>
    <m/>
    <m/>
    <m/>
    <m/>
    <x v="78"/>
    <m/>
    <m/>
    <x v="1"/>
  </r>
  <r>
    <x v="375"/>
    <m/>
    <s v="Georgia Northern District Court"/>
    <s v="06/16/2017"/>
    <s v="08/18/2017"/>
    <x v="1660"/>
    <s v="Institution"/>
    <x v="1699"/>
    <s v="LIFO"/>
    <m/>
    <m/>
    <m/>
    <m/>
    <m/>
    <x v="454"/>
    <m/>
    <m/>
    <x v="0"/>
  </r>
  <r>
    <x v="376"/>
    <m/>
    <s v="New York Southern District Court"/>
    <s v="06/16/2017"/>
    <s v="08/15/2017"/>
    <x v="1661"/>
    <s v="Individual"/>
    <x v="1700"/>
    <m/>
    <m/>
    <m/>
    <m/>
    <m/>
    <m/>
    <x v="221"/>
    <m/>
    <m/>
    <x v="0"/>
  </r>
  <r>
    <x v="376"/>
    <m/>
    <s v="New York Southern District Court"/>
    <s v="06/16/2017"/>
    <s v="08/15/2017"/>
    <x v="1662"/>
    <s v="Individual"/>
    <x v="1701"/>
    <m/>
    <m/>
    <m/>
    <m/>
    <m/>
    <m/>
    <x v="97"/>
    <m/>
    <m/>
    <x v="0"/>
  </r>
  <r>
    <x v="376"/>
    <m/>
    <s v="New York Southern District Court"/>
    <s v="06/16/2017"/>
    <s v="08/15/2017"/>
    <x v="1663"/>
    <s v="Individual"/>
    <x v="1702"/>
    <m/>
    <m/>
    <m/>
    <m/>
    <m/>
    <m/>
    <x v="97"/>
    <m/>
    <m/>
    <x v="0"/>
  </r>
  <r>
    <x v="376"/>
    <m/>
    <s v="New York Southern District Court"/>
    <s v="06/16/2017"/>
    <s v="08/15/2017"/>
    <x v="1664"/>
    <s v="Individual"/>
    <x v="1703"/>
    <s v="LIFO"/>
    <m/>
    <m/>
    <m/>
    <m/>
    <m/>
    <x v="26"/>
    <m/>
    <m/>
    <x v="0"/>
  </r>
  <r>
    <x v="376"/>
    <m/>
    <s v="New York Southern District Court"/>
    <s v="06/16/2017"/>
    <s v="08/15/2017"/>
    <x v="1665"/>
    <s v="Individual"/>
    <x v="1704"/>
    <m/>
    <m/>
    <m/>
    <m/>
    <m/>
    <m/>
    <x v="1"/>
    <m/>
    <m/>
    <x v="0"/>
  </r>
  <r>
    <x v="376"/>
    <m/>
    <s v="New York Southern District Court"/>
    <s v="06/16/2017"/>
    <s v="08/15/2017"/>
    <x v="1666"/>
    <s v="Individual"/>
    <x v="1705"/>
    <m/>
    <m/>
    <m/>
    <m/>
    <m/>
    <m/>
    <x v="49"/>
    <m/>
    <m/>
    <x v="0"/>
  </r>
  <r>
    <x v="376"/>
    <m/>
    <s v="New York Southern District Court"/>
    <s v="06/16/2017"/>
    <s v="08/15/2017"/>
    <x v="1667"/>
    <s v="Individual"/>
    <x v="1706"/>
    <m/>
    <m/>
    <m/>
    <m/>
    <m/>
    <m/>
    <x v="49"/>
    <m/>
    <m/>
    <x v="0"/>
  </r>
  <r>
    <x v="377"/>
    <m/>
    <s v="Georgia Northern District Court"/>
    <s v="06/15/2017"/>
    <s v="08/14/2017"/>
    <x v="1668"/>
    <s v="Institution"/>
    <x v="1707"/>
    <s v="Shares Held"/>
    <m/>
    <m/>
    <m/>
    <m/>
    <m/>
    <x v="491"/>
    <m/>
    <m/>
    <x v="0"/>
  </r>
  <r>
    <x v="378"/>
    <m/>
    <s v="New York Southern District Court"/>
    <s v="06/09/2017"/>
    <s v="08/08/2017"/>
    <x v="1669"/>
    <s v="Individual"/>
    <x v="1708"/>
    <m/>
    <m/>
    <m/>
    <m/>
    <m/>
    <m/>
    <x v="49"/>
    <m/>
    <m/>
    <x v="0"/>
  </r>
  <r>
    <x v="378"/>
    <m/>
    <s v="New York Southern District Court"/>
    <s v="06/09/2017"/>
    <s v="08/08/2017"/>
    <x v="1670"/>
    <s v="Individual"/>
    <x v="1709"/>
    <m/>
    <m/>
    <m/>
    <m/>
    <m/>
    <m/>
    <x v="49"/>
    <m/>
    <m/>
    <x v="0"/>
  </r>
  <r>
    <x v="378"/>
    <m/>
    <s v="New York Southern District Court"/>
    <s v="06/09/2017"/>
    <s v="08/08/2017"/>
    <x v="1671"/>
    <s v="Individual"/>
    <x v="1710"/>
    <m/>
    <m/>
    <m/>
    <m/>
    <m/>
    <m/>
    <x v="1"/>
    <m/>
    <m/>
    <x v="0"/>
  </r>
  <r>
    <x v="378"/>
    <m/>
    <s v="New York Southern District Court"/>
    <s v="06/09/2017"/>
    <s v="08/08/2017"/>
    <x v="1672"/>
    <s v="Individual"/>
    <x v="1711"/>
    <m/>
    <m/>
    <m/>
    <m/>
    <m/>
    <m/>
    <x v="97"/>
    <m/>
    <m/>
    <x v="0"/>
  </r>
  <r>
    <x v="378"/>
    <m/>
    <s v="New York Southern District Court"/>
    <s v="06/09/2017"/>
    <s v="08/08/2017"/>
    <x v="1673"/>
    <s v="Individual"/>
    <x v="1712"/>
    <m/>
    <m/>
    <m/>
    <m/>
    <m/>
    <m/>
    <x v="97"/>
    <m/>
    <m/>
    <x v="0"/>
  </r>
  <r>
    <x v="274"/>
    <m/>
    <s v="Connecticut District Court"/>
    <s v="05/18/2017"/>
    <s v="08/07/2017"/>
    <x v="1674"/>
    <s v="Individual"/>
    <x v="1713"/>
    <s v="Shares Held"/>
    <m/>
    <m/>
    <m/>
    <m/>
    <m/>
    <x v="492"/>
    <m/>
    <m/>
    <x v="0"/>
  </r>
  <r>
    <x v="274"/>
    <m/>
    <s v="Connecticut District Court"/>
    <s v="05/18/2017"/>
    <s v="08/07/2017"/>
    <x v="1675"/>
    <s v="Individual"/>
    <x v="1714"/>
    <s v="Shares Held"/>
    <m/>
    <m/>
    <m/>
    <m/>
    <m/>
    <x v="492"/>
    <m/>
    <m/>
    <x v="0"/>
  </r>
  <r>
    <x v="379"/>
    <m/>
    <s v="New Jersey District Court"/>
    <s v="06/06/2017"/>
    <s v="08/07/2017"/>
    <x v="1676"/>
    <s v="Individual"/>
    <x v="1715"/>
    <m/>
    <m/>
    <m/>
    <m/>
    <m/>
    <m/>
    <x v="49"/>
    <m/>
    <m/>
    <x v="0"/>
  </r>
  <r>
    <x v="380"/>
    <m/>
    <s v="New Jersey District Court"/>
    <s v="05/30/2017"/>
    <s v="07/31/2017"/>
    <x v="1677"/>
    <s v="Individual"/>
    <x v="1716"/>
    <m/>
    <m/>
    <m/>
    <m/>
    <m/>
    <m/>
    <x v="11"/>
    <m/>
    <m/>
    <x v="0"/>
  </r>
  <r>
    <x v="380"/>
    <m/>
    <s v="New Jersey District Court"/>
    <s v="05/30/2017"/>
    <s v="07/31/2017"/>
    <x v="1678"/>
    <s v="Individual"/>
    <x v="1717"/>
    <m/>
    <m/>
    <m/>
    <m/>
    <m/>
    <m/>
    <x v="9"/>
    <m/>
    <m/>
    <x v="0"/>
  </r>
  <r>
    <x v="380"/>
    <m/>
    <s v="New Jersey District Court"/>
    <s v="05/30/2017"/>
    <s v="07/31/2017"/>
    <x v="1679"/>
    <s v="Individual"/>
    <x v="1718"/>
    <m/>
    <m/>
    <m/>
    <m/>
    <m/>
    <m/>
    <x v="26"/>
    <m/>
    <m/>
    <x v="0"/>
  </r>
  <r>
    <x v="380"/>
    <m/>
    <s v="New Jersey District Court"/>
    <s v="05/30/2017"/>
    <s v="07/31/2017"/>
    <x v="1680"/>
    <s v="Individual"/>
    <x v="1719"/>
    <m/>
    <m/>
    <m/>
    <m/>
    <m/>
    <m/>
    <x v="387"/>
    <m/>
    <m/>
    <x v="0"/>
  </r>
  <r>
    <x v="380"/>
    <m/>
    <s v="New Jersey District Court"/>
    <s v="05/30/2017"/>
    <s v="07/31/2017"/>
    <x v="1681"/>
    <s v="Individual"/>
    <x v="1720"/>
    <m/>
    <m/>
    <m/>
    <m/>
    <m/>
    <m/>
    <x v="387"/>
    <m/>
    <m/>
    <x v="0"/>
  </r>
  <r>
    <x v="380"/>
    <m/>
    <s v="New Jersey District Court"/>
    <s v="05/30/2017"/>
    <s v="07/31/2017"/>
    <x v="1682"/>
    <s v="Individual"/>
    <x v="1721"/>
    <m/>
    <m/>
    <m/>
    <m/>
    <m/>
    <m/>
    <x v="387"/>
    <m/>
    <m/>
    <x v="0"/>
  </r>
  <r>
    <x v="381"/>
    <m/>
    <s v="New York Eastern District Court"/>
    <s v="05/31/2017"/>
    <s v="07/31/2017"/>
    <x v="1683"/>
    <s v="Individual"/>
    <x v="1722"/>
    <s v="FIFO/LIFO"/>
    <m/>
    <m/>
    <m/>
    <m/>
    <m/>
    <x v="493"/>
    <m/>
    <m/>
    <x v="0"/>
  </r>
  <r>
    <x v="382"/>
    <m/>
    <s v="Arizona District Court"/>
    <s v="06/29/2017"/>
    <s v="07/31/2017"/>
    <x v="1469"/>
    <m/>
    <x v="1515"/>
    <m/>
    <m/>
    <m/>
    <m/>
    <m/>
    <m/>
    <x v="448"/>
    <m/>
    <m/>
    <x v="0"/>
  </r>
  <r>
    <x v="383"/>
    <m/>
    <s v="Michigan Eastern District"/>
    <s v="07/05/2017"/>
    <s v="07/26/2017"/>
    <x v="1684"/>
    <s v="Individual"/>
    <x v="1515"/>
    <m/>
    <m/>
    <m/>
    <m/>
    <m/>
    <m/>
    <x v="214"/>
    <m/>
    <m/>
    <x v="0"/>
  </r>
  <r>
    <x v="383"/>
    <m/>
    <s v="Michigan Eastern District"/>
    <s v="07/05/2017"/>
    <s v="07/26/2017"/>
    <x v="1685"/>
    <s v="Individual"/>
    <x v="1515"/>
    <m/>
    <m/>
    <m/>
    <m/>
    <m/>
    <m/>
    <x v="214"/>
    <m/>
    <m/>
    <x v="0"/>
  </r>
  <r>
    <x v="383"/>
    <m/>
    <s v="Michigan Eastern District"/>
    <s v="07/05/2017"/>
    <s v="07/26/2017"/>
    <x v="1686"/>
    <s v="Individual"/>
    <x v="1515"/>
    <m/>
    <m/>
    <m/>
    <m/>
    <m/>
    <m/>
    <x v="214"/>
    <m/>
    <m/>
    <x v="0"/>
  </r>
  <r>
    <x v="383"/>
    <m/>
    <s v="Michigan Eastern District"/>
    <s v="07/05/2017"/>
    <s v="07/26/2017"/>
    <x v="1687"/>
    <s v="Individual"/>
    <x v="1515"/>
    <m/>
    <m/>
    <m/>
    <m/>
    <m/>
    <m/>
    <x v="214"/>
    <m/>
    <m/>
    <x v="0"/>
  </r>
  <r>
    <x v="383"/>
    <m/>
    <s v="Michigan Eastern District"/>
    <s v="07/05/2017"/>
    <s v="07/26/2017"/>
    <x v="1688"/>
    <s v="Individual"/>
    <x v="1515"/>
    <m/>
    <m/>
    <m/>
    <m/>
    <m/>
    <m/>
    <x v="214"/>
    <m/>
    <m/>
    <x v="0"/>
  </r>
  <r>
    <x v="383"/>
    <m/>
    <s v="Michigan Eastern District"/>
    <s v="07/05/2017"/>
    <s v="07/26/2017"/>
    <x v="1689"/>
    <s v="Individual"/>
    <x v="1515"/>
    <m/>
    <m/>
    <m/>
    <m/>
    <m/>
    <m/>
    <x v="1"/>
    <m/>
    <m/>
    <x v="0"/>
  </r>
  <r>
    <x v="383"/>
    <m/>
    <s v="Michigan Eastern District"/>
    <s v="07/05/2017"/>
    <s v="07/26/2017"/>
    <x v="1041"/>
    <s v="Institution"/>
    <x v="1515"/>
    <m/>
    <m/>
    <m/>
    <m/>
    <m/>
    <m/>
    <x v="494"/>
    <m/>
    <m/>
    <x v="1"/>
  </r>
  <r>
    <x v="384"/>
    <m/>
    <s v="Colorado District Court"/>
    <s v="05/03/2017"/>
    <s v="07/24/2017"/>
    <x v="1690"/>
    <s v="Individual"/>
    <x v="1723"/>
    <s v="Shares Held"/>
    <m/>
    <m/>
    <m/>
    <m/>
    <m/>
    <x v="495"/>
    <m/>
    <m/>
    <x v="0"/>
  </r>
  <r>
    <x v="384"/>
    <m/>
    <s v="Colorado District Court"/>
    <s v="05/03/2017"/>
    <s v="07/24/2017"/>
    <x v="1691"/>
    <s v="Individual"/>
    <x v="1724"/>
    <s v="Shares Held"/>
    <m/>
    <m/>
    <m/>
    <m/>
    <m/>
    <x v="115"/>
    <m/>
    <m/>
    <x v="0"/>
  </r>
  <r>
    <x v="385"/>
    <m/>
    <s v="New Jersey District Court"/>
    <s v="05/24/2017"/>
    <s v="07/24/2017"/>
    <x v="1692"/>
    <s v="Individual"/>
    <x v="1725"/>
    <m/>
    <m/>
    <m/>
    <m/>
    <m/>
    <m/>
    <x v="8"/>
    <m/>
    <m/>
    <x v="0"/>
  </r>
  <r>
    <x v="385"/>
    <m/>
    <s v="New Jersey District Court"/>
    <s v="05/24/2017"/>
    <s v="07/24/2017"/>
    <x v="1693"/>
    <s v="Individual"/>
    <x v="1726"/>
    <m/>
    <m/>
    <m/>
    <m/>
    <m/>
    <m/>
    <x v="9"/>
    <m/>
    <m/>
    <x v="0"/>
  </r>
  <r>
    <x v="385"/>
    <m/>
    <s v="New Jersey District Court"/>
    <s v="05/24/2017"/>
    <s v="07/24/2017"/>
    <x v="1694"/>
    <s v="Individual"/>
    <x v="1727"/>
    <m/>
    <m/>
    <m/>
    <m/>
    <m/>
    <m/>
    <x v="496"/>
    <m/>
    <m/>
    <x v="0"/>
  </r>
  <r>
    <x v="385"/>
    <m/>
    <s v="New Jersey District Court"/>
    <s v="05/24/2017"/>
    <s v="07/24/2017"/>
    <x v="1695"/>
    <s v="Individual"/>
    <x v="1728"/>
    <m/>
    <m/>
    <m/>
    <m/>
    <m/>
    <m/>
    <x v="496"/>
    <m/>
    <m/>
    <x v="0"/>
  </r>
  <r>
    <x v="385"/>
    <m/>
    <s v="New Jersey District Court"/>
    <s v="05/24/2017"/>
    <s v="07/24/2017"/>
    <x v="1696"/>
    <s v="Individual"/>
    <x v="1729"/>
    <m/>
    <m/>
    <m/>
    <m/>
    <m/>
    <m/>
    <x v="496"/>
    <m/>
    <m/>
    <x v="0"/>
  </r>
  <r>
    <x v="385"/>
    <m/>
    <s v="New Jersey District Court"/>
    <s v="05/24/2017"/>
    <s v="07/24/2017"/>
    <x v="1697"/>
    <s v="Individual"/>
    <x v="1730"/>
    <m/>
    <m/>
    <m/>
    <m/>
    <m/>
    <m/>
    <x v="496"/>
    <m/>
    <m/>
    <x v="0"/>
  </r>
  <r>
    <x v="385"/>
    <m/>
    <s v="New Jersey District Court"/>
    <s v="05/24/2017"/>
    <s v="07/24/2017"/>
    <x v="1698"/>
    <s v="Individual"/>
    <x v="1731"/>
    <m/>
    <m/>
    <m/>
    <m/>
    <m/>
    <m/>
    <x v="496"/>
    <m/>
    <m/>
    <x v="0"/>
  </r>
  <r>
    <x v="267"/>
    <m/>
    <s v="California Northern District Court"/>
    <s v="08/16/2016"/>
    <s v="07/21/2017"/>
    <x v="1215"/>
    <s v="Individual"/>
    <x v="1732"/>
    <s v="LIFO"/>
    <m/>
    <m/>
    <m/>
    <m/>
    <m/>
    <x v="106"/>
    <m/>
    <m/>
    <x v="1"/>
  </r>
  <r>
    <x v="267"/>
    <m/>
    <s v="California Northern District Court"/>
    <s v="08/16/2016"/>
    <s v="07/21/2017"/>
    <x v="1211"/>
    <s v="Individual"/>
    <x v="1733"/>
    <s v="LIFO/FIFO"/>
    <m/>
    <m/>
    <m/>
    <m/>
    <m/>
    <x v="106"/>
    <m/>
    <m/>
    <x v="1"/>
  </r>
  <r>
    <x v="267"/>
    <m/>
    <s v="California Northern District Court"/>
    <s v="08/16/2016"/>
    <s v="07/21/2017"/>
    <x v="1218"/>
    <s v="Individual"/>
    <x v="1734"/>
    <m/>
    <m/>
    <m/>
    <m/>
    <m/>
    <m/>
    <x v="65"/>
    <m/>
    <m/>
    <x v="1"/>
  </r>
  <r>
    <x v="267"/>
    <m/>
    <s v="California Northern District Court"/>
    <s v="08/16/2016"/>
    <s v="07/21/2017"/>
    <x v="1216"/>
    <s v="Individual"/>
    <x v="1735"/>
    <m/>
    <m/>
    <m/>
    <m/>
    <m/>
    <m/>
    <x v="65"/>
    <m/>
    <m/>
    <x v="1"/>
  </r>
  <r>
    <x v="267"/>
    <m/>
    <s v="California Northern District Court"/>
    <s v="08/16/2016"/>
    <s v="07/21/2017"/>
    <x v="1217"/>
    <s v="Individual"/>
    <x v="1736"/>
    <m/>
    <m/>
    <m/>
    <m/>
    <m/>
    <m/>
    <x v="65"/>
    <m/>
    <m/>
    <x v="1"/>
  </r>
  <r>
    <x v="267"/>
    <m/>
    <s v="California Northern District Court"/>
    <s v="08/16/2016"/>
    <s v="07/21/2017"/>
    <x v="1219"/>
    <s v="Individual"/>
    <x v="1737"/>
    <m/>
    <m/>
    <m/>
    <m/>
    <m/>
    <m/>
    <x v="65"/>
    <m/>
    <m/>
    <x v="1"/>
  </r>
  <r>
    <x v="267"/>
    <m/>
    <s v="California Northern District Court"/>
    <s v="08/16/2016"/>
    <s v="07/21/2017"/>
    <x v="1220"/>
    <s v="Individual"/>
    <x v="1738"/>
    <m/>
    <m/>
    <m/>
    <m/>
    <m/>
    <m/>
    <x v="65"/>
    <m/>
    <m/>
    <x v="1"/>
  </r>
  <r>
    <x v="386"/>
    <m/>
    <s v="New York Eastern District Court"/>
    <s v="05/22/2017"/>
    <s v="07/21/2017"/>
    <x v="1699"/>
    <s v="Individual"/>
    <x v="1739"/>
    <m/>
    <m/>
    <m/>
    <m/>
    <m/>
    <m/>
    <x v="151"/>
    <m/>
    <m/>
    <x v="0"/>
  </r>
  <r>
    <x v="386"/>
    <m/>
    <s v="New York Eastern District Court"/>
    <s v="05/22/2017"/>
    <s v="07/21/2017"/>
    <x v="1700"/>
    <s v="Individual"/>
    <x v="1740"/>
    <m/>
    <m/>
    <m/>
    <m/>
    <m/>
    <m/>
    <x v="151"/>
    <m/>
    <m/>
    <x v="0"/>
  </r>
  <r>
    <x v="386"/>
    <m/>
    <s v="New York Eastern District Court"/>
    <s v="05/22/2017"/>
    <s v="07/21/2017"/>
    <x v="1701"/>
    <s v="Institution"/>
    <x v="1741"/>
    <m/>
    <m/>
    <m/>
    <m/>
    <m/>
    <m/>
    <x v="10"/>
    <m/>
    <m/>
    <x v="0"/>
  </r>
  <r>
    <x v="387"/>
    <m/>
    <s v="New York Southern District Court"/>
    <s v="05/19/2017"/>
    <s v="07/18/2017"/>
    <x v="1469"/>
    <m/>
    <x v="1515"/>
    <m/>
    <m/>
    <m/>
    <m/>
    <m/>
    <m/>
    <x v="448"/>
    <m/>
    <m/>
    <x v="0"/>
  </r>
  <r>
    <x v="388"/>
    <m/>
    <s v="California Central District Court"/>
    <s v="05/16/2017"/>
    <s v="07/17/2017"/>
    <x v="1702"/>
    <s v="Individual"/>
    <x v="1742"/>
    <m/>
    <m/>
    <m/>
    <m/>
    <m/>
    <m/>
    <x v="8"/>
    <m/>
    <m/>
    <x v="0"/>
  </r>
  <r>
    <x v="388"/>
    <m/>
    <s v="California Central District Court"/>
    <s v="05/16/2017"/>
    <s v="07/17/2017"/>
    <x v="1703"/>
    <s v="Individual"/>
    <x v="1743"/>
    <m/>
    <m/>
    <m/>
    <m/>
    <m/>
    <m/>
    <x v="8"/>
    <m/>
    <m/>
    <x v="0"/>
  </r>
  <r>
    <x v="388"/>
    <m/>
    <s v="California Central District Court"/>
    <s v="05/16/2017"/>
    <s v="07/17/2017"/>
    <x v="1704"/>
    <s v="Individual"/>
    <x v="1744"/>
    <m/>
    <m/>
    <m/>
    <m/>
    <m/>
    <m/>
    <x v="10"/>
    <m/>
    <m/>
    <x v="0"/>
  </r>
  <r>
    <x v="388"/>
    <m/>
    <s v="California Central District Court"/>
    <s v="05/16/2017"/>
    <s v="07/17/2017"/>
    <x v="1705"/>
    <s v="Individual"/>
    <x v="1745"/>
    <s v="LIFO"/>
    <m/>
    <m/>
    <m/>
    <m/>
    <m/>
    <x v="66"/>
    <m/>
    <m/>
    <x v="0"/>
  </r>
  <r>
    <x v="388"/>
    <m/>
    <s v="California Central District Court"/>
    <s v="05/16/2017"/>
    <s v="07/17/2017"/>
    <x v="1706"/>
    <s v="Individual"/>
    <x v="1746"/>
    <m/>
    <m/>
    <m/>
    <m/>
    <m/>
    <m/>
    <x v="97"/>
    <m/>
    <m/>
    <x v="0"/>
  </r>
  <r>
    <x v="388"/>
    <m/>
    <s v="California Central District Court"/>
    <s v="05/16/2017"/>
    <s v="07/17/2017"/>
    <x v="1707"/>
    <s v="Individual"/>
    <x v="1747"/>
    <m/>
    <m/>
    <m/>
    <m/>
    <m/>
    <m/>
    <x v="97"/>
    <m/>
    <m/>
    <x v="0"/>
  </r>
  <r>
    <x v="388"/>
    <m/>
    <s v="California Central District Court"/>
    <s v="05/16/2017"/>
    <s v="07/17/2017"/>
    <x v="1525"/>
    <s v="Individual"/>
    <x v="1748"/>
    <m/>
    <m/>
    <m/>
    <m/>
    <m/>
    <m/>
    <x v="97"/>
    <m/>
    <m/>
    <x v="1"/>
  </r>
  <r>
    <x v="388"/>
    <m/>
    <s v="California Central District Court"/>
    <s v="05/16/2017"/>
    <s v="07/17/2017"/>
    <x v="1708"/>
    <s v="Individual"/>
    <x v="1749"/>
    <m/>
    <m/>
    <m/>
    <m/>
    <m/>
    <m/>
    <x v="97"/>
    <m/>
    <m/>
    <x v="0"/>
  </r>
  <r>
    <x v="388"/>
    <m/>
    <s v="California Central District Court"/>
    <s v="05/16/2017"/>
    <s v="07/17/2017"/>
    <x v="1709"/>
    <s v="Individual"/>
    <x v="1750"/>
    <s v="LIFO"/>
    <m/>
    <m/>
    <m/>
    <m/>
    <m/>
    <x v="26"/>
    <m/>
    <m/>
    <x v="0"/>
  </r>
  <r>
    <x v="389"/>
    <m/>
    <s v="New York Southern District Court"/>
    <s v="05/16/2017"/>
    <s v="07/17/2017"/>
    <x v="1710"/>
    <s v="Individual"/>
    <x v="1751"/>
    <m/>
    <m/>
    <m/>
    <m/>
    <m/>
    <m/>
    <x v="10"/>
    <m/>
    <m/>
    <x v="0"/>
  </r>
  <r>
    <x v="389"/>
    <m/>
    <s v="New York Southern District Court"/>
    <s v="05/16/2017"/>
    <s v="07/17/2017"/>
    <x v="1711"/>
    <s v="Individual"/>
    <x v="1752"/>
    <m/>
    <m/>
    <m/>
    <m/>
    <m/>
    <m/>
    <x v="1"/>
    <m/>
    <m/>
    <x v="0"/>
  </r>
  <r>
    <x v="389"/>
    <m/>
    <s v="New York Southern District Court"/>
    <s v="05/16/2017"/>
    <s v="07/17/2017"/>
    <x v="536"/>
    <s v="Institution"/>
    <x v="1753"/>
    <m/>
    <m/>
    <m/>
    <m/>
    <m/>
    <m/>
    <x v="46"/>
    <m/>
    <m/>
    <x v="1"/>
  </r>
  <r>
    <x v="389"/>
    <m/>
    <s v="New York Southern District Court"/>
    <s v="05/16/2017"/>
    <s v="07/17/2017"/>
    <x v="283"/>
    <s v="Institution"/>
    <x v="1754"/>
    <m/>
    <m/>
    <m/>
    <m/>
    <m/>
    <m/>
    <x v="106"/>
    <m/>
    <m/>
    <x v="1"/>
  </r>
  <r>
    <x v="389"/>
    <m/>
    <s v="New York Southern District Court"/>
    <s v="05/16/2017"/>
    <s v="07/17/2017"/>
    <x v="282"/>
    <s v="Institution"/>
    <x v="1755"/>
    <m/>
    <m/>
    <m/>
    <m/>
    <m/>
    <m/>
    <x v="106"/>
    <m/>
    <m/>
    <x v="1"/>
  </r>
  <r>
    <x v="390"/>
    <m/>
    <s v="New York Southern District Court"/>
    <s v="05/17/2017"/>
    <s v="07/17/2017"/>
    <x v="1712"/>
    <s v="Individual"/>
    <x v="1756"/>
    <m/>
    <m/>
    <m/>
    <m/>
    <m/>
    <m/>
    <x v="497"/>
    <m/>
    <m/>
    <x v="0"/>
  </r>
  <r>
    <x v="390"/>
    <m/>
    <s v="New York Southern District Court"/>
    <s v="05/17/2017"/>
    <s v="07/17/2017"/>
    <x v="1713"/>
    <s v="Individual"/>
    <x v="1757"/>
    <m/>
    <m/>
    <m/>
    <m/>
    <m/>
    <m/>
    <x v="497"/>
    <m/>
    <m/>
    <x v="0"/>
  </r>
  <r>
    <x v="390"/>
    <m/>
    <s v="New York Southern District Court"/>
    <s v="05/17/2017"/>
    <s v="07/17/2017"/>
    <x v="1714"/>
    <s v="Individual"/>
    <x v="1758"/>
    <m/>
    <m/>
    <m/>
    <m/>
    <m/>
    <m/>
    <x v="49"/>
    <m/>
    <m/>
    <x v="0"/>
  </r>
  <r>
    <x v="390"/>
    <m/>
    <s v="New York Southern District Court"/>
    <s v="05/17/2017"/>
    <s v="07/17/2017"/>
    <x v="1715"/>
    <s v="Individual"/>
    <x v="1759"/>
    <m/>
    <m/>
    <m/>
    <m/>
    <m/>
    <m/>
    <x v="49"/>
    <m/>
    <m/>
    <x v="0"/>
  </r>
  <r>
    <x v="391"/>
    <m/>
    <s v="New York Southern District Court"/>
    <s v="05/12/2017"/>
    <s v="07/11/2017"/>
    <x v="1716"/>
    <s v="Individual"/>
    <x v="1760"/>
    <m/>
    <m/>
    <m/>
    <m/>
    <m/>
    <m/>
    <x v="470"/>
    <m/>
    <m/>
    <x v="0"/>
  </r>
  <r>
    <x v="391"/>
    <m/>
    <s v="New York Southern District Court"/>
    <s v="05/12/2017"/>
    <s v="07/11/2017"/>
    <x v="1717"/>
    <s v="Individual"/>
    <x v="1761"/>
    <m/>
    <m/>
    <m/>
    <m/>
    <m/>
    <m/>
    <x v="8"/>
    <m/>
    <m/>
    <x v="0"/>
  </r>
  <r>
    <x v="391"/>
    <m/>
    <s v="New York Southern District Court"/>
    <s v="05/12/2017"/>
    <s v="07/11/2017"/>
    <x v="1718"/>
    <s v="Individual"/>
    <x v="1762"/>
    <m/>
    <m/>
    <m/>
    <m/>
    <m/>
    <m/>
    <x v="8"/>
    <m/>
    <m/>
    <x v="0"/>
  </r>
  <r>
    <x v="391"/>
    <m/>
    <s v="New York Southern District Court"/>
    <s v="05/12/2017"/>
    <s v="07/11/2017"/>
    <x v="1719"/>
    <s v="Individual"/>
    <x v="1763"/>
    <m/>
    <m/>
    <m/>
    <m/>
    <m/>
    <m/>
    <x v="1"/>
    <m/>
    <m/>
    <x v="0"/>
  </r>
  <r>
    <x v="391"/>
    <m/>
    <s v="New York Southern District Court"/>
    <s v="05/12/2017"/>
    <s v="07/11/2017"/>
    <x v="1720"/>
    <s v="Individual"/>
    <x v="1764"/>
    <m/>
    <m/>
    <m/>
    <m/>
    <m/>
    <m/>
    <x v="97"/>
    <m/>
    <m/>
    <x v="0"/>
  </r>
  <r>
    <x v="392"/>
    <m/>
    <s v="New York Southern District Court"/>
    <s v="05/12/2017"/>
    <s v="07/11/2017"/>
    <x v="1721"/>
    <s v="Institution"/>
    <x v="1765"/>
    <s v="FIFO/LIFO"/>
    <m/>
    <m/>
    <m/>
    <m/>
    <m/>
    <x v="68"/>
    <m/>
    <m/>
    <x v="0"/>
  </r>
  <r>
    <x v="393"/>
    <m/>
    <s v="New York Eastern District Court"/>
    <s v="05/12/2017"/>
    <s v="07/11/2017"/>
    <x v="1722"/>
    <s v="Individual"/>
    <x v="1766"/>
    <m/>
    <m/>
    <m/>
    <m/>
    <m/>
    <m/>
    <x v="10"/>
    <m/>
    <m/>
    <x v="0"/>
  </r>
  <r>
    <x v="393"/>
    <m/>
    <s v="New York Eastern District Court"/>
    <s v="05/12/2017"/>
    <s v="07/11/2017"/>
    <x v="1723"/>
    <s v="Individual"/>
    <x v="1767"/>
    <m/>
    <m/>
    <m/>
    <m/>
    <m/>
    <m/>
    <x v="8"/>
    <m/>
    <m/>
    <x v="0"/>
  </r>
  <r>
    <x v="393"/>
    <m/>
    <s v="New York Eastern District Court"/>
    <s v="05/12/2017"/>
    <s v="07/11/2017"/>
    <x v="1724"/>
    <s v="Individual"/>
    <x v="1768"/>
    <m/>
    <m/>
    <m/>
    <m/>
    <m/>
    <m/>
    <x v="8"/>
    <m/>
    <m/>
    <x v="0"/>
  </r>
  <r>
    <x v="393"/>
    <m/>
    <s v="New York Eastern District Court"/>
    <s v="05/12/2017"/>
    <s v="07/11/2017"/>
    <x v="1725"/>
    <s v="Individual"/>
    <x v="1769"/>
    <m/>
    <m/>
    <m/>
    <m/>
    <m/>
    <m/>
    <x v="97"/>
    <m/>
    <m/>
    <x v="0"/>
  </r>
  <r>
    <x v="393"/>
    <m/>
    <s v="New York Eastern District Court"/>
    <s v="05/12/2017"/>
    <s v="07/11/2017"/>
    <x v="1726"/>
    <s v="Individual"/>
    <x v="1770"/>
    <m/>
    <m/>
    <m/>
    <m/>
    <m/>
    <m/>
    <x v="97"/>
    <m/>
    <m/>
    <x v="0"/>
  </r>
  <r>
    <x v="394"/>
    <m/>
    <s v="New York Southern District Court"/>
    <s v="05/10/2017"/>
    <s v="07/10/2017"/>
    <x v="1727"/>
    <s v="Institution"/>
    <x v="1771"/>
    <s v="LIFO"/>
    <m/>
    <m/>
    <m/>
    <m/>
    <m/>
    <x v="498"/>
    <m/>
    <m/>
    <x v="0"/>
  </r>
  <r>
    <x v="394"/>
    <m/>
    <s v="New York Southern District Court"/>
    <s v="05/10/2017"/>
    <s v="07/10/2017"/>
    <x v="1041"/>
    <s v="Institution"/>
    <x v="1772"/>
    <s v="FIFO"/>
    <m/>
    <m/>
    <m/>
    <m/>
    <m/>
    <x v="73"/>
    <m/>
    <m/>
    <x v="1"/>
  </r>
  <r>
    <x v="395"/>
    <m/>
    <s v="New York Southern District Court"/>
    <s v="05/10/2017"/>
    <s v="07/10/2017"/>
    <x v="1728"/>
    <s v="Individual"/>
    <x v="1773"/>
    <m/>
    <m/>
    <m/>
    <m/>
    <m/>
    <m/>
    <x v="8"/>
    <m/>
    <m/>
    <x v="0"/>
  </r>
  <r>
    <x v="395"/>
    <m/>
    <s v="New York Southern District Court"/>
    <s v="05/10/2017"/>
    <s v="07/10/2017"/>
    <x v="1729"/>
    <s v="Individual"/>
    <x v="1774"/>
    <m/>
    <m/>
    <m/>
    <m/>
    <m/>
    <m/>
    <x v="499"/>
    <m/>
    <m/>
    <x v="0"/>
  </r>
  <r>
    <x v="395"/>
    <m/>
    <s v="New York Southern District Court"/>
    <s v="05/10/2017"/>
    <s v="07/10/2017"/>
    <x v="1730"/>
    <s v="Individual"/>
    <x v="1775"/>
    <m/>
    <m/>
    <m/>
    <m/>
    <m/>
    <m/>
    <x v="499"/>
    <m/>
    <m/>
    <x v="0"/>
  </r>
  <r>
    <x v="395"/>
    <m/>
    <s v="New York Southern District Court"/>
    <s v="05/10/2017"/>
    <s v="07/10/2017"/>
    <x v="1731"/>
    <s v="Individual"/>
    <x v="1776"/>
    <m/>
    <m/>
    <m/>
    <m/>
    <m/>
    <m/>
    <x v="499"/>
    <m/>
    <m/>
    <x v="0"/>
  </r>
  <r>
    <x v="395"/>
    <m/>
    <s v="New York Southern District Court"/>
    <s v="05/10/2017"/>
    <s v="07/10/2017"/>
    <x v="1732"/>
    <s v="Individual"/>
    <x v="1777"/>
    <m/>
    <m/>
    <m/>
    <m/>
    <m/>
    <m/>
    <x v="499"/>
    <m/>
    <m/>
    <x v="0"/>
  </r>
  <r>
    <x v="395"/>
    <m/>
    <s v="New York Southern District Court"/>
    <s v="05/10/2017"/>
    <s v="07/10/2017"/>
    <x v="1733"/>
    <s v="Individual"/>
    <x v="1778"/>
    <s v="LIFO"/>
    <m/>
    <m/>
    <m/>
    <m/>
    <m/>
    <x v="44"/>
    <m/>
    <m/>
    <x v="0"/>
  </r>
  <r>
    <x v="395"/>
    <m/>
    <s v="New York Southern District Court"/>
    <s v="05/10/2017"/>
    <s v="07/10/2017"/>
    <x v="1734"/>
    <s v="Individual"/>
    <x v="1779"/>
    <m/>
    <m/>
    <m/>
    <m/>
    <m/>
    <m/>
    <x v="10"/>
    <m/>
    <m/>
    <x v="0"/>
  </r>
  <r>
    <x v="396"/>
    <m/>
    <s v="California Northern District Court"/>
    <s v="05/10/2017"/>
    <s v="07/10/2017"/>
    <x v="1469"/>
    <m/>
    <x v="1515"/>
    <m/>
    <m/>
    <m/>
    <m/>
    <m/>
    <m/>
    <x v="448"/>
    <m/>
    <m/>
    <x v="0"/>
  </r>
  <r>
    <x v="397"/>
    <m/>
    <s v="Minnesota District Court"/>
    <s v="05/11/2017"/>
    <s v="07/10/2017"/>
    <x v="1735"/>
    <s v="Individual"/>
    <x v="1780"/>
    <s v="Holdings"/>
    <m/>
    <m/>
    <m/>
    <m/>
    <m/>
    <x v="500"/>
    <m/>
    <m/>
    <x v="0"/>
  </r>
  <r>
    <x v="398"/>
    <m/>
    <s v="New Jersey District Court"/>
    <s v="05/08/2017"/>
    <s v="07/07/2017"/>
    <x v="1736"/>
    <s v="Individual"/>
    <x v="1781"/>
    <m/>
    <m/>
    <m/>
    <m/>
    <m/>
    <m/>
    <x v="298"/>
    <m/>
    <m/>
    <x v="0"/>
  </r>
  <r>
    <x v="398"/>
    <m/>
    <s v="New Jersey District Court"/>
    <s v="05/08/2017"/>
    <s v="07/07/2017"/>
    <x v="1737"/>
    <s v="Individual"/>
    <x v="1782"/>
    <m/>
    <m/>
    <m/>
    <m/>
    <m/>
    <m/>
    <x v="298"/>
    <m/>
    <m/>
    <x v="0"/>
  </r>
  <r>
    <x v="398"/>
    <m/>
    <s v="New Jersey District Court"/>
    <s v="05/08/2017"/>
    <s v="07/07/2017"/>
    <x v="1738"/>
    <s v="Individual"/>
    <x v="1783"/>
    <m/>
    <m/>
    <m/>
    <m/>
    <m/>
    <m/>
    <x v="8"/>
    <m/>
    <m/>
    <x v="0"/>
  </r>
  <r>
    <x v="398"/>
    <m/>
    <s v="New Jersey District Court"/>
    <s v="05/08/2017"/>
    <s v="07/07/2017"/>
    <x v="1739"/>
    <s v="Individual"/>
    <x v="1784"/>
    <m/>
    <m/>
    <m/>
    <m/>
    <m/>
    <m/>
    <x v="8"/>
    <m/>
    <m/>
    <x v="0"/>
  </r>
  <r>
    <x v="398"/>
    <m/>
    <s v="New Jersey District Court"/>
    <s v="05/08/2017"/>
    <s v="07/07/2017"/>
    <x v="1740"/>
    <s v="Individual"/>
    <x v="1785"/>
    <m/>
    <m/>
    <m/>
    <m/>
    <m/>
    <m/>
    <x v="8"/>
    <m/>
    <m/>
    <x v="0"/>
  </r>
  <r>
    <x v="398"/>
    <m/>
    <s v="New Jersey District Court"/>
    <s v="05/08/2017"/>
    <s v="07/07/2017"/>
    <x v="1741"/>
    <s v="Individual"/>
    <x v="1786"/>
    <m/>
    <m/>
    <m/>
    <m/>
    <m/>
    <m/>
    <x v="8"/>
    <m/>
    <m/>
    <x v="0"/>
  </r>
  <r>
    <x v="398"/>
    <m/>
    <s v="New Jersey District Court"/>
    <s v="05/08/2017"/>
    <s v="07/07/2017"/>
    <x v="1742"/>
    <s v="Individual"/>
    <x v="1787"/>
    <m/>
    <m/>
    <m/>
    <m/>
    <m/>
    <m/>
    <x v="8"/>
    <m/>
    <m/>
    <x v="0"/>
  </r>
  <r>
    <x v="253"/>
    <m/>
    <s v="New York Southern District Court"/>
    <s v="08/25/2016"/>
    <s v="07/05/2017"/>
    <x v="1139"/>
    <s v="Individual"/>
    <x v="1788"/>
    <m/>
    <m/>
    <m/>
    <m/>
    <m/>
    <m/>
    <x v="50"/>
    <m/>
    <m/>
    <x v="1"/>
  </r>
  <r>
    <x v="253"/>
    <m/>
    <s v="New York Southern District Court"/>
    <s v="08/25/2016"/>
    <s v="07/05/2017"/>
    <x v="1138"/>
    <s v="Individual"/>
    <x v="1789"/>
    <m/>
    <m/>
    <m/>
    <m/>
    <m/>
    <m/>
    <x v="50"/>
    <m/>
    <m/>
    <x v="1"/>
  </r>
  <r>
    <x v="253"/>
    <m/>
    <s v="New York Southern District Court"/>
    <s v="08/25/2016"/>
    <s v="07/05/2017"/>
    <x v="1743"/>
    <s v="Individual"/>
    <x v="1790"/>
    <m/>
    <m/>
    <m/>
    <m/>
    <m/>
    <m/>
    <x v="8"/>
    <m/>
    <m/>
    <x v="0"/>
  </r>
  <r>
    <x v="253"/>
    <m/>
    <s v="New York Southern District Court"/>
    <s v="08/25/2016"/>
    <s v="07/05/2017"/>
    <x v="138"/>
    <s v="Institution"/>
    <x v="1791"/>
    <s v="FIFO"/>
    <m/>
    <m/>
    <m/>
    <m/>
    <m/>
    <x v="84"/>
    <m/>
    <m/>
    <x v="1"/>
  </r>
  <r>
    <x v="253"/>
    <m/>
    <s v="New York Southern District Court"/>
    <s v="08/25/2016"/>
    <s v="07/05/2017"/>
    <x v="1744"/>
    <s v="Institution"/>
    <x v="1792"/>
    <s v="FIFO/LIFO"/>
    <m/>
    <m/>
    <m/>
    <m/>
    <m/>
    <x v="46"/>
    <m/>
    <m/>
    <x v="0"/>
  </r>
  <r>
    <x v="399"/>
    <m/>
    <s v="Nevada District Court"/>
    <s v="05/05/2017"/>
    <s v="07/05/2017"/>
    <x v="1745"/>
    <s v="Individual"/>
    <x v="1793"/>
    <m/>
    <m/>
    <m/>
    <m/>
    <m/>
    <m/>
    <x v="501"/>
    <m/>
    <m/>
    <x v="0"/>
  </r>
  <r>
    <x v="399"/>
    <m/>
    <s v="Nevada District Court"/>
    <s v="05/05/2017"/>
    <s v="07/05/2017"/>
    <x v="1746"/>
    <s v="Individual"/>
    <x v="1794"/>
    <m/>
    <m/>
    <m/>
    <m/>
    <m/>
    <m/>
    <x v="501"/>
    <m/>
    <m/>
    <x v="0"/>
  </r>
  <r>
    <x v="400"/>
    <m/>
    <s v="New York Eastern District Court"/>
    <s v="05/05/2017"/>
    <s v="07/05/2017"/>
    <x v="1747"/>
    <s v="Individual"/>
    <x v="1795"/>
    <m/>
    <m/>
    <m/>
    <m/>
    <m/>
    <m/>
    <x v="8"/>
    <m/>
    <m/>
    <x v="0"/>
  </r>
  <r>
    <x v="140"/>
    <m/>
    <s v="Pennsylvania Eastern District Court"/>
    <s v="05/05/2017"/>
    <s v="07/05/2017"/>
    <x v="1469"/>
    <m/>
    <x v="1515"/>
    <m/>
    <m/>
    <m/>
    <m/>
    <m/>
    <m/>
    <x v="448"/>
    <m/>
    <m/>
    <x v="0"/>
  </r>
  <r>
    <x v="401"/>
    <m/>
    <s v="Texas Southern District Court"/>
    <s v="05/03/2017"/>
    <s v="07/03/2017"/>
    <x v="1748"/>
    <s v="Individual"/>
    <x v="1796"/>
    <s v="FIFO"/>
    <m/>
    <m/>
    <m/>
    <m/>
    <m/>
    <x v="296"/>
    <m/>
    <m/>
    <x v="0"/>
  </r>
  <r>
    <x v="402"/>
    <m/>
    <s v="Texas Southern District Court"/>
    <s v="05/03/2017"/>
    <s v="07/03/2017"/>
    <x v="1441"/>
    <s v="Institution"/>
    <x v="1797"/>
    <s v="FIFO"/>
    <m/>
    <m/>
    <m/>
    <m/>
    <m/>
    <x v="73"/>
    <m/>
    <m/>
    <x v="1"/>
  </r>
  <r>
    <x v="402"/>
    <m/>
    <s v="Texas Southern District Court"/>
    <s v="05/03/2017"/>
    <s v="07/03/2017"/>
    <x v="105"/>
    <s v="Institution"/>
    <x v="1798"/>
    <s v="FIFO"/>
    <m/>
    <m/>
    <m/>
    <m/>
    <m/>
    <x v="502"/>
    <m/>
    <m/>
    <x v="1"/>
  </r>
  <r>
    <x v="402"/>
    <m/>
    <s v="Texas Southern District Court"/>
    <s v="05/03/2017"/>
    <s v="07/03/2017"/>
    <x v="1749"/>
    <s v="Individual"/>
    <x v="1799"/>
    <s v="LIFO"/>
    <m/>
    <m/>
    <m/>
    <m/>
    <m/>
    <x v="467"/>
    <m/>
    <m/>
    <x v="0"/>
  </r>
  <r>
    <x v="402"/>
    <m/>
    <s v="Texas Southern District Court"/>
    <s v="05/03/2017"/>
    <s v="07/03/2017"/>
    <x v="1750"/>
    <s v="Individual"/>
    <x v="1800"/>
    <m/>
    <m/>
    <m/>
    <m/>
    <m/>
    <m/>
    <x v="467"/>
    <m/>
    <m/>
    <x v="0"/>
  </r>
  <r>
    <x v="403"/>
    <m/>
    <s v="California Northern District Court"/>
    <s v="05/03/2017"/>
    <s v="07/03/2017"/>
    <x v="1751"/>
    <s v="Individual"/>
    <x v="1801"/>
    <m/>
    <m/>
    <m/>
    <m/>
    <m/>
    <m/>
    <x v="146"/>
    <m/>
    <m/>
    <x v="0"/>
  </r>
  <r>
    <x v="403"/>
    <m/>
    <s v="California Northern District Court"/>
    <s v="05/03/2017"/>
    <s v="07/03/2017"/>
    <x v="1752"/>
    <s v="Individual"/>
    <x v="1802"/>
    <m/>
    <m/>
    <m/>
    <m/>
    <m/>
    <m/>
    <x v="146"/>
    <m/>
    <m/>
    <x v="0"/>
  </r>
  <r>
    <x v="403"/>
    <m/>
    <s v="California Northern District Court"/>
    <s v="05/03/2017"/>
    <s v="07/03/2017"/>
    <x v="1753"/>
    <s v="Individual"/>
    <x v="1803"/>
    <m/>
    <m/>
    <m/>
    <m/>
    <m/>
    <m/>
    <x v="146"/>
    <m/>
    <m/>
    <x v="0"/>
  </r>
  <r>
    <x v="403"/>
    <m/>
    <s v="California Northern District Court"/>
    <s v="05/03/2017"/>
    <s v="07/03/2017"/>
    <x v="1754"/>
    <s v="Individual"/>
    <x v="1804"/>
    <m/>
    <m/>
    <m/>
    <m/>
    <m/>
    <m/>
    <x v="146"/>
    <m/>
    <m/>
    <x v="0"/>
  </r>
  <r>
    <x v="403"/>
    <m/>
    <s v="California Northern District Court"/>
    <s v="05/03/2017"/>
    <s v="07/03/2017"/>
    <x v="1755"/>
    <s v="Individual"/>
    <x v="1805"/>
    <m/>
    <m/>
    <m/>
    <m/>
    <m/>
    <m/>
    <x v="146"/>
    <m/>
    <m/>
    <x v="0"/>
  </r>
  <r>
    <x v="403"/>
    <m/>
    <s v="California Northern District Court"/>
    <s v="05/03/2017"/>
    <s v="07/03/2017"/>
    <x v="1756"/>
    <s v="Individual"/>
    <x v="1806"/>
    <m/>
    <m/>
    <m/>
    <m/>
    <m/>
    <m/>
    <x v="1"/>
    <m/>
    <m/>
    <x v="0"/>
  </r>
  <r>
    <x v="403"/>
    <m/>
    <s v="California Northern District Court"/>
    <s v="05/03/2017"/>
    <s v="07/03/2017"/>
    <x v="1757"/>
    <s v="Individual"/>
    <x v="1807"/>
    <m/>
    <m/>
    <m/>
    <m/>
    <m/>
    <m/>
    <x v="1"/>
    <m/>
    <m/>
    <x v="0"/>
  </r>
  <r>
    <x v="403"/>
    <m/>
    <s v="California Northern District Court"/>
    <s v="05/03/2017"/>
    <s v="07/03/2017"/>
    <x v="1758"/>
    <s v="Individual"/>
    <x v="1808"/>
    <m/>
    <m/>
    <m/>
    <m/>
    <m/>
    <m/>
    <x v="10"/>
    <m/>
    <m/>
    <x v="0"/>
  </r>
  <r>
    <x v="404"/>
    <m/>
    <s v="California Central District Court"/>
    <s v="05/03/2017"/>
    <s v="07/03/2017"/>
    <x v="1759"/>
    <s v="Individual"/>
    <x v="1809"/>
    <m/>
    <m/>
    <m/>
    <m/>
    <m/>
    <m/>
    <x v="107"/>
    <m/>
    <m/>
    <x v="0"/>
  </r>
  <r>
    <x v="404"/>
    <m/>
    <s v="California Central District Court"/>
    <s v="05/03/2017"/>
    <s v="07/03/2017"/>
    <x v="1760"/>
    <s v="Individual"/>
    <x v="1810"/>
    <m/>
    <m/>
    <m/>
    <m/>
    <m/>
    <m/>
    <x v="49"/>
    <m/>
    <m/>
    <x v="0"/>
  </r>
  <r>
    <x v="404"/>
    <m/>
    <s v="California Central District Court"/>
    <s v="05/03/2017"/>
    <s v="07/03/2017"/>
    <x v="1761"/>
    <s v="Individual"/>
    <x v="1811"/>
    <m/>
    <m/>
    <m/>
    <m/>
    <m/>
    <m/>
    <x v="49"/>
    <m/>
    <m/>
    <x v="0"/>
  </r>
  <r>
    <x v="404"/>
    <m/>
    <s v="California Central District Court"/>
    <s v="05/03/2017"/>
    <s v="07/03/2017"/>
    <x v="1762"/>
    <s v="Individual"/>
    <x v="1812"/>
    <m/>
    <m/>
    <m/>
    <m/>
    <m/>
    <m/>
    <x v="49"/>
    <m/>
    <m/>
    <x v="0"/>
  </r>
  <r>
    <x v="405"/>
    <m/>
    <s v="Pennsylvania Western District Court"/>
    <s v="05/04/2017"/>
    <s v="07/03/2017"/>
    <x v="1763"/>
    <s v="Individual"/>
    <x v="1813"/>
    <s v="LIFO"/>
    <m/>
    <m/>
    <m/>
    <m/>
    <m/>
    <x v="503"/>
    <m/>
    <m/>
    <x v="0"/>
  </r>
  <r>
    <x v="405"/>
    <m/>
    <s v="Pennsylvania Western District Court"/>
    <s v="05/04/2017"/>
    <s v="07/03/2017"/>
    <x v="1764"/>
    <s v="Individual"/>
    <x v="1814"/>
    <s v="LIFO"/>
    <m/>
    <m/>
    <m/>
    <m/>
    <m/>
    <x v="503"/>
    <m/>
    <m/>
    <x v="0"/>
  </r>
  <r>
    <x v="405"/>
    <m/>
    <s v="Pennsylvania Western District Court"/>
    <s v="05/04/2017"/>
    <s v="07/03/2017"/>
    <x v="1765"/>
    <s v="Individual"/>
    <x v="1815"/>
    <s v="LIFO"/>
    <m/>
    <m/>
    <m/>
    <m/>
    <m/>
    <x v="503"/>
    <m/>
    <m/>
    <x v="0"/>
  </r>
  <r>
    <x v="405"/>
    <m/>
    <s v="Pennsylvania Western District Court"/>
    <s v="05/04/2017"/>
    <s v="07/03/2017"/>
    <x v="1766"/>
    <s v="Individual"/>
    <x v="1816"/>
    <s v="LIFO"/>
    <m/>
    <m/>
    <m/>
    <m/>
    <m/>
    <x v="503"/>
    <m/>
    <m/>
    <x v="0"/>
  </r>
  <r>
    <x v="405"/>
    <m/>
    <s v="Pennsylvania Western District Court"/>
    <s v="05/04/2017"/>
    <s v="07/03/2017"/>
    <x v="1767"/>
    <s v="Individual"/>
    <x v="1817"/>
    <s v="LIFO"/>
    <m/>
    <m/>
    <m/>
    <m/>
    <m/>
    <x v="503"/>
    <m/>
    <m/>
    <x v="0"/>
  </r>
  <r>
    <x v="405"/>
    <m/>
    <s v="Pennsylvania Western District Court"/>
    <s v="05/04/2017"/>
    <s v="07/03/2017"/>
    <x v="1768"/>
    <s v="Individual"/>
    <x v="1818"/>
    <s v="LIFO"/>
    <m/>
    <m/>
    <m/>
    <m/>
    <m/>
    <x v="133"/>
    <m/>
    <m/>
    <x v="0"/>
  </r>
  <r>
    <x v="405"/>
    <m/>
    <s v="Pennsylvania Western District Court"/>
    <s v="05/04/2017"/>
    <s v="07/03/2017"/>
    <x v="1769"/>
    <s v="Individual"/>
    <x v="1819"/>
    <s v="LIFO"/>
    <m/>
    <m/>
    <m/>
    <m/>
    <m/>
    <x v="133"/>
    <m/>
    <m/>
    <x v="0"/>
  </r>
  <r>
    <x v="405"/>
    <m/>
    <s v="Pennsylvania Western District Court"/>
    <s v="05/04/2017"/>
    <s v="07/03/2017"/>
    <x v="1770"/>
    <s v="Institution"/>
    <x v="1820"/>
    <s v="Group Total"/>
    <m/>
    <m/>
    <m/>
    <m/>
    <m/>
    <x v="70"/>
    <m/>
    <m/>
    <x v="0"/>
  </r>
  <r>
    <x v="405"/>
    <m/>
    <s v="Pennsylvania Western District Court"/>
    <s v="05/04/2017"/>
    <s v="07/03/2017"/>
    <x v="410"/>
    <s v="Institution"/>
    <x v="1515"/>
    <m/>
    <m/>
    <m/>
    <m/>
    <m/>
    <m/>
    <x v="70"/>
    <m/>
    <m/>
    <x v="1"/>
  </r>
  <r>
    <x v="405"/>
    <m/>
    <s v="Pennsylvania Western District Court"/>
    <s v="05/04/2017"/>
    <s v="07/03/2017"/>
    <x v="1771"/>
    <s v="Institution"/>
    <x v="1515"/>
    <m/>
    <m/>
    <m/>
    <m/>
    <m/>
    <m/>
    <x v="70"/>
    <m/>
    <m/>
    <x v="0"/>
  </r>
  <r>
    <x v="405"/>
    <m/>
    <s v="Pennsylvania Western District Court"/>
    <s v="05/04/2017"/>
    <s v="07/03/2017"/>
    <x v="1772"/>
    <s v="Individual"/>
    <x v="1821"/>
    <m/>
    <m/>
    <m/>
    <m/>
    <m/>
    <m/>
    <x v="10"/>
    <m/>
    <m/>
    <x v="0"/>
  </r>
  <r>
    <x v="405"/>
    <m/>
    <s v="Pennsylvania Western District Court"/>
    <s v="05/04/2017"/>
    <s v="07/03/2017"/>
    <x v="1773"/>
    <s v="Institution"/>
    <x v="1822"/>
    <m/>
    <m/>
    <m/>
    <m/>
    <m/>
    <m/>
    <x v="46"/>
    <m/>
    <m/>
    <x v="0"/>
  </r>
  <r>
    <x v="406"/>
    <m/>
    <s v="New York Eastern District Court"/>
    <s v="04/10/2017"/>
    <s v="06/30/2017"/>
    <x v="1469"/>
    <m/>
    <x v="1515"/>
    <m/>
    <m/>
    <m/>
    <m/>
    <m/>
    <m/>
    <x v="448"/>
    <m/>
    <m/>
    <x v="0"/>
  </r>
  <r>
    <x v="407"/>
    <m/>
    <s v="Delaware District Court"/>
    <s v="05/11/2017"/>
    <s v="06/26/2017"/>
    <x v="1469"/>
    <m/>
    <x v="1515"/>
    <m/>
    <m/>
    <m/>
    <m/>
    <m/>
    <m/>
    <x v="448"/>
    <m/>
    <m/>
    <x v="0"/>
  </r>
  <r>
    <x v="408"/>
    <m/>
    <s v="Maryland District Court"/>
    <s v="04/10/2017"/>
    <s v="06/16/2017"/>
    <x v="1469"/>
    <m/>
    <x v="1515"/>
    <m/>
    <m/>
    <m/>
    <m/>
    <m/>
    <m/>
    <x v="448"/>
    <m/>
    <m/>
    <x v="0"/>
  </r>
  <r>
    <x v="409"/>
    <m/>
    <s v="Missouri Eastern District Court"/>
    <s v="03/24/2017"/>
    <s v="06/13/2017"/>
    <x v="1469"/>
    <m/>
    <x v="1515"/>
    <m/>
    <m/>
    <m/>
    <m/>
    <m/>
    <m/>
    <x v="448"/>
    <m/>
    <m/>
    <x v="0"/>
  </r>
  <r>
    <x v="410"/>
    <m/>
    <s v="Virginia Eastern District Court"/>
    <s v="04/12/2017"/>
    <s v="06/12/2017"/>
    <x v="1469"/>
    <m/>
    <x v="1515"/>
    <m/>
    <m/>
    <m/>
    <m/>
    <m/>
    <m/>
    <x v="448"/>
    <m/>
    <m/>
    <x v="0"/>
  </r>
  <r>
    <x v="411"/>
    <m/>
    <s v="Delaware District Court"/>
    <s v="04/04/2017"/>
    <s v="06/05/2017"/>
    <x v="1469"/>
    <m/>
    <x v="1515"/>
    <m/>
    <m/>
    <m/>
    <m/>
    <m/>
    <m/>
    <x v="448"/>
    <m/>
    <m/>
    <x v="0"/>
  </r>
  <r>
    <x v="412"/>
    <m/>
    <s v="Delaware District Court"/>
    <s v="03/14/2017"/>
    <s v="06/02/2017"/>
    <x v="1469"/>
    <m/>
    <x v="1515"/>
    <m/>
    <m/>
    <m/>
    <m/>
    <m/>
    <m/>
    <x v="448"/>
    <m/>
    <m/>
    <x v="0"/>
  </r>
  <r>
    <x v="413"/>
    <m/>
    <s v="Oklahoma Northern District Court"/>
    <s v="03/28/2017"/>
    <s v="05/30/2017"/>
    <x v="1469"/>
    <m/>
    <x v="1515"/>
    <m/>
    <m/>
    <m/>
    <m/>
    <m/>
    <m/>
    <x v="448"/>
    <m/>
    <m/>
    <x v="0"/>
  </r>
  <r>
    <x v="386"/>
    <m/>
    <s v="Pennsylvania Eastern District Court"/>
    <s v="03/22/2017"/>
    <s v="05/22/2017"/>
    <x v="1469"/>
    <m/>
    <x v="1515"/>
    <m/>
    <m/>
    <m/>
    <m/>
    <m/>
    <m/>
    <x v="448"/>
    <m/>
    <m/>
    <x v="0"/>
  </r>
  <r>
    <x v="414"/>
    <m/>
    <s v="Oklahoma Western District Court"/>
    <s v="02/22/2017"/>
    <s v="05/15/2017"/>
    <x v="1469"/>
    <m/>
    <x v="1515"/>
    <m/>
    <m/>
    <m/>
    <m/>
    <m/>
    <m/>
    <x v="448"/>
    <m/>
    <m/>
    <x v="0"/>
  </r>
  <r>
    <x v="415"/>
    <m/>
    <s v="New York Southern District Court"/>
    <s v="03/16/2017"/>
    <s v="05/15/2017"/>
    <x v="1774"/>
    <m/>
    <x v="1515"/>
    <m/>
    <m/>
    <m/>
    <m/>
    <m/>
    <m/>
    <x v="26"/>
    <m/>
    <m/>
    <x v="0"/>
  </r>
  <r>
    <x v="415"/>
    <m/>
    <s v="New York Southern District Court"/>
    <s v="03/16/2017"/>
    <s v="05/15/2017"/>
    <x v="1775"/>
    <m/>
    <x v="1515"/>
    <m/>
    <m/>
    <m/>
    <m/>
    <m/>
    <m/>
    <x v="141"/>
    <m/>
    <m/>
    <x v="0"/>
  </r>
  <r>
    <x v="415"/>
    <m/>
    <s v="New York Southern District Court"/>
    <s v="03/16/2017"/>
    <s v="05/15/2017"/>
    <x v="1776"/>
    <m/>
    <x v="1515"/>
    <m/>
    <m/>
    <m/>
    <m/>
    <m/>
    <m/>
    <x v="141"/>
    <m/>
    <m/>
    <x v="0"/>
  </r>
  <r>
    <x v="415"/>
    <m/>
    <s v="New York Southern District Court"/>
    <s v="03/16/2017"/>
    <s v="05/15/2017"/>
    <x v="1777"/>
    <m/>
    <x v="1515"/>
    <m/>
    <m/>
    <m/>
    <m/>
    <m/>
    <m/>
    <x v="141"/>
    <m/>
    <m/>
    <x v="0"/>
  </r>
  <r>
    <x v="415"/>
    <m/>
    <s v="New York Southern District Court"/>
    <s v="03/16/2017"/>
    <s v="05/15/2017"/>
    <x v="1778"/>
    <m/>
    <x v="1515"/>
    <m/>
    <m/>
    <m/>
    <m/>
    <m/>
    <m/>
    <x v="141"/>
    <m/>
    <m/>
    <x v="0"/>
  </r>
  <r>
    <x v="415"/>
    <m/>
    <s v="New York Southern District Court"/>
    <s v="03/16/2017"/>
    <s v="05/15/2017"/>
    <x v="1779"/>
    <m/>
    <x v="1515"/>
    <m/>
    <m/>
    <m/>
    <m/>
    <m/>
    <m/>
    <x v="141"/>
    <m/>
    <m/>
    <x v="0"/>
  </r>
  <r>
    <x v="415"/>
    <m/>
    <s v="New York Southern District Court"/>
    <s v="03/16/2017"/>
    <s v="05/15/2017"/>
    <x v="1780"/>
    <m/>
    <x v="1515"/>
    <m/>
    <m/>
    <m/>
    <m/>
    <m/>
    <m/>
    <x v="141"/>
    <m/>
    <m/>
    <x v="0"/>
  </r>
  <r>
    <x v="415"/>
    <m/>
    <s v="New York Southern District Court"/>
    <s v="03/16/2017"/>
    <s v="05/15/2017"/>
    <x v="1781"/>
    <m/>
    <x v="1515"/>
    <m/>
    <m/>
    <m/>
    <m/>
    <m/>
    <m/>
    <x v="221"/>
    <m/>
    <m/>
    <x v="0"/>
  </r>
  <r>
    <x v="415"/>
    <m/>
    <s v="New York Southern District Court"/>
    <s v="03/16/2017"/>
    <s v="05/15/2017"/>
    <x v="1782"/>
    <m/>
    <x v="1515"/>
    <m/>
    <m/>
    <m/>
    <m/>
    <m/>
    <m/>
    <x v="103"/>
    <m/>
    <m/>
    <x v="0"/>
  </r>
  <r>
    <x v="415"/>
    <m/>
    <s v="New York Southern District Court"/>
    <s v="03/16/2017"/>
    <s v="05/15/2017"/>
    <x v="1783"/>
    <m/>
    <x v="1515"/>
    <m/>
    <m/>
    <m/>
    <m/>
    <m/>
    <m/>
    <x v="147"/>
    <m/>
    <m/>
    <x v="0"/>
  </r>
  <r>
    <x v="415"/>
    <m/>
    <s v="New York Southern District Court"/>
    <s v="03/16/2017"/>
    <s v="05/15/2017"/>
    <x v="1784"/>
    <m/>
    <x v="1515"/>
    <m/>
    <m/>
    <m/>
    <m/>
    <m/>
    <m/>
    <x v="8"/>
    <m/>
    <m/>
    <x v="0"/>
  </r>
  <r>
    <x v="415"/>
    <m/>
    <s v="New York Southern District Court"/>
    <s v="03/16/2017"/>
    <s v="05/15/2017"/>
    <x v="1785"/>
    <m/>
    <x v="1515"/>
    <m/>
    <m/>
    <m/>
    <m/>
    <m/>
    <m/>
    <x v="8"/>
    <m/>
    <m/>
    <x v="0"/>
  </r>
  <r>
    <x v="415"/>
    <m/>
    <s v="New York Southern District Court"/>
    <s v="03/16/2017"/>
    <s v="05/15/2017"/>
    <x v="1786"/>
    <m/>
    <x v="1515"/>
    <m/>
    <m/>
    <m/>
    <m/>
    <m/>
    <m/>
    <x v="8"/>
    <m/>
    <m/>
    <x v="0"/>
  </r>
  <r>
    <x v="416"/>
    <m/>
    <s v="California Central District Court"/>
    <s v="03/10/2017"/>
    <s v="05/09/2017"/>
    <x v="1469"/>
    <m/>
    <x v="1515"/>
    <m/>
    <m/>
    <m/>
    <m/>
    <m/>
    <m/>
    <x v="448"/>
    <m/>
    <m/>
    <x v="0"/>
  </r>
  <r>
    <x v="417"/>
    <m/>
    <s v="New York Southern District Court"/>
    <s v="10/30/2017"/>
    <s v="12/29/2017"/>
    <x v="1787"/>
    <s v="Individual"/>
    <x v="1823"/>
    <m/>
    <m/>
    <m/>
    <m/>
    <m/>
    <m/>
    <x v="8"/>
    <m/>
    <m/>
    <x v="0"/>
  </r>
  <r>
    <x v="417"/>
    <m/>
    <s v="New York Southern District Court"/>
    <s v="10/30/2017"/>
    <s v="12/29/2017"/>
    <x v="1788"/>
    <s v="Individual"/>
    <x v="1824"/>
    <m/>
    <m/>
    <m/>
    <m/>
    <m/>
    <m/>
    <x v="1"/>
    <m/>
    <m/>
    <x v="0"/>
  </r>
  <r>
    <x v="417"/>
    <m/>
    <s v="New York Southern District Court"/>
    <s v="10/30/2017"/>
    <s v="12/29/2017"/>
    <x v="1789"/>
    <s v="Individual"/>
    <x v="1825"/>
    <m/>
    <m/>
    <m/>
    <m/>
    <m/>
    <m/>
    <x v="106"/>
    <m/>
    <m/>
    <x v="0"/>
  </r>
  <r>
    <x v="417"/>
    <m/>
    <s v="New York Southern District Court"/>
    <s v="10/30/2017"/>
    <s v="12/29/2017"/>
    <x v="1790"/>
    <s v="Individual"/>
    <x v="1826"/>
    <m/>
    <m/>
    <m/>
    <m/>
    <m/>
    <m/>
    <x v="106"/>
    <m/>
    <m/>
    <x v="0"/>
  </r>
  <r>
    <x v="417"/>
    <m/>
    <s v="New York Southern District Court"/>
    <s v="10/30/2017"/>
    <s v="12/29/2017"/>
    <x v="1791"/>
    <s v="Individual"/>
    <x v="1827"/>
    <m/>
    <m/>
    <m/>
    <m/>
    <m/>
    <m/>
    <x v="106"/>
    <m/>
    <m/>
    <x v="0"/>
  </r>
  <r>
    <x v="175"/>
    <m/>
    <s v="California Central District Court"/>
    <s v="10/30/2017"/>
    <s v="12/29/2017"/>
    <x v="1792"/>
    <s v="Institution"/>
    <x v="1828"/>
    <s v="LIFO"/>
    <m/>
    <m/>
    <m/>
    <m/>
    <m/>
    <x v="504"/>
    <m/>
    <m/>
    <x v="0"/>
  </r>
  <r>
    <x v="418"/>
    <m/>
    <s v="Michigan Eastern District"/>
    <s v="10/30/2017"/>
    <s v="12/29/2017"/>
    <x v="1793"/>
    <s v="Individual"/>
    <x v="1829"/>
    <s v="FIFO/LIFO"/>
    <m/>
    <m/>
    <m/>
    <m/>
    <m/>
    <x v="146"/>
    <m/>
    <m/>
    <x v="0"/>
  </r>
  <r>
    <x v="418"/>
    <m/>
    <s v="Michigan Eastern District"/>
    <s v="10/30/2017"/>
    <s v="12/29/2017"/>
    <x v="1794"/>
    <s v="Individual"/>
    <x v="1830"/>
    <s v="FIFO/LIFO"/>
    <m/>
    <m/>
    <m/>
    <m/>
    <m/>
    <x v="146"/>
    <m/>
    <m/>
    <x v="0"/>
  </r>
  <r>
    <x v="418"/>
    <m/>
    <s v="Michigan Eastern District"/>
    <s v="10/30/2017"/>
    <s v="12/29/2017"/>
    <x v="1795"/>
    <s v="Individual"/>
    <x v="1831"/>
    <s v="FIFO"/>
    <m/>
    <m/>
    <m/>
    <m/>
    <m/>
    <x v="146"/>
    <m/>
    <m/>
    <x v="0"/>
  </r>
  <r>
    <x v="418"/>
    <m/>
    <s v="Michigan Eastern District"/>
    <s v="10/30/2017"/>
    <s v="12/29/2017"/>
    <x v="1796"/>
    <s v="Individual"/>
    <x v="1832"/>
    <s v="FIFO"/>
    <m/>
    <m/>
    <m/>
    <m/>
    <m/>
    <x v="146"/>
    <m/>
    <m/>
    <x v="0"/>
  </r>
  <r>
    <x v="373"/>
    <m/>
    <s v="Louisiana Western District Court"/>
    <s v="10/25/2017"/>
    <s v="12/26/2017"/>
    <x v="1797"/>
    <s v="Institution"/>
    <x v="1833"/>
    <m/>
    <m/>
    <m/>
    <m/>
    <m/>
    <m/>
    <x v="505"/>
    <m/>
    <m/>
    <x v="0"/>
  </r>
  <r>
    <x v="419"/>
    <m/>
    <s v="New York Southern District Court"/>
    <s v="10/20/2017"/>
    <s v="12/22/2017"/>
    <x v="1798"/>
    <s v="Individual"/>
    <x v="1834"/>
    <m/>
    <m/>
    <m/>
    <m/>
    <m/>
    <m/>
    <x v="146"/>
    <m/>
    <m/>
    <x v="0"/>
  </r>
  <r>
    <x v="419"/>
    <m/>
    <s v="New York Southern District Court"/>
    <s v="10/20/2017"/>
    <s v="12/22/2017"/>
    <x v="1799"/>
    <s v="Individual"/>
    <x v="1835"/>
    <m/>
    <m/>
    <m/>
    <m/>
    <m/>
    <m/>
    <x v="146"/>
    <m/>
    <m/>
    <x v="0"/>
  </r>
  <r>
    <x v="419"/>
    <m/>
    <s v="New York Southern District Court"/>
    <s v="10/20/2017"/>
    <s v="12/22/2017"/>
    <x v="1800"/>
    <s v="Individual"/>
    <x v="1836"/>
    <m/>
    <m/>
    <m/>
    <m/>
    <m/>
    <m/>
    <x v="146"/>
    <m/>
    <m/>
    <x v="0"/>
  </r>
  <r>
    <x v="419"/>
    <m/>
    <s v="New York Southern District Court"/>
    <s v="10/20/2017"/>
    <s v="12/22/2017"/>
    <x v="1801"/>
    <s v="Individual"/>
    <x v="1837"/>
    <m/>
    <m/>
    <m/>
    <m/>
    <m/>
    <m/>
    <x v="10"/>
    <m/>
    <m/>
    <x v="0"/>
  </r>
  <r>
    <x v="419"/>
    <m/>
    <s v="New York Southern District Court"/>
    <s v="10/20/2017"/>
    <s v="12/22/2017"/>
    <x v="1802"/>
    <s v="Institution"/>
    <x v="1838"/>
    <s v="LIFO"/>
    <m/>
    <m/>
    <m/>
    <m/>
    <m/>
    <x v="70"/>
    <m/>
    <m/>
    <x v="0"/>
  </r>
  <r>
    <x v="419"/>
    <m/>
    <s v="New York Southern District Court"/>
    <s v="10/20/2017"/>
    <s v="12/22/2017"/>
    <x v="1279"/>
    <s v="Institution"/>
    <x v="1839"/>
    <m/>
    <m/>
    <m/>
    <m/>
    <m/>
    <m/>
    <x v="46"/>
    <m/>
    <m/>
    <x v="1"/>
  </r>
  <r>
    <x v="419"/>
    <m/>
    <s v="New York Southern District Court"/>
    <s v="10/20/2017"/>
    <s v="12/22/2017"/>
    <x v="1803"/>
    <s v="Individual"/>
    <x v="1840"/>
    <s v="LIFO"/>
    <m/>
    <m/>
    <m/>
    <m/>
    <m/>
    <x v="20"/>
    <m/>
    <m/>
    <x v="0"/>
  </r>
  <r>
    <x v="419"/>
    <m/>
    <s v="New York Southern District Court"/>
    <s v="10/20/2017"/>
    <s v="12/22/2017"/>
    <x v="1804"/>
    <s v="Individual"/>
    <x v="1841"/>
    <s v="LIFO"/>
    <m/>
    <m/>
    <m/>
    <m/>
    <m/>
    <x v="20"/>
    <m/>
    <m/>
    <x v="0"/>
  </r>
  <r>
    <x v="420"/>
    <m/>
    <s v="New York Eastern District Court"/>
    <s v="10/23/2017"/>
    <s v="12/22/2017"/>
    <x v="1805"/>
    <s v="Individual"/>
    <x v="1515"/>
    <m/>
    <m/>
    <m/>
    <m/>
    <m/>
    <m/>
    <x v="46"/>
    <m/>
    <m/>
    <x v="0"/>
  </r>
  <r>
    <x v="420"/>
    <m/>
    <s v="New York Eastern District Court"/>
    <s v="10/23/2017"/>
    <s v="12/22/2017"/>
    <x v="1806"/>
    <s v="Individual"/>
    <x v="1842"/>
    <m/>
    <m/>
    <m/>
    <m/>
    <m/>
    <m/>
    <x v="478"/>
    <m/>
    <m/>
    <x v="0"/>
  </r>
  <r>
    <x v="420"/>
    <m/>
    <s v="New York Eastern District Court"/>
    <s v="10/23/2017"/>
    <s v="12/22/2017"/>
    <x v="1807"/>
    <s v="Individual"/>
    <x v="1843"/>
    <m/>
    <m/>
    <m/>
    <m/>
    <m/>
    <m/>
    <x v="8"/>
    <m/>
    <m/>
    <x v="0"/>
  </r>
  <r>
    <x v="420"/>
    <m/>
    <s v="New York Eastern District Court"/>
    <s v="10/23/2017"/>
    <s v="12/22/2017"/>
    <x v="1808"/>
    <s v="Individual"/>
    <x v="1844"/>
    <m/>
    <m/>
    <m/>
    <m/>
    <m/>
    <m/>
    <x v="8"/>
    <m/>
    <m/>
    <x v="0"/>
  </r>
  <r>
    <x v="420"/>
    <m/>
    <s v="New York Eastern District Court"/>
    <s v="10/23/2017"/>
    <s v="12/22/2017"/>
    <x v="1809"/>
    <s v="Individual"/>
    <x v="1845"/>
    <s v="LIFO"/>
    <m/>
    <m/>
    <m/>
    <m/>
    <m/>
    <x v="443"/>
    <m/>
    <m/>
    <x v="0"/>
  </r>
  <r>
    <x v="420"/>
    <m/>
    <s v="New York Eastern District Court"/>
    <s v="10/23/2017"/>
    <s v="12/22/2017"/>
    <x v="1810"/>
    <s v="Individual"/>
    <x v="1846"/>
    <s v="LIFO"/>
    <m/>
    <m/>
    <m/>
    <m/>
    <m/>
    <x v="443"/>
    <m/>
    <m/>
    <x v="0"/>
  </r>
  <r>
    <x v="420"/>
    <m/>
    <s v="New York Eastern District Court"/>
    <s v="10/23/2017"/>
    <s v="12/22/2017"/>
    <x v="1811"/>
    <s v="Individual"/>
    <x v="1847"/>
    <s v="LIFO"/>
    <m/>
    <m/>
    <m/>
    <m/>
    <m/>
    <x v="506"/>
    <m/>
    <m/>
    <x v="0"/>
  </r>
  <r>
    <x v="420"/>
    <m/>
    <s v="New York Eastern District Court"/>
    <s v="10/23/2017"/>
    <s v="12/22/2017"/>
    <x v="1812"/>
    <s v="Individual"/>
    <x v="1848"/>
    <s v="LIFO"/>
    <m/>
    <m/>
    <m/>
    <m/>
    <m/>
    <x v="506"/>
    <m/>
    <m/>
    <x v="0"/>
  </r>
  <r>
    <x v="420"/>
    <m/>
    <s v="New York Eastern District Court"/>
    <s v="10/23/2017"/>
    <s v="12/22/2017"/>
    <x v="1813"/>
    <s v="Individual"/>
    <x v="1849"/>
    <s v="LIFO"/>
    <m/>
    <m/>
    <m/>
    <m/>
    <m/>
    <x v="506"/>
    <m/>
    <m/>
    <x v="0"/>
  </r>
  <r>
    <x v="420"/>
    <m/>
    <s v="New York Eastern District Court"/>
    <s v="10/23/2017"/>
    <s v="12/22/2017"/>
    <x v="1814"/>
    <s v="Individual"/>
    <x v="1850"/>
    <m/>
    <m/>
    <m/>
    <m/>
    <m/>
    <m/>
    <x v="46"/>
    <m/>
    <m/>
    <x v="0"/>
  </r>
  <r>
    <x v="420"/>
    <m/>
    <s v="New York Eastern District Court"/>
    <s v="10/23/2017"/>
    <s v="12/22/2017"/>
    <x v="1815"/>
    <s v="Individual"/>
    <x v="1851"/>
    <m/>
    <m/>
    <m/>
    <m/>
    <m/>
    <m/>
    <x v="46"/>
    <m/>
    <m/>
    <x v="0"/>
  </r>
  <r>
    <x v="420"/>
    <m/>
    <s v="New York Eastern District Court"/>
    <s v="10/23/2017"/>
    <s v="12/22/2017"/>
    <x v="1816"/>
    <s v="Individual"/>
    <x v="1852"/>
    <m/>
    <m/>
    <m/>
    <m/>
    <m/>
    <m/>
    <x v="69"/>
    <m/>
    <m/>
    <x v="0"/>
  </r>
  <r>
    <x v="421"/>
    <m/>
    <s v="New Jersey District Court"/>
    <s v="10/23/2017"/>
    <s v="12/22/2017"/>
    <x v="1817"/>
    <s v="Individual"/>
    <x v="1853"/>
    <m/>
    <m/>
    <m/>
    <m/>
    <m/>
    <m/>
    <x v="8"/>
    <m/>
    <m/>
    <x v="0"/>
  </r>
  <r>
    <x v="421"/>
    <m/>
    <s v="New Jersey District Court"/>
    <s v="10/23/2017"/>
    <s v="12/22/2017"/>
    <x v="1818"/>
    <s v="Individual"/>
    <x v="1854"/>
    <m/>
    <m/>
    <m/>
    <m/>
    <m/>
    <m/>
    <x v="8"/>
    <m/>
    <m/>
    <x v="0"/>
  </r>
  <r>
    <x v="421"/>
    <m/>
    <s v="New Jersey District Court"/>
    <s v="10/23/2017"/>
    <s v="12/22/2017"/>
    <x v="1819"/>
    <s v="Individual"/>
    <x v="1855"/>
    <m/>
    <m/>
    <m/>
    <m/>
    <m/>
    <m/>
    <x v="301"/>
    <m/>
    <m/>
    <x v="0"/>
  </r>
  <r>
    <x v="421"/>
    <m/>
    <s v="New Jersey District Court"/>
    <s v="10/23/2017"/>
    <s v="12/22/2017"/>
    <x v="1820"/>
    <s v="Individual"/>
    <x v="1856"/>
    <s v="LIFO"/>
    <m/>
    <m/>
    <m/>
    <m/>
    <m/>
    <x v="26"/>
    <m/>
    <m/>
    <x v="0"/>
  </r>
  <r>
    <x v="421"/>
    <m/>
    <s v="New Jersey District Court"/>
    <s v="10/23/2017"/>
    <s v="12/22/2017"/>
    <x v="1821"/>
    <s v="Individual"/>
    <x v="1857"/>
    <s v="LIFO"/>
    <m/>
    <m/>
    <m/>
    <m/>
    <m/>
    <x v="443"/>
    <m/>
    <m/>
    <x v="0"/>
  </r>
  <r>
    <x v="421"/>
    <m/>
    <s v="New Jersey District Court"/>
    <s v="10/23/2017"/>
    <s v="12/22/2017"/>
    <x v="1822"/>
    <s v="Individual"/>
    <x v="1858"/>
    <s v="LIFO"/>
    <m/>
    <m/>
    <m/>
    <m/>
    <m/>
    <x v="443"/>
    <m/>
    <m/>
    <x v="0"/>
  </r>
  <r>
    <x v="421"/>
    <m/>
    <s v="New Jersey District Court"/>
    <s v="10/23/2017"/>
    <s v="12/22/2017"/>
    <x v="1823"/>
    <s v="Individual"/>
    <x v="1859"/>
    <s v="LIFO"/>
    <m/>
    <m/>
    <m/>
    <m/>
    <m/>
    <x v="443"/>
    <m/>
    <m/>
    <x v="0"/>
  </r>
  <r>
    <x v="421"/>
    <m/>
    <s v="New Jersey District Court"/>
    <s v="10/23/2017"/>
    <s v="12/22/2017"/>
    <x v="1824"/>
    <s v="Individual"/>
    <x v="1860"/>
    <s v="LIFO"/>
    <m/>
    <m/>
    <m/>
    <m/>
    <m/>
    <x v="443"/>
    <m/>
    <m/>
    <x v="0"/>
  </r>
  <r>
    <x v="421"/>
    <m/>
    <s v="New Jersey District Court"/>
    <s v="10/23/2017"/>
    <s v="12/22/2017"/>
    <x v="1825"/>
    <s v="Individual"/>
    <x v="1861"/>
    <s v="LIFO"/>
    <m/>
    <m/>
    <m/>
    <m/>
    <m/>
    <x v="443"/>
    <m/>
    <m/>
    <x v="0"/>
  </r>
  <r>
    <x v="421"/>
    <m/>
    <s v="New Jersey District Court"/>
    <s v="10/23/2017"/>
    <s v="12/22/2017"/>
    <x v="1826"/>
    <s v="Individual"/>
    <x v="1862"/>
    <m/>
    <m/>
    <m/>
    <m/>
    <m/>
    <m/>
    <x v="9"/>
    <m/>
    <m/>
    <x v="0"/>
  </r>
  <r>
    <x v="238"/>
    <m/>
    <s v="New York Southern District Court"/>
    <s v="10/23/2017"/>
    <s v="12/22/2017"/>
    <x v="1469"/>
    <m/>
    <x v="1515"/>
    <m/>
    <m/>
    <m/>
    <m/>
    <m/>
    <m/>
    <x v="448"/>
    <m/>
    <m/>
    <x v="0"/>
  </r>
  <r>
    <x v="422"/>
    <m/>
    <s v="Maryland District Court"/>
    <s v="10/17/2017"/>
    <s v="12/18/2017"/>
    <x v="1469"/>
    <m/>
    <x v="1515"/>
    <m/>
    <m/>
    <m/>
    <m/>
    <m/>
    <m/>
    <x v="448"/>
    <m/>
    <m/>
    <x v="0"/>
  </r>
  <r>
    <x v="190"/>
    <m/>
    <s v="New Jersey District Court"/>
    <s v="10/16/2017"/>
    <s v="12/15/2017"/>
    <x v="1827"/>
    <s v="Individual"/>
    <x v="1863"/>
    <m/>
    <m/>
    <m/>
    <m/>
    <m/>
    <m/>
    <x v="301"/>
    <m/>
    <m/>
    <x v="0"/>
  </r>
  <r>
    <x v="190"/>
    <m/>
    <s v="New Jersey District Court"/>
    <s v="10/16/2017"/>
    <s v="12/15/2017"/>
    <x v="1828"/>
    <s v="Individual"/>
    <x v="1864"/>
    <m/>
    <m/>
    <m/>
    <m/>
    <m/>
    <m/>
    <x v="10"/>
    <m/>
    <m/>
    <x v="0"/>
  </r>
  <r>
    <x v="190"/>
    <m/>
    <s v="New Jersey District Court"/>
    <s v="10/16/2017"/>
    <s v="12/15/2017"/>
    <x v="1829"/>
    <s v="Individual"/>
    <x v="1865"/>
    <m/>
    <m/>
    <m/>
    <m/>
    <m/>
    <m/>
    <x v="10"/>
    <m/>
    <m/>
    <x v="0"/>
  </r>
  <r>
    <x v="423"/>
    <m/>
    <s v="Massachusetts District Court"/>
    <s v="10/13/2017"/>
    <s v="12/12/2017"/>
    <x v="1830"/>
    <s v="Individual"/>
    <x v="1866"/>
    <m/>
    <m/>
    <m/>
    <m/>
    <m/>
    <m/>
    <x v="507"/>
    <m/>
    <m/>
    <x v="0"/>
  </r>
  <r>
    <x v="423"/>
    <m/>
    <s v="Massachusetts District Court"/>
    <s v="10/13/2017"/>
    <s v="12/12/2017"/>
    <x v="1831"/>
    <s v="Institution"/>
    <x v="1867"/>
    <m/>
    <m/>
    <m/>
    <m/>
    <m/>
    <m/>
    <x v="402"/>
    <m/>
    <m/>
    <x v="0"/>
  </r>
  <r>
    <x v="424"/>
    <m/>
    <s v="Kansas District Court"/>
    <s v="09/21/2017"/>
    <s v="12/11/2017"/>
    <x v="1469"/>
    <m/>
    <x v="1515"/>
    <m/>
    <m/>
    <m/>
    <m/>
    <m/>
    <m/>
    <x v="448"/>
    <m/>
    <m/>
    <x v="0"/>
  </r>
  <r>
    <x v="425"/>
    <m/>
    <s v="California Northern District Court"/>
    <s v="10/10/2017"/>
    <s v="12/11/2017"/>
    <x v="1832"/>
    <s v="Individual"/>
    <x v="1868"/>
    <m/>
    <m/>
    <m/>
    <m/>
    <m/>
    <m/>
    <x v="8"/>
    <m/>
    <m/>
    <x v="0"/>
  </r>
  <r>
    <x v="426"/>
    <m/>
    <s v="Virginia Eastern District Court"/>
    <s v="10/12/2017"/>
    <s v="12/11/2017"/>
    <x v="1833"/>
    <s v="Institution"/>
    <x v="1869"/>
    <s v="Shares Held"/>
    <m/>
    <m/>
    <m/>
    <m/>
    <m/>
    <x v="314"/>
    <m/>
    <m/>
    <x v="0"/>
  </r>
  <r>
    <x v="427"/>
    <m/>
    <s v="Puerto Rico District Court"/>
    <s v="10/12/2017"/>
    <s v="12/11/2017"/>
    <x v="1469"/>
    <m/>
    <x v="1515"/>
    <m/>
    <m/>
    <m/>
    <m/>
    <m/>
    <m/>
    <x v="448"/>
    <m/>
    <m/>
    <x v="0"/>
  </r>
  <r>
    <x v="428"/>
    <m/>
    <s v="Arkansas Eastern District Court"/>
    <s v="11/01/2017"/>
    <s v="12/11/2017"/>
    <x v="1469"/>
    <m/>
    <x v="1515"/>
    <m/>
    <m/>
    <m/>
    <m/>
    <m/>
    <m/>
    <x v="448"/>
    <m/>
    <m/>
    <x v="0"/>
  </r>
  <r>
    <x v="429"/>
    <m/>
    <s v="Pennsylvania Western District Court"/>
    <s v="08/11/2017"/>
    <s v="12/08/2017"/>
    <x v="283"/>
    <s v="Institution"/>
    <x v="1870"/>
    <s v="FIFO/LIFO"/>
    <m/>
    <m/>
    <m/>
    <m/>
    <m/>
    <x v="508"/>
    <m/>
    <m/>
    <x v="1"/>
  </r>
  <r>
    <x v="429"/>
    <m/>
    <s v="Pennsylvania Western District Court"/>
    <s v="08/11/2017"/>
    <s v="12/08/2017"/>
    <x v="282"/>
    <s v="Institution"/>
    <x v="1871"/>
    <s v="FIFO"/>
    <m/>
    <m/>
    <m/>
    <m/>
    <m/>
    <x v="508"/>
    <m/>
    <m/>
    <x v="1"/>
  </r>
  <r>
    <x v="429"/>
    <m/>
    <s v="Pennsylvania Western District Court"/>
    <s v="08/11/2017"/>
    <s v="12/08/2017"/>
    <x v="1834"/>
    <s v="Individual"/>
    <x v="1872"/>
    <s v="FIFO/LIFO"/>
    <m/>
    <m/>
    <m/>
    <m/>
    <m/>
    <x v="508"/>
    <m/>
    <m/>
    <x v="0"/>
  </r>
  <r>
    <x v="430"/>
    <m/>
    <s v="Kentucky Western District Court"/>
    <s v="09/20/2017"/>
    <s v="12/04/2017"/>
    <x v="837"/>
    <s v="Institution"/>
    <x v="1873"/>
    <s v="Shares Held"/>
    <m/>
    <m/>
    <m/>
    <m/>
    <m/>
    <x v="509"/>
    <m/>
    <m/>
    <x v="1"/>
  </r>
  <r>
    <x v="431"/>
    <m/>
    <s v="Virginia Eastern District Court"/>
    <s v="09/19/2017"/>
    <s v="11/27/2017"/>
    <x v="1835"/>
    <s v="Individual"/>
    <x v="1874"/>
    <s v="Shares Held"/>
    <m/>
    <m/>
    <m/>
    <m/>
    <m/>
    <x v="510"/>
    <m/>
    <m/>
    <x v="0"/>
  </r>
  <r>
    <x v="432"/>
    <m/>
    <s v="Connecticut District Court"/>
    <s v="09/26/2017"/>
    <s v="11/27/2017"/>
    <x v="1836"/>
    <s v="Individual"/>
    <x v="1875"/>
    <m/>
    <m/>
    <m/>
    <m/>
    <m/>
    <m/>
    <x v="511"/>
    <m/>
    <m/>
    <x v="0"/>
  </r>
  <r>
    <x v="432"/>
    <m/>
    <s v="Connecticut District Court"/>
    <s v="09/26/2017"/>
    <s v="11/27/2017"/>
    <x v="1837"/>
    <s v="Individual"/>
    <x v="1876"/>
    <s v="LIFO"/>
    <m/>
    <m/>
    <m/>
    <m/>
    <m/>
    <x v="512"/>
    <m/>
    <m/>
    <x v="0"/>
  </r>
  <r>
    <x v="432"/>
    <m/>
    <s v="Connecticut District Court"/>
    <s v="09/26/2017"/>
    <s v="11/27/2017"/>
    <x v="1838"/>
    <s v="Individual"/>
    <x v="1877"/>
    <m/>
    <m/>
    <m/>
    <m/>
    <m/>
    <m/>
    <x v="513"/>
    <m/>
    <m/>
    <x v="0"/>
  </r>
  <r>
    <x v="432"/>
    <m/>
    <s v="Connecticut District Court"/>
    <s v="09/26/2017"/>
    <s v="11/27/2017"/>
    <x v="1839"/>
    <s v="Individual"/>
    <x v="1878"/>
    <s v="LIFO"/>
    <m/>
    <m/>
    <m/>
    <m/>
    <m/>
    <x v="514"/>
    <m/>
    <m/>
    <x v="0"/>
  </r>
  <r>
    <x v="432"/>
    <m/>
    <s v="Connecticut District Court"/>
    <s v="09/26/2017"/>
    <s v="11/27/2017"/>
    <x v="1840"/>
    <s v="Individual"/>
    <x v="1879"/>
    <s v="LIFO"/>
    <m/>
    <m/>
    <m/>
    <m/>
    <m/>
    <x v="515"/>
    <m/>
    <m/>
    <x v="0"/>
  </r>
  <r>
    <x v="432"/>
    <m/>
    <s v="Connecticut District Court"/>
    <s v="09/26/2017"/>
    <s v="11/27/2017"/>
    <x v="1841"/>
    <s v="Individual"/>
    <x v="1880"/>
    <s v="FIFO/LIFO"/>
    <m/>
    <m/>
    <m/>
    <m/>
    <m/>
    <x v="516"/>
    <m/>
    <m/>
    <x v="0"/>
  </r>
  <r>
    <x v="432"/>
    <m/>
    <s v="Connecticut District Court"/>
    <s v="09/26/2017"/>
    <s v="11/27/2017"/>
    <x v="1842"/>
    <s v="Individual"/>
    <x v="1881"/>
    <s v="FIFO"/>
    <m/>
    <m/>
    <m/>
    <m/>
    <m/>
    <x v="516"/>
    <m/>
    <m/>
    <x v="0"/>
  </r>
  <r>
    <x v="432"/>
    <m/>
    <s v="Connecticut District Court"/>
    <s v="09/26/2017"/>
    <s v="11/27/2017"/>
    <x v="1843"/>
    <s v="Individual"/>
    <x v="1882"/>
    <m/>
    <m/>
    <m/>
    <m/>
    <m/>
    <m/>
    <x v="228"/>
    <m/>
    <m/>
    <x v="0"/>
  </r>
  <r>
    <x v="432"/>
    <m/>
    <s v="Connecticut District Court"/>
    <s v="09/26/2017"/>
    <s v="11/27/2017"/>
    <x v="1844"/>
    <s v="Individual"/>
    <x v="1883"/>
    <m/>
    <m/>
    <m/>
    <m/>
    <m/>
    <m/>
    <x v="517"/>
    <m/>
    <m/>
    <x v="0"/>
  </r>
  <r>
    <x v="432"/>
    <m/>
    <s v="Connecticut District Court"/>
    <s v="09/26/2017"/>
    <s v="11/27/2017"/>
    <x v="1845"/>
    <s v="Individual"/>
    <x v="1884"/>
    <m/>
    <m/>
    <m/>
    <m/>
    <m/>
    <m/>
    <x v="517"/>
    <m/>
    <m/>
    <x v="0"/>
  </r>
  <r>
    <x v="432"/>
    <m/>
    <s v="Connecticut District Court"/>
    <s v="09/26/2017"/>
    <s v="11/27/2017"/>
    <x v="1846"/>
    <s v="Individual"/>
    <x v="1885"/>
    <m/>
    <m/>
    <m/>
    <m/>
    <m/>
    <m/>
    <x v="517"/>
    <m/>
    <m/>
    <x v="0"/>
  </r>
  <r>
    <x v="432"/>
    <m/>
    <s v="Connecticut District Court"/>
    <s v="09/26/2017"/>
    <s v="11/27/2017"/>
    <x v="1847"/>
    <s v="Individual"/>
    <x v="1886"/>
    <m/>
    <m/>
    <m/>
    <m/>
    <m/>
    <m/>
    <x v="517"/>
    <m/>
    <m/>
    <x v="0"/>
  </r>
  <r>
    <x v="432"/>
    <m/>
    <s v="Connecticut District Court"/>
    <s v="09/26/2017"/>
    <s v="11/27/2017"/>
    <x v="1848"/>
    <s v="Individual"/>
    <x v="1887"/>
    <m/>
    <m/>
    <m/>
    <m/>
    <m/>
    <m/>
    <x v="517"/>
    <m/>
    <m/>
    <x v="0"/>
  </r>
  <r>
    <x v="432"/>
    <m/>
    <s v="Connecticut District Court"/>
    <s v="09/26/2017"/>
    <s v="11/27/2017"/>
    <x v="1849"/>
    <s v="Individual"/>
    <x v="1888"/>
    <m/>
    <m/>
    <m/>
    <m/>
    <m/>
    <m/>
    <x v="103"/>
    <m/>
    <m/>
    <x v="0"/>
  </r>
  <r>
    <x v="432"/>
    <m/>
    <s v="Connecticut District Court"/>
    <s v="09/26/2017"/>
    <s v="11/27/2017"/>
    <x v="1850"/>
    <s v="Individual"/>
    <x v="1889"/>
    <m/>
    <m/>
    <m/>
    <m/>
    <m/>
    <m/>
    <x v="103"/>
    <m/>
    <m/>
    <x v="0"/>
  </r>
  <r>
    <x v="432"/>
    <m/>
    <s v="Connecticut District Court"/>
    <s v="09/26/2017"/>
    <s v="11/27/2017"/>
    <x v="89"/>
    <s v="Institution"/>
    <x v="1890"/>
    <m/>
    <m/>
    <m/>
    <m/>
    <m/>
    <m/>
    <x v="518"/>
    <m/>
    <m/>
    <x v="1"/>
  </r>
  <r>
    <x v="432"/>
    <m/>
    <s v="Connecticut District Court"/>
    <s v="09/26/2017"/>
    <s v="11/27/2017"/>
    <x v="2"/>
    <s v="Institution"/>
    <x v="1891"/>
    <m/>
    <m/>
    <m/>
    <m/>
    <m/>
    <m/>
    <x v="519"/>
    <m/>
    <m/>
    <x v="1"/>
  </r>
  <r>
    <x v="432"/>
    <m/>
    <s v="Connecticut District Court"/>
    <s v="09/26/2017"/>
    <s v="11/27/2017"/>
    <x v="1851"/>
    <s v="Individual"/>
    <x v="1892"/>
    <m/>
    <m/>
    <m/>
    <m/>
    <m/>
    <m/>
    <x v="519"/>
    <m/>
    <m/>
    <x v="0"/>
  </r>
  <r>
    <x v="433"/>
    <m/>
    <s v="New York Southern District Court"/>
    <s v="09/27/2017"/>
    <s v="11/27/2017"/>
    <x v="1852"/>
    <s v="Individual"/>
    <x v="1893"/>
    <s v="-"/>
    <m/>
    <m/>
    <m/>
    <m/>
    <m/>
    <x v="8"/>
    <m/>
    <m/>
    <x v="0"/>
  </r>
  <r>
    <x v="433"/>
    <m/>
    <s v="New York Southern District Court"/>
    <s v="09/27/2017"/>
    <s v="11/27/2017"/>
    <x v="1853"/>
    <s v="Individual"/>
    <x v="1894"/>
    <m/>
    <m/>
    <m/>
    <m/>
    <m/>
    <m/>
    <x v="497"/>
    <m/>
    <m/>
    <x v="0"/>
  </r>
  <r>
    <x v="433"/>
    <m/>
    <s v="New York Southern District Court"/>
    <s v="09/27/2017"/>
    <s v="11/27/2017"/>
    <x v="1854"/>
    <s v="Individual"/>
    <x v="1895"/>
    <m/>
    <m/>
    <m/>
    <m/>
    <m/>
    <m/>
    <x v="497"/>
    <m/>
    <m/>
    <x v="0"/>
  </r>
  <r>
    <x v="433"/>
    <m/>
    <s v="New York Southern District Court"/>
    <s v="09/27/2017"/>
    <s v="11/27/2017"/>
    <x v="1855"/>
    <s v="Individual"/>
    <x v="1896"/>
    <m/>
    <m/>
    <m/>
    <m/>
    <m/>
    <m/>
    <x v="497"/>
    <m/>
    <m/>
    <x v="0"/>
  </r>
  <r>
    <x v="433"/>
    <m/>
    <s v="New York Southern District Court"/>
    <s v="09/27/2017"/>
    <s v="11/27/2017"/>
    <x v="1856"/>
    <s v="Individual"/>
    <x v="1897"/>
    <m/>
    <m/>
    <m/>
    <m/>
    <m/>
    <m/>
    <x v="497"/>
    <m/>
    <m/>
    <x v="0"/>
  </r>
  <r>
    <x v="433"/>
    <m/>
    <s v="New York Southern District Court"/>
    <s v="09/27/2017"/>
    <s v="11/27/2017"/>
    <x v="1857"/>
    <s v="Individual"/>
    <x v="1898"/>
    <m/>
    <m/>
    <m/>
    <m/>
    <m/>
    <m/>
    <x v="1"/>
    <m/>
    <m/>
    <x v="1"/>
  </r>
  <r>
    <x v="433"/>
    <m/>
    <s v="New York Southern District Court"/>
    <s v="09/27/2017"/>
    <s v="11/27/2017"/>
    <x v="1858"/>
    <s v="Individual"/>
    <x v="1899"/>
    <m/>
    <m/>
    <m/>
    <m/>
    <m/>
    <m/>
    <x v="26"/>
    <m/>
    <m/>
    <x v="0"/>
  </r>
  <r>
    <x v="45"/>
    <m/>
    <s v="North Carolina Middle District Court"/>
    <s v="09/27/2017"/>
    <s v="11/27/2017"/>
    <x v="1469"/>
    <m/>
    <x v="1515"/>
    <m/>
    <m/>
    <m/>
    <m/>
    <m/>
    <m/>
    <x v="448"/>
    <m/>
    <m/>
    <x v="0"/>
  </r>
  <r>
    <x v="434"/>
    <m/>
    <s v="South Carolina District Court"/>
    <s v="09/27/2017"/>
    <s v="11/27/2017"/>
    <x v="595"/>
    <s v="Institution"/>
    <x v="1515"/>
    <m/>
    <m/>
    <m/>
    <m/>
    <m/>
    <m/>
    <x v="520"/>
    <m/>
    <m/>
    <x v="1"/>
  </r>
  <r>
    <x v="434"/>
    <m/>
    <s v="South Carolina District Court"/>
    <s v="09/27/2017"/>
    <s v="11/27/2017"/>
    <x v="804"/>
    <s v="Institution"/>
    <x v="1515"/>
    <m/>
    <m/>
    <m/>
    <m/>
    <m/>
    <m/>
    <x v="520"/>
    <m/>
    <m/>
    <x v="1"/>
  </r>
  <r>
    <x v="434"/>
    <m/>
    <s v="South Carolina District Court"/>
    <s v="09/27/2017"/>
    <s v="11/27/2017"/>
    <x v="1359"/>
    <s v="Institution"/>
    <x v="1900"/>
    <s v="FIFO"/>
    <m/>
    <m/>
    <m/>
    <m/>
    <m/>
    <x v="521"/>
    <m/>
    <m/>
    <x v="1"/>
  </r>
  <r>
    <x v="434"/>
    <m/>
    <s v="South Carolina District Court"/>
    <s v="09/27/2017"/>
    <s v="11/27/2017"/>
    <x v="1360"/>
    <s v="Institution"/>
    <x v="1901"/>
    <s v="FIFO"/>
    <m/>
    <m/>
    <m/>
    <m/>
    <m/>
    <x v="521"/>
    <m/>
    <m/>
    <x v="1"/>
  </r>
  <r>
    <x v="434"/>
    <m/>
    <s v="South Carolina District Court"/>
    <s v="09/27/2017"/>
    <s v="11/27/2017"/>
    <x v="1859"/>
    <s v="Institution"/>
    <x v="1902"/>
    <s v="FIFO"/>
    <m/>
    <m/>
    <m/>
    <m/>
    <m/>
    <x v="521"/>
    <m/>
    <m/>
    <x v="0"/>
  </r>
  <r>
    <x v="434"/>
    <m/>
    <s v="South Carolina District Court"/>
    <s v="09/27/2017"/>
    <s v="11/27/2017"/>
    <x v="1860"/>
    <s v="Individual"/>
    <x v="1903"/>
    <m/>
    <m/>
    <m/>
    <m/>
    <m/>
    <m/>
    <x v="522"/>
    <m/>
    <m/>
    <x v="0"/>
  </r>
  <r>
    <x v="434"/>
    <m/>
    <s v="South Carolina District Court"/>
    <s v="09/27/2017"/>
    <s v="11/27/2017"/>
    <x v="1861"/>
    <s v="Individual"/>
    <x v="1904"/>
    <m/>
    <m/>
    <m/>
    <m/>
    <m/>
    <m/>
    <x v="522"/>
    <m/>
    <m/>
    <x v="0"/>
  </r>
  <r>
    <x v="434"/>
    <m/>
    <s v="South Carolina District Court"/>
    <s v="09/27/2017"/>
    <s v="11/27/2017"/>
    <x v="1862"/>
    <s v="Individual"/>
    <x v="1905"/>
    <m/>
    <m/>
    <m/>
    <m/>
    <m/>
    <m/>
    <x v="522"/>
    <m/>
    <m/>
    <x v="0"/>
  </r>
  <r>
    <x v="435"/>
    <m/>
    <s v="Texas Southern District Court"/>
    <s v="09/28/2017"/>
    <s v="11/27/2017"/>
    <x v="1469"/>
    <m/>
    <x v="1515"/>
    <m/>
    <m/>
    <m/>
    <m/>
    <m/>
    <m/>
    <x v="448"/>
    <m/>
    <m/>
    <x v="0"/>
  </r>
  <r>
    <x v="436"/>
    <m/>
    <s v="Delaware District Court"/>
    <s v="09/07/2017"/>
    <s v="11/27/2017"/>
    <x v="1863"/>
    <s v="Individual"/>
    <x v="1714"/>
    <s v="Shares Held"/>
    <m/>
    <m/>
    <m/>
    <m/>
    <m/>
    <x v="26"/>
    <m/>
    <m/>
    <x v="0"/>
  </r>
  <r>
    <x v="437"/>
    <m/>
    <s v="Delaware District Court"/>
    <s v="09/25/2017"/>
    <s v="11/24/2017"/>
    <x v="1469"/>
    <m/>
    <x v="1515"/>
    <m/>
    <m/>
    <m/>
    <m/>
    <m/>
    <m/>
    <x v="448"/>
    <m/>
    <m/>
    <x v="0"/>
  </r>
  <r>
    <x v="438"/>
    <m/>
    <s v="Florida Middle District Court"/>
    <s v="09/21/2017"/>
    <s v="11/24/2017"/>
    <x v="1864"/>
    <s v="Individual"/>
    <x v="1906"/>
    <s v="LIFO"/>
    <m/>
    <m/>
    <m/>
    <m/>
    <m/>
    <x v="162"/>
    <m/>
    <m/>
    <x v="0"/>
  </r>
  <r>
    <x v="438"/>
    <m/>
    <s v="Florida Middle District Court"/>
    <s v="09/21/2017"/>
    <s v="11/24/2017"/>
    <x v="1865"/>
    <s v="Individual"/>
    <x v="1907"/>
    <m/>
    <m/>
    <m/>
    <m/>
    <m/>
    <m/>
    <x v="162"/>
    <m/>
    <m/>
    <x v="0"/>
  </r>
  <r>
    <x v="438"/>
    <m/>
    <s v="Florida Middle District Court"/>
    <s v="09/21/2017"/>
    <s v="11/24/2017"/>
    <x v="89"/>
    <s v="Institution"/>
    <x v="1908"/>
    <m/>
    <m/>
    <m/>
    <m/>
    <m/>
    <m/>
    <x v="155"/>
    <m/>
    <m/>
    <x v="1"/>
  </r>
  <r>
    <x v="439"/>
    <m/>
    <s v="California Northern District Court"/>
    <s v="09/18/2017"/>
    <s v="11/17/2017"/>
    <x v="1866"/>
    <s v="Individual"/>
    <x v="1909"/>
    <s v="LIFO"/>
    <m/>
    <m/>
    <m/>
    <m/>
    <m/>
    <x v="523"/>
    <m/>
    <m/>
    <x v="0"/>
  </r>
  <r>
    <x v="439"/>
    <m/>
    <s v="California Northern District Court"/>
    <s v="09/18/2017"/>
    <s v="11/17/2017"/>
    <x v="1867"/>
    <s v="Individual"/>
    <x v="1515"/>
    <m/>
    <m/>
    <m/>
    <m/>
    <m/>
    <m/>
    <x v="8"/>
    <m/>
    <m/>
    <x v="0"/>
  </r>
  <r>
    <x v="439"/>
    <m/>
    <s v="California Northern District Court"/>
    <s v="09/18/2017"/>
    <s v="11/17/2017"/>
    <x v="1868"/>
    <s v="Individual"/>
    <x v="1515"/>
    <m/>
    <m/>
    <m/>
    <m/>
    <m/>
    <m/>
    <x v="8"/>
    <m/>
    <m/>
    <x v="0"/>
  </r>
  <r>
    <x v="439"/>
    <m/>
    <s v="California Northern District Court"/>
    <s v="09/18/2017"/>
    <s v="11/17/2017"/>
    <x v="1869"/>
    <s v="Individual"/>
    <x v="1910"/>
    <m/>
    <m/>
    <m/>
    <m/>
    <m/>
    <m/>
    <x v="1"/>
    <m/>
    <m/>
    <x v="0"/>
  </r>
  <r>
    <x v="440"/>
    <m/>
    <s v="North Carolina Western District Court"/>
    <s v="08/14/2017"/>
    <s v="11/13/2017"/>
    <x v="1469"/>
    <m/>
    <x v="1515"/>
    <m/>
    <m/>
    <m/>
    <m/>
    <m/>
    <m/>
    <x v="448"/>
    <m/>
    <m/>
    <x v="0"/>
  </r>
  <r>
    <x v="441"/>
    <m/>
    <s v="Massachusetts District Court"/>
    <s v="08/22/2017"/>
    <s v="11/13/2017"/>
    <x v="1469"/>
    <m/>
    <x v="1515"/>
    <m/>
    <m/>
    <m/>
    <m/>
    <m/>
    <m/>
    <x v="448"/>
    <m/>
    <m/>
    <x v="0"/>
  </r>
  <r>
    <x v="442"/>
    <m/>
    <s v="Georgia Northern District Court"/>
    <s v="09/08/2017"/>
    <s v="11/13/2017"/>
    <x v="1870"/>
    <s v="Individual"/>
    <x v="1911"/>
    <m/>
    <m/>
    <m/>
    <m/>
    <m/>
    <m/>
    <x v="524"/>
    <m/>
    <m/>
    <x v="0"/>
  </r>
  <r>
    <x v="442"/>
    <m/>
    <s v="Georgia Northern District Court"/>
    <s v="09/08/2017"/>
    <s v="11/13/2017"/>
    <x v="153"/>
    <s v="Institution"/>
    <x v="1912"/>
    <s v="LIFO"/>
    <m/>
    <m/>
    <m/>
    <m/>
    <m/>
    <x v="525"/>
    <m/>
    <m/>
    <x v="1"/>
  </r>
  <r>
    <x v="442"/>
    <m/>
    <s v="Georgia Northern District Court"/>
    <s v="09/08/2017"/>
    <s v="11/13/2017"/>
    <x v="50"/>
    <s v="Institution"/>
    <x v="1913"/>
    <s v="FIFO"/>
    <m/>
    <m/>
    <m/>
    <m/>
    <m/>
    <x v="491"/>
    <m/>
    <m/>
    <x v="1"/>
  </r>
  <r>
    <x v="442"/>
    <m/>
    <s v="Georgia Northern District Court"/>
    <s v="09/08/2017"/>
    <s v="11/13/2017"/>
    <x v="1871"/>
    <s v="Individual"/>
    <x v="1914"/>
    <m/>
    <m/>
    <m/>
    <m/>
    <m/>
    <m/>
    <x v="526"/>
    <m/>
    <m/>
    <x v="0"/>
  </r>
  <r>
    <x v="443"/>
    <m/>
    <s v="Florida Middle District Court"/>
    <s v="09/21/2017"/>
    <s v="11/10/2017"/>
    <x v="1469"/>
    <m/>
    <x v="1515"/>
    <m/>
    <m/>
    <m/>
    <m/>
    <m/>
    <m/>
    <x v="448"/>
    <m/>
    <m/>
    <x v="0"/>
  </r>
  <r>
    <x v="173"/>
    <m/>
    <s v="Florida Southern District Court"/>
    <s v="08/11/2017"/>
    <s v="10/30/2017"/>
    <x v="1872"/>
    <s v="Individual"/>
    <x v="1915"/>
    <s v="Shares Held"/>
    <m/>
    <m/>
    <m/>
    <m/>
    <m/>
    <x v="527"/>
    <m/>
    <m/>
    <x v="0"/>
  </r>
  <r>
    <x v="444"/>
    <m/>
    <s v="New York Eastern District Court"/>
    <s v="08/29/2017"/>
    <s v="10/30/2017"/>
    <x v="1873"/>
    <s v="Individual"/>
    <x v="1916"/>
    <m/>
    <m/>
    <m/>
    <m/>
    <m/>
    <m/>
    <x v="8"/>
    <m/>
    <m/>
    <x v="0"/>
  </r>
  <r>
    <x v="445"/>
    <m/>
    <s v="New Jersey District Court"/>
    <s v="08/28/2017"/>
    <s v="10/27/2017"/>
    <x v="1874"/>
    <s v="Institution"/>
    <x v="1917"/>
    <m/>
    <m/>
    <m/>
    <m/>
    <m/>
    <m/>
    <x v="198"/>
    <m/>
    <m/>
    <x v="0"/>
  </r>
  <r>
    <x v="445"/>
    <m/>
    <s v="New Jersey District Court"/>
    <s v="08/28/2017"/>
    <s v="10/27/2017"/>
    <x v="1875"/>
    <s v="Individual"/>
    <x v="1918"/>
    <m/>
    <m/>
    <m/>
    <m/>
    <m/>
    <m/>
    <x v="528"/>
    <m/>
    <m/>
    <x v="0"/>
  </r>
  <r>
    <x v="445"/>
    <m/>
    <s v="New Jersey District Court"/>
    <s v="08/28/2017"/>
    <s v="10/27/2017"/>
    <x v="1876"/>
    <s v="Individual"/>
    <x v="1919"/>
    <m/>
    <m/>
    <m/>
    <m/>
    <m/>
    <m/>
    <x v="528"/>
    <m/>
    <m/>
    <x v="0"/>
  </r>
  <r>
    <x v="445"/>
    <m/>
    <s v="New Jersey District Court"/>
    <s v="08/28/2017"/>
    <s v="10/27/2017"/>
    <x v="1857"/>
    <s v="Individual"/>
    <x v="1920"/>
    <m/>
    <m/>
    <m/>
    <m/>
    <m/>
    <m/>
    <x v="528"/>
    <m/>
    <m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7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gridDropZones="1" multipleFieldFilters="0">
  <location ref="A3:J313" firstHeaderRow="2" firstDataRow="2" firstDataCol="4" rowPageCount="1" colPageCount="1"/>
  <pivotFields count="18">
    <pivotField axis="axisRow" compact="0" outline="0" showAll="0" defaultSubtotal="0">
      <items count="446">
        <item x="375"/>
        <item x="0"/>
        <item x="337"/>
        <item x="1"/>
        <item x="2"/>
        <item x="3"/>
        <item x="4"/>
        <item x="5"/>
        <item x="6"/>
        <item x="39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402"/>
        <item x="19"/>
        <item x="421"/>
        <item x="20"/>
        <item x="21"/>
        <item x="343"/>
        <item x="22"/>
        <item x="429"/>
        <item x="23"/>
        <item x="24"/>
        <item x="381"/>
        <item x="406"/>
        <item x="25"/>
        <item x="364"/>
        <item x="372"/>
        <item x="369"/>
        <item x="26"/>
        <item x="27"/>
        <item x="28"/>
        <item x="395"/>
        <item x="428"/>
        <item x="29"/>
        <item x="30"/>
        <item x="31"/>
        <item x="32"/>
        <item x="334"/>
        <item x="33"/>
        <item x="374"/>
        <item x="34"/>
        <item x="35"/>
        <item x="36"/>
        <item x="371"/>
        <item x="37"/>
        <item x="38"/>
        <item x="39"/>
        <item x="40"/>
        <item x="41"/>
        <item x="42"/>
        <item x="43"/>
        <item x="44"/>
        <item x="45"/>
        <item x="46"/>
        <item x="47"/>
        <item x="373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363"/>
        <item x="65"/>
        <item x="66"/>
        <item x="67"/>
        <item x="68"/>
        <item x="69"/>
        <item x="70"/>
        <item x="71"/>
        <item x="72"/>
        <item x="331"/>
        <item x="73"/>
        <item x="74"/>
        <item x="75"/>
        <item x="420"/>
        <item x="389"/>
        <item x="384"/>
        <item x="76"/>
        <item x="77"/>
        <item x="78"/>
        <item x="324"/>
        <item x="361"/>
        <item x="79"/>
        <item x="358"/>
        <item x="80"/>
        <item x="81"/>
        <item x="82"/>
        <item x="83"/>
        <item x="385"/>
        <item x="84"/>
        <item x="341"/>
        <item x="85"/>
        <item x="86"/>
        <item x="87"/>
        <item x="88"/>
        <item x="332"/>
        <item x="89"/>
        <item x="90"/>
        <item x="345"/>
        <item x="442"/>
        <item x="91"/>
        <item x="92"/>
        <item x="93"/>
        <item x="94"/>
        <item x="95"/>
        <item x="96"/>
        <item x="410"/>
        <item x="97"/>
        <item x="360"/>
        <item x="98"/>
        <item x="99"/>
        <item x="100"/>
        <item x="101"/>
        <item x="102"/>
        <item x="328"/>
        <item x="103"/>
        <item x="377"/>
        <item x="104"/>
        <item x="105"/>
        <item x="106"/>
        <item x="418"/>
        <item x="336"/>
        <item x="351"/>
        <item x="107"/>
        <item x="108"/>
        <item x="432"/>
        <item x="109"/>
        <item x="110"/>
        <item x="111"/>
        <item x="112"/>
        <item x="113"/>
        <item x="114"/>
        <item x="115"/>
        <item x="383"/>
        <item x="408"/>
        <item x="116"/>
        <item x="117"/>
        <item x="118"/>
        <item x="119"/>
        <item x="339"/>
        <item x="120"/>
        <item x="121"/>
        <item x="122"/>
        <item x="123"/>
        <item x="124"/>
        <item x="125"/>
        <item x="126"/>
        <item x="362"/>
        <item x="443"/>
        <item x="127"/>
        <item x="416"/>
        <item x="128"/>
        <item x="398"/>
        <item x="129"/>
        <item x="130"/>
        <item x="131"/>
        <item x="436"/>
        <item x="132"/>
        <item x="133"/>
        <item x="134"/>
        <item x="135"/>
        <item x="136"/>
        <item x="137"/>
        <item x="138"/>
        <item x="349"/>
        <item x="139"/>
        <item x="140"/>
        <item x="141"/>
        <item x="142"/>
        <item x="143"/>
        <item x="144"/>
        <item x="145"/>
        <item x="350"/>
        <item x="146"/>
        <item x="433"/>
        <item x="393"/>
        <item x="147"/>
        <item x="148"/>
        <item x="149"/>
        <item x="150"/>
        <item x="151"/>
        <item x="423"/>
        <item x="344"/>
        <item x="152"/>
        <item x="386"/>
        <item x="153"/>
        <item x="154"/>
        <item x="155"/>
        <item x="156"/>
        <item x="157"/>
        <item x="415"/>
        <item x="401"/>
        <item x="387"/>
        <item x="158"/>
        <item x="159"/>
        <item x="160"/>
        <item x="161"/>
        <item x="162"/>
        <item x="437"/>
        <item x="163"/>
        <item x="164"/>
        <item x="165"/>
        <item x="355"/>
        <item x="166"/>
        <item x="167"/>
        <item x="168"/>
        <item x="169"/>
        <item x="170"/>
        <item x="171"/>
        <item x="399"/>
        <item x="409"/>
        <item x="172"/>
        <item x="411"/>
        <item x="173"/>
        <item x="174"/>
        <item x="175"/>
        <item x="176"/>
        <item x="177"/>
        <item x="368"/>
        <item x="342"/>
        <item x="378"/>
        <item x="178"/>
        <item x="179"/>
        <item x="180"/>
        <item x="181"/>
        <item x="182"/>
        <item x="346"/>
        <item x="183"/>
        <item x="184"/>
        <item x="185"/>
        <item x="186"/>
        <item x="187"/>
        <item x="188"/>
        <item x="189"/>
        <item x="190"/>
        <item x="357"/>
        <item x="191"/>
        <item x="192"/>
        <item x="390"/>
        <item x="426"/>
        <item x="193"/>
        <item x="194"/>
        <item x="195"/>
        <item x="196"/>
        <item x="197"/>
        <item x="198"/>
        <item x="199"/>
        <item x="200"/>
        <item x="201"/>
        <item x="365"/>
        <item x="202"/>
        <item x="203"/>
        <item x="204"/>
        <item x="413"/>
        <item x="205"/>
        <item x="206"/>
        <item x="207"/>
        <item x="208"/>
        <item x="209"/>
        <item x="210"/>
        <item x="440"/>
        <item x="327"/>
        <item x="211"/>
        <item x="212"/>
        <item x="213"/>
        <item x="214"/>
        <item x="404"/>
        <item x="215"/>
        <item x="216"/>
        <item x="217"/>
        <item x="325"/>
        <item x="430"/>
        <item x="218"/>
        <item x="370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394"/>
        <item x="335"/>
        <item x="233"/>
        <item x="234"/>
        <item x="235"/>
        <item x="407"/>
        <item x="236"/>
        <item x="237"/>
        <item x="326"/>
        <item x="238"/>
        <item x="239"/>
        <item x="240"/>
        <item x="241"/>
        <item x="379"/>
        <item x="242"/>
        <item x="243"/>
        <item x="244"/>
        <item x="245"/>
        <item x="246"/>
        <item x="247"/>
        <item x="427"/>
        <item x="434"/>
        <item x="248"/>
        <item x="249"/>
        <item x="250"/>
        <item x="338"/>
        <item x="251"/>
        <item x="252"/>
        <item x="441"/>
        <item x="414"/>
        <item x="253"/>
        <item x="397"/>
        <item x="254"/>
        <item x="255"/>
        <item x="419"/>
        <item x="256"/>
        <item x="376"/>
        <item x="388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403"/>
        <item x="268"/>
        <item x="269"/>
        <item x="270"/>
        <item x="382"/>
        <item x="271"/>
        <item x="352"/>
        <item x="366"/>
        <item x="272"/>
        <item x="273"/>
        <item x="274"/>
        <item x="275"/>
        <item x="276"/>
        <item x="277"/>
        <item x="438"/>
        <item x="347"/>
        <item x="278"/>
        <item x="279"/>
        <item x="280"/>
        <item x="422"/>
        <item x="281"/>
        <item x="282"/>
        <item x="435"/>
        <item x="425"/>
        <item x="283"/>
        <item x="284"/>
        <item x="285"/>
        <item x="348"/>
        <item x="286"/>
        <item x="287"/>
        <item x="288"/>
        <item x="289"/>
        <item x="290"/>
        <item x="356"/>
        <item x="291"/>
        <item x="292"/>
        <item x="293"/>
        <item x="294"/>
        <item x="439"/>
        <item x="295"/>
        <item x="330"/>
        <item x="296"/>
        <item x="340"/>
        <item x="297"/>
        <item x="298"/>
        <item x="354"/>
        <item x="417"/>
        <item x="299"/>
        <item x="300"/>
        <item x="301"/>
        <item x="302"/>
        <item x="396"/>
        <item x="303"/>
        <item x="304"/>
        <item x="305"/>
        <item x="405"/>
        <item x="392"/>
        <item x="306"/>
        <item x="307"/>
        <item x="308"/>
        <item x="309"/>
        <item x="400"/>
        <item x="310"/>
        <item x="311"/>
        <item x="445"/>
        <item x="312"/>
        <item x="313"/>
        <item x="444"/>
        <item x="314"/>
        <item x="315"/>
        <item x="367"/>
        <item x="316"/>
        <item x="359"/>
        <item x="424"/>
        <item x="317"/>
        <item x="318"/>
        <item x="319"/>
        <item x="431"/>
        <item x="320"/>
        <item x="321"/>
        <item x="322"/>
        <item x="353"/>
        <item x="412"/>
        <item x="329"/>
        <item x="323"/>
        <item x="380"/>
        <item x="33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877">
        <item x="1243"/>
        <item x="580"/>
        <item x="1450"/>
        <item x="751"/>
        <item x="445"/>
        <item x="569"/>
        <item x="470"/>
        <item x="1373"/>
        <item x="1492"/>
        <item x="1852"/>
        <item x="556"/>
        <item x="785"/>
        <item x="1161"/>
        <item x="862"/>
        <item x="1246"/>
        <item x="570"/>
        <item x="1738"/>
        <item x="331"/>
        <item x="897"/>
        <item x="328"/>
        <item x="958"/>
        <item x="249"/>
        <item x="1200"/>
        <item x="1052"/>
        <item x="3"/>
        <item x="504"/>
        <item x="1085"/>
        <item x="1166"/>
        <item x="1180"/>
        <item x="540"/>
        <item x="516"/>
        <item x="677"/>
        <item x="1120"/>
        <item x="368"/>
        <item x="936"/>
        <item x="599"/>
        <item x="1789"/>
        <item x="1039"/>
        <item x="1633"/>
        <item x="1265"/>
        <item x="1223"/>
        <item x="947"/>
        <item x="1070"/>
        <item x="174"/>
        <item x="1751"/>
        <item x="1255"/>
        <item x="1653"/>
        <item x="1406"/>
        <item x="281"/>
        <item x="1424"/>
        <item x="51"/>
        <item x="1480"/>
        <item x="0"/>
        <item x="422"/>
        <item x="1551"/>
        <item x="256"/>
        <item x="1552"/>
        <item x="891"/>
        <item x="1798"/>
        <item x="914"/>
        <item x="846"/>
        <item x="1391"/>
        <item x="1151"/>
        <item x="1390"/>
        <item x="408"/>
        <item x="1496"/>
        <item x="1203"/>
        <item x="64"/>
        <item x="1040"/>
        <item x="669"/>
        <item x="1208"/>
        <item x="1283"/>
        <item x="338"/>
        <item x="1253"/>
        <item x="425"/>
        <item x="1304"/>
        <item x="1844"/>
        <item x="1475"/>
        <item x="1549"/>
        <item x="1739"/>
        <item x="62"/>
        <item x="1091"/>
        <item x="472"/>
        <item x="1367"/>
        <item x="1702"/>
        <item x="1714"/>
        <item x="1606"/>
        <item x="903"/>
        <item x="2"/>
        <item x="308"/>
        <item x="706"/>
        <item x="1114"/>
        <item x="978"/>
        <item x="1654"/>
        <item x="769"/>
        <item x="708"/>
        <item x="1226"/>
        <item x="724"/>
        <item x="969"/>
        <item x="287"/>
        <item x="1733"/>
        <item x="1588"/>
        <item x="1843"/>
        <item x="1009"/>
        <item x="1212"/>
        <item x="482"/>
        <item x="680"/>
        <item x="1790"/>
        <item x="214"/>
        <item x="348"/>
        <item x="637"/>
        <item x="616"/>
        <item x="695"/>
        <item x="774"/>
        <item x="776"/>
        <item x="389"/>
        <item x="66"/>
        <item x="656"/>
        <item x="1122"/>
        <item x="319"/>
        <item x="1174"/>
        <item x="404"/>
        <item x="991"/>
        <item x="1171"/>
        <item x="1497"/>
        <item x="1574"/>
        <item x="1333"/>
        <item x="1455"/>
        <item x="252"/>
        <item x="646"/>
        <item x="246"/>
        <item x="1518"/>
        <item x="1578"/>
        <item x="274"/>
        <item x="1372"/>
        <item x="1853"/>
        <item x="194"/>
        <item x="624"/>
        <item x="107"/>
        <item x="782"/>
        <item x="786"/>
        <item x="1231"/>
        <item x="633"/>
        <item x="17"/>
        <item x="1734"/>
        <item x="1102"/>
        <item x="439"/>
        <item x="279"/>
        <item x="1428"/>
        <item x="101"/>
        <item x="1545"/>
        <item x="78"/>
        <item x="35"/>
        <item x="1403"/>
        <item x="298"/>
        <item x="1127"/>
        <item x="405"/>
        <item x="388"/>
        <item x="130"/>
        <item x="1228"/>
        <item x="900"/>
        <item x="968"/>
        <item x="1053"/>
        <item x="893"/>
        <item x="1646"/>
        <item x="1710"/>
        <item x="1586"/>
        <item x="431"/>
        <item x="441"/>
        <item x="372"/>
        <item x="1284"/>
        <item x="479"/>
        <item x="964"/>
        <item x="1546"/>
        <item x="1446"/>
        <item x="728"/>
        <item x="993"/>
        <item x="600"/>
        <item x="758"/>
        <item x="55"/>
        <item x="943"/>
        <item x="1500"/>
        <item x="1377"/>
        <item x="533"/>
        <item x="15"/>
        <item x="587"/>
        <item x="1280"/>
        <item x="1801"/>
        <item x="1281"/>
        <item x="357"/>
        <item x="1113"/>
        <item x="1597"/>
        <item x="56"/>
        <item x="456"/>
        <item x="1811"/>
        <item x="800"/>
        <item x="356"/>
        <item x="1674"/>
        <item x="1519"/>
        <item x="220"/>
        <item x="1206"/>
        <item x="385"/>
        <item x="746"/>
        <item x="721"/>
        <item x="1128"/>
        <item x="1088"/>
        <item x="515"/>
        <item x="926"/>
        <item x="369"/>
        <item x="1476"/>
        <item x="1745"/>
        <item x="1431"/>
        <item x="1677"/>
        <item x="1851"/>
        <item x="1326"/>
        <item x="1278"/>
        <item x="1240"/>
        <item x="682"/>
        <item x="1809"/>
        <item x="1261"/>
        <item x="1425"/>
        <item x="555"/>
        <item x="759"/>
        <item x="1802"/>
        <item x="521"/>
        <item x="944"/>
        <item x="1562"/>
        <item x="1313"/>
        <item x="150"/>
        <item x="162"/>
        <item x="763"/>
        <item x="1355"/>
        <item x="120"/>
        <item x="236"/>
        <item x="324"/>
        <item x="717"/>
        <item x="1195"/>
        <item x="1382"/>
        <item x="293"/>
        <item x="135"/>
        <item x="812"/>
        <item x="1592"/>
        <item x="1684"/>
        <item x="1337"/>
        <item x="1629"/>
        <item x="1680"/>
        <item x="167"/>
        <item x="1387"/>
        <item x="1817"/>
        <item x="1233"/>
        <item x="827"/>
        <item x="1772"/>
        <item x="1531"/>
        <item x="72"/>
        <item x="976"/>
        <item x="1445"/>
        <item x="1285"/>
        <item x="779"/>
        <item x="641"/>
        <item x="1630"/>
        <item x="730"/>
        <item x="872"/>
        <item x="284"/>
        <item x="285"/>
        <item x="147"/>
        <item x="133"/>
        <item x="634"/>
        <item x="454"/>
        <item x="621"/>
        <item x="1279"/>
        <item x="704"/>
        <item x="493"/>
        <item x="1548"/>
        <item x="808"/>
        <item x="1601"/>
        <item x="490"/>
        <item x="1238"/>
        <item x="1453"/>
        <item x="155"/>
        <item x="1346"/>
        <item x="1347"/>
        <item x="239"/>
        <item x="1121"/>
        <item x="1274"/>
        <item x="1668"/>
        <item x="453"/>
        <item x="1577"/>
        <item x="1727"/>
        <item x="1602"/>
        <item x="1011"/>
        <item x="1010"/>
        <item x="736"/>
        <item x="1305"/>
        <item x="750"/>
        <item x="1260"/>
        <item x="1230"/>
        <item x="613"/>
        <item x="1336"/>
        <item x="977"/>
        <item x="961"/>
        <item x="737"/>
        <item x="1394"/>
        <item x="1249"/>
        <item x="297"/>
        <item x="1874"/>
        <item x="307"/>
        <item x="1417"/>
        <item x="856"/>
        <item x="437"/>
        <item x="1263"/>
        <item x="1389"/>
        <item x="1524"/>
        <item x="931"/>
        <item x="1125"/>
        <item x="879"/>
        <item x="760"/>
        <item x="1612"/>
        <item x="1470"/>
        <item x="418"/>
        <item x="375"/>
        <item x="376"/>
        <item x="826"/>
        <item x="1160"/>
        <item x="407"/>
        <item x="590"/>
        <item x="881"/>
        <item x="1267"/>
        <item x="1378"/>
        <item x="466"/>
        <item x="1691"/>
        <item x="491"/>
        <item x="59"/>
        <item x="1821"/>
        <item x="1875"/>
        <item x="691"/>
        <item x="1712"/>
        <item x="1028"/>
        <item x="1236"/>
        <item x="484"/>
        <item x="1093"/>
        <item x="420"/>
        <item x="419"/>
        <item x="1558"/>
        <item x="92"/>
        <item x="347"/>
        <item x="1327"/>
        <item x="241"/>
        <item x="868"/>
        <item x="1416"/>
        <item x="336"/>
        <item x="1136"/>
        <item x="235"/>
        <item x="949"/>
        <item x="1266"/>
        <item x="1345"/>
        <item x="1540"/>
        <item x="622"/>
        <item x="1060"/>
        <item x="784"/>
        <item x="1034"/>
        <item x="1257"/>
        <item x="1329"/>
        <item x="678"/>
        <item x="1566"/>
        <item x="898"/>
        <item x="1784"/>
        <item x="921"/>
        <item x="1047"/>
        <item x="165"/>
        <item x="1307"/>
        <item x="1045"/>
        <item x="1380"/>
        <item x="1386"/>
        <item x="1097"/>
        <item x="1323"/>
        <item x="143"/>
        <item x="963"/>
        <item x="548"/>
        <item x="857"/>
        <item x="391"/>
        <item x="684"/>
        <item x="1038"/>
        <item x="601"/>
        <item x="228"/>
        <item x="42"/>
        <item x="117"/>
        <item x="163"/>
        <item x="1419"/>
        <item x="929"/>
        <item x="1637"/>
        <item x="128"/>
        <item x="1503"/>
        <item x="411"/>
        <item x="156"/>
        <item x="591"/>
        <item x="125"/>
        <item x="1589"/>
        <item x="366"/>
        <item x="1443"/>
        <item x="625"/>
        <item x="202"/>
        <item x="593"/>
        <item x="1768"/>
        <item x="1504"/>
        <item x="1163"/>
        <item x="1822"/>
        <item x="57"/>
        <item x="1788"/>
        <item x="1631"/>
        <item x="1399"/>
        <item x="1300"/>
        <item x="1351"/>
        <item x="1067"/>
        <item x="1717"/>
        <item x="180"/>
        <item x="1262"/>
        <item x="692"/>
        <item x="1086"/>
        <item x="1752"/>
        <item x="1118"/>
        <item x="1089"/>
        <item x="1860"/>
        <item x="350"/>
        <item x="1412"/>
        <item x="1110"/>
        <item x="1123"/>
        <item x="892"/>
        <item x="1550"/>
        <item x="240"/>
        <item x="1364"/>
        <item x="427"/>
        <item x="358"/>
        <item x="894"/>
        <item x="326"/>
        <item x="1098"/>
        <item x="1432"/>
        <item x="1429"/>
        <item x="1458"/>
        <item x="1514"/>
        <item x="959"/>
        <item x="299"/>
        <item x="494"/>
        <item x="1117"/>
        <item x="670"/>
        <item x="1666"/>
        <item x="183"/>
        <item x="668"/>
        <item x="839"/>
        <item x="1665"/>
        <item x="363"/>
        <item x="452"/>
        <item x="982"/>
        <item x="1608"/>
        <item x="1685"/>
        <item x="113"/>
        <item x="1498"/>
        <item x="24"/>
        <item x="1807"/>
        <item x="687"/>
        <item x="1116"/>
        <item x="206"/>
        <item x="1662"/>
        <item x="1421"/>
        <item x="1849"/>
        <item x="1854"/>
        <item x="294"/>
        <item x="359"/>
        <item x="1349"/>
        <item x="47"/>
        <item x="1686"/>
        <item x="649"/>
        <item x="916"/>
        <item x="989"/>
        <item x="1722"/>
        <item x="974"/>
        <item x="997"/>
        <item x="157"/>
        <item x="1187"/>
        <item x="177"/>
        <item x="345"/>
        <item x="1711"/>
        <item x="219"/>
        <item x="343"/>
        <item x="218"/>
        <item x="313"/>
        <item x="413"/>
        <item x="595"/>
        <item x="489"/>
        <item x="1441"/>
        <item x="1658"/>
        <item x="918"/>
        <item x="612"/>
        <item x="1460"/>
        <item x="1569"/>
        <item x="111"/>
        <item x="598"/>
        <item x="854"/>
        <item x="503"/>
        <item x="1626"/>
        <item x="382"/>
        <item x="788"/>
        <item x="73"/>
        <item x="38"/>
        <item x="406"/>
        <item x="1655"/>
        <item x="732"/>
        <item x="1298"/>
        <item x="21"/>
        <item x="204"/>
        <item x="99"/>
        <item x="919"/>
        <item x="985"/>
        <item x="271"/>
        <item x="1820"/>
        <item x="1392"/>
        <item x="925"/>
        <item x="134"/>
        <item x="333"/>
        <item x="414"/>
        <item x="990"/>
        <item x="1433"/>
        <item x="1320"/>
        <item x="824"/>
        <item x="552"/>
        <item x="1845"/>
        <item x="267"/>
        <item x="1055"/>
        <item x="1149"/>
        <item x="614"/>
        <item x="507"/>
        <item x="962"/>
        <item x="259"/>
        <item x="1001"/>
        <item x="152"/>
        <item x="153"/>
        <item x="753"/>
        <item x="1376"/>
        <item x="476"/>
        <item x="1133"/>
        <item x="1694"/>
        <item x="1624"/>
        <item x="829"/>
        <item x="1169"/>
        <item x="986"/>
        <item x="1178"/>
        <item x="44"/>
        <item x="703"/>
        <item x="850"/>
        <item x="873"/>
        <item x="245"/>
        <item x="729"/>
        <item x="627"/>
        <item x="1522"/>
        <item x="173"/>
        <item x="179"/>
        <item x="196"/>
        <item x="1783"/>
        <item x="1671"/>
        <item x="1837"/>
        <item x="577"/>
        <item x="1066"/>
        <item x="965"/>
        <item x="525"/>
        <item x="1193"/>
        <item x="123"/>
        <item x="1015"/>
        <item x="1583"/>
        <item x="332"/>
        <item x="1806"/>
        <item x="1782"/>
        <item x="1576"/>
        <item x="90"/>
        <item x="1812"/>
        <item x="263"/>
        <item x="772"/>
        <item x="335"/>
        <item x="1632"/>
        <item x="170"/>
        <item x="814"/>
        <item x="27"/>
        <item x="30"/>
        <item x="31"/>
        <item x="28"/>
        <item x="434"/>
        <item x="1736"/>
        <item x="1618"/>
        <item x="227"/>
        <item x="766"/>
        <item x="229"/>
        <item x="1124"/>
        <item x="103"/>
        <item x="1296"/>
        <item x="1580"/>
        <item x="224"/>
        <item x="890"/>
        <item x="1532"/>
        <item x="908"/>
        <item x="973"/>
        <item x="1225"/>
        <item x="1215"/>
        <item x="387"/>
        <item x="1025"/>
        <item x="1756"/>
        <item x="838"/>
        <item x="440"/>
        <item x="930"/>
        <item x="778"/>
        <item x="1268"/>
        <item x="1570"/>
        <item x="1701"/>
        <item x="40"/>
        <item x="1244"/>
        <item x="498"/>
        <item x="652"/>
        <item x="924"/>
        <item x="980"/>
        <item x="574"/>
        <item x="1014"/>
        <item x="727"/>
        <item x="1179"/>
        <item x="394"/>
        <item x="1486"/>
        <item x="1487"/>
        <item x="1167"/>
        <item x="1600"/>
        <item x="709"/>
        <item x="233"/>
        <item x="1743"/>
        <item x="1515"/>
        <item x="149"/>
        <item x="1103"/>
        <item x="1869"/>
        <item x="1681"/>
        <item x="1763"/>
        <item x="761"/>
        <item x="185"/>
        <item x="864"/>
        <item x="1106"/>
        <item x="29"/>
        <item x="927"/>
        <item x="1064"/>
        <item x="716"/>
        <item x="1858"/>
        <item x="77"/>
        <item x="519"/>
        <item x="1535"/>
        <item x="1706"/>
        <item x="19"/>
        <item x="955"/>
        <item x="289"/>
        <item x="1536"/>
        <item x="1855"/>
        <item x="342"/>
        <item x="1074"/>
        <item x="1316"/>
        <item x="1090"/>
        <item x="733"/>
        <item x="822"/>
        <item x="1405"/>
        <item x="1276"/>
        <item x="262"/>
        <item x="566"/>
        <item x="1797"/>
        <item x="799"/>
        <item x="957"/>
        <item x="602"/>
        <item x="88"/>
        <item x="1036"/>
        <item x="377"/>
        <item x="1547"/>
        <item x="1707"/>
        <item x="105"/>
        <item x="878"/>
        <item x="283"/>
        <item x="849"/>
        <item x="137"/>
        <item x="282"/>
        <item x="1186"/>
        <item x="83"/>
        <item x="645"/>
        <item x="176"/>
        <item x="438"/>
        <item x="1344"/>
        <item x="1520"/>
        <item x="1451"/>
        <item x="1699"/>
        <item x="741"/>
        <item x="952"/>
        <item x="1095"/>
        <item x="401"/>
        <item x="213"/>
        <item x="1729"/>
        <item x="322"/>
        <item x="866"/>
        <item x="937"/>
        <item x="748"/>
        <item x="67"/>
        <item x="473"/>
        <item x="146"/>
        <item x="1087"/>
        <item x="561"/>
        <item x="1793"/>
        <item x="586"/>
        <item x="199"/>
        <item x="1764"/>
        <item x="379"/>
        <item x="1672"/>
        <item x="1427"/>
        <item x="994"/>
        <item x="1218"/>
        <item x="1774"/>
        <item x="1286"/>
        <item x="508"/>
        <item x="409"/>
        <item x="1132"/>
        <item x="1184"/>
        <item x="1334"/>
        <item x="1587"/>
        <item x="797"/>
        <item x="551"/>
        <item x="1834"/>
        <item x="106"/>
        <item x="795"/>
        <item x="1029"/>
        <item x="1216"/>
        <item x="63"/>
        <item x="1828"/>
        <item x="1590"/>
        <item x="8"/>
        <item x="594"/>
        <item x="1598"/>
        <item x="783"/>
        <item x="1559"/>
        <item x="832"/>
        <item x="1613"/>
        <item x="1185"/>
        <item x="200"/>
        <item x="941"/>
        <item x="1591"/>
        <item x="193"/>
        <item x="1190"/>
        <item x="608"/>
        <item x="1069"/>
        <item x="1623"/>
        <item x="1092"/>
        <item x="1383"/>
        <item x="698"/>
        <item x="1259"/>
        <item x="1205"/>
        <item x="1035"/>
        <item x="1306"/>
        <item x="899"/>
        <item x="1111"/>
        <item x="1544"/>
        <item x="528"/>
        <item x="109"/>
        <item x="1829"/>
        <item x="956"/>
        <item x="1211"/>
        <item x="722"/>
        <item x="1452"/>
        <item x="1805"/>
        <item x="1687"/>
        <item x="734"/>
        <item x="820"/>
        <item x="1471"/>
        <item x="1112"/>
        <item x="1501"/>
        <item x="661"/>
        <item x="1181"/>
        <item x="745"/>
        <item x="1740"/>
        <item x="510"/>
        <item x="509"/>
        <item x="1643"/>
        <item x="121"/>
        <item x="4"/>
        <item x="1481"/>
        <item x="672"/>
        <item x="1607"/>
        <item x="1472"/>
        <item x="805"/>
        <item x="671"/>
        <item x="693"/>
        <item x="757"/>
        <item x="1571"/>
        <item x="459"/>
        <item x="315"/>
        <item x="1058"/>
        <item x="902"/>
        <item x="112"/>
        <item x="136"/>
        <item x="398"/>
        <item x="576"/>
        <item x="1836"/>
        <item x="223"/>
        <item x="1757"/>
        <item x="699"/>
        <item x="1297"/>
        <item x="1119"/>
        <item x="1810"/>
        <item x="474"/>
        <item x="811"/>
        <item x="888"/>
        <item x="975"/>
        <item x="362"/>
        <item x="1502"/>
        <item x="1634"/>
        <item x="1062"/>
        <item x="1814"/>
        <item x="1352"/>
        <item x="1051"/>
        <item x="1864"/>
        <item x="1235"/>
        <item x="1510"/>
        <item x="842"/>
        <item x="928"/>
        <item x="1361"/>
        <item x="191"/>
        <item x="815"/>
        <item x="1350"/>
        <item x="1730"/>
        <item x="1638"/>
        <item x="1150"/>
        <item x="373"/>
        <item x="828"/>
        <item x="841"/>
        <item x="1627"/>
        <item x="288"/>
        <item x="116"/>
        <item x="644"/>
        <item x="1494"/>
        <item x="623"/>
        <item x="1059"/>
        <item x="683"/>
        <item x="607"/>
        <item x="664"/>
        <item x="403"/>
        <item x="110"/>
        <item x="1144"/>
        <item x="1083"/>
        <item x="1354"/>
        <item x="1165"/>
        <item x="1675"/>
        <item x="1664"/>
        <item x="1478"/>
        <item x="1753"/>
        <item x="1319"/>
        <item x="1565"/>
        <item x="615"/>
        <item x="719"/>
        <item x="588"/>
        <item x="164"/>
        <item x="567"/>
        <item x="446"/>
        <item x="429"/>
        <item x="1282"/>
        <item x="1725"/>
        <item x="520"/>
        <item x="1008"/>
        <item x="306"/>
        <item x="922"/>
        <item x="34"/>
        <item x="642"/>
        <item x="1567"/>
        <item x="1867"/>
        <item x="16"/>
        <item x="667"/>
        <item x="1830"/>
        <item x="492"/>
        <item x="1731"/>
        <item x="85"/>
        <item x="1726"/>
        <item x="1695"/>
        <item x="302"/>
        <item x="675"/>
        <item x="1410"/>
        <item x="1100"/>
        <item x="1593"/>
        <item x="1423"/>
        <item x="787"/>
        <item x="1721"/>
        <item x="948"/>
        <item x="433"/>
        <item x="659"/>
        <item x="310"/>
        <item x="744"/>
        <item x="998"/>
        <item x="572"/>
        <item x="460"/>
        <item x="1619"/>
        <item x="1041"/>
        <item x="495"/>
        <item x="640"/>
        <item x="564"/>
        <item x="1746"/>
        <item x="1126"/>
        <item x="211"/>
        <item x="738"/>
        <item x="207"/>
        <item x="270"/>
        <item x="1696"/>
        <item x="305"/>
        <item x="1861"/>
        <item x="874"/>
        <item x="1614"/>
        <item x="1229"/>
        <item x="870"/>
        <item x="979"/>
        <item x="1760"/>
        <item x="863"/>
        <item x="1162"/>
        <item x="102"/>
        <item x="361"/>
        <item x="426"/>
        <item x="1647"/>
        <item x="1846"/>
        <item x="1847"/>
        <item x="1157"/>
        <item x="833"/>
        <item x="511"/>
        <item x="1676"/>
        <item x="1217"/>
        <item x="953"/>
        <item x="1625"/>
        <item x="995"/>
        <item x="502"/>
        <item x="1611"/>
        <item x="518"/>
        <item x="1207"/>
        <item x="951"/>
        <item x="831"/>
        <item x="777"/>
        <item x="1581"/>
        <item x="981"/>
        <item x="1317"/>
        <item x="464"/>
        <item x="1078"/>
        <item x="1594"/>
        <item x="1765"/>
        <item x="1585"/>
        <item x="393"/>
        <item x="617"/>
        <item x="1447"/>
        <item x="1553"/>
        <item x="1101"/>
        <item x="1748"/>
        <item x="5"/>
        <item x="1542"/>
        <item x="1832"/>
        <item x="1007"/>
        <item x="435"/>
        <item x="444"/>
        <item x="186"/>
        <item x="794"/>
        <item x="506"/>
        <item x="314"/>
        <item x="810"/>
        <item x="837"/>
        <item x="10"/>
        <item x="1650"/>
        <item x="337"/>
        <item x="296"/>
        <item x="96"/>
        <item x="1084"/>
        <item x="1679"/>
        <item x="159"/>
        <item x="1622"/>
        <item x="221"/>
        <item x="1723"/>
        <item x="329"/>
        <item x="272"/>
        <item x="1301"/>
        <item x="1556"/>
        <item x="512"/>
        <item x="606"/>
        <item x="1434"/>
        <item x="942"/>
        <item x="1459"/>
        <item x="639"/>
        <item x="1713"/>
        <item x="643"/>
        <item x="1182"/>
        <item x="1192"/>
        <item x="871"/>
        <item x="1362"/>
        <item x="248"/>
        <item x="770"/>
        <item x="1241"/>
        <item x="351"/>
        <item x="912"/>
        <item x="158"/>
        <item x="1609"/>
        <item x="1775"/>
        <item x="1563"/>
        <item x="1564"/>
        <item x="861"/>
        <item x="1082"/>
        <item x="1189"/>
        <item x="1604"/>
        <item x="1528"/>
        <item x="524"/>
        <item x="532"/>
        <item x="681"/>
        <item x="450"/>
        <item x="907"/>
        <item x="904"/>
        <item x="906"/>
        <item x="905"/>
        <item x="1379"/>
        <item x="141"/>
        <item x="535"/>
        <item x="230"/>
        <item x="217"/>
        <item x="254"/>
        <item x="132"/>
        <item x="1154"/>
        <item x="402"/>
        <item x="742"/>
        <item x="355"/>
        <item x="187"/>
        <item x="1031"/>
        <item x="819"/>
        <item x="1641"/>
        <item x="1139"/>
        <item x="987"/>
        <item x="309"/>
        <item x="1250"/>
        <item x="647"/>
        <item x="562"/>
        <item x="771"/>
        <item x="12"/>
        <item x="834"/>
        <item x="896"/>
        <item x="497"/>
        <item x="1005"/>
        <item x="483"/>
        <item x="1077"/>
        <item x="1507"/>
        <item x="1572"/>
        <item x="181"/>
        <item x="1737"/>
        <item x="383"/>
        <item x="875"/>
        <item x="1523"/>
        <item x="1146"/>
        <item x="208"/>
        <item x="1239"/>
        <item x="395"/>
        <item x="1816"/>
        <item x="1159"/>
        <item x="1145"/>
        <item x="628"/>
        <item x="1022"/>
        <item x="1080"/>
        <item x="430"/>
        <item x="773"/>
        <item x="526"/>
        <item x="1656"/>
        <item x="129"/>
        <item x="1153"/>
        <item x="718"/>
        <item x="1303"/>
        <item x="1499"/>
        <item x="251"/>
        <item x="585"/>
        <item x="190"/>
        <item x="197"/>
        <item x="983"/>
        <item x="1776"/>
        <item x="1348"/>
        <item x="449"/>
        <item x="1728"/>
        <item x="1799"/>
        <item x="1156"/>
        <item x="792"/>
        <item x="1862"/>
        <item x="277"/>
        <item x="603"/>
        <item x="1302"/>
        <item x="1107"/>
        <item x="1479"/>
        <item x="1021"/>
        <item x="1735"/>
        <item x="583"/>
        <item x="679"/>
        <item x="549"/>
        <item x="76"/>
        <item x="1595"/>
        <item x="1056"/>
        <item x="1442"/>
        <item x="855"/>
        <item x="923"/>
        <item x="1703"/>
        <item x="500"/>
        <item x="201"/>
        <item x="1485"/>
        <item x="851"/>
        <item x="1277"/>
        <item x="1270"/>
        <item x="1461"/>
        <item x="1777"/>
        <item x="696"/>
        <item x="939"/>
        <item x="1234"/>
        <item x="1057"/>
        <item x="618"/>
        <item x="1690"/>
        <item x="1543"/>
        <item x="1448"/>
        <item x="1642"/>
        <item x="1404"/>
        <item x="970"/>
        <item x="344"/>
        <item x="1291"/>
        <item x="657"/>
        <item x="1449"/>
        <item x="883"/>
        <item x="654"/>
        <item x="884"/>
        <item x="885"/>
        <item x="84"/>
        <item x="154"/>
        <item x="46"/>
        <item x="807"/>
        <item x="920"/>
        <item x="1561"/>
        <item x="1152"/>
        <item x="1096"/>
        <item x="122"/>
        <item x="499"/>
        <item x="60"/>
        <item x="889"/>
        <item x="1605"/>
        <item x="911"/>
        <item x="1414"/>
        <item x="1115"/>
        <item x="1438"/>
        <item x="886"/>
        <item x="701"/>
        <item x="467"/>
        <item x="629"/>
        <item x="151"/>
        <item x="1840"/>
        <item x="662"/>
        <item x="542"/>
        <item x="58"/>
        <item x="65"/>
        <item x="36"/>
        <item x="847"/>
        <item x="626"/>
        <item x="592"/>
        <item x="1488"/>
        <item x="1248"/>
        <item x="743"/>
        <item x="321"/>
        <item x="1778"/>
        <item x="1683"/>
        <item x="651"/>
        <item x="1079"/>
        <item x="81"/>
        <item x="266"/>
        <item x="53"/>
        <item x="1803"/>
        <item x="830"/>
        <item x="1467"/>
        <item x="1781"/>
        <item x="1529"/>
        <item x="9"/>
        <item x="1483"/>
        <item x="1012"/>
        <item x="1013"/>
        <item x="1682"/>
        <item x="126"/>
        <item x="793"/>
        <item x="747"/>
        <item x="26"/>
        <item x="752"/>
        <item x="582"/>
        <item x="1049"/>
        <item x="781"/>
        <item x="243"/>
        <item x="301"/>
        <item x="286"/>
        <item x="138"/>
        <item x="1075"/>
        <item x="1024"/>
        <item x="1430"/>
        <item x="352"/>
        <item x="353"/>
        <item x="1876"/>
        <item x="1489"/>
        <item x="1420"/>
        <item x="573"/>
        <item x="1482"/>
        <item x="1716"/>
        <item x="1027"/>
        <item x="1209"/>
        <item x="1197"/>
        <item x="1222"/>
        <item x="317"/>
        <item x="312"/>
        <item x="546"/>
        <item x="339"/>
        <item x="1335"/>
        <item x="710"/>
        <item x="1357"/>
        <item x="108"/>
        <item x="705"/>
        <item x="341"/>
        <item x="37"/>
        <item x="1147"/>
        <item x="1409"/>
        <item x="87"/>
        <item x="86"/>
        <item x="280"/>
        <item x="216"/>
        <item x="1269"/>
        <item x="469"/>
        <item x="399"/>
        <item x="1720"/>
        <item x="568"/>
        <item x="1325"/>
        <item x="1435"/>
        <item x="720"/>
        <item x="13"/>
        <item x="1787"/>
        <item x="189"/>
        <item x="1744"/>
        <item x="1164"/>
        <item x="1332"/>
        <item x="1338"/>
        <item x="54"/>
        <item x="848"/>
        <item x="1794"/>
        <item x="523"/>
        <item x="726"/>
        <item x="996"/>
        <item x="32"/>
        <item x="537"/>
        <item x="1135"/>
        <item x="536"/>
        <item x="1620"/>
        <item x="544"/>
        <item x="543"/>
        <item x="666"/>
        <item x="1271"/>
        <item x="295"/>
        <item x="816"/>
        <item x="1770"/>
        <item x="971"/>
        <item x="1388"/>
        <item x="1831"/>
        <item x="1272"/>
        <item x="1651"/>
        <item x="68"/>
        <item x="275"/>
        <item x="1617"/>
        <item x="653"/>
        <item x="1635"/>
        <item x="517"/>
        <item x="100"/>
        <item x="1219"/>
        <item x="175"/>
        <item x="1792"/>
        <item x="676"/>
        <item x="1363"/>
        <item x="1168"/>
        <item x="954"/>
        <item x="360"/>
        <item x="1342"/>
        <item x="1048"/>
        <item x="563"/>
        <item x="1468"/>
        <item x="1054"/>
        <item x="1575"/>
        <item x="1254"/>
        <item x="381"/>
        <item x="1094"/>
        <item x="869"/>
        <item x="400"/>
        <item x="1456"/>
        <item x="1603"/>
        <item x="1615"/>
        <item x="486"/>
        <item x="410"/>
        <item x="1771"/>
        <item x="1667"/>
        <item x="234"/>
        <item x="817"/>
        <item x="764"/>
        <item x="1177"/>
        <item x="707"/>
        <item x="1020"/>
        <item x="1196"/>
        <item x="762"/>
        <item x="1210"/>
        <item x="1533"/>
        <item x="1557"/>
        <item x="160"/>
        <item x="1072"/>
        <item x="1402"/>
        <item x="1700"/>
        <item x="97"/>
        <item x="1648"/>
        <item x="172"/>
        <item x="1155"/>
        <item x="1140"/>
        <item x="775"/>
        <item x="222"/>
        <item x="522"/>
        <item x="801"/>
        <item x="139"/>
        <item x="188"/>
        <item x="1795"/>
        <item x="560"/>
        <item x="584"/>
        <item x="93"/>
        <item x="415"/>
        <item x="39"/>
        <item x="396"/>
        <item x="140"/>
        <item x="1413"/>
        <item x="1105"/>
        <item x="1823"/>
        <item x="1628"/>
        <item x="539"/>
        <item x="840"/>
        <item x="1508"/>
        <item x="1761"/>
        <item x="1850"/>
        <item x="1221"/>
        <item x="660"/>
        <item x="1462"/>
        <item x="714"/>
        <item x="935"/>
        <item x="694"/>
        <item x="1341"/>
        <item x="178"/>
        <item x="303"/>
        <item x="946"/>
        <item x="1644"/>
        <item x="1865"/>
        <item x="1663"/>
        <item x="1073"/>
        <item x="192"/>
        <item x="999"/>
        <item x="686"/>
        <item x="1839"/>
        <item x="1473"/>
        <item x="1328"/>
        <item x="1444"/>
        <item x="334"/>
        <item x="378"/>
        <item x="1141"/>
        <item x="1463"/>
        <item x="610"/>
        <item x="1826"/>
        <item x="887"/>
        <item x="71"/>
        <item x="933"/>
        <item x="1061"/>
        <item x="1639"/>
        <item x="1436"/>
        <item x="487"/>
        <item x="1220"/>
        <item x="620"/>
        <item x="1134"/>
        <item x="142"/>
        <item x="1130"/>
        <item x="1374"/>
        <item x="514"/>
        <item x="1689"/>
        <item x="82"/>
        <item x="1645"/>
        <item x="1375"/>
        <item x="1148"/>
        <item x="144"/>
        <item x="1037"/>
        <item x="304"/>
        <item x="1636"/>
        <item x="791"/>
        <item x="1759"/>
        <item x="209"/>
        <item x="604"/>
        <item x="1838"/>
        <item x="374"/>
        <item x="1863"/>
        <item x="1401"/>
        <item x="938"/>
        <item x="1201"/>
        <item x="255"/>
        <item x="1693"/>
        <item x="1466"/>
        <item x="876"/>
        <item x="1857"/>
        <item x="124"/>
        <item x="1769"/>
        <item x="1415"/>
        <item x="43"/>
        <item x="813"/>
        <item x="225"/>
        <item x="226"/>
        <item x="665"/>
        <item x="1754"/>
        <item x="215"/>
        <item x="1541"/>
        <item x="1365"/>
        <item x="1779"/>
        <item x="184"/>
        <item x="1439"/>
        <item x="1315"/>
        <item x="559"/>
        <item x="1033"/>
        <item x="1870"/>
        <item x="1275"/>
        <item x="468"/>
        <item x="1173"/>
        <item x="1868"/>
        <item x="553"/>
        <item x="1042"/>
        <item x="91"/>
        <item x="1191"/>
        <item x="237"/>
        <item x="1692"/>
        <item x="1872"/>
        <item x="6"/>
        <item x="231"/>
        <item x="349"/>
        <item x="1247"/>
        <item x="23"/>
        <item x="1188"/>
        <item x="1000"/>
        <item x="1688"/>
        <item x="171"/>
        <item x="1596"/>
        <item x="1371"/>
        <item x="1408"/>
        <item x="1324"/>
        <item x="195"/>
        <item x="803"/>
        <item x="1579"/>
        <item x="238"/>
        <item x="458"/>
        <item x="1678"/>
        <item x="630"/>
        <item x="821"/>
        <item x="1824"/>
        <item x="749"/>
        <item x="565"/>
        <item x="260"/>
        <item x="673"/>
        <item x="1785"/>
        <item x="1871"/>
        <item x="1393"/>
        <item x="635"/>
        <item x="605"/>
        <item x="1030"/>
        <item x="25"/>
        <item x="485"/>
        <item x="1245"/>
        <item x="1044"/>
        <item x="1172"/>
        <item x="550"/>
        <item x="713"/>
        <item x="1251"/>
        <item x="481"/>
        <item x="674"/>
        <item x="700"/>
        <item x="1800"/>
        <item x="1661"/>
        <item x="1539"/>
        <item x="806"/>
        <item x="731"/>
        <item x="688"/>
        <item x="1288"/>
        <item x="1418"/>
        <item x="796"/>
        <item x="538"/>
        <item x="1176"/>
        <item x="1043"/>
        <item x="1343"/>
        <item x="74"/>
        <item x="448"/>
        <item x="723"/>
        <item x="131"/>
        <item x="1848"/>
        <item x="1866"/>
        <item x="1513"/>
        <item x="1071"/>
        <item x="392"/>
        <item x="945"/>
        <item x="1780"/>
        <item x="1369"/>
        <item x="740"/>
        <item x="1287"/>
        <item x="1766"/>
        <item x="1023"/>
        <item x="1568"/>
        <item x="725"/>
        <item x="1256"/>
        <item x="1340"/>
        <item x="463"/>
        <item x="844"/>
        <item x="384"/>
        <item x="416"/>
        <item x="1213"/>
        <item x="554"/>
        <item x="658"/>
        <item x="1322"/>
        <item x="386"/>
        <item x="1525"/>
        <item x="390"/>
        <item x="802"/>
        <item x="33"/>
        <item x="597"/>
        <item x="1786"/>
        <item x="478"/>
        <item x="1395"/>
        <item x="1841"/>
        <item x="950"/>
        <item x="269"/>
        <item x="1199"/>
        <item x="1314"/>
        <item x="1318"/>
        <item x="261"/>
        <item x="1292"/>
        <item x="1293"/>
        <item x="1295"/>
        <item x="1368"/>
        <item x="1512"/>
        <item x="1032"/>
        <item x="1749"/>
        <item x="711"/>
        <item x="581"/>
        <item x="1819"/>
        <item x="967"/>
        <item x="909"/>
        <item x="1747"/>
        <item x="1046"/>
        <item x="1718"/>
        <item x="1715"/>
        <item x="340"/>
        <item x="1835"/>
        <item x="370"/>
        <item x="1704"/>
        <item x="79"/>
        <item x="1006"/>
        <item x="558"/>
        <item x="619"/>
        <item x="589"/>
        <item x="1003"/>
        <item x="457"/>
        <item x="972"/>
        <item x="650"/>
        <item x="655"/>
        <item x="1649"/>
        <item x="859"/>
        <item x="1081"/>
        <item x="1131"/>
        <item x="1709"/>
        <item x="579"/>
        <item x="325"/>
        <item x="428"/>
        <item x="1457"/>
        <item x="913"/>
        <item x="1065"/>
        <item x="1063"/>
        <item x="1804"/>
        <item x="49"/>
        <item x="690"/>
        <item x="1353"/>
        <item x="212"/>
        <item x="1669"/>
        <item x="843"/>
        <item x="7"/>
        <item x="1652"/>
        <item x="867"/>
        <item x="960"/>
        <item x="442"/>
        <item x="278"/>
        <item x="1516"/>
        <item x="1464"/>
        <item x="835"/>
        <item x="1833"/>
        <item x="166"/>
        <item x="1517"/>
        <item x="95"/>
        <item x="80"/>
        <item x="845"/>
        <item x="462"/>
        <item x="461"/>
        <item x="1407"/>
        <item x="798"/>
        <item x="41"/>
        <item x="127"/>
        <item x="754"/>
        <item x="11"/>
        <item x="380"/>
        <item x="712"/>
        <item x="932"/>
        <item x="860"/>
        <item x="934"/>
        <item x="1842"/>
        <item x="1697"/>
        <item x="1129"/>
        <item x="767"/>
        <item x="1758"/>
        <item x="1308"/>
        <item x="1310"/>
        <item x="94"/>
        <item x="115"/>
        <item x="1109"/>
        <item x="1554"/>
        <item x="1573"/>
        <item x="436"/>
        <item x="611"/>
        <item x="685"/>
        <item x="1026"/>
        <item x="1526"/>
        <item x="1762"/>
        <item x="1214"/>
        <item x="364"/>
        <item x="768"/>
        <item x="1198"/>
        <item x="114"/>
        <item x="765"/>
        <item x="1813"/>
        <item x="447"/>
        <item x="1104"/>
        <item x="547"/>
        <item x="1258"/>
        <item x="1534"/>
        <item x="1321"/>
        <item x="853"/>
        <item x="1505"/>
        <item x="1137"/>
        <item x="915"/>
        <item x="75"/>
        <item x="1016"/>
        <item x="1359"/>
        <item x="1360"/>
        <item x="475"/>
        <item x="52"/>
        <item x="70"/>
        <item x="534"/>
        <item x="1490"/>
        <item x="1384"/>
        <item x="836"/>
        <item x="1538"/>
        <item x="1411"/>
        <item x="291"/>
        <item x="257"/>
        <item x="992"/>
        <item x="1311"/>
        <item x="513"/>
        <item x="1138"/>
        <item x="1527"/>
        <item x="1018"/>
        <item x="421"/>
        <item x="1454"/>
        <item x="318"/>
        <item x="1698"/>
        <item x="984"/>
        <item x="455"/>
        <item x="1657"/>
        <item x="1825"/>
        <item x="541"/>
        <item x="895"/>
        <item x="423"/>
        <item x="1237"/>
        <item x="1396"/>
        <item x="1773"/>
        <item x="530"/>
        <item x="531"/>
        <item x="169"/>
        <item x="1385"/>
        <item x="477"/>
        <item x="715"/>
        <item x="268"/>
        <item x="327"/>
        <item x="1224"/>
        <item x="1440"/>
        <item x="250"/>
        <item x="417"/>
        <item x="1582"/>
        <item x="443"/>
        <item x="119"/>
        <item x="118"/>
        <item x="1309"/>
        <item x="1426"/>
        <item x="882"/>
        <item x="1142"/>
        <item x="1143"/>
        <item x="1673"/>
        <item x="210"/>
        <item x="1796"/>
        <item x="1521"/>
        <item x="1108"/>
        <item x="1"/>
        <item x="501"/>
        <item x="61"/>
        <item x="367"/>
        <item x="1808"/>
        <item x="697"/>
        <item x="1289"/>
        <item x="1555"/>
        <item x="1610"/>
        <item x="1506"/>
        <item x="311"/>
        <item x="571"/>
        <item x="557"/>
        <item x="1312"/>
        <item x="1767"/>
        <item x="148"/>
        <item x="1194"/>
        <item x="496"/>
        <item x="488"/>
        <item x="290"/>
        <item x="1004"/>
        <item x="789"/>
        <item x="790"/>
        <item x="575"/>
        <item x="1465"/>
        <item x="529"/>
        <item x="244"/>
        <item x="505"/>
        <item x="424"/>
        <item x="1477"/>
        <item x="316"/>
        <item x="1705"/>
        <item x="203"/>
        <item x="1732"/>
        <item x="1474"/>
        <item x="354"/>
        <item x="1560"/>
        <item x="471"/>
        <item x="145"/>
        <item x="877"/>
        <item x="663"/>
        <item x="638"/>
        <item x="1584"/>
        <item x="1330"/>
        <item x="818"/>
        <item x="258"/>
        <item x="1227"/>
        <item x="247"/>
        <item x="1339"/>
        <item x="1659"/>
        <item x="50"/>
        <item x="1294"/>
        <item x="804"/>
        <item x="98"/>
        <item x="300"/>
        <item x="45"/>
        <item x="1299"/>
        <item x="631"/>
        <item x="432"/>
        <item x="397"/>
        <item x="1856"/>
        <item x="858"/>
        <item x="1002"/>
        <item x="1252"/>
        <item x="451"/>
        <item x="1791"/>
        <item x="161"/>
        <item x="465"/>
        <item x="198"/>
        <item x="1183"/>
        <item x="1204"/>
        <item x="371"/>
        <item x="527"/>
        <item x="320"/>
        <item x="1818"/>
        <item x="1750"/>
        <item x="1400"/>
        <item x="756"/>
        <item x="1493"/>
        <item x="18"/>
        <item x="609"/>
        <item x="1599"/>
        <item x="1422"/>
        <item x="940"/>
        <item x="852"/>
        <item x="880"/>
        <item x="1815"/>
        <item x="1397"/>
        <item x="1331"/>
        <item x="480"/>
        <item x="739"/>
        <item x="545"/>
        <item x="365"/>
        <item x="901"/>
        <item x="1099"/>
        <item x="1366"/>
        <item x="755"/>
        <item x="823"/>
        <item x="1273"/>
        <item x="1873"/>
        <item x="89"/>
        <item x="253"/>
        <item x="1068"/>
        <item x="1724"/>
        <item x="578"/>
        <item x="1491"/>
        <item x="809"/>
        <item x="1859"/>
        <item x="168"/>
        <item x="865"/>
        <item x="1660"/>
        <item x="1398"/>
        <item x="273"/>
        <item x="1719"/>
        <item x="1158"/>
        <item x="69"/>
        <item x="1019"/>
        <item x="1741"/>
        <item x="596"/>
        <item x="14"/>
        <item x="988"/>
        <item x="1370"/>
        <item x="205"/>
        <item x="346"/>
        <item x="323"/>
        <item x="1381"/>
        <item x="412"/>
        <item x="1437"/>
        <item x="1621"/>
        <item x="1175"/>
        <item x="1017"/>
        <item x="1755"/>
        <item x="1232"/>
        <item x="1170"/>
        <item x="48"/>
        <item x="917"/>
        <item x="735"/>
        <item x="330"/>
        <item x="182"/>
        <item x="20"/>
        <item x="265"/>
        <item x="264"/>
        <item x="632"/>
        <item x="1537"/>
        <item x="1530"/>
        <item x="1708"/>
        <item x="22"/>
        <item x="1290"/>
        <item x="966"/>
        <item x="1495"/>
        <item x="1742"/>
        <item x="910"/>
        <item x="1616"/>
        <item x="232"/>
        <item x="1050"/>
        <item x="702"/>
        <item x="780"/>
        <item x="104"/>
        <item x="1264"/>
        <item x="1511"/>
        <item x="689"/>
        <item x="1358"/>
        <item x="1509"/>
        <item x="1827"/>
        <item x="1242"/>
        <item x="825"/>
        <item x="242"/>
        <item x="1202"/>
        <item x="276"/>
        <item x="1356"/>
        <item x="636"/>
        <item x="292"/>
        <item x="1484"/>
        <item x="1670"/>
        <item x="1640"/>
        <item x="648"/>
        <item x="1076"/>
        <item x="1469"/>
      </items>
    </pivotField>
    <pivotField compact="0" outline="0" showAll="0" defaultSubtotal="0"/>
    <pivotField axis="axisRow" compact="0" outline="0" showAll="0" defaultSubtotal="0">
      <items count="1921">
        <item x="14"/>
        <item x="602"/>
        <item x="1068"/>
        <item x="401"/>
        <item x="1069"/>
        <item x="325"/>
        <item x="22"/>
        <item x="1038"/>
        <item x="1074"/>
        <item x="1406"/>
        <item x="171"/>
        <item x="1012"/>
        <item x="54"/>
        <item x="12"/>
        <item x="1070"/>
        <item x="759"/>
        <item x="1013"/>
        <item x="760"/>
        <item x="1071"/>
        <item x="291"/>
        <item x="307"/>
        <item x="1340"/>
        <item x="1173"/>
        <item x="341"/>
        <item x="211"/>
        <item x="212"/>
        <item x="132"/>
        <item x="678"/>
        <item x="13"/>
        <item x="999"/>
        <item x="1072"/>
        <item x="133"/>
        <item x="585"/>
        <item x="956"/>
        <item x="308"/>
        <item x="399"/>
        <item x="684"/>
        <item x="957"/>
        <item x="414"/>
        <item x="69"/>
        <item x="958"/>
        <item x="326"/>
        <item x="213"/>
        <item x="1382"/>
        <item x="255"/>
        <item x="1505"/>
        <item x="1134"/>
        <item x="627"/>
        <item x="1117"/>
        <item x="1159"/>
        <item x="959"/>
        <item x="126"/>
        <item x="1017"/>
        <item x="1172"/>
        <item x="547"/>
        <item x="327"/>
        <item x="1341"/>
        <item x="554"/>
        <item x="960"/>
        <item x="256"/>
        <item x="799"/>
        <item x="438"/>
        <item x="998"/>
        <item x="758"/>
        <item x="453"/>
        <item x="1361"/>
        <item x="628"/>
        <item x="862"/>
        <item x="989"/>
        <item x="555"/>
        <item x="1327"/>
        <item x="1336"/>
        <item x="1073"/>
        <item x="342"/>
        <item x="568"/>
        <item x="1152"/>
        <item x="1053"/>
        <item x="68"/>
        <item x="377"/>
        <item x="961"/>
        <item x="724"/>
        <item x="962"/>
        <item x="685"/>
        <item x="740"/>
        <item x="1160"/>
        <item x="757"/>
        <item x="666"/>
        <item x="1402"/>
        <item x="1506"/>
        <item x="89"/>
        <item x="381"/>
        <item x="829"/>
        <item x="789"/>
        <item x="1115"/>
        <item x="1507"/>
        <item x="1118"/>
        <item x="1275"/>
        <item x="1151"/>
        <item x="1015"/>
        <item x="913"/>
        <item x="745"/>
        <item x="343"/>
        <item x="101"/>
        <item x="1041"/>
        <item x="914"/>
        <item x="344"/>
        <item x="157"/>
        <item x="448"/>
        <item x="172"/>
        <item x="1174"/>
        <item x="1453"/>
        <item x="915"/>
        <item x="858"/>
        <item x="1054"/>
        <item x="859"/>
        <item x="1131"/>
        <item x="1460"/>
        <item x="337"/>
        <item x="635"/>
        <item x="127"/>
        <item x="1042"/>
        <item x="916"/>
        <item x="1250"/>
        <item x="965"/>
        <item x="551"/>
        <item x="552"/>
        <item x="1276"/>
        <item x="832"/>
        <item x="909"/>
        <item x="1427"/>
        <item x="90"/>
        <item x="1355"/>
        <item x="1403"/>
        <item x="833"/>
        <item x="345"/>
        <item x="173"/>
        <item x="556"/>
        <item x="149"/>
        <item x="78"/>
        <item x="1461"/>
        <item x="540"/>
        <item x="73"/>
        <item x="1285"/>
        <item x="863"/>
        <item x="1283"/>
        <item x="1007"/>
        <item x="174"/>
        <item x="548"/>
        <item x="370"/>
        <item x="549"/>
        <item x="1119"/>
        <item x="746"/>
        <item x="932"/>
        <item x="376"/>
        <item x="1047"/>
        <item x="21"/>
        <item x="836"/>
        <item x="1010"/>
        <item x="1171"/>
        <item x="192"/>
        <item x="1048"/>
        <item x="719"/>
        <item x="713"/>
        <item x="536"/>
        <item x="1362"/>
        <item x="737"/>
        <item x="1016"/>
        <item x="1049"/>
        <item x="1080"/>
        <item x="667"/>
        <item x="103"/>
        <item x="259"/>
        <item x="857"/>
        <item x="550"/>
        <item x="205"/>
        <item x="1243"/>
        <item x="966"/>
        <item x="1050"/>
        <item x="756"/>
        <item x="871"/>
        <item x="739"/>
        <item x="60"/>
        <item x="587"/>
        <item x="837"/>
        <item x="158"/>
        <item x="55"/>
        <item x="433"/>
        <item x="56"/>
        <item x="1145"/>
        <item x="371"/>
        <item x="1175"/>
        <item x="1376"/>
        <item x="106"/>
        <item x="1273"/>
        <item x="122"/>
        <item x="714"/>
        <item x="790"/>
        <item x="449"/>
        <item x="738"/>
        <item x="151"/>
        <item x="193"/>
        <item x="754"/>
        <item x="1014"/>
        <item x="1351"/>
        <item x="50"/>
        <item x="990"/>
        <item x="1486"/>
        <item x="761"/>
        <item x="657"/>
        <item x="1244"/>
        <item x="194"/>
        <item x="1342"/>
        <item x="722"/>
        <item x="967"/>
        <item x="160"/>
        <item x="1116"/>
        <item x="1482"/>
        <item x="1277"/>
        <item x="260"/>
        <item x="1343"/>
        <item x="426"/>
        <item x="338"/>
        <item x="1003"/>
        <item x="1292"/>
        <item x="1111"/>
        <item x="770"/>
        <item x="1337"/>
        <item x="1352"/>
        <item x="1209"/>
        <item x="1177"/>
        <item x="855"/>
        <item x="747"/>
        <item x="366"/>
        <item x="824"/>
        <item x="465"/>
        <item x="1268"/>
        <item x="1332"/>
        <item x="1487"/>
        <item x="79"/>
        <item x="128"/>
        <item x="427"/>
        <item x="991"/>
        <item x="830"/>
        <item x="1492"/>
        <item x="762"/>
        <item x="1360"/>
        <item x="1058"/>
        <item x="76"/>
        <item x="912"/>
        <item x="367"/>
        <item x="1107"/>
        <item x="763"/>
        <item x="1455"/>
        <item x="1147"/>
        <item x="23"/>
        <item x="600"/>
        <item x="493"/>
        <item x="735"/>
        <item x="1039"/>
        <item x="15"/>
        <item x="34"/>
        <item x="1364"/>
        <item x="254"/>
        <item x="1112"/>
        <item x="1274"/>
        <item x="860"/>
        <item x="1278"/>
        <item x="61"/>
        <item x="1254"/>
        <item x="1178"/>
        <item x="1008"/>
        <item x="572"/>
        <item x="953"/>
        <item x="195"/>
        <item x="368"/>
        <item x="1255"/>
        <item x="285"/>
        <item x="1483"/>
        <item x="632"/>
        <item x="1120"/>
        <item x="1493"/>
        <item x="16"/>
        <item x="868"/>
        <item x="936"/>
        <item x="1065"/>
        <item x="1146"/>
        <item x="586"/>
        <item x="827"/>
        <item x="324"/>
        <item x="62"/>
        <item x="755"/>
        <item x="1143"/>
        <item x="625"/>
        <item x="369"/>
        <item x="24"/>
        <item x="748"/>
        <item x="1043"/>
        <item x="1149"/>
        <item x="720"/>
        <item x="668"/>
        <item x="884"/>
        <item x="439"/>
        <item x="1338"/>
        <item x="292"/>
        <item x="986"/>
        <item x="96"/>
        <item x="107"/>
        <item x="57"/>
        <item x="1030"/>
        <item x="1256"/>
        <item x="88"/>
        <item x="1031"/>
        <item x="129"/>
        <item x="1000"/>
        <item x="1001"/>
        <item x="726"/>
        <item x="893"/>
        <item x="995"/>
        <item x="516"/>
        <item x="854"/>
        <item x="440"/>
        <item x="1101"/>
        <item x="873"/>
        <item x="677"/>
        <item x="159"/>
        <item x="542"/>
        <item x="1009"/>
        <item x="1148"/>
        <item x="853"/>
        <item x="1004"/>
        <item x="161"/>
        <item x="544"/>
        <item x="491"/>
        <item x="206"/>
        <item x="306"/>
        <item x="612"/>
        <item x="199"/>
        <item x="703"/>
        <item x="1176"/>
        <item x="304"/>
        <item x="743"/>
        <item x="834"/>
        <item x="1108"/>
        <item x="617"/>
        <item x="1479"/>
        <item x="928"/>
        <item x="162"/>
        <item x="123"/>
        <item x="631"/>
        <item x="117"/>
        <item x="1353"/>
        <item x="1133"/>
        <item x="1096"/>
        <item x="249"/>
        <item x="1032"/>
        <item x="1033"/>
        <item x="856"/>
        <item x="104"/>
        <item x="1321"/>
        <item x="828"/>
        <item x="861"/>
        <item x="58"/>
        <item x="108"/>
        <item x="494"/>
        <item x="764"/>
        <item x="705"/>
        <item x="1011"/>
        <item x="908"/>
        <item x="937"/>
        <item x="63"/>
        <item x="622"/>
        <item x="207"/>
        <item x="1028"/>
        <item x="373"/>
        <item x="466"/>
        <item x="1484"/>
        <item x="727"/>
        <item x="450"/>
        <item x="1293"/>
        <item x="97"/>
        <item x="825"/>
        <item x="243"/>
        <item x="1034"/>
        <item x="495"/>
        <item x="992"/>
        <item x="1113"/>
        <item x="420"/>
        <item x="1210"/>
        <item x="601"/>
        <item x="1462"/>
        <item x="1179"/>
        <item x="574"/>
        <item x="1267"/>
        <item x="898"/>
        <item x="91"/>
        <item x="244"/>
        <item x="613"/>
        <item x="603"/>
        <item x="594"/>
        <item x="553"/>
        <item x="1005"/>
        <item x="80"/>
        <item x="885"/>
        <item x="208"/>
        <item x="1237"/>
        <item x="434"/>
        <item x="1249"/>
        <item x="771"/>
        <item x="1365"/>
        <item x="124"/>
        <item x="250"/>
        <item x="1271"/>
        <item x="911"/>
        <item x="599"/>
        <item x="772"/>
        <item x="1066"/>
        <item x="1377"/>
        <item x="768"/>
        <item x="1322"/>
        <item x="744"/>
        <item x="445"/>
        <item x="891"/>
        <item x="59"/>
        <item x="1468"/>
        <item x="92"/>
        <item x="543"/>
        <item x="1328"/>
        <item x="779"/>
        <item x="408"/>
        <item x="623"/>
        <item x="251"/>
        <item x="435"/>
        <item x="728"/>
        <item x="970"/>
        <item x="1040"/>
        <item x="305"/>
        <item x="1125"/>
        <item x="1126"/>
        <item x="1257"/>
        <item x="319"/>
        <item x="1458"/>
        <item x="1356"/>
        <item x="1098"/>
        <item x="508"/>
        <item x="1127"/>
        <item x="302"/>
        <item x="1345"/>
        <item x="1290"/>
        <item x="200"/>
        <item x="329"/>
        <item x="1469"/>
        <item x="357"/>
        <item x="483"/>
        <item x="1443"/>
        <item x="1156"/>
        <item x="300"/>
        <item x="802"/>
        <item x="931"/>
        <item x="352"/>
        <item x="1346"/>
        <item x="1272"/>
        <item x="1130"/>
        <item x="886"/>
        <item x="496"/>
        <item x="918"/>
        <item x="428"/>
        <item x="1062"/>
        <item x="446"/>
        <item x="1423"/>
        <item x="1494"/>
        <item x="1334"/>
        <item x="196"/>
        <item x="922"/>
        <item x="245"/>
        <item x="1168"/>
        <item x="729"/>
        <item x="562"/>
        <item x="894"/>
        <item x="872"/>
        <item x="190"/>
        <item x="963"/>
        <item x="626"/>
        <item x="773"/>
        <item x="1454"/>
        <item x="273"/>
        <item x="917"/>
        <item x="796"/>
        <item x="331"/>
        <item x="1312"/>
        <item x="146"/>
        <item x="1281"/>
        <item x="619"/>
        <item x="765"/>
        <item x="320"/>
        <item x="1488"/>
        <item x="614"/>
        <item x="874"/>
        <item x="766"/>
        <item x="826"/>
        <item x="624"/>
        <item x="87"/>
        <item x="571"/>
        <item x="268"/>
        <item x="1124"/>
        <item x="409"/>
        <item x="595"/>
        <item x="1489"/>
        <item x="246"/>
        <item x="1286"/>
        <item x="209"/>
        <item x="1329"/>
        <item x="954"/>
        <item x="1093"/>
        <item x="1419"/>
        <item x="1211"/>
        <item x="94"/>
        <item x="93"/>
        <item x="596"/>
        <item x="1470"/>
        <item x="482"/>
        <item x="964"/>
        <item x="18"/>
        <item x="67"/>
        <item x="272"/>
        <item x="358"/>
        <item x="1294"/>
        <item x="539"/>
        <item x="348"/>
        <item x="361"/>
        <item x="1383"/>
        <item x="786"/>
        <item x="621"/>
        <item x="64"/>
        <item x="425"/>
        <item x="1477"/>
        <item x="987"/>
        <item x="929"/>
        <item x="1238"/>
        <item x="167"/>
        <item x="144"/>
        <item x="1287"/>
        <item x="1094"/>
        <item x="1425"/>
        <item x="1212"/>
        <item x="841"/>
        <item x="447"/>
        <item x="615"/>
        <item x="197"/>
        <item x="248"/>
        <item x="286"/>
        <item x="31"/>
        <item x="752"/>
        <item x="389"/>
        <item x="910"/>
        <item x="597"/>
        <item x="168"/>
        <item x="689"/>
        <item x="201"/>
        <item x="803"/>
        <item x="1245"/>
        <item x="923"/>
        <item x="1121"/>
        <item x="940"/>
        <item x="1242"/>
        <item x="1136"/>
        <item x="566"/>
        <item x="382"/>
        <item x="139"/>
        <item x="730"/>
        <item x="1239"/>
        <item x="183"/>
        <item x="1248"/>
        <item x="1097"/>
        <item x="1330"/>
        <item x="1284"/>
        <item x="134"/>
        <item x="951"/>
        <item x="1258"/>
        <item x="604"/>
        <item x="1140"/>
        <item x="1501"/>
        <item x="1313"/>
        <item x="81"/>
        <item x="1018"/>
        <item x="1100"/>
        <item x="198"/>
        <item x="818"/>
        <item x="673"/>
        <item x="1063"/>
        <item x="1502"/>
        <item x="835"/>
        <item x="942"/>
        <item x="1288"/>
        <item x="578"/>
        <item x="801"/>
        <item x="1204"/>
        <item x="731"/>
        <item x="202"/>
        <item x="725"/>
        <item x="1366"/>
        <item x="924"/>
        <item x="919"/>
        <item x="723"/>
        <item x="233"/>
        <item x="1291"/>
        <item x="933"/>
        <item x="478"/>
        <item x="184"/>
        <item x="1295"/>
        <item x="1475"/>
        <item x="650"/>
        <item x="563"/>
        <item x="788"/>
        <item x="1219"/>
        <item x="579"/>
        <item x="1128"/>
        <item x="1414"/>
        <item x="141"/>
        <item x="1447"/>
        <item x="864"/>
        <item x="383"/>
        <item x="1114"/>
        <item x="887"/>
        <item x="1183"/>
        <item x="979"/>
        <item x="697"/>
        <item x="1002"/>
        <item x="1471"/>
        <item x="865"/>
        <item x="809"/>
        <item x="274"/>
        <item x="257"/>
        <item x="1233"/>
        <item x="1448"/>
        <item x="1165"/>
        <item x="1132"/>
        <item x="1404"/>
        <item x="362"/>
        <item x="1141"/>
        <item x="413"/>
        <item x="1296"/>
        <item x="1363"/>
        <item x="1035"/>
        <item x="696"/>
        <item x="468"/>
        <item x="1067"/>
        <item x="502"/>
        <item x="616"/>
        <item x="1075"/>
        <item x="109"/>
        <item x="1335"/>
        <item x="618"/>
        <item x="372"/>
        <item x="451"/>
        <item x="784"/>
        <item x="321"/>
        <item x="410"/>
        <item x="1102"/>
        <item x="753"/>
        <item x="888"/>
        <item x="895"/>
        <item x="1282"/>
        <item x="0"/>
        <item x="169"/>
        <item x="652"/>
        <item x="1076"/>
        <item x="303"/>
        <item x="1367"/>
        <item x="948"/>
        <item x="633"/>
        <item x="72"/>
        <item x="226"/>
        <item x="225"/>
        <item x="333"/>
        <item x="119"/>
        <item x="1162"/>
        <item x="1104"/>
        <item x="32"/>
        <item x="955"/>
        <item x="588"/>
        <item x="490"/>
        <item x="1368"/>
        <item x="66"/>
        <item x="1357"/>
        <item x="363"/>
        <item x="1103"/>
        <item x="364"/>
        <item x="186"/>
        <item x="203"/>
        <item x="798"/>
        <item x="514"/>
        <item x="741"/>
        <item x="1478"/>
        <item x="252"/>
        <item x="889"/>
        <item x="17"/>
        <item x="925"/>
        <item x="148"/>
        <item x="454"/>
        <item x="349"/>
        <item x="1333"/>
        <item x="98"/>
        <item x="1432"/>
        <item x="455"/>
        <item x="1358"/>
        <item x="609"/>
        <item x="204"/>
        <item x="1077"/>
        <item x="1456"/>
        <item x="1105"/>
        <item x="163"/>
        <item x="328"/>
        <item x="774"/>
        <item x="316"/>
        <item x="780"/>
        <item x="1369"/>
        <item x="1052"/>
        <item x="165"/>
        <item x="669"/>
        <item x="700"/>
        <item x="1064"/>
        <item x="742"/>
        <item x="1318"/>
        <item x="1139"/>
        <item x="791"/>
        <item x="519"/>
        <item x="263"/>
        <item x="1061"/>
        <item x="706"/>
        <item x="1349"/>
        <item x="993"/>
        <item x="1457"/>
        <item x="1184"/>
        <item x="421"/>
        <item x="19"/>
        <item x="1193"/>
        <item x="480"/>
        <item x="1384"/>
        <item x="546"/>
        <item x="866"/>
        <item x="384"/>
        <item x="77"/>
        <item x="430"/>
        <item x="1350"/>
        <item x="920"/>
        <item x="810"/>
        <item x="330"/>
        <item x="166"/>
        <item x="639"/>
        <item x="44"/>
        <item x="653"/>
        <item x="930"/>
        <item x="537"/>
        <item x="982"/>
        <item x="461"/>
        <item x="150"/>
        <item x="431"/>
        <item x="1185"/>
        <item x="351"/>
        <item x="1142"/>
        <item x="792"/>
        <item x="1198"/>
        <item x="1"/>
        <item x="332"/>
        <item x="838"/>
        <item x="467"/>
        <item x="411"/>
        <item x="690"/>
        <item x="238"/>
        <item x="1405"/>
        <item x="1433"/>
        <item x="1444"/>
        <item x="1137"/>
        <item x="1450"/>
        <item x="1199"/>
        <item x="665"/>
        <item x="497"/>
        <item x="1091"/>
        <item x="843"/>
        <item x="717"/>
        <item x="984"/>
        <item x="179"/>
        <item x="175"/>
        <item x="842"/>
        <item x="456"/>
        <item x="1188"/>
        <item x="640"/>
        <item x="143"/>
        <item x="851"/>
        <item x="654"/>
        <item x="734"/>
        <item x="40"/>
        <item x="883"/>
        <item x="99"/>
        <item x="1186"/>
        <item x="1205"/>
        <item x="417"/>
        <item x="610"/>
        <item x="393"/>
        <item x="1192"/>
        <item x="1087"/>
        <item x="867"/>
        <item x="875"/>
        <item x="1240"/>
        <item x="353"/>
        <item x="935"/>
        <item x="216"/>
        <item x="1459"/>
        <item x="375"/>
        <item x="1234"/>
        <item x="406"/>
        <item x="1301"/>
        <item x="1463"/>
        <item x="903"/>
        <item x="284"/>
        <item x="698"/>
        <item x="1289"/>
        <item x="234"/>
        <item x="1424"/>
        <item x="70"/>
        <item x="223"/>
        <item x="811"/>
        <item x="1418"/>
        <item x="1029"/>
        <item x="896"/>
        <item x="1264"/>
        <item x="814"/>
        <item x="1150"/>
        <item x="1449"/>
        <item x="839"/>
        <item x="1347"/>
        <item x="805"/>
        <item x="775"/>
        <item x="997"/>
        <item x="636"/>
        <item x="1044"/>
        <item x="718"/>
        <item x="994"/>
        <item x="242"/>
        <item x="354"/>
        <item x="938"/>
        <item x="573"/>
        <item x="355"/>
        <item x="110"/>
        <item x="1189"/>
        <item x="691"/>
        <item x="707"/>
        <item x="941"/>
        <item x="164"/>
        <item x="1420"/>
        <item x="847"/>
        <item x="641"/>
        <item x="670"/>
        <item x="607"/>
        <item x="1166"/>
        <item x="1190"/>
        <item x="135"/>
        <item x="1231"/>
        <item x="671"/>
        <item x="423"/>
        <item x="492"/>
        <item x="247"/>
        <item x="314"/>
        <item x="360"/>
        <item x="1036"/>
        <item x="702"/>
        <item x="1308"/>
        <item x="187"/>
        <item x="235"/>
        <item x="840"/>
        <item x="1138"/>
        <item x="1081"/>
        <item x="1388"/>
        <item x="82"/>
        <item x="1497"/>
        <item x="1490"/>
        <item x="1380"/>
        <item x="580"/>
        <item x="545"/>
        <item x="227"/>
        <item x="1213"/>
        <item x="1206"/>
        <item x="1371"/>
        <item x="1265"/>
        <item x="732"/>
        <item x="1398"/>
        <item x="140"/>
        <item x="1381"/>
        <item x="1434"/>
        <item x="1235"/>
        <item x="1110"/>
        <item x="570"/>
        <item x="1464"/>
        <item x="819"/>
        <item x="793"/>
        <item x="644"/>
        <item x="385"/>
        <item x="648"/>
        <item x="1485"/>
        <item x="298"/>
        <item x="534"/>
        <item x="142"/>
        <item x="598"/>
        <item x="806"/>
        <item x="736"/>
        <item x="620"/>
        <item x="152"/>
        <item x="1480"/>
        <item x="1106"/>
        <item x="988"/>
        <item x="459"/>
        <item x="315"/>
        <item x="1474"/>
        <item x="264"/>
        <item x="472"/>
        <item x="674"/>
        <item x="1375"/>
        <item x="125"/>
        <item x="145"/>
        <item x="1059"/>
        <item x="769"/>
        <item x="261"/>
        <item x="820"/>
        <item x="311"/>
        <item x="642"/>
        <item x="1095"/>
        <item x="1251"/>
        <item x="503"/>
        <item x="392"/>
        <item x="1372"/>
        <item x="1476"/>
        <item x="386"/>
        <item x="804"/>
        <item x="1503"/>
        <item x="655"/>
        <item x="481"/>
        <item x="749"/>
        <item x="881"/>
        <item x="312"/>
        <item x="794"/>
        <item x="1326"/>
        <item x="1370"/>
        <item x="1393"/>
        <item x="518"/>
        <item x="538"/>
        <item x="470"/>
        <item x="983"/>
        <item x="1191"/>
        <item x="513"/>
        <item x="501"/>
        <item x="950"/>
        <item x="1408"/>
        <item x="767"/>
        <item x="709"/>
        <item x="1373"/>
        <item x="1207"/>
        <item x="25"/>
        <item x="1426"/>
        <item x="20"/>
        <item x="1309"/>
        <item x="1387"/>
        <item x="394"/>
        <item x="564"/>
        <item x="509"/>
        <item x="1394"/>
        <item x="776"/>
        <item x="710"/>
        <item x="1153"/>
        <item x="442"/>
        <item x="498"/>
        <item x="415"/>
        <item x="972"/>
        <item x="1385"/>
        <item x="520"/>
        <item x="575"/>
        <item x="533"/>
        <item x="606"/>
        <item x="608"/>
        <item x="1154"/>
        <item x="1465"/>
        <item x="111"/>
        <item x="1163"/>
        <item x="812"/>
        <item x="1060"/>
        <item x="8"/>
        <item x="1200"/>
        <item x="521"/>
        <item x="557"/>
        <item x="699"/>
        <item x="952"/>
        <item x="643"/>
        <item x="1247"/>
        <item x="535"/>
        <item x="781"/>
        <item x="680"/>
        <item x="852"/>
        <item x="523"/>
        <item x="658"/>
        <item x="395"/>
        <item x="452"/>
        <item x="429"/>
        <item x="659"/>
        <item x="1428"/>
        <item x="477"/>
        <item x="721"/>
        <item x="1099"/>
        <item x="692"/>
        <item x="469"/>
        <item x="1297"/>
        <item x="1270"/>
        <item x="649"/>
        <item x="1395"/>
        <item x="346"/>
        <item x="35"/>
        <item x="1236"/>
        <item x="1498"/>
        <item x="672"/>
        <item x="422"/>
        <item x="1339"/>
        <item x="287"/>
        <item x="782"/>
        <item x="1158"/>
        <item x="890"/>
        <item x="1396"/>
        <item x="831"/>
        <item x="1208"/>
        <item x="228"/>
        <item x="939"/>
        <item x="396"/>
        <item x="934"/>
        <item x="479"/>
        <item x="1421"/>
        <item x="176"/>
        <item x="777"/>
        <item x="288"/>
        <item x="795"/>
        <item x="1241"/>
        <item x="1344"/>
        <item x="581"/>
        <item x="708"/>
        <item x="515"/>
        <item x="220"/>
        <item x="694"/>
        <item x="356"/>
        <item x="676"/>
        <item x="569"/>
        <item x="1467"/>
        <item x="115"/>
        <item x="1374"/>
        <item x="660"/>
        <item x="404"/>
        <item x="797"/>
        <item x="265"/>
        <item x="1348"/>
        <item x="1445"/>
        <item x="1298"/>
        <item x="253"/>
        <item x="112"/>
        <item x="1466"/>
        <item x="85"/>
        <item x="1037"/>
        <item x="239"/>
        <item x="973"/>
        <item x="943"/>
        <item x="86"/>
        <item x="897"/>
        <item x="188"/>
        <item x="1246"/>
        <item x="1437"/>
        <item x="1279"/>
        <item x="1225"/>
        <item x="1180"/>
        <item x="1415"/>
        <item x="1319"/>
        <item x="1217"/>
        <item x="589"/>
        <item x="751"/>
        <item x="507"/>
        <item x="240"/>
        <item x="499"/>
        <item x="517"/>
        <item x="590"/>
        <item x="1504"/>
        <item x="645"/>
        <item x="1155"/>
        <item x="1226"/>
        <item x="783"/>
        <item x="1218"/>
        <item x="813"/>
        <item x="541"/>
        <item x="848"/>
        <item x="687"/>
        <item x="1201"/>
        <item x="974"/>
        <item x="432"/>
        <item x="892"/>
        <item x="289"/>
        <item x="1202"/>
        <item x="524"/>
        <item x="800"/>
        <item x="471"/>
        <item x="701"/>
        <item x="1232"/>
        <item x="1223"/>
        <item x="750"/>
        <item x="180"/>
        <item x="229"/>
        <item x="980"/>
        <item x="1438"/>
        <item x="968"/>
        <item x="661"/>
        <item x="686"/>
        <item x="189"/>
        <item x="484"/>
        <item x="530"/>
        <item x="778"/>
        <item x="301"/>
        <item x="359"/>
        <item x="1169"/>
        <item x="637"/>
        <item x="1451"/>
        <item x="120"/>
        <item x="1439"/>
        <item x="921"/>
        <item x="412"/>
        <item x="695"/>
        <item x="1086"/>
        <item x="387"/>
        <item x="1045"/>
        <item x="299"/>
        <item x="185"/>
        <item x="83"/>
        <item x="504"/>
        <item x="403"/>
        <item x="181"/>
        <item x="634"/>
        <item x="1269"/>
        <item x="441"/>
        <item x="1422"/>
        <item x="1230"/>
        <item x="237"/>
        <item x="405"/>
        <item x="84"/>
        <item x="688"/>
        <item x="1215"/>
        <item x="1431"/>
        <item x="1435"/>
        <item x="191"/>
        <item x="350"/>
        <item x="1195"/>
        <item x="565"/>
        <item x="876"/>
        <item x="26"/>
        <item x="1316"/>
        <item x="693"/>
        <item x="505"/>
        <item x="510"/>
        <item x="374"/>
        <item x="419"/>
        <item x="511"/>
        <item x="681"/>
        <item x="340"/>
        <item x="1441"/>
        <item x="638"/>
        <item x="1499"/>
        <item x="407"/>
        <item x="462"/>
        <item x="397"/>
        <item x="215"/>
        <item x="882"/>
        <item x="675"/>
        <item x="512"/>
        <item x="102"/>
        <item x="651"/>
        <item x="646"/>
        <item x="262"/>
        <item x="870"/>
        <item x="290"/>
        <item x="1452"/>
        <item x="230"/>
        <item x="33"/>
        <item x="313"/>
        <item x="1416"/>
        <item x="400"/>
        <item x="1440"/>
        <item x="43"/>
        <item x="591"/>
        <item x="1320"/>
        <item x="1196"/>
        <item x="113"/>
        <item x="294"/>
        <item x="1446"/>
        <item x="1046"/>
        <item x="1129"/>
        <item x="1389"/>
        <item x="506"/>
        <item x="1157"/>
        <item x="45"/>
        <item x="52"/>
        <item x="1331"/>
        <item x="1390"/>
        <item x="664"/>
        <item x="1006"/>
        <item x="1084"/>
        <item x="1194"/>
        <item x="629"/>
        <item x="1359"/>
        <item x="711"/>
        <item x="1314"/>
        <item x="985"/>
        <item x="277"/>
        <item x="1299"/>
        <item x="1187"/>
        <item x="485"/>
        <item x="418"/>
        <item x="1495"/>
        <item x="522"/>
        <item x="1109"/>
        <item x="1253"/>
        <item x="1399"/>
        <item x="296"/>
        <item x="1222"/>
        <item x="821"/>
        <item x="1020"/>
        <item x="6"/>
        <item x="147"/>
        <item x="558"/>
        <item x="559"/>
        <item x="1412"/>
        <item x="1325"/>
        <item x="222"/>
        <item x="131"/>
        <item x="4"/>
        <item x="347"/>
        <item x="1055"/>
        <item x="1266"/>
        <item x="1436"/>
        <item x="7"/>
        <item x="231"/>
        <item x="1378"/>
        <item x="282"/>
        <item x="849"/>
        <item x="1082"/>
        <item x="1302"/>
        <item x="1259"/>
        <item x="105"/>
        <item x="1280"/>
        <item x="662"/>
        <item x="926"/>
        <item x="266"/>
        <item x="1315"/>
        <item x="1409"/>
        <item x="715"/>
        <item x="975"/>
        <item x="114"/>
        <item x="944"/>
        <item x="1317"/>
        <item x="576"/>
        <item x="391"/>
        <item x="1164"/>
        <item x="100"/>
        <item x="525"/>
        <item x="1410"/>
        <item x="567"/>
        <item x="39"/>
        <item x="592"/>
        <item x="577"/>
        <item x="378"/>
        <item x="322"/>
        <item x="334"/>
        <item x="630"/>
        <item x="9"/>
        <item x="1310"/>
        <item x="899"/>
        <item x="269"/>
        <item x="398"/>
        <item x="807"/>
        <item x="850"/>
        <item x="500"/>
        <item x="53"/>
        <item x="121"/>
        <item x="335"/>
        <item x="473"/>
        <item x="1085"/>
        <item x="436"/>
        <item x="474"/>
        <item x="1170"/>
        <item x="241"/>
        <item x="1083"/>
        <item x="1442"/>
        <item x="663"/>
        <item x="981"/>
        <item x="71"/>
        <item x="808"/>
        <item x="526"/>
        <item x="323"/>
        <item x="1260"/>
        <item x="475"/>
        <item x="1413"/>
        <item x="1161"/>
        <item x="1491"/>
        <item x="900"/>
        <item x="275"/>
        <item x="457"/>
        <item x="733"/>
        <item x="217"/>
        <item x="1051"/>
        <item x="116"/>
        <item x="177"/>
        <item x="527"/>
        <item x="232"/>
        <item x="1407"/>
        <item x="1135"/>
        <item x="593"/>
        <item x="1227"/>
        <item x="1417"/>
        <item x="1323"/>
        <item x="379"/>
        <item x="489"/>
        <item x="278"/>
        <item x="1500"/>
        <item x="531"/>
        <item x="846"/>
        <item x="95"/>
        <item x="74"/>
        <item x="683"/>
        <item x="276"/>
        <item x="869"/>
        <item x="656"/>
        <item x="293"/>
        <item x="560"/>
        <item x="1228"/>
        <item x="532"/>
        <item x="1019"/>
        <item x="1078"/>
        <item x="704"/>
        <item x="388"/>
        <item x="1400"/>
        <item x="976"/>
        <item x="170"/>
        <item x="582"/>
        <item x="716"/>
        <item x="11"/>
        <item x="945"/>
        <item x="224"/>
        <item x="210"/>
        <item x="65"/>
        <item x="712"/>
        <item x="978"/>
        <item x="947"/>
        <item x="218"/>
        <item x="317"/>
        <item x="1229"/>
        <item x="529"/>
        <item x="977"/>
        <item x="901"/>
        <item x="380"/>
        <item x="486"/>
        <item x="1197"/>
        <item x="1092"/>
        <item x="528"/>
        <item x="118"/>
        <item x="236"/>
        <item x="904"/>
        <item x="946"/>
        <item x="390"/>
        <item x="318"/>
        <item x="1261"/>
        <item x="444"/>
        <item x="182"/>
        <item x="907"/>
        <item x="927"/>
        <item x="1300"/>
        <item x="365"/>
        <item x="38"/>
        <item x="1379"/>
        <item x="137"/>
        <item x="647"/>
        <item x="905"/>
        <item x="1057"/>
        <item x="295"/>
        <item x="785"/>
        <item x="787"/>
        <item x="488"/>
        <item x="458"/>
        <item x="1354"/>
        <item x="27"/>
        <item x="75"/>
        <item x="1079"/>
        <item x="30"/>
        <item x="156"/>
        <item x="153"/>
        <item x="611"/>
        <item x="443"/>
        <item x="1181"/>
        <item x="816"/>
        <item x="902"/>
        <item x="280"/>
        <item x="1220"/>
        <item x="51"/>
        <item x="1324"/>
        <item x="1397"/>
        <item x="1167"/>
        <item x="463"/>
        <item x="682"/>
        <item x="1496"/>
        <item x="297"/>
        <item x="460"/>
        <item x="464"/>
        <item x="283"/>
        <item x="281"/>
        <item x="1122"/>
        <item x="437"/>
        <item x="845"/>
        <item x="10"/>
        <item x="270"/>
        <item x="2"/>
        <item x="1123"/>
        <item x="1262"/>
        <item x="679"/>
        <item x="154"/>
        <item x="1263"/>
        <item x="36"/>
        <item x="996"/>
        <item x="584"/>
        <item x="1429"/>
        <item x="1224"/>
        <item x="1203"/>
        <item x="1311"/>
        <item x="1252"/>
        <item x="138"/>
        <item x="3"/>
        <item x="41"/>
        <item x="1056"/>
        <item x="28"/>
        <item x="402"/>
        <item x="1088"/>
        <item x="1221"/>
        <item x="155"/>
        <item x="1401"/>
        <item x="221"/>
        <item x="1472"/>
        <item x="279"/>
        <item x="476"/>
        <item x="971"/>
        <item x="271"/>
        <item x="1214"/>
        <item x="339"/>
        <item x="949"/>
        <item x="219"/>
        <item x="969"/>
        <item x="37"/>
        <item x="561"/>
        <item x="29"/>
        <item x="1386"/>
        <item x="130"/>
        <item x="1481"/>
        <item x="48"/>
        <item x="309"/>
        <item x="214"/>
        <item x="136"/>
        <item x="424"/>
        <item x="1089"/>
        <item x="1391"/>
        <item x="416"/>
        <item x="310"/>
        <item x="1304"/>
        <item x="815"/>
        <item x="583"/>
        <item x="1216"/>
        <item x="823"/>
        <item x="1021"/>
        <item x="42"/>
        <item x="1411"/>
        <item x="1392"/>
        <item x="1305"/>
        <item x="1022"/>
        <item x="1090"/>
        <item x="1473"/>
        <item x="906"/>
        <item x="878"/>
        <item x="817"/>
        <item x="267"/>
        <item x="1182"/>
        <item x="49"/>
        <item x="879"/>
        <item x="822"/>
        <item x="1430"/>
        <item x="1023"/>
        <item x="1024"/>
        <item x="1025"/>
        <item x="46"/>
        <item x="877"/>
        <item x="1303"/>
        <item x="1027"/>
        <item x="336"/>
        <item x="880"/>
        <item x="1026"/>
        <item x="1306"/>
        <item x="47"/>
        <item x="1307"/>
        <item x="844"/>
        <item x="487"/>
        <item x="1144"/>
        <item x="1861"/>
        <item x="1847"/>
        <item x="1843"/>
        <item x="1849"/>
        <item x="1862"/>
        <item x="1845"/>
        <item x="1854"/>
        <item x="1823"/>
        <item x="1840"/>
        <item x="1830"/>
        <item x="1859"/>
        <item x="1841"/>
        <item x="1510"/>
        <item x="1827"/>
        <item x="1837"/>
        <item x="1848"/>
        <item x="1839"/>
        <item x="1838"/>
        <item x="1842"/>
        <item x="1853"/>
        <item x="1832"/>
        <item x="1828"/>
        <item x="1831"/>
        <item x="1858"/>
        <item x="1512"/>
        <item x="1513"/>
        <item x="1834"/>
        <item x="1850"/>
        <item x="1829"/>
        <item x="1856"/>
        <item x="1508"/>
        <item x="1509"/>
        <item x="1825"/>
        <item x="1824"/>
        <item x="1511"/>
        <item x="1852"/>
        <item x="1836"/>
        <item x="1855"/>
        <item x="1851"/>
        <item x="1833"/>
        <item x="1857"/>
        <item x="1826"/>
        <item x="1860"/>
        <item x="1835"/>
        <item x="1844"/>
        <item x="1514"/>
        <item x="1846"/>
        <item x="5"/>
        <item x="1750"/>
        <item x="1582"/>
        <item x="1740"/>
        <item x="1789"/>
        <item x="1873"/>
        <item x="1542"/>
        <item x="1650"/>
        <item x="1707"/>
        <item x="1588"/>
        <item x="1808"/>
        <item x="1804"/>
        <item x="1869"/>
        <item x="1695"/>
        <item x="1670"/>
        <item x="1678"/>
        <item x="1770"/>
        <item x="1628"/>
        <item x="1710"/>
        <item x="1518"/>
        <item x="1792"/>
        <item x="1634"/>
        <item x="1555"/>
        <item x="1594"/>
        <item x="1614"/>
        <item x="1802"/>
        <item x="1572"/>
        <item x="1901"/>
        <item x="1916"/>
        <item x="1552"/>
        <item x="1676"/>
        <item x="1618"/>
        <item x="1629"/>
        <item x="1868"/>
        <item x="1652"/>
        <item x="1584"/>
        <item x="1524"/>
        <item x="1722"/>
        <item x="1663"/>
        <item x="1586"/>
        <item x="1899"/>
        <item x="1566"/>
        <item x="1659"/>
        <item x="1578"/>
        <item x="1604"/>
        <item x="1867"/>
        <item x="1658"/>
        <item x="1575"/>
        <item x="1643"/>
        <item x="1653"/>
        <item x="1883"/>
        <item x="1623"/>
        <item x="1709"/>
        <item x="1528"/>
        <item x="1635"/>
        <item x="1532"/>
        <item x="1815"/>
        <item x="1656"/>
        <item x="1533"/>
        <item x="1919"/>
        <item x="1693"/>
        <item x="1571"/>
        <item x="1787"/>
        <item x="1716"/>
        <item x="1761"/>
        <item x="1562"/>
        <item x="1775"/>
        <item x="1640"/>
        <item x="1547"/>
        <item x="1747"/>
        <item x="1696"/>
        <item x="1759"/>
        <item x="1619"/>
        <item x="1543"/>
        <item x="1688"/>
        <item x="1755"/>
        <item x="1633"/>
        <item x="1760"/>
        <item x="1764"/>
        <item x="1684"/>
        <item x="1801"/>
        <item x="1553"/>
        <item x="1914"/>
        <item x="1888"/>
        <item x="1541"/>
        <item x="1819"/>
        <item x="1900"/>
        <item x="1615"/>
        <item x="1559"/>
        <item x="1735"/>
        <item x="1780"/>
        <item x="1906"/>
        <item x="1639"/>
        <item x="1732"/>
        <item x="1689"/>
        <item x="1797"/>
        <item x="1719"/>
        <item x="1918"/>
        <item x="1662"/>
        <item x="1636"/>
        <item x="1762"/>
        <item x="1738"/>
        <item x="1752"/>
        <item x="1526"/>
        <item x="1654"/>
        <item x="1721"/>
        <item x="1630"/>
        <item x="1531"/>
        <item x="1817"/>
        <item x="1646"/>
        <item x="1788"/>
        <item x="1595"/>
        <item x="1529"/>
        <item x="1881"/>
        <item x="1865"/>
        <item x="1561"/>
        <item x="1644"/>
        <item x="1590"/>
        <item x="1882"/>
        <item x="1911"/>
        <item x="1539"/>
        <item x="1902"/>
        <item x="1765"/>
        <item x="1891"/>
        <item x="1704"/>
        <item x="1711"/>
        <item x="1517"/>
        <item x="1913"/>
        <item x="1821"/>
        <item x="1585"/>
        <item x="1758"/>
        <item x="1714"/>
        <item x="1813"/>
        <item x="1527"/>
        <item x="1699"/>
        <item x="1700"/>
        <item x="1632"/>
        <item x="1534"/>
        <item x="1743"/>
        <item x="1782"/>
        <item x="1535"/>
        <item x="1766"/>
        <item x="1570"/>
        <item x="1560"/>
        <item x="1573"/>
        <item x="1912"/>
        <item x="1784"/>
        <item x="1705"/>
        <item x="1783"/>
        <item x="1565"/>
        <item x="1601"/>
        <item x="1641"/>
        <item x="1785"/>
        <item x="1904"/>
        <item x="1550"/>
        <item x="1768"/>
        <item x="1717"/>
        <item x="1915"/>
        <item x="1790"/>
        <item x="1810"/>
        <item x="1909"/>
        <item x="1685"/>
        <item x="1744"/>
        <item x="1645"/>
        <item x="1756"/>
        <item x="1549"/>
        <item x="1814"/>
        <item x="1917"/>
        <item x="1776"/>
        <item x="1733"/>
        <item x="1889"/>
        <item x="1726"/>
        <item x="1751"/>
        <item x="1613"/>
        <item x="1591"/>
        <item x="1791"/>
        <item x="1805"/>
        <item x="1679"/>
        <item x="1648"/>
        <item x="1772"/>
        <item x="1729"/>
        <item x="1800"/>
        <item x="1568"/>
        <item x="1903"/>
        <item x="1649"/>
        <item x="1769"/>
        <item x="1745"/>
        <item x="1890"/>
        <item x="1580"/>
        <item x="1537"/>
        <item x="1538"/>
        <item x="1754"/>
        <item x="1597"/>
        <item x="1811"/>
        <item x="1574"/>
        <item x="1885"/>
        <item x="1681"/>
        <item x="1605"/>
        <item x="1723"/>
        <item x="1674"/>
        <item x="1620"/>
        <item x="1908"/>
        <item x="1587"/>
        <item x="1598"/>
        <item x="1612"/>
        <item x="1877"/>
        <item x="1596"/>
        <item x="1557"/>
        <item x="1706"/>
        <item x="1739"/>
        <item x="1567"/>
        <item x="1774"/>
        <item x="1734"/>
        <item x="1625"/>
        <item x="1816"/>
        <item x="1746"/>
        <item x="1741"/>
        <item x="1556"/>
        <item x="1637"/>
        <item x="1647"/>
        <item x="1809"/>
        <item x="1807"/>
        <item x="1519"/>
        <item x="1708"/>
        <item x="1608"/>
        <item x="1521"/>
        <item x="1884"/>
        <item x="1724"/>
        <item x="1822"/>
        <item x="1660"/>
        <item x="1602"/>
        <item x="1520"/>
        <item x="1661"/>
        <item x="1616"/>
        <item x="1669"/>
        <item x="1703"/>
        <item x="1611"/>
        <item x="1691"/>
        <item x="1894"/>
        <item x="1866"/>
        <item x="1687"/>
        <item x="1779"/>
        <item x="1589"/>
        <item x="1786"/>
        <item x="1540"/>
        <item x="1781"/>
        <item x="1897"/>
        <item x="1874"/>
        <item x="1863"/>
        <item x="1593"/>
        <item x="1736"/>
        <item x="1558"/>
        <item x="1672"/>
        <item x="1798"/>
        <item x="1742"/>
        <item x="1610"/>
        <item x="1820"/>
        <item x="1563"/>
        <item x="1777"/>
        <item x="1577"/>
        <item x="1892"/>
        <item x="1626"/>
        <item x="1905"/>
        <item x="1910"/>
        <item x="1651"/>
        <item x="1607"/>
        <item x="1757"/>
        <item x="1675"/>
        <item x="1686"/>
        <item x="1523"/>
        <item x="1592"/>
        <item x="1569"/>
        <item x="1638"/>
        <item x="1536"/>
        <item x="1871"/>
        <item x="1920"/>
        <item x="1606"/>
        <item x="1728"/>
        <item x="1753"/>
        <item x="1720"/>
        <item x="1898"/>
        <item x="1554"/>
        <item x="1878"/>
        <item x="1794"/>
        <item x="1872"/>
        <item x="1576"/>
        <item x="1812"/>
        <item x="1579"/>
        <item x="1622"/>
        <item x="1763"/>
        <item x="1631"/>
        <item x="1702"/>
        <item x="1694"/>
        <item x="1692"/>
        <item x="1617"/>
        <item x="1583"/>
        <item x="1870"/>
        <item x="1896"/>
        <item x="1879"/>
        <item x="1600"/>
        <item x="1581"/>
        <item x="1564"/>
        <item x="1818"/>
        <item x="1876"/>
        <item x="1718"/>
        <item x="1627"/>
        <item x="1725"/>
        <item x="1730"/>
        <item x="1673"/>
        <item x="1697"/>
        <item x="1609"/>
        <item x="1895"/>
        <item x="1642"/>
        <item x="1522"/>
        <item x="1771"/>
        <item x="1671"/>
        <item x="1677"/>
        <item x="1773"/>
        <item x="1715"/>
        <item x="1701"/>
        <item x="1683"/>
        <item x="1516"/>
        <item x="1795"/>
        <item x="1767"/>
        <item x="1727"/>
        <item x="1875"/>
        <item x="1530"/>
        <item x="1799"/>
        <item x="1731"/>
        <item x="1545"/>
        <item x="1621"/>
        <item x="1806"/>
        <item x="1803"/>
        <item x="1793"/>
        <item x="1682"/>
        <item x="1680"/>
        <item x="1880"/>
        <item x="1667"/>
        <item x="1698"/>
        <item x="1796"/>
        <item x="1712"/>
        <item x="1690"/>
        <item x="1544"/>
        <item x="1665"/>
        <item x="1887"/>
        <item x="1666"/>
        <item x="1748"/>
        <item x="1737"/>
        <item x="1548"/>
        <item x="1603"/>
        <item x="1546"/>
        <item x="1864"/>
        <item x="1907"/>
        <item x="1655"/>
        <item x="1551"/>
        <item x="1525"/>
        <item x="1886"/>
        <item x="1599"/>
        <item x="1713"/>
        <item x="1668"/>
        <item x="1624"/>
        <item x="1664"/>
        <item x="1893"/>
        <item x="1778"/>
        <item x="1749"/>
        <item x="1657"/>
        <item x="258"/>
        <item x="178"/>
        <item x="605"/>
        <item x="151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529">
        <item x="21"/>
        <item x="205"/>
        <item x="520"/>
        <item x="255"/>
        <item x="12"/>
        <item x="347"/>
        <item x="35"/>
        <item x="303"/>
        <item x="22"/>
        <item x="174"/>
        <item x="218"/>
        <item x="114"/>
        <item x="181"/>
        <item x="270"/>
        <item x="343"/>
        <item x="441"/>
        <item x="321"/>
        <item x="477"/>
        <item x="332"/>
        <item x="369"/>
        <item x="23"/>
        <item x="461"/>
        <item x="284"/>
        <item x="90"/>
        <item x="41"/>
        <item x="389"/>
        <item x="256"/>
        <item x="84"/>
        <item x="185"/>
        <item x="491"/>
        <item x="156"/>
        <item x="13"/>
        <item x="288"/>
        <item x="376"/>
        <item x="327"/>
        <item x="2"/>
        <item x="78"/>
        <item x="521"/>
        <item x="340"/>
        <item x="519"/>
        <item x="127"/>
        <item x="324"/>
        <item x="300"/>
        <item x="488"/>
        <item x="52"/>
        <item x="122"/>
        <item x="403"/>
        <item x="24"/>
        <item x="367"/>
        <item x="271"/>
        <item x="251"/>
        <item x="263"/>
        <item x="91"/>
        <item x="252"/>
        <item x="96"/>
        <item x="247"/>
        <item x="462"/>
        <item x="186"/>
        <item x="280"/>
        <item x="483"/>
        <item x="431"/>
        <item x="455"/>
        <item x="322"/>
        <item x="107"/>
        <item x="293"/>
        <item x="275"/>
        <item x="336"/>
        <item x="243"/>
        <item x="76"/>
        <item x="385"/>
        <item x="443"/>
        <item x="233"/>
        <item x="267"/>
        <item x="423"/>
        <item x="370"/>
        <item x="496"/>
        <item x="287"/>
        <item x="81"/>
        <item x="283"/>
        <item x="132"/>
        <item x="444"/>
        <item x="245"/>
        <item x="523"/>
        <item x="77"/>
        <item x="147"/>
        <item x="414"/>
        <item x="151"/>
        <item x="368"/>
        <item x="315"/>
        <item x="234"/>
        <item x="115"/>
        <item x="274"/>
        <item x="382"/>
        <item x="83"/>
        <item x="25"/>
        <item x="485"/>
        <item x="98"/>
        <item x="157"/>
        <item x="517"/>
        <item x="406"/>
        <item x="412"/>
        <item x="149"/>
        <item x="309"/>
        <item x="261"/>
        <item x="169"/>
        <item x="454"/>
        <item x="482"/>
        <item x="310"/>
        <item x="42"/>
        <item x="161"/>
        <item x="360"/>
        <item x="323"/>
        <item x="404"/>
        <item x="0"/>
        <item x="26"/>
        <item x="227"/>
        <item x="194"/>
        <item x="208"/>
        <item x="359"/>
        <item x="299"/>
        <item x="363"/>
        <item x="514"/>
        <item x="140"/>
        <item x="141"/>
        <item x="212"/>
        <item x="203"/>
        <item x="505"/>
        <item x="527"/>
        <item x="14"/>
        <item x="292"/>
        <item x="393"/>
        <item x="504"/>
        <item x="476"/>
        <item x="307"/>
        <item x="103"/>
        <item x="437"/>
        <item x="257"/>
        <item x="142"/>
        <item x="276"/>
        <item x="489"/>
        <item x="400"/>
        <item x="213"/>
        <item x="43"/>
        <item x="59"/>
        <item x="350"/>
        <item x="438"/>
        <item x="377"/>
        <item x="116"/>
        <item x="493"/>
        <item x="285"/>
        <item x="1"/>
        <item x="507"/>
        <item x="458"/>
        <item x="170"/>
        <item x="9"/>
        <item x="344"/>
        <item x="411"/>
        <item x="158"/>
        <item x="433"/>
        <item x="240"/>
        <item x="193"/>
        <item x="446"/>
        <item x="187"/>
        <item x="361"/>
        <item x="297"/>
        <item x="179"/>
        <item x="219"/>
        <item x="222"/>
        <item x="408"/>
        <item x="228"/>
        <item x="328"/>
        <item x="331"/>
        <item x="120"/>
        <item x="304"/>
        <item x="178"/>
        <item x="479"/>
        <item x="50"/>
        <item x="499"/>
        <item x="490"/>
        <item x="374"/>
        <item x="528"/>
        <item x="357"/>
        <item x="154"/>
        <item x="65"/>
        <item x="432"/>
        <item x="3"/>
        <item x="415"/>
        <item x="143"/>
        <item x="439"/>
        <item x="53"/>
        <item x="99"/>
        <item x="230"/>
        <item x="409"/>
        <item x="56"/>
        <item x="345"/>
        <item x="216"/>
        <item x="37"/>
        <item x="144"/>
        <item x="128"/>
        <item x="72"/>
        <item x="401"/>
        <item x="281"/>
        <item x="165"/>
        <item x="386"/>
        <item x="188"/>
        <item x="123"/>
        <item x="69"/>
        <item x="100"/>
        <item x="316"/>
        <item x="231"/>
        <item x="223"/>
        <item x="427"/>
        <item x="378"/>
        <item x="337"/>
        <item x="145"/>
        <item x="416"/>
        <item x="311"/>
        <item x="346"/>
        <item x="61"/>
        <item x="75"/>
        <item x="201"/>
        <item x="113"/>
        <item x="101"/>
        <item x="209"/>
        <item x="468"/>
        <item x="44"/>
        <item x="417"/>
        <item x="272"/>
        <item x="513"/>
        <item x="4"/>
        <item x="384"/>
        <item x="395"/>
        <item x="171"/>
        <item x="326"/>
        <item x="353"/>
        <item x="452"/>
        <item x="138"/>
        <item x="63"/>
        <item x="133"/>
        <item x="160"/>
        <item x="410"/>
        <item x="237"/>
        <item x="512"/>
        <item x="172"/>
        <item x="129"/>
        <item x="396"/>
        <item x="54"/>
        <item x="320"/>
        <item x="68"/>
        <item x="92"/>
        <item x="333"/>
        <item x="341"/>
        <item x="312"/>
        <item x="108"/>
        <item x="206"/>
        <item x="27"/>
        <item x="229"/>
        <item x="66"/>
        <item x="407"/>
        <item x="472"/>
        <item x="134"/>
        <item x="375"/>
        <item x="180"/>
        <item x="164"/>
        <item x="486"/>
        <item x="38"/>
        <item x="515"/>
        <item x="70"/>
        <item x="295"/>
        <item x="338"/>
        <item x="442"/>
        <item x="148"/>
        <item x="428"/>
        <item x="424"/>
        <item x="348"/>
        <item x="119"/>
        <item x="447"/>
        <item x="371"/>
        <item x="525"/>
        <item x="465"/>
        <item x="130"/>
        <item x="18"/>
        <item x="405"/>
        <item x="258"/>
        <item x="498"/>
        <item x="394"/>
        <item x="117"/>
        <item x="124"/>
        <item x="85"/>
        <item x="15"/>
        <item x="418"/>
        <item x="10"/>
        <item x="104"/>
        <item x="286"/>
        <item x="210"/>
        <item x="162"/>
        <item x="277"/>
        <item x="420"/>
        <item x="195"/>
        <item x="135"/>
        <item x="467"/>
        <item x="248"/>
        <item x="109"/>
        <item x="492"/>
        <item x="484"/>
        <item x="450"/>
        <item x="497"/>
        <item x="425"/>
        <item x="82"/>
        <item x="166"/>
        <item x="399"/>
        <item x="86"/>
        <item x="475"/>
        <item x="419"/>
        <item x="308"/>
        <item x="102"/>
        <item x="163"/>
        <item x="173"/>
        <item x="379"/>
        <item x="189"/>
        <item x="259"/>
        <item x="57"/>
        <item x="289"/>
        <item x="298"/>
        <item x="501"/>
        <item x="199"/>
        <item x="51"/>
        <item x="244"/>
        <item x="28"/>
        <item x="459"/>
        <item x="470"/>
        <item x="235"/>
        <item x="510"/>
        <item x="34"/>
        <item x="73"/>
        <item x="334"/>
        <item x="422"/>
        <item x="487"/>
        <item x="494"/>
        <item x="342"/>
        <item x="118"/>
        <item x="88"/>
        <item x="220"/>
        <item x="159"/>
        <item x="339"/>
        <item x="380"/>
        <item x="93"/>
        <item x="202"/>
        <item x="365"/>
        <item x="106"/>
        <item x="190"/>
        <item x="354"/>
        <item x="16"/>
        <item x="94"/>
        <item x="97"/>
        <item x="526"/>
        <item x="264"/>
        <item x="313"/>
        <item x="110"/>
        <item x="60"/>
        <item x="45"/>
        <item x="269"/>
        <item x="196"/>
        <item x="278"/>
        <item x="305"/>
        <item x="207"/>
        <item x="71"/>
        <item x="398"/>
        <item x="381"/>
        <item x="7"/>
        <item x="460"/>
        <item x="125"/>
        <item x="249"/>
        <item x="522"/>
        <item x="516"/>
        <item x="301"/>
        <item x="55"/>
        <item x="503"/>
        <item x="508"/>
        <item x="273"/>
        <item x="506"/>
        <item x="351"/>
        <item x="296"/>
        <item x="146"/>
        <item x="436"/>
        <item x="224"/>
        <item x="136"/>
        <item x="89"/>
        <item x="236"/>
        <item x="387"/>
        <item x="126"/>
        <item x="397"/>
        <item x="329"/>
        <item x="62"/>
        <item x="466"/>
        <item x="471"/>
        <item x="105"/>
        <item x="225"/>
        <item x="451"/>
        <item x="46"/>
        <item x="254"/>
        <item x="268"/>
        <item x="356"/>
        <item x="137"/>
        <item x="282"/>
        <item x="457"/>
        <item x="366"/>
        <item x="168"/>
        <item x="198"/>
        <item x="509"/>
        <item x="17"/>
        <item x="211"/>
        <item x="29"/>
        <item x="74"/>
        <item x="290"/>
        <item x="177"/>
        <item x="19"/>
        <item x="390"/>
        <item x="495"/>
        <item x="226"/>
        <item x="239"/>
        <item x="352"/>
        <item x="434"/>
        <item x="330"/>
        <item x="456"/>
        <item x="402"/>
        <item x="518"/>
        <item x="87"/>
        <item x="217"/>
        <item x="317"/>
        <item x="246"/>
        <item x="260"/>
        <item x="176"/>
        <item x="429"/>
        <item x="464"/>
        <item x="319"/>
        <item x="314"/>
        <item x="335"/>
        <item x="182"/>
        <item x="306"/>
        <item x="64"/>
        <item x="95"/>
        <item x="500"/>
        <item x="242"/>
        <item x="413"/>
        <item x="302"/>
        <item x="392"/>
        <item x="426"/>
        <item x="449"/>
        <item x="191"/>
        <item x="279"/>
        <item x="175"/>
        <item x="67"/>
        <item x="80"/>
        <item x="241"/>
        <item x="155"/>
        <item x="5"/>
        <item x="253"/>
        <item x="364"/>
        <item x="325"/>
        <item x="30"/>
        <item x="291"/>
        <item x="6"/>
        <item x="388"/>
        <item x="463"/>
        <item x="430"/>
        <item x="152"/>
        <item x="79"/>
        <item x="481"/>
        <item x="150"/>
        <item x="250"/>
        <item x="20"/>
        <item x="197"/>
        <item x="473"/>
        <item x="453"/>
        <item x="183"/>
        <item x="480"/>
        <item x="139"/>
        <item x="184"/>
        <item x="47"/>
        <item x="31"/>
        <item x="111"/>
        <item x="262"/>
        <item x="440"/>
        <item x="153"/>
        <item x="469"/>
        <item x="131"/>
        <item x="478"/>
        <item x="204"/>
        <item x="167"/>
        <item x="474"/>
        <item x="48"/>
        <item x="391"/>
        <item x="8"/>
        <item x="355"/>
        <item x="232"/>
        <item x="214"/>
        <item x="32"/>
        <item x="511"/>
        <item x="112"/>
        <item x="383"/>
        <item x="49"/>
        <item x="215"/>
        <item x="358"/>
        <item x="265"/>
        <item x="524"/>
        <item x="39"/>
        <item x="362"/>
        <item x="445"/>
        <item x="33"/>
        <item x="349"/>
        <item x="121"/>
        <item x="502"/>
        <item x="238"/>
        <item x="294"/>
        <item x="372"/>
        <item x="318"/>
        <item x="11"/>
        <item x="435"/>
        <item x="200"/>
        <item x="266"/>
        <item x="373"/>
        <item x="36"/>
        <item x="192"/>
        <item x="58"/>
        <item x="221"/>
        <item x="40"/>
        <item x="421"/>
        <item x="448"/>
      </items>
    </pivotField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2">
        <item h="1" x="0"/>
        <item x="1"/>
      </items>
    </pivotField>
  </pivotFields>
  <rowFields count="4">
    <field x="5"/>
    <field x="14"/>
    <field x="0"/>
    <field x="7"/>
  </rowFields>
  <rowItems count="309">
    <i>
      <x v="10"/>
      <x v="50"/>
      <x v="215"/>
      <x v="1381"/>
    </i>
    <i r="1">
      <x v="53"/>
      <x v="215"/>
      <x v="1382"/>
    </i>
    <i r="1">
      <x v="116"/>
      <x v="145"/>
      <x v="987"/>
    </i>
    <i>
      <x v="24"/>
      <x v="27"/>
      <x v="418"/>
      <x v="1487"/>
    </i>
    <i r="1">
      <x v="35"/>
      <x v="3"/>
      <x v="1431"/>
    </i>
    <i>
      <x v="29"/>
      <x v="408"/>
      <x v="146"/>
      <x v="1263"/>
    </i>
    <i r="1">
      <x v="449"/>
      <x v="139"/>
      <x v="1089"/>
    </i>
    <i>
      <x v="50"/>
      <x v="32"/>
      <x v="256"/>
      <x v="1301"/>
    </i>
    <i r="1">
      <x v="40"/>
      <x v="79"/>
      <x v="1281"/>
    </i>
    <i r="1">
      <x v="49"/>
      <x v="236"/>
      <x v="1413"/>
    </i>
    <i r="1">
      <x v="279"/>
      <x v="241"/>
      <x v="1757"/>
    </i>
    <i r="1">
      <x v="328"/>
      <x v="13"/>
      <x v="1457"/>
    </i>
    <i r="1">
      <x v="403"/>
      <x v="82"/>
      <x v="1373"/>
    </i>
    <i r="1">
      <x v="438"/>
      <x v="65"/>
      <x v="1564"/>
    </i>
    <i>
      <x v="53"/>
      <x v="239"/>
      <x v="101"/>
      <x v="1461"/>
    </i>
    <i r="1">
      <x v="250"/>
      <x v="302"/>
      <x v="1433"/>
    </i>
    <i>
      <x v="87"/>
      <x v="32"/>
      <x v="256"/>
      <x v="1355"/>
    </i>
    <i r="1">
      <x v="107"/>
      <x v="277"/>
      <x v="1291"/>
    </i>
    <i r="1">
      <x v="248"/>
      <x v="437"/>
      <x v="1405"/>
    </i>
    <i>
      <x v="88"/>
      <x v="27"/>
      <x v="72"/>
      <x v="1329"/>
    </i>
    <i r="2">
      <x v="317"/>
      <x v="1411"/>
    </i>
    <i r="2">
      <x v="354"/>
      <x v="1394"/>
    </i>
    <i r="1">
      <x v="35"/>
      <x v="3"/>
      <x v="1416"/>
    </i>
    <i r="1">
      <x v="36"/>
      <x/>
      <x v="1889"/>
    </i>
    <i r="1">
      <x v="39"/>
      <x v="147"/>
      <x v="1674"/>
    </i>
    <i r="1">
      <x v="237"/>
      <x v="38"/>
      <x v="1455"/>
    </i>
    <i r="1">
      <x v="238"/>
      <x v="116"/>
      <x v="1407"/>
    </i>
    <i r="1">
      <x v="252"/>
      <x v="278"/>
      <x v="1209"/>
    </i>
    <i r="1">
      <x v="267"/>
      <x v="61"/>
      <x v="1344"/>
    </i>
    <i r="1">
      <x v="268"/>
      <x v="265"/>
      <x v="1371"/>
    </i>
    <i>
      <x v="105"/>
      <x v="243"/>
      <x v="124"/>
      <x v="736"/>
    </i>
    <i r="1">
      <x v="291"/>
      <x v="92"/>
      <x v="1624"/>
    </i>
    <i>
      <x v="106"/>
      <x v="27"/>
      <x v="175"/>
      <x v="1111"/>
    </i>
    <i r="1">
      <x v="395"/>
      <x v="120"/>
      <x v="1816"/>
    </i>
    <i>
      <x v="129"/>
      <x v="141"/>
      <x v="163"/>
      <x v="1174"/>
    </i>
    <i r="1">
      <x v="291"/>
      <x v="163"/>
      <x v="1173"/>
    </i>
    <i>
      <x v="151"/>
      <x v="105"/>
      <x v="117"/>
      <x v="1666"/>
    </i>
    <i r="1">
      <x v="108"/>
      <x v="20"/>
      <x v="1387"/>
    </i>
    <i r="1">
      <x v="267"/>
      <x v="256"/>
      <x v="1396"/>
    </i>
    <i r="2">
      <x v="365"/>
      <x v="1911"/>
    </i>
    <i>
      <x v="154"/>
      <x v="42"/>
      <x v="270"/>
      <x v="1255"/>
    </i>
    <i r="1">
      <x v="102"/>
      <x v="277"/>
      <x v="1107"/>
    </i>
    <i r="1">
      <x v="103"/>
      <x v="223"/>
      <x v="1395"/>
    </i>
    <i r="1">
      <x v="269"/>
      <x v="307"/>
      <x v="1388"/>
    </i>
    <i r="1">
      <x v="349"/>
      <x v="72"/>
      <x v="899"/>
    </i>
    <i>
      <x v="193"/>
      <x v="104"/>
      <x v="116"/>
      <x v="1303"/>
    </i>
    <i r="1">
      <x v="408"/>
      <x v="191"/>
      <x v="691"/>
    </i>
    <i>
      <x v="201"/>
      <x v="197"/>
      <x v="87"/>
      <x v="1336"/>
    </i>
    <i r="1">
      <x v="399"/>
      <x v="163"/>
      <x v="1328"/>
    </i>
    <i>
      <x v="216"/>
      <x v="259"/>
      <x v="120"/>
      <x v="1861"/>
    </i>
    <i r="1">
      <x v="285"/>
      <x v="370"/>
      <x v="1136"/>
    </i>
    <i>
      <x v="217"/>
      <x v="267"/>
      <x v="175"/>
      <x v="1143"/>
    </i>
    <i r="1">
      <x v="282"/>
      <x v="387"/>
      <x v="1250"/>
    </i>
    <i>
      <x v="246"/>
      <x v="36"/>
      <x v="50"/>
      <x v="747"/>
    </i>
    <i r="1">
      <x v="399"/>
      <x v="94"/>
      <x v="639"/>
    </i>
    <i r="1">
      <x v="475"/>
      <x v="137"/>
      <x v="1114"/>
    </i>
    <i>
      <x v="262"/>
      <x v="22"/>
      <x v="371"/>
      <x v="1009"/>
    </i>
    <i r="1">
      <x v="399"/>
      <x v="70"/>
      <x v="1240"/>
    </i>
    <i r="2">
      <x v="386"/>
      <x v="1784"/>
    </i>
    <i r="1">
      <x v="463"/>
      <x v="364"/>
      <x v="1244"/>
    </i>
    <i r="1">
      <x v="467"/>
      <x v="175"/>
      <x v="1006"/>
    </i>
    <i>
      <x v="263"/>
      <x v="399"/>
      <x v="70"/>
      <x v="1409"/>
    </i>
    <i r="2">
      <x v="386"/>
      <x v="1845"/>
    </i>
    <i r="1">
      <x v="423"/>
      <x v="300"/>
      <x v="1306"/>
    </i>
    <i r="1">
      <x v="463"/>
      <x v="364"/>
      <x v="1296"/>
    </i>
    <i>
      <x v="265"/>
      <x v="342"/>
      <x v="168"/>
      <x v="1160"/>
    </i>
    <i r="1">
      <x v="399"/>
      <x v="43"/>
      <x v="1225"/>
    </i>
    <i r="1">
      <x v="440"/>
      <x v="38"/>
      <x v="1231"/>
    </i>
    <i r="1">
      <x v="467"/>
      <x v="50"/>
      <x v="663"/>
    </i>
    <i r="1">
      <x v="472"/>
      <x v="145"/>
      <x v="1150"/>
    </i>
    <i r="1">
      <x v="474"/>
      <x v="384"/>
      <x v="1557"/>
    </i>
    <i>
      <x v="266"/>
      <x v="314"/>
      <x v="276"/>
      <x v="1253"/>
    </i>
    <i r="1">
      <x v="471"/>
      <x v="162"/>
      <x v="1135"/>
    </i>
    <i>
      <x v="269"/>
      <x v="399"/>
      <x v="344"/>
      <x v="1520"/>
    </i>
    <i r="2">
      <x v="387"/>
      <x v="1153"/>
    </i>
    <i>
      <x v="275"/>
      <x v="451"/>
      <x v="125"/>
      <x v="1318"/>
    </i>
    <i r="2">
      <x v="277"/>
      <x v="780"/>
    </i>
    <i>
      <x v="278"/>
      <x v="27"/>
      <x v="56"/>
      <x v="1130"/>
    </i>
    <i r="1">
      <x v="413"/>
      <x v="45"/>
      <x v="1390"/>
    </i>
    <i r="1">
      <x v="414"/>
      <x v="256"/>
      <x v="1370"/>
    </i>
    <i>
      <x v="281"/>
      <x v="315"/>
      <x v="62"/>
      <x v="1061"/>
    </i>
    <i r="1">
      <x v="475"/>
      <x v="137"/>
      <x v="1321"/>
    </i>
    <i>
      <x v="282"/>
      <x v="402"/>
      <x v="326"/>
      <x v="1551"/>
    </i>
    <i r="1">
      <x v="452"/>
      <x v="92"/>
      <x v="1619"/>
    </i>
    <i>
      <x v="303"/>
      <x v="340"/>
      <x v="72"/>
      <x v="1220"/>
    </i>
    <i r="1">
      <x v="436"/>
      <x v="278"/>
      <x v="909"/>
    </i>
    <i>
      <x v="310"/>
      <x v="60"/>
      <x v="418"/>
      <x v="1145"/>
    </i>
    <i r="1">
      <x v="84"/>
      <x v="418"/>
      <x v="1146"/>
    </i>
    <i>
      <x v="325"/>
      <x v="112"/>
      <x v="384"/>
      <x v="1498"/>
    </i>
    <i r="1">
      <x v="113"/>
      <x v="250"/>
      <x v="1492"/>
    </i>
    <i r="2">
      <x v="291"/>
      <x v="1497"/>
    </i>
    <i>
      <x v="417"/>
      <x v="399"/>
      <x v="224"/>
      <x v="1687"/>
    </i>
    <i r="1">
      <x v="434"/>
      <x v="401"/>
      <x v="1800"/>
    </i>
    <i r="1">
      <x v="456"/>
      <x v="313"/>
      <x v="890"/>
    </i>
    <i>
      <x v="481"/>
      <x v="42"/>
      <x v="270"/>
      <x v="1364"/>
    </i>
    <i r="1">
      <x v="249"/>
      <x v="60"/>
      <x v="1305"/>
    </i>
    <i>
      <x v="483"/>
      <x v="52"/>
      <x v="60"/>
      <x v="806"/>
    </i>
    <i r="1">
      <x v="272"/>
      <x v="416"/>
      <x v="468"/>
    </i>
    <i r="1">
      <x v="343"/>
      <x v="100"/>
      <x v="859"/>
    </i>
    <i r="1">
      <x v="349"/>
      <x v="113"/>
      <x v="999"/>
    </i>
    <i>
      <x v="486"/>
      <x v="1"/>
      <x v="154"/>
      <x v="902"/>
    </i>
    <i r="1">
      <x v="2"/>
      <x v="331"/>
      <x v="1920"/>
    </i>
    <i r="1">
      <x v="525"/>
      <x v="175"/>
      <x v="1154"/>
    </i>
    <i r="2">
      <x v="367"/>
      <x v="1235"/>
    </i>
    <i>
      <x v="487"/>
      <x v="27"/>
      <x v="223"/>
      <x v="1467"/>
    </i>
    <i r="2">
      <x v="407"/>
      <x v="1439"/>
    </i>
    <i r="1">
      <x v="203"/>
      <x v="364"/>
      <x v="1429"/>
    </i>
    <i r="1">
      <x v="267"/>
      <x v="125"/>
      <x v="1383"/>
    </i>
    <i>
      <x v="488"/>
      <x v="270"/>
      <x v="433"/>
      <x v="898"/>
    </i>
    <i r="1">
      <x v="334"/>
      <x v="22"/>
      <x v="1646"/>
    </i>
    <i>
      <x v="502"/>
      <x v="281"/>
      <x v="12"/>
      <x v="1422"/>
    </i>
    <i r="1">
      <x v="334"/>
      <x v="45"/>
      <x v="1438"/>
    </i>
    <i r="2">
      <x v="337"/>
      <x v="1196"/>
    </i>
    <i r="1">
      <x v="344"/>
      <x v="307"/>
      <x v="1203"/>
    </i>
    <i r="1">
      <x v="345"/>
      <x v="357"/>
      <x v="1426"/>
    </i>
    <i>
      <x v="534"/>
      <x v="267"/>
      <x v="45"/>
      <x v="1391"/>
    </i>
    <i r="1">
      <x v="278"/>
      <x v="121"/>
      <x v="1696"/>
    </i>
    <i>
      <x v="545"/>
      <x v="20"/>
      <x v="13"/>
      <x v="1432"/>
    </i>
    <i r="1">
      <x v="27"/>
      <x v="80"/>
      <x v="1233"/>
    </i>
    <i>
      <x v="593"/>
      <x v="267"/>
      <x v="61"/>
      <x v="820"/>
    </i>
    <i r="1">
      <x v="432"/>
      <x v="126"/>
      <x v="680"/>
    </i>
    <i>
      <x v="599"/>
      <x v="291"/>
      <x v="358"/>
      <x v="1014"/>
    </i>
    <i r="1">
      <x v="349"/>
      <x v="358"/>
      <x v="1644"/>
    </i>
    <i>
      <x v="641"/>
      <x v="412"/>
      <x v="184"/>
      <x v="1004"/>
    </i>
    <i r="1">
      <x v="518"/>
      <x v="421"/>
      <x v="1178"/>
    </i>
    <i>
      <x v="666"/>
      <x v="202"/>
      <x v="109"/>
      <x v="968"/>
    </i>
    <i r="1">
      <x v="479"/>
      <x v="20"/>
      <x v="1059"/>
    </i>
    <i>
      <x v="671"/>
      <x v="238"/>
      <x v="221"/>
      <x v="932"/>
    </i>
    <i r="1">
      <x v="246"/>
      <x v="26"/>
      <x v="1172"/>
    </i>
    <i r="1">
      <x v="512"/>
      <x v="22"/>
      <x v="1804"/>
    </i>
    <i>
      <x v="673"/>
      <x v="283"/>
      <x v="221"/>
      <x v="1276"/>
    </i>
    <i r="1">
      <x v="349"/>
      <x v="70"/>
      <x v="1410"/>
    </i>
    <i r="2">
      <x v="97"/>
      <x v="1742"/>
    </i>
    <i r="1">
      <x v="378"/>
      <x v="29"/>
      <x v="1847"/>
    </i>
    <i>
      <x v="675"/>
      <x v="452"/>
      <x v="39"/>
      <x v="856"/>
    </i>
    <i r="2">
      <x v="80"/>
      <x v="758"/>
    </i>
    <i>
      <x v="676"/>
      <x v="349"/>
      <x v="70"/>
      <x v="1397"/>
    </i>
    <i r="2">
      <x v="97"/>
      <x v="1626"/>
    </i>
    <i r="1">
      <x v="378"/>
      <x v="29"/>
      <x v="1825"/>
    </i>
    <i>
      <x v="689"/>
      <x v="25"/>
      <x v="367"/>
      <x v="1418"/>
    </i>
    <i r="1">
      <x v="469"/>
      <x v="91"/>
      <x v="1141"/>
    </i>
    <i>
      <x v="709"/>
      <x v="183"/>
      <x v="358"/>
      <x v="1763"/>
    </i>
    <i r="1">
      <x v="500"/>
      <x v="358"/>
      <x v="569"/>
    </i>
    <i>
      <x v="724"/>
      <x v="183"/>
      <x v="358"/>
      <x v="1640"/>
    </i>
    <i r="1">
      <x v="500"/>
      <x v="358"/>
      <x v="404"/>
    </i>
    <i>
      <x v="758"/>
      <x v="193"/>
      <x v="358"/>
      <x v="1102"/>
    </i>
    <i r="1">
      <x v="349"/>
      <x v="358"/>
      <x v="1720"/>
    </i>
    <i>
      <x v="790"/>
      <x v="291"/>
      <x v="28"/>
      <x v="649"/>
    </i>
    <i r="1">
      <x v="383"/>
      <x v="88"/>
      <x v="998"/>
    </i>
    <i>
      <x v="891"/>
      <x v="334"/>
      <x v="310"/>
      <x v="1730"/>
    </i>
    <i r="1">
      <x v="335"/>
      <x v="302"/>
      <x v="1379"/>
    </i>
    <i r="1">
      <x v="336"/>
      <x v="406"/>
      <x v="1474"/>
    </i>
    <i r="1">
      <x v="337"/>
      <x v="65"/>
      <x v="1611"/>
    </i>
    <i r="1">
      <x v="338"/>
      <x v="155"/>
      <x v="1920"/>
    </i>
    <i r="1">
      <x v="345"/>
      <x v="357"/>
      <x v="1103"/>
    </i>
    <i>
      <x v="922"/>
      <x v="183"/>
      <x v="358"/>
      <x v="1801"/>
    </i>
    <i r="1">
      <x v="500"/>
      <x v="358"/>
      <x v="537"/>
    </i>
    <i>
      <x v="958"/>
      <x v="401"/>
      <x v="229"/>
      <x v="156"/>
    </i>
    <i r="1">
      <x v="409"/>
      <x v="293"/>
      <x v="1556"/>
    </i>
    <i>
      <x v="961"/>
      <x v="280"/>
      <x v="79"/>
      <x v="1161"/>
    </i>
    <i r="1">
      <x v="403"/>
      <x v="120"/>
      <x v="1724"/>
    </i>
    <i>
      <x v="962"/>
      <x v="286"/>
      <x v="72"/>
      <x v="1190"/>
    </i>
    <i r="1">
      <x v="433"/>
      <x v="416"/>
      <x v="818"/>
    </i>
    <i>
      <x v="1003"/>
      <x v="267"/>
      <x v="175"/>
      <x v="1091"/>
    </i>
    <i r="2">
      <x v="365"/>
      <x v="1764"/>
    </i>
    <i r="1">
      <x v="399"/>
      <x v="317"/>
      <x v="1193"/>
    </i>
    <i>
      <x v="1004"/>
      <x v="349"/>
      <x v="113"/>
      <x v="653"/>
    </i>
    <i r="1">
      <x v="375"/>
      <x v="270"/>
      <x v="668"/>
    </i>
    <i>
      <x v="1014"/>
      <x v="27"/>
      <x v="64"/>
      <x v="1056"/>
    </i>
    <i r="2">
      <x v="109"/>
      <x v="1137"/>
    </i>
    <i>
      <x v="1024"/>
      <x v="176"/>
      <x v="340"/>
      <x v="84"/>
    </i>
    <i r="3">
      <x v="1661"/>
    </i>
    <i>
      <x v="1036"/>
      <x v="243"/>
      <x v="124"/>
      <x v="935"/>
    </i>
    <i r="1">
      <x v="291"/>
      <x v="92"/>
      <x v="1880"/>
    </i>
    <i>
      <x v="1117"/>
      <x v="41"/>
      <x v="291"/>
      <x v="1476"/>
    </i>
    <i r="1">
      <x v="349"/>
      <x v="250"/>
      <x v="1485"/>
    </i>
    <i>
      <x v="1122"/>
      <x v="38"/>
      <x v="308"/>
      <x v="1436"/>
    </i>
    <i r="1">
      <x v="334"/>
      <x v="45"/>
      <x v="1420"/>
    </i>
    <i r="1">
      <x v="339"/>
      <x v="308"/>
      <x v="1359"/>
    </i>
    <i r="1">
      <x v="340"/>
      <x v="72"/>
      <x v="1406"/>
    </i>
    <i>
      <x v="1140"/>
      <x v="79"/>
      <x v="119"/>
      <x v="1551"/>
    </i>
    <i r="1">
      <x v="291"/>
      <x v="304"/>
      <x v="284"/>
    </i>
    <i>
      <x v="1162"/>
      <x v="459"/>
      <x v="291"/>
      <x v="372"/>
    </i>
    <i r="1">
      <x v="460"/>
      <x v="13"/>
      <x v="204"/>
    </i>
    <i>
      <x v="1184"/>
      <x v="9"/>
      <x v="322"/>
      <x v="1312"/>
    </i>
    <i r="1">
      <x v="10"/>
      <x v="168"/>
      <x v="1419"/>
    </i>
    <i r="1">
      <x v="27"/>
      <x v="340"/>
      <x v="1726"/>
    </i>
    <i r="2">
      <x v="354"/>
      <x v="1483"/>
    </i>
    <i r="1">
      <x v="248"/>
      <x v="40"/>
      <x v="1460"/>
    </i>
    <i r="1">
      <x v="251"/>
      <x v="308"/>
      <x v="1477"/>
    </i>
    <i r="1">
      <x v="276"/>
      <x v="102"/>
      <x v="1516"/>
    </i>
    <i r="1">
      <x v="527"/>
      <x v="403"/>
      <x v="1454"/>
    </i>
    <i>
      <x v="1210"/>
      <x v="18"/>
      <x v="302"/>
      <x v="1551"/>
    </i>
    <i r="1">
      <x v="410"/>
      <x v="11"/>
      <x v="1013"/>
    </i>
    <i>
      <x v="1232"/>
      <x v="480"/>
      <x v="13"/>
      <x v="1399"/>
    </i>
    <i r="1">
      <x v="482"/>
      <x v="223"/>
      <x v="1470"/>
    </i>
    <i>
      <x v="1235"/>
      <x v="12"/>
      <x v="135"/>
      <x v="1216"/>
    </i>
    <i r="1">
      <x v="492"/>
      <x v="367"/>
      <x v="883"/>
    </i>
    <i>
      <x v="1239"/>
      <x v="42"/>
      <x v="270"/>
      <x v="1343"/>
    </i>
    <i r="1">
      <x v="204"/>
      <x v="139"/>
      <x v="944"/>
    </i>
    <i r="1">
      <x v="250"/>
      <x v="302"/>
      <x v="1234"/>
    </i>
    <i r="1">
      <x v="267"/>
      <x v="224"/>
      <x v="1627"/>
    </i>
    <i r="1">
      <x v="274"/>
      <x v="313"/>
      <x v="1217"/>
    </i>
    <i>
      <x v="1241"/>
      <x v="25"/>
      <x v="367"/>
      <x v="1367"/>
    </i>
    <i r="1">
      <x v="204"/>
      <x v="139"/>
      <x v="752"/>
    </i>
    <i r="1">
      <x v="267"/>
      <x v="376"/>
      <x v="574"/>
    </i>
    <i r="1">
      <x v="399"/>
      <x v="97"/>
      <x v="1829"/>
    </i>
    <i>
      <x v="1253"/>
      <x v="112"/>
      <x v="384"/>
      <x v="1475"/>
    </i>
    <i r="1">
      <x v="483"/>
      <x v="430"/>
      <x v="1456"/>
    </i>
    <i>
      <x v="1262"/>
      <x v="183"/>
      <x v="358"/>
      <x v="1898"/>
    </i>
    <i r="1">
      <x v="500"/>
      <x v="358"/>
      <x v="803"/>
    </i>
    <i>
      <x v="1285"/>
      <x v="267"/>
      <x v="414"/>
      <x v="1920"/>
    </i>
    <i r="1">
      <x v="466"/>
      <x v="95"/>
      <x v="970"/>
    </i>
    <i>
      <x v="1296"/>
      <x v="193"/>
      <x v="358"/>
      <x v="857"/>
    </i>
    <i r="1">
      <x v="492"/>
      <x v="367"/>
      <x v="825"/>
    </i>
    <i>
      <x v="1309"/>
      <x v="111"/>
      <x v="290"/>
      <x v="1333"/>
    </i>
    <i r="1">
      <x v="441"/>
      <x v="60"/>
      <x v="1440"/>
    </i>
    <i r="2">
      <x v="365"/>
      <x v="1568"/>
    </i>
    <i>
      <x v="1310"/>
      <x v="12"/>
      <x v="135"/>
      <x v="986"/>
    </i>
    <i r="1">
      <x v="105"/>
      <x v="386"/>
      <x v="1638"/>
    </i>
    <i r="1">
      <x v="471"/>
      <x v="383"/>
      <x v="1243"/>
    </i>
    <i r="1">
      <x v="473"/>
      <x v="120"/>
      <x v="1787"/>
    </i>
    <i>
      <x v="1311"/>
      <x v="263"/>
      <x v="219"/>
      <x v="1051"/>
    </i>
    <i r="1">
      <x v="264"/>
      <x v="65"/>
      <x v="1844"/>
    </i>
    <i>
      <x v="1312"/>
      <x v="32"/>
      <x v="256"/>
      <x v="1273"/>
    </i>
    <i r="1">
      <x v="399"/>
      <x v="158"/>
      <x v="1392"/>
    </i>
    <i r="1">
      <x v="480"/>
      <x v="40"/>
      <x v="1376"/>
    </i>
    <i>
      <x v="1321"/>
      <x v="27"/>
      <x v="317"/>
      <x v="1417"/>
    </i>
    <i r="1">
      <x v="112"/>
      <x v="384"/>
      <x v="1466"/>
    </i>
    <i r="1">
      <x v="286"/>
      <x v="72"/>
      <x v="1380"/>
    </i>
    <i r="1">
      <x v="480"/>
      <x v="40"/>
      <x v="1430"/>
    </i>
    <i>
      <x v="1361"/>
      <x v="164"/>
      <x v="348"/>
      <x v="1259"/>
    </i>
    <i r="1">
      <x v="263"/>
      <x v="307"/>
      <x v="1334"/>
    </i>
    <i>
      <x v="1365"/>
      <x v="183"/>
      <x v="358"/>
      <x v="1652"/>
    </i>
    <i r="1">
      <x v="500"/>
      <x v="358"/>
      <x v="1036"/>
    </i>
    <i>
      <x v="1377"/>
      <x v="206"/>
      <x v="43"/>
      <x v="901"/>
    </i>
    <i r="1">
      <x v="366"/>
      <x v="43"/>
      <x v="918"/>
    </i>
    <i>
      <x v="1379"/>
      <x v="172"/>
      <x v="74"/>
      <x v="339"/>
    </i>
    <i r="1">
      <x v="369"/>
      <x v="74"/>
      <x v="334"/>
    </i>
    <i>
      <x v="1395"/>
      <x v="150"/>
      <x v="196"/>
      <x v="1831"/>
    </i>
    <i r="1">
      <x v="180"/>
      <x v="423"/>
      <x v="1826"/>
    </i>
    <i>
      <x v="1473"/>
      <x v="427"/>
      <x v="190"/>
      <x v="904"/>
    </i>
    <i r="1">
      <x v="455"/>
      <x v="391"/>
      <x v="700"/>
    </i>
    <i>
      <x v="1488"/>
      <x v="61"/>
      <x v="47"/>
      <x v="1592"/>
    </i>
    <i r="2">
      <x v="445"/>
      <x v="1808"/>
    </i>
    <i>
      <x v="1505"/>
      <x v="30"/>
      <x v="100"/>
      <x v="1551"/>
    </i>
    <i r="1">
      <x v="106"/>
      <x v="169"/>
      <x v="1600"/>
    </i>
    <i>
      <x v="1511"/>
      <x v="354"/>
      <x v="347"/>
      <x v="1897"/>
    </i>
    <i r="1">
      <x v="387"/>
      <x v="47"/>
      <x v="1693"/>
    </i>
    <i>
      <x v="1514"/>
      <x v="128"/>
      <x v="11"/>
      <x v="550"/>
    </i>
    <i r="1">
      <x v="130"/>
      <x v="369"/>
      <x v="392"/>
    </i>
    <i>
      <x v="1548"/>
      <x v="184"/>
      <x v="418"/>
      <x v="1108"/>
    </i>
    <i r="1">
      <x v="189"/>
      <x v="145"/>
      <x v="1227"/>
    </i>
    <i>
      <x v="1565"/>
      <x v="64"/>
      <x v="262"/>
      <x v="99"/>
    </i>
    <i r="1">
      <x v="383"/>
      <x v="262"/>
      <x v="111"/>
    </i>
    <i>
      <x v="1569"/>
      <x v="38"/>
      <x v="308"/>
      <x v="1462"/>
    </i>
    <i r="1">
      <x v="238"/>
      <x v="430"/>
      <x v="1441"/>
    </i>
    <i r="1">
      <x v="255"/>
      <x v="13"/>
      <x v="1491"/>
    </i>
    <i>
      <x v="1572"/>
      <x v="341"/>
      <x v="59"/>
      <x v="1345"/>
    </i>
    <i r="1">
      <x v="342"/>
      <x v="168"/>
      <x v="1404"/>
    </i>
    <i r="1">
      <x v="346"/>
      <x v="60"/>
      <x v="1449"/>
    </i>
    <i>
      <x v="1580"/>
      <x v="11"/>
      <x v="70"/>
      <x v="1326"/>
    </i>
    <i r="1">
      <x v="34"/>
      <x v="300"/>
      <x v="1128"/>
    </i>
    <i r="1">
      <x v="102"/>
      <x v="277"/>
      <x v="624"/>
    </i>
    <i r="1">
      <x v="149"/>
      <x v="251"/>
      <x v="937"/>
    </i>
    <i>
      <x v="1585"/>
      <x v="19"/>
      <x v="354"/>
      <x v="1071"/>
    </i>
    <i r="1">
      <x v="27"/>
      <x v="171"/>
      <x v="1325"/>
    </i>
    <i r="1">
      <x v="36"/>
      <x v="50"/>
      <x v="717"/>
    </i>
    <i>
      <x v="1596"/>
      <x v="493"/>
      <x v="201"/>
      <x v="15"/>
    </i>
    <i r="3">
      <x v="17"/>
    </i>
    <i>
      <x v="1640"/>
      <x v="27"/>
      <x v="407"/>
      <x v="1219"/>
    </i>
    <i r="1">
      <x v="37"/>
      <x v="331"/>
      <x v="1637"/>
    </i>
    <i>
      <x v="1641"/>
      <x v="27"/>
      <x v="407"/>
      <x v="1337"/>
    </i>
    <i r="1">
      <x v="37"/>
      <x v="331"/>
      <x v="1578"/>
    </i>
    <i>
      <x v="1643"/>
      <x v="9"/>
      <x v="117"/>
      <x v="1573"/>
    </i>
    <i r="2">
      <x v="125"/>
      <x v="1357"/>
    </i>
    <i r="1">
      <x v="412"/>
      <x v="13"/>
      <x v="1484"/>
    </i>
    <i r="1">
      <x v="417"/>
      <x v="367"/>
      <x v="1421"/>
    </i>
    <i>
      <x v="1656"/>
      <x v="176"/>
      <x v="340"/>
      <x v="49"/>
    </i>
    <i r="3">
      <x v="1555"/>
    </i>
    <i>
      <x v="1675"/>
      <x v="465"/>
      <x v="416"/>
      <x v="542"/>
    </i>
    <i r="1">
      <x v="467"/>
      <x v="50"/>
      <x v="555"/>
    </i>
    <i>
      <x v="1717"/>
      <x v="27"/>
      <x v="125"/>
      <x v="1502"/>
    </i>
    <i r="1">
      <x v="399"/>
      <x v="384"/>
      <x v="1500"/>
    </i>
    <i>
      <x v="1736"/>
      <x v="27"/>
      <x v="123"/>
      <x v="1007"/>
    </i>
    <i r="1">
      <x v="28"/>
      <x v="139"/>
      <x v="900"/>
    </i>
    <i>
      <x v="1744"/>
      <x v="399"/>
      <x v="64"/>
      <x v="631"/>
    </i>
    <i r="2">
      <x v="394"/>
      <x v="1018"/>
    </i>
    <i>
      <x v="1749"/>
      <x v="29"/>
      <x v="121"/>
      <x v="1678"/>
    </i>
    <i r="1">
      <x v="40"/>
      <x v="79"/>
      <x v="1495"/>
    </i>
    <i r="1">
      <x v="255"/>
      <x v="13"/>
      <x v="1499"/>
    </i>
    <i r="1">
      <x v="341"/>
      <x v="430"/>
      <x v="1478"/>
    </i>
    <i>
      <x v="1751"/>
      <x v="2"/>
      <x v="331"/>
      <x v="1920"/>
    </i>
    <i r="1">
      <x v="3"/>
      <x v="221"/>
      <x v="1099"/>
    </i>
    <i r="1">
      <x v="5"/>
      <x v="313"/>
      <x v="1551"/>
    </i>
    <i r="1">
      <x v="7"/>
      <x v="272"/>
      <x v="950"/>
    </i>
    <i>
      <x v="1754"/>
      <x v="20"/>
      <x v="13"/>
      <x v="1472"/>
    </i>
    <i r="1">
      <x v="481"/>
      <x v="68"/>
      <x v="1482"/>
    </i>
    <i r="1">
      <x v="484"/>
      <x v="95"/>
      <x v="1464"/>
    </i>
    <i>
      <x v="1797"/>
      <x v="455"/>
      <x v="240"/>
      <x v="1803"/>
    </i>
    <i r="1">
      <x v="491"/>
      <x v="384"/>
      <x v="866"/>
    </i>
    <i>
      <x v="1799"/>
      <x v="288"/>
      <x v="56"/>
      <x v="1112"/>
    </i>
    <i r="1">
      <x v="426"/>
      <x v="147"/>
      <x v="1738"/>
    </i>
    <i r="1">
      <x v="455"/>
      <x v="373"/>
      <x v="1752"/>
    </i>
    <i r="1">
      <x v="490"/>
      <x v="120"/>
      <x v="1755"/>
    </i>
    <i r="1">
      <x v="491"/>
      <x v="20"/>
      <x v="1064"/>
    </i>
    <i r="2">
      <x v="384"/>
      <x v="1272"/>
    </i>
    <i>
      <x v="1867"/>
      <x v="352"/>
      <x v="69"/>
      <x v="630"/>
    </i>
    <i r="1">
      <x v="369"/>
      <x v="211"/>
      <x v="1020"/>
    </i>
  </rowItems>
  <colItems count="1">
    <i/>
  </colItems>
  <pageFields count="1">
    <pageField fld="17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ogle.com/search?q=NASDAQ:INSY&amp;stick=H4sIAAAAAAAAAONgecRozi3w8sc9YSm9SWtOXmPU4OIKzsgvd80rySypFJLiYoOyBKT4uHj00_UNM5LKMooM4o14AIjApls8AAAA&amp;sa=X&amp;ved=0ahUKEwirx6PppNPVAhXr7IMKHefDBJ4QsRUIjwEwDw" TargetMode="External"/><Relationship Id="rId2" Type="http://schemas.openxmlformats.org/officeDocument/2006/relationships/hyperlink" Target="https://www.google.com/search?q=NYSEMKT:IMUC&amp;stick=H4sIAAAAAAAAAONgecRozi3w8sc9YSm9SWtOXmPU4OIKzsgvd80rySypFJLiYoOyBKT4uHj00_UNM5LKigxyLEp4AGBvuLE8AAAA&amp;sa=X&amp;ved=0ahUKEwiiqdzipNPVAhWi0YMKHZC6D20QsRUIhwEwDg" TargetMode="External"/><Relationship Id="rId1" Type="http://schemas.openxmlformats.org/officeDocument/2006/relationships/hyperlink" Target="https://www.google.com/search?q=NYSE:CFG&amp;stick=H4sIAAAAAAAAAONgecRowS3w8sc9YSn9SWtOXmPU5OIKzsgvd80rySypFJLmYoOyBKX4uXj10_UNDZOSKgxNs4qSeAACCG4jPQAAAA&amp;sa=X&amp;ved=0ahUKEwjMkN-WpNPVAhXJx4MKHboeCs8QsRUIyQEwEw" TargetMode="External"/><Relationship Id="rId4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13"/>
  <sheetViews>
    <sheetView topLeftCell="A19" zoomScale="55" zoomScaleNormal="55" workbookViewId="0">
      <selection activeCell="B8" sqref="B8"/>
    </sheetView>
  </sheetViews>
  <sheetFormatPr defaultRowHeight="15" x14ac:dyDescent="0.25"/>
  <cols>
    <col min="1" max="1" width="69.5703125" customWidth="1"/>
    <col min="2" max="2" width="161.140625" customWidth="1"/>
    <col min="3" max="3" width="67.42578125" bestFit="1" customWidth="1"/>
    <col min="4" max="4" width="14.28515625" bestFit="1" customWidth="1"/>
    <col min="5" max="5" width="66.7109375" bestFit="1" customWidth="1"/>
    <col min="6" max="6" width="65.7109375" bestFit="1" customWidth="1"/>
    <col min="7" max="7" width="22.42578125" bestFit="1" customWidth="1"/>
    <col min="8" max="8" width="126.42578125" bestFit="1" customWidth="1"/>
    <col min="9" max="9" width="77" bestFit="1" customWidth="1"/>
    <col min="10" max="10" width="77.85546875" bestFit="1" customWidth="1"/>
    <col min="11" max="11" width="141.5703125" bestFit="1" customWidth="1"/>
    <col min="12" max="12" width="44.85546875" bestFit="1" customWidth="1"/>
    <col min="13" max="13" width="64.5703125" bestFit="1" customWidth="1"/>
    <col min="14" max="14" width="21.42578125" bestFit="1" customWidth="1"/>
    <col min="15" max="15" width="56" bestFit="1" customWidth="1"/>
    <col min="16" max="16" width="40" bestFit="1" customWidth="1"/>
    <col min="17" max="17" width="64.140625" bestFit="1" customWidth="1"/>
    <col min="18" max="18" width="84.140625" bestFit="1" customWidth="1"/>
    <col min="19" max="19" width="101.42578125" bestFit="1" customWidth="1"/>
    <col min="20" max="20" width="77.7109375" bestFit="1" customWidth="1"/>
    <col min="21" max="21" width="109.28515625" bestFit="1" customWidth="1"/>
    <col min="22" max="22" width="157.42578125" bestFit="1" customWidth="1"/>
    <col min="23" max="23" width="61" bestFit="1" customWidth="1"/>
    <col min="24" max="24" width="89.5703125" bestFit="1" customWidth="1"/>
    <col min="25" max="25" width="55.42578125" bestFit="1" customWidth="1"/>
    <col min="26" max="26" width="68.5703125" bestFit="1" customWidth="1"/>
    <col min="27" max="27" width="91.5703125" bestFit="1" customWidth="1"/>
    <col min="28" max="28" width="90.5703125" bestFit="1" customWidth="1"/>
    <col min="29" max="29" width="119.42578125" bestFit="1" customWidth="1"/>
    <col min="30" max="30" width="69" bestFit="1" customWidth="1"/>
    <col min="31" max="31" width="18.28515625" bestFit="1" customWidth="1"/>
    <col min="32" max="32" width="51.42578125" bestFit="1" customWidth="1"/>
    <col min="33" max="33" width="59.140625" bestFit="1" customWidth="1"/>
    <col min="34" max="34" width="54.85546875" bestFit="1" customWidth="1"/>
    <col min="35" max="35" width="61.140625" bestFit="1" customWidth="1"/>
    <col min="36" max="36" width="113.42578125" bestFit="1" customWidth="1"/>
    <col min="37" max="37" width="33.42578125" bestFit="1" customWidth="1"/>
    <col min="38" max="38" width="47.85546875" bestFit="1" customWidth="1"/>
    <col min="39" max="39" width="54.140625" bestFit="1" customWidth="1"/>
    <col min="40" max="40" width="63.28515625" bestFit="1" customWidth="1"/>
    <col min="41" max="41" width="76.42578125" bestFit="1" customWidth="1"/>
    <col min="42" max="42" width="31.85546875" bestFit="1" customWidth="1"/>
    <col min="43" max="43" width="66" bestFit="1" customWidth="1"/>
    <col min="44" max="44" width="65" bestFit="1" customWidth="1"/>
    <col min="45" max="45" width="73.28515625" bestFit="1" customWidth="1"/>
    <col min="46" max="46" width="75" bestFit="1" customWidth="1"/>
    <col min="47" max="47" width="46.28515625" bestFit="1" customWidth="1"/>
    <col min="48" max="48" width="72.28515625" bestFit="1" customWidth="1"/>
    <col min="49" max="49" width="51.42578125" bestFit="1" customWidth="1"/>
    <col min="50" max="50" width="82.42578125" bestFit="1" customWidth="1"/>
    <col min="51" max="51" width="46.28515625" bestFit="1" customWidth="1"/>
    <col min="52" max="52" width="57.85546875" bestFit="1" customWidth="1"/>
    <col min="53" max="53" width="39" bestFit="1" customWidth="1"/>
    <col min="54" max="54" width="27.85546875" bestFit="1" customWidth="1"/>
    <col min="55" max="55" width="47.42578125" bestFit="1" customWidth="1"/>
    <col min="56" max="56" width="47.85546875" bestFit="1" customWidth="1"/>
    <col min="57" max="57" width="42.28515625" bestFit="1" customWidth="1"/>
    <col min="58" max="58" width="92.28515625" bestFit="1" customWidth="1"/>
    <col min="59" max="59" width="51.7109375" bestFit="1" customWidth="1"/>
    <col min="60" max="60" width="64.85546875" bestFit="1" customWidth="1"/>
    <col min="61" max="61" width="66.5703125" bestFit="1" customWidth="1"/>
    <col min="62" max="62" width="30.42578125" bestFit="1" customWidth="1"/>
    <col min="63" max="63" width="77.7109375" bestFit="1" customWidth="1"/>
    <col min="64" max="64" width="23" bestFit="1" customWidth="1"/>
    <col min="65" max="65" width="84.5703125" bestFit="1" customWidth="1"/>
    <col min="66" max="66" width="56.5703125" bestFit="1" customWidth="1"/>
    <col min="67" max="67" width="31.28515625" bestFit="1" customWidth="1"/>
    <col min="68" max="68" width="48.140625" bestFit="1" customWidth="1"/>
    <col min="69" max="69" width="33.140625" bestFit="1" customWidth="1"/>
    <col min="70" max="70" width="67" bestFit="1" customWidth="1"/>
    <col min="71" max="71" width="111.7109375" bestFit="1" customWidth="1"/>
    <col min="72" max="72" width="65.85546875" bestFit="1" customWidth="1"/>
    <col min="73" max="73" width="67.42578125" bestFit="1" customWidth="1"/>
    <col min="74" max="74" width="101.140625" bestFit="1" customWidth="1"/>
    <col min="75" max="75" width="88.85546875" bestFit="1" customWidth="1"/>
    <col min="76" max="76" width="89.140625" bestFit="1" customWidth="1"/>
    <col min="77" max="77" width="98" bestFit="1" customWidth="1"/>
    <col min="78" max="78" width="48.5703125" bestFit="1" customWidth="1"/>
    <col min="79" max="79" width="102" bestFit="1" customWidth="1"/>
    <col min="80" max="80" width="19.140625" bestFit="1" customWidth="1"/>
    <col min="81" max="81" width="75.7109375" bestFit="1" customWidth="1"/>
    <col min="82" max="82" width="20.5703125" bestFit="1" customWidth="1"/>
    <col min="83" max="83" width="51.5703125" bestFit="1" customWidth="1"/>
    <col min="84" max="84" width="82.140625" bestFit="1" customWidth="1"/>
    <col min="85" max="85" width="56" bestFit="1" customWidth="1"/>
    <col min="86" max="86" width="50.140625" bestFit="1" customWidth="1"/>
    <col min="87" max="87" width="54.140625" bestFit="1" customWidth="1"/>
    <col min="88" max="88" width="60.5703125" bestFit="1" customWidth="1"/>
    <col min="89" max="89" width="64.140625" bestFit="1" customWidth="1"/>
    <col min="90" max="90" width="64.42578125" bestFit="1" customWidth="1"/>
    <col min="91" max="91" width="61.140625" bestFit="1" customWidth="1"/>
    <col min="92" max="92" width="36" bestFit="1" customWidth="1"/>
    <col min="93" max="93" width="48.140625" bestFit="1" customWidth="1"/>
    <col min="94" max="94" width="64.85546875" bestFit="1" customWidth="1"/>
    <col min="95" max="95" width="122.5703125" bestFit="1" customWidth="1"/>
    <col min="96" max="96" width="57.28515625" bestFit="1" customWidth="1"/>
    <col min="97" max="97" width="50.5703125" bestFit="1" customWidth="1"/>
    <col min="98" max="98" width="19.5703125" bestFit="1" customWidth="1"/>
    <col min="99" max="99" width="36.7109375" bestFit="1" customWidth="1"/>
    <col min="100" max="100" width="65.140625" bestFit="1" customWidth="1"/>
    <col min="101" max="101" width="36.7109375" bestFit="1" customWidth="1"/>
    <col min="102" max="102" width="15" bestFit="1" customWidth="1"/>
    <col min="103" max="103" width="47.140625" bestFit="1" customWidth="1"/>
    <col min="104" max="104" width="53.7109375" bestFit="1" customWidth="1"/>
    <col min="105" max="105" width="62.140625" bestFit="1" customWidth="1"/>
    <col min="106" max="106" width="74.7109375" bestFit="1" customWidth="1"/>
    <col min="107" max="107" width="56.42578125" bestFit="1" customWidth="1"/>
    <col min="108" max="108" width="50.7109375" bestFit="1" customWidth="1"/>
    <col min="109" max="109" width="63.85546875" bestFit="1" customWidth="1"/>
    <col min="110" max="110" width="97.42578125" bestFit="1" customWidth="1"/>
    <col min="111" max="111" width="62.42578125" bestFit="1" customWidth="1"/>
    <col min="112" max="112" width="45" bestFit="1" customWidth="1"/>
    <col min="113" max="113" width="50.140625" bestFit="1" customWidth="1"/>
    <col min="114" max="114" width="59.42578125" bestFit="1" customWidth="1"/>
    <col min="115" max="115" width="14" bestFit="1" customWidth="1"/>
    <col min="116" max="116" width="45.7109375" bestFit="1" customWidth="1"/>
    <col min="117" max="117" width="61" bestFit="1" customWidth="1"/>
    <col min="118" max="118" width="97" bestFit="1" customWidth="1"/>
    <col min="119" max="119" width="43.5703125" bestFit="1" customWidth="1"/>
    <col min="120" max="120" width="54.5703125" bestFit="1" customWidth="1"/>
    <col min="121" max="121" width="96.28515625" bestFit="1" customWidth="1"/>
    <col min="122" max="122" width="37.7109375" bestFit="1" customWidth="1"/>
    <col min="123" max="123" width="84.85546875" bestFit="1" customWidth="1"/>
    <col min="124" max="124" width="53.140625" bestFit="1" customWidth="1"/>
    <col min="125" max="125" width="35.28515625" bestFit="1" customWidth="1"/>
    <col min="126" max="126" width="102.42578125" bestFit="1" customWidth="1"/>
    <col min="127" max="127" width="117.85546875" bestFit="1" customWidth="1"/>
    <col min="128" max="128" width="85.5703125" bestFit="1" customWidth="1"/>
    <col min="129" max="129" width="96.85546875" bestFit="1" customWidth="1"/>
    <col min="130" max="130" width="100.42578125" bestFit="1" customWidth="1"/>
    <col min="131" max="131" width="115.7109375" bestFit="1" customWidth="1"/>
    <col min="132" max="132" width="94.85546875" bestFit="1" customWidth="1"/>
    <col min="133" max="133" width="112.28515625" bestFit="1" customWidth="1"/>
    <col min="134" max="134" width="110" bestFit="1" customWidth="1"/>
    <col min="135" max="135" width="84.7109375" bestFit="1" customWidth="1"/>
    <col min="136" max="136" width="73.28515625" bestFit="1" customWidth="1"/>
    <col min="137" max="137" width="123.28515625" bestFit="1" customWidth="1"/>
    <col min="138" max="138" width="70.140625" bestFit="1" customWidth="1"/>
    <col min="139" max="139" width="111.85546875" bestFit="1" customWidth="1"/>
    <col min="140" max="140" width="66" bestFit="1" customWidth="1"/>
    <col min="141" max="141" width="82" bestFit="1" customWidth="1"/>
    <col min="142" max="142" width="75.28515625" bestFit="1" customWidth="1"/>
    <col min="143" max="143" width="66" bestFit="1" customWidth="1"/>
    <col min="144" max="144" width="73.5703125" bestFit="1" customWidth="1"/>
    <col min="145" max="145" width="78.42578125" bestFit="1" customWidth="1"/>
    <col min="146" max="146" width="77.7109375" bestFit="1" customWidth="1"/>
    <col min="147" max="147" width="69" bestFit="1" customWidth="1"/>
    <col min="148" max="148" width="82.28515625" bestFit="1" customWidth="1"/>
    <col min="149" max="149" width="86.140625" bestFit="1" customWidth="1"/>
    <col min="150" max="150" width="71.7109375" bestFit="1" customWidth="1"/>
    <col min="151" max="151" width="67" bestFit="1" customWidth="1"/>
    <col min="152" max="152" width="93.7109375" bestFit="1" customWidth="1"/>
    <col min="153" max="153" width="79" bestFit="1" customWidth="1"/>
    <col min="154" max="154" width="59" bestFit="1" customWidth="1"/>
    <col min="155" max="155" width="58.42578125" bestFit="1" customWidth="1"/>
    <col min="156" max="156" width="59" bestFit="1" customWidth="1"/>
    <col min="157" max="157" width="51.5703125" bestFit="1" customWidth="1"/>
    <col min="158" max="158" width="16.7109375" bestFit="1" customWidth="1"/>
    <col min="159" max="159" width="70.42578125" bestFit="1" customWidth="1"/>
    <col min="160" max="160" width="63.7109375" bestFit="1" customWidth="1"/>
    <col min="161" max="161" width="59" bestFit="1" customWidth="1"/>
    <col min="162" max="162" width="63.5703125" bestFit="1" customWidth="1"/>
    <col min="163" max="163" width="37.7109375" bestFit="1" customWidth="1"/>
    <col min="164" max="164" width="36.28515625" bestFit="1" customWidth="1"/>
    <col min="165" max="165" width="71.7109375" bestFit="1" customWidth="1"/>
    <col min="166" max="166" width="87.140625" bestFit="1" customWidth="1"/>
    <col min="167" max="167" width="68.5703125" bestFit="1" customWidth="1"/>
    <col min="168" max="168" width="69.140625" bestFit="1" customWidth="1"/>
    <col min="169" max="169" width="59.140625" bestFit="1" customWidth="1"/>
    <col min="170" max="170" width="63.42578125" bestFit="1" customWidth="1"/>
    <col min="171" max="171" width="99.140625" bestFit="1" customWidth="1"/>
    <col min="172" max="172" width="23.42578125" bestFit="1" customWidth="1"/>
    <col min="173" max="173" width="64.85546875" bestFit="1" customWidth="1"/>
    <col min="174" max="174" width="61.5703125" bestFit="1" customWidth="1"/>
    <col min="175" max="175" width="97.5703125" bestFit="1" customWidth="1"/>
    <col min="176" max="176" width="15.7109375" bestFit="1" customWidth="1"/>
    <col min="177" max="177" width="58.28515625" bestFit="1" customWidth="1"/>
    <col min="178" max="178" width="11.28515625" bestFit="1" customWidth="1"/>
  </cols>
  <sheetData>
    <row r="1" spans="1:4" x14ac:dyDescent="0.25">
      <c r="A1" s="66" t="s">
        <v>626</v>
      </c>
      <c r="B1" t="s">
        <v>404</v>
      </c>
    </row>
    <row r="4" spans="1:4" x14ac:dyDescent="0.25">
      <c r="A4" s="66" t="s">
        <v>393</v>
      </c>
      <c r="B4" s="66" t="s">
        <v>398</v>
      </c>
      <c r="C4" s="66" t="s">
        <v>389</v>
      </c>
      <c r="D4" s="66" t="s">
        <v>6735</v>
      </c>
    </row>
    <row r="5" spans="1:4" x14ac:dyDescent="0.25">
      <c r="A5" t="s">
        <v>402</v>
      </c>
      <c r="B5" t="s">
        <v>157</v>
      </c>
      <c r="C5" t="s">
        <v>408</v>
      </c>
      <c r="D5">
        <v>1272092.6599999999</v>
      </c>
    </row>
    <row r="6" spans="1:4" x14ac:dyDescent="0.25">
      <c r="B6" t="s">
        <v>2508</v>
      </c>
      <c r="C6" t="s">
        <v>408</v>
      </c>
      <c r="D6">
        <v>1272099.01</v>
      </c>
    </row>
    <row r="7" spans="1:4" x14ac:dyDescent="0.25">
      <c r="B7" t="s">
        <v>1967</v>
      </c>
      <c r="C7" t="s">
        <v>126</v>
      </c>
      <c r="D7">
        <v>149542.54999999999</v>
      </c>
    </row>
    <row r="8" spans="1:4" x14ac:dyDescent="0.25">
      <c r="A8" t="s">
        <v>0</v>
      </c>
      <c r="B8" t="s">
        <v>1</v>
      </c>
      <c r="C8" t="s">
        <v>4</v>
      </c>
      <c r="D8">
        <v>13032285.99</v>
      </c>
    </row>
    <row r="9" spans="1:4" x14ac:dyDescent="0.25">
      <c r="B9" t="s">
        <v>639</v>
      </c>
      <c r="C9" t="s">
        <v>2</v>
      </c>
      <c r="D9">
        <v>2479669.9300000002</v>
      </c>
    </row>
    <row r="10" spans="1:4" x14ac:dyDescent="0.25">
      <c r="A10" t="s">
        <v>6</v>
      </c>
      <c r="B10" t="s">
        <v>1988</v>
      </c>
      <c r="C10" t="s">
        <v>10</v>
      </c>
      <c r="D10">
        <v>555860.24</v>
      </c>
    </row>
    <row r="11" spans="1:4" x14ac:dyDescent="0.25">
      <c r="B11" t="s">
        <v>1931</v>
      </c>
      <c r="C11" t="s">
        <v>8</v>
      </c>
      <c r="D11">
        <v>226809.08</v>
      </c>
    </row>
    <row r="12" spans="1:4" x14ac:dyDescent="0.25">
      <c r="A12" t="s">
        <v>12</v>
      </c>
      <c r="B12" t="s">
        <v>2788</v>
      </c>
      <c r="C12" t="s">
        <v>13</v>
      </c>
      <c r="D12">
        <v>739889.89</v>
      </c>
    </row>
    <row r="13" spans="1:4" x14ac:dyDescent="0.25">
      <c r="B13" t="s">
        <v>1450</v>
      </c>
      <c r="C13" t="s">
        <v>16</v>
      </c>
      <c r="D13">
        <v>628011.80000000005</v>
      </c>
    </row>
    <row r="14" spans="1:4" x14ac:dyDescent="0.25">
      <c r="B14" t="s">
        <v>2641</v>
      </c>
      <c r="C14" t="s">
        <v>19</v>
      </c>
      <c r="D14">
        <v>1793450.84</v>
      </c>
    </row>
    <row r="15" spans="1:4" x14ac:dyDescent="0.25">
      <c r="B15" t="s">
        <v>6899</v>
      </c>
      <c r="C15" t="s">
        <v>6896</v>
      </c>
      <c r="D15" t="s">
        <v>6898</v>
      </c>
    </row>
    <row r="16" spans="1:4" x14ac:dyDescent="0.25">
      <c r="B16" t="s">
        <v>21</v>
      </c>
      <c r="C16" t="s">
        <v>22</v>
      </c>
      <c r="D16">
        <v>5970378.1600000001</v>
      </c>
    </row>
    <row r="17" spans="1:4" x14ac:dyDescent="0.25">
      <c r="B17" t="s">
        <v>1515</v>
      </c>
      <c r="C17" t="s">
        <v>24</v>
      </c>
      <c r="D17">
        <v>1218651.21</v>
      </c>
    </row>
    <row r="18" spans="1:4" x14ac:dyDescent="0.25">
      <c r="B18" t="s">
        <v>1903</v>
      </c>
      <c r="C18" t="s">
        <v>7090</v>
      </c>
      <c r="D18" t="s">
        <v>7099</v>
      </c>
    </row>
    <row r="19" spans="1:4" x14ac:dyDescent="0.25">
      <c r="A19" t="s">
        <v>26</v>
      </c>
      <c r="B19" t="s">
        <v>1664</v>
      </c>
      <c r="C19" t="s">
        <v>28</v>
      </c>
      <c r="D19">
        <v>6899642.0099999998</v>
      </c>
    </row>
    <row r="20" spans="1:4" x14ac:dyDescent="0.25">
      <c r="B20" t="s">
        <v>3162</v>
      </c>
      <c r="C20" t="s">
        <v>30</v>
      </c>
      <c r="D20">
        <v>2629594.62</v>
      </c>
    </row>
    <row r="21" spans="1:4" x14ac:dyDescent="0.25">
      <c r="A21" t="s">
        <v>32</v>
      </c>
      <c r="B21" t="s">
        <v>2788</v>
      </c>
      <c r="C21" t="s">
        <v>13</v>
      </c>
      <c r="D21">
        <v>1075535.6299999999</v>
      </c>
    </row>
    <row r="22" spans="1:4" x14ac:dyDescent="0.25">
      <c r="B22" t="s">
        <v>2974</v>
      </c>
      <c r="C22" t="s">
        <v>35</v>
      </c>
      <c r="D22">
        <v>702842.81</v>
      </c>
    </row>
    <row r="23" spans="1:4" x14ac:dyDescent="0.25">
      <c r="B23" t="s">
        <v>256</v>
      </c>
      <c r="C23" t="s">
        <v>37</v>
      </c>
      <c r="D23">
        <v>1612283.42</v>
      </c>
    </row>
    <row r="24" spans="1:4" x14ac:dyDescent="0.25">
      <c r="A24" t="s">
        <v>39</v>
      </c>
      <c r="B24" t="s">
        <v>1</v>
      </c>
      <c r="C24" t="s">
        <v>40</v>
      </c>
      <c r="D24">
        <v>908180.74</v>
      </c>
    </row>
    <row r="25" spans="1:4" x14ac:dyDescent="0.25">
      <c r="C25" t="s">
        <v>42</v>
      </c>
      <c r="D25">
        <v>1706737.7</v>
      </c>
    </row>
    <row r="26" spans="1:4" x14ac:dyDescent="0.25">
      <c r="C26" t="s">
        <v>44</v>
      </c>
      <c r="D26">
        <v>1468932.56</v>
      </c>
    </row>
    <row r="27" spans="1:4" x14ac:dyDescent="0.25">
      <c r="B27" t="s">
        <v>639</v>
      </c>
      <c r="C27" t="s">
        <v>2</v>
      </c>
      <c r="D27">
        <v>1874878.85</v>
      </c>
    </row>
    <row r="28" spans="1:4" x14ac:dyDescent="0.25">
      <c r="B28" t="s">
        <v>95</v>
      </c>
      <c r="C28" t="s">
        <v>7111</v>
      </c>
      <c r="D28" t="s">
        <v>7112</v>
      </c>
    </row>
    <row r="29" spans="1:4" x14ac:dyDescent="0.25">
      <c r="B29" t="s">
        <v>7431</v>
      </c>
      <c r="C29" t="s">
        <v>7406</v>
      </c>
      <c r="D29" t="s">
        <v>7430</v>
      </c>
    </row>
    <row r="30" spans="1:4" x14ac:dyDescent="0.25">
      <c r="B30" t="s">
        <v>981</v>
      </c>
      <c r="C30" t="s">
        <v>49</v>
      </c>
      <c r="D30">
        <v>5470011.8700000001</v>
      </c>
    </row>
    <row r="31" spans="1:4" x14ac:dyDescent="0.25">
      <c r="B31" t="s">
        <v>27</v>
      </c>
      <c r="C31" t="s">
        <v>51</v>
      </c>
      <c r="D31">
        <v>1646120.68</v>
      </c>
    </row>
    <row r="32" spans="1:4" x14ac:dyDescent="0.25">
      <c r="B32" t="s">
        <v>2982</v>
      </c>
      <c r="C32" t="s">
        <v>54</v>
      </c>
      <c r="D32">
        <v>396501.1</v>
      </c>
    </row>
    <row r="33" spans="1:4" x14ac:dyDescent="0.25">
      <c r="B33" t="s">
        <v>56</v>
      </c>
      <c r="C33" t="s">
        <v>1192</v>
      </c>
      <c r="D33">
        <v>987674.62</v>
      </c>
    </row>
    <row r="34" spans="1:4" x14ac:dyDescent="0.25">
      <c r="B34" t="s">
        <v>2847</v>
      </c>
      <c r="C34" t="s">
        <v>57</v>
      </c>
      <c r="D34">
        <v>1177771.58</v>
      </c>
    </row>
    <row r="35" spans="1:4" x14ac:dyDescent="0.25">
      <c r="A35" t="s">
        <v>1795</v>
      </c>
      <c r="B35" t="s">
        <v>1797</v>
      </c>
      <c r="C35" t="s">
        <v>1786</v>
      </c>
      <c r="D35">
        <v>67132.800000000003</v>
      </c>
    </row>
    <row r="36" spans="1:4" x14ac:dyDescent="0.25">
      <c r="B36" t="s">
        <v>63</v>
      </c>
      <c r="C36" t="s">
        <v>6808</v>
      </c>
      <c r="D36" t="s">
        <v>6811</v>
      </c>
    </row>
    <row r="37" spans="1:4" x14ac:dyDescent="0.25">
      <c r="A37" t="s">
        <v>2224</v>
      </c>
      <c r="B37" t="s">
        <v>1</v>
      </c>
      <c r="C37" t="s">
        <v>90</v>
      </c>
      <c r="D37">
        <v>250261.52</v>
      </c>
    </row>
    <row r="38" spans="1:4" x14ac:dyDescent="0.25">
      <c r="B38" t="s">
        <v>6923</v>
      </c>
      <c r="C38" t="s">
        <v>6921</v>
      </c>
      <c r="D38" t="s">
        <v>6922</v>
      </c>
    </row>
    <row r="39" spans="1:4" x14ac:dyDescent="0.25">
      <c r="A39" t="s">
        <v>59</v>
      </c>
      <c r="B39" t="s">
        <v>2163</v>
      </c>
      <c r="C39" t="s">
        <v>61</v>
      </c>
      <c r="D39">
        <v>336128</v>
      </c>
    </row>
    <row r="40" spans="1:4" x14ac:dyDescent="0.25">
      <c r="B40" t="s">
        <v>63</v>
      </c>
      <c r="C40" t="s">
        <v>61</v>
      </c>
      <c r="D40">
        <v>335125.94</v>
      </c>
    </row>
    <row r="41" spans="1:4" x14ac:dyDescent="0.25">
      <c r="A41" t="s">
        <v>65</v>
      </c>
      <c r="B41" t="s">
        <v>34</v>
      </c>
      <c r="C41" t="s">
        <v>6823</v>
      </c>
      <c r="D41" t="s">
        <v>6830</v>
      </c>
    </row>
    <row r="42" spans="1:4" x14ac:dyDescent="0.25">
      <c r="B42" t="s">
        <v>843</v>
      </c>
      <c r="C42" t="s">
        <v>66</v>
      </c>
      <c r="D42">
        <v>1315107.51</v>
      </c>
    </row>
    <row r="43" spans="1:4" x14ac:dyDescent="0.25">
      <c r="B43" t="s">
        <v>56</v>
      </c>
      <c r="C43" t="s">
        <v>13</v>
      </c>
      <c r="D43">
        <v>1499854.51</v>
      </c>
    </row>
    <row r="44" spans="1:4" x14ac:dyDescent="0.25">
      <c r="C44" t="s">
        <v>6957</v>
      </c>
      <c r="D44" t="s">
        <v>6959</v>
      </c>
    </row>
    <row r="45" spans="1:4" x14ac:dyDescent="0.25">
      <c r="A45" t="s">
        <v>69</v>
      </c>
      <c r="B45" t="s">
        <v>2890</v>
      </c>
      <c r="C45" t="s">
        <v>71</v>
      </c>
      <c r="D45">
        <v>523217.91999999998</v>
      </c>
    </row>
    <row r="46" spans="1:4" x14ac:dyDescent="0.25">
      <c r="B46" t="s">
        <v>2971</v>
      </c>
      <c r="C46" t="s">
        <v>35</v>
      </c>
      <c r="D46">
        <v>245208.13</v>
      </c>
    </row>
    <row r="47" spans="1:4" x14ac:dyDescent="0.25">
      <c r="B47" t="s">
        <v>2563</v>
      </c>
      <c r="C47" t="s">
        <v>74</v>
      </c>
      <c r="D47">
        <v>1499584.95</v>
      </c>
    </row>
    <row r="48" spans="1:4" x14ac:dyDescent="0.25">
      <c r="B48" t="s">
        <v>3215</v>
      </c>
      <c r="C48" t="s">
        <v>77</v>
      </c>
      <c r="D48">
        <v>1355286.87</v>
      </c>
    </row>
    <row r="49" spans="1:4" x14ac:dyDescent="0.25">
      <c r="B49" t="s">
        <v>79</v>
      </c>
      <c r="C49" t="s">
        <v>40</v>
      </c>
      <c r="D49">
        <v>111523</v>
      </c>
    </row>
    <row r="50" spans="1:4" x14ac:dyDescent="0.25">
      <c r="A50" t="s">
        <v>81</v>
      </c>
      <c r="B50" t="s">
        <v>1750</v>
      </c>
      <c r="C50" t="s">
        <v>51</v>
      </c>
      <c r="D50">
        <v>763963.33</v>
      </c>
    </row>
    <row r="51" spans="1:4" x14ac:dyDescent="0.25">
      <c r="B51" t="s">
        <v>1988</v>
      </c>
      <c r="C51" t="s">
        <v>83</v>
      </c>
      <c r="D51">
        <v>56804.12</v>
      </c>
    </row>
    <row r="52" spans="1:4" x14ac:dyDescent="0.25">
      <c r="A52" t="s">
        <v>85</v>
      </c>
      <c r="B52" t="s">
        <v>1575</v>
      </c>
      <c r="C52" t="s">
        <v>86</v>
      </c>
      <c r="D52">
        <v>952101</v>
      </c>
    </row>
    <row r="53" spans="1:4" x14ac:dyDescent="0.25">
      <c r="B53" t="s">
        <v>7</v>
      </c>
      <c r="C53" t="s">
        <v>61</v>
      </c>
      <c r="D53">
        <v>904799.71</v>
      </c>
    </row>
    <row r="54" spans="1:4" x14ac:dyDescent="0.25">
      <c r="A54" t="s">
        <v>3675</v>
      </c>
      <c r="B54" t="s">
        <v>6926</v>
      </c>
      <c r="C54" t="s">
        <v>6921</v>
      </c>
      <c r="D54" t="s">
        <v>6925</v>
      </c>
    </row>
    <row r="55" spans="1:4" x14ac:dyDescent="0.25">
      <c r="B55" t="s">
        <v>3677</v>
      </c>
      <c r="C55" t="s">
        <v>3674</v>
      </c>
      <c r="D55">
        <v>282619.56</v>
      </c>
    </row>
    <row r="56" spans="1:4" x14ac:dyDescent="0.25">
      <c r="A56" t="s">
        <v>89</v>
      </c>
      <c r="B56" t="s">
        <v>56</v>
      </c>
      <c r="C56" t="s">
        <v>90</v>
      </c>
      <c r="D56">
        <v>292591.68</v>
      </c>
    </row>
    <row r="57" spans="1:4" x14ac:dyDescent="0.25">
      <c r="B57" t="s">
        <v>3762</v>
      </c>
      <c r="C57" t="s">
        <v>92</v>
      </c>
      <c r="D57">
        <v>521472.69</v>
      </c>
    </row>
    <row r="58" spans="1:4" x14ac:dyDescent="0.25">
      <c r="A58" t="s">
        <v>94</v>
      </c>
      <c r="B58" t="s">
        <v>95</v>
      </c>
      <c r="C58" t="s">
        <v>96</v>
      </c>
      <c r="D58">
        <v>69855.850000000006</v>
      </c>
    </row>
    <row r="59" spans="1:4" x14ac:dyDescent="0.25">
      <c r="B59" t="s">
        <v>7</v>
      </c>
      <c r="C59" t="s">
        <v>98</v>
      </c>
      <c r="D59">
        <v>47097.94</v>
      </c>
    </row>
    <row r="60" spans="1:4" x14ac:dyDescent="0.25">
      <c r="B60" t="s">
        <v>100</v>
      </c>
      <c r="C60" t="s">
        <v>101</v>
      </c>
      <c r="D60">
        <v>252957.67</v>
      </c>
    </row>
    <row r="61" spans="1:4" x14ac:dyDescent="0.25">
      <c r="A61" t="s">
        <v>103</v>
      </c>
      <c r="B61" t="s">
        <v>104</v>
      </c>
      <c r="C61" t="s">
        <v>105</v>
      </c>
      <c r="D61">
        <v>166256.29</v>
      </c>
    </row>
    <row r="62" spans="1:4" x14ac:dyDescent="0.25">
      <c r="B62" t="s">
        <v>7</v>
      </c>
      <c r="C62" t="s">
        <v>107</v>
      </c>
      <c r="D62">
        <v>501193.45</v>
      </c>
    </row>
    <row r="63" spans="1:4" x14ac:dyDescent="0.25">
      <c r="C63" t="s">
        <v>6940</v>
      </c>
      <c r="D63" t="s">
        <v>6942</v>
      </c>
    </row>
    <row r="64" spans="1:4" x14ac:dyDescent="0.25">
      <c r="B64" t="s">
        <v>3655</v>
      </c>
      <c r="C64" t="s">
        <v>3637</v>
      </c>
      <c r="D64">
        <v>506002</v>
      </c>
    </row>
    <row r="65" spans="1:4" x14ac:dyDescent="0.25">
      <c r="B65" t="s">
        <v>1057</v>
      </c>
      <c r="C65" t="s">
        <v>90</v>
      </c>
      <c r="D65">
        <v>164423</v>
      </c>
    </row>
    <row r="66" spans="1:4" x14ac:dyDescent="0.25">
      <c r="A66" t="s">
        <v>111</v>
      </c>
      <c r="B66" t="s">
        <v>7</v>
      </c>
      <c r="C66" t="s">
        <v>107</v>
      </c>
      <c r="D66">
        <v>1670036.32</v>
      </c>
    </row>
    <row r="67" spans="1:4" x14ac:dyDescent="0.25">
      <c r="C67" t="s">
        <v>6940</v>
      </c>
      <c r="D67" t="s">
        <v>6943</v>
      </c>
    </row>
    <row r="68" spans="1:4" x14ac:dyDescent="0.25">
      <c r="B68" t="s">
        <v>3147</v>
      </c>
      <c r="C68" t="s">
        <v>113</v>
      </c>
      <c r="D68">
        <v>780479.54</v>
      </c>
    </row>
    <row r="69" spans="1:4" x14ac:dyDescent="0.25">
      <c r="B69" t="s">
        <v>3655</v>
      </c>
      <c r="C69" t="s">
        <v>3637</v>
      </c>
      <c r="D69">
        <v>720501</v>
      </c>
    </row>
    <row r="70" spans="1:4" x14ac:dyDescent="0.25">
      <c r="A70" t="s">
        <v>118</v>
      </c>
      <c r="B70" t="s">
        <v>2218</v>
      </c>
      <c r="C70" t="s">
        <v>120</v>
      </c>
      <c r="D70">
        <v>315168.53000000003</v>
      </c>
    </row>
    <row r="71" spans="1:4" x14ac:dyDescent="0.25">
      <c r="B71" t="s">
        <v>7</v>
      </c>
      <c r="C71" t="s">
        <v>116</v>
      </c>
      <c r="D71">
        <v>448092.95</v>
      </c>
    </row>
    <row r="72" spans="1:4" x14ac:dyDescent="0.25">
      <c r="B72" t="s">
        <v>983</v>
      </c>
      <c r="C72" t="s">
        <v>49</v>
      </c>
      <c r="D72">
        <v>468903.39</v>
      </c>
    </row>
    <row r="73" spans="1:4" x14ac:dyDescent="0.25">
      <c r="B73" t="s">
        <v>1057</v>
      </c>
      <c r="C73" t="s">
        <v>96</v>
      </c>
      <c r="D73">
        <v>51761</v>
      </c>
    </row>
    <row r="74" spans="1:4" x14ac:dyDescent="0.25">
      <c r="B74" t="s">
        <v>1984</v>
      </c>
      <c r="C74" t="s">
        <v>126</v>
      </c>
      <c r="D74">
        <v>302572.96000000002</v>
      </c>
    </row>
    <row r="75" spans="1:4" x14ac:dyDescent="0.25">
      <c r="B75" t="s">
        <v>6807</v>
      </c>
      <c r="C75" t="s">
        <v>287</v>
      </c>
      <c r="D75" t="s">
        <v>6806</v>
      </c>
    </row>
    <row r="76" spans="1:4" x14ac:dyDescent="0.25">
      <c r="A76" t="s">
        <v>128</v>
      </c>
      <c r="B76" t="s">
        <v>2958</v>
      </c>
      <c r="C76" t="s">
        <v>2939</v>
      </c>
      <c r="D76">
        <v>522574.94</v>
      </c>
    </row>
    <row r="77" spans="1:4" x14ac:dyDescent="0.25">
      <c r="B77" t="s">
        <v>125</v>
      </c>
      <c r="C77" t="s">
        <v>129</v>
      </c>
      <c r="D77">
        <v>280729.78000000003</v>
      </c>
    </row>
    <row r="78" spans="1:4" x14ac:dyDescent="0.25">
      <c r="A78" t="s">
        <v>3764</v>
      </c>
      <c r="B78" t="s">
        <v>7</v>
      </c>
      <c r="C78" t="s">
        <v>7329</v>
      </c>
      <c r="D78" t="s">
        <v>7337</v>
      </c>
    </row>
    <row r="79" spans="1:4" x14ac:dyDescent="0.25">
      <c r="C79" t="s">
        <v>92</v>
      </c>
      <c r="D79">
        <v>303249.44</v>
      </c>
    </row>
    <row r="80" spans="1:4" x14ac:dyDescent="0.25">
      <c r="A80" t="s">
        <v>131</v>
      </c>
      <c r="B80" t="s">
        <v>1813</v>
      </c>
      <c r="C80" t="s">
        <v>132</v>
      </c>
      <c r="D80">
        <v>835557.29</v>
      </c>
    </row>
    <row r="81" spans="1:4" x14ac:dyDescent="0.25">
      <c r="C81" t="s">
        <v>35</v>
      </c>
      <c r="D81">
        <v>78112.19</v>
      </c>
    </row>
    <row r="82" spans="1:4" x14ac:dyDescent="0.25">
      <c r="A82" t="s">
        <v>135</v>
      </c>
      <c r="B82" t="s">
        <v>1</v>
      </c>
      <c r="C82" t="s">
        <v>136</v>
      </c>
      <c r="D82">
        <v>268918.76</v>
      </c>
    </row>
    <row r="83" spans="1:4" x14ac:dyDescent="0.25">
      <c r="B83" t="s">
        <v>1026</v>
      </c>
      <c r="C83" t="s">
        <v>138</v>
      </c>
      <c r="D83">
        <v>1388498.72</v>
      </c>
    </row>
    <row r="84" spans="1:4" x14ac:dyDescent="0.25">
      <c r="B84" t="s">
        <v>2794</v>
      </c>
      <c r="C84" t="s">
        <v>13</v>
      </c>
      <c r="D84">
        <v>1177476.51</v>
      </c>
    </row>
    <row r="85" spans="1:4" x14ac:dyDescent="0.25">
      <c r="A85" t="s">
        <v>141</v>
      </c>
      <c r="B85" t="s">
        <v>1233</v>
      </c>
      <c r="C85" t="s">
        <v>142</v>
      </c>
      <c r="D85">
        <v>200282.76</v>
      </c>
    </row>
    <row r="86" spans="1:4" x14ac:dyDescent="0.25">
      <c r="B86" t="s">
        <v>100</v>
      </c>
      <c r="C86" t="s">
        <v>101</v>
      </c>
      <c r="D86">
        <v>867154.76</v>
      </c>
    </row>
    <row r="87" spans="1:4" x14ac:dyDescent="0.25">
      <c r="A87" t="s">
        <v>3361</v>
      </c>
      <c r="B87" t="s">
        <v>3363</v>
      </c>
      <c r="C87" t="s">
        <v>3360</v>
      </c>
      <c r="D87" t="s">
        <v>6737</v>
      </c>
    </row>
    <row r="88" spans="1:4" x14ac:dyDescent="0.25">
      <c r="B88" t="s">
        <v>993</v>
      </c>
      <c r="C88" t="s">
        <v>6808</v>
      </c>
      <c r="D88" t="s">
        <v>6815</v>
      </c>
    </row>
    <row r="89" spans="1:4" x14ac:dyDescent="0.25">
      <c r="A89" t="s">
        <v>145</v>
      </c>
      <c r="B89" t="s">
        <v>119</v>
      </c>
      <c r="C89" t="s">
        <v>40</v>
      </c>
      <c r="D89">
        <v>439206.99</v>
      </c>
    </row>
    <row r="90" spans="1:4" x14ac:dyDescent="0.25">
      <c r="B90" t="s">
        <v>2989</v>
      </c>
      <c r="C90" t="s">
        <v>54</v>
      </c>
      <c r="D90">
        <v>116762.1</v>
      </c>
    </row>
    <row r="91" spans="1:4" x14ac:dyDescent="0.25">
      <c r="A91" t="s">
        <v>4032</v>
      </c>
      <c r="B91" t="s">
        <v>4034</v>
      </c>
      <c r="C91" t="s">
        <v>4</v>
      </c>
      <c r="D91">
        <v>293749</v>
      </c>
    </row>
    <row r="92" spans="1:4" x14ac:dyDescent="0.25">
      <c r="B92" t="s">
        <v>1598</v>
      </c>
      <c r="C92" t="s">
        <v>4</v>
      </c>
      <c r="D92">
        <v>294020</v>
      </c>
    </row>
    <row r="93" spans="1:4" x14ac:dyDescent="0.25">
      <c r="A93" t="s">
        <v>506</v>
      </c>
      <c r="B93" t="s">
        <v>286</v>
      </c>
      <c r="C93" t="s">
        <v>287</v>
      </c>
      <c r="D93">
        <v>30401950.190000001</v>
      </c>
    </row>
    <row r="94" spans="1:4" x14ac:dyDescent="0.25">
      <c r="B94" t="s">
        <v>631</v>
      </c>
      <c r="C94" t="s">
        <v>241</v>
      </c>
      <c r="D94">
        <v>21392815.18</v>
      </c>
    </row>
    <row r="95" spans="1:4" x14ac:dyDescent="0.25">
      <c r="C95" t="s">
        <v>239</v>
      </c>
      <c r="D95">
        <v>28630628.02</v>
      </c>
    </row>
    <row r="96" spans="1:4" x14ac:dyDescent="0.25">
      <c r="A96" t="s">
        <v>3273</v>
      </c>
      <c r="B96" t="s">
        <v>7</v>
      </c>
      <c r="C96" t="s">
        <v>6971</v>
      </c>
      <c r="D96" t="s">
        <v>6974</v>
      </c>
    </row>
    <row r="97" spans="1:4" x14ac:dyDescent="0.25">
      <c r="B97" t="s">
        <v>6892</v>
      </c>
      <c r="C97" t="s">
        <v>6887</v>
      </c>
      <c r="D97" t="s">
        <v>6891</v>
      </c>
    </row>
    <row r="98" spans="1:4" x14ac:dyDescent="0.25">
      <c r="B98" t="s">
        <v>658</v>
      </c>
      <c r="C98" t="s">
        <v>278</v>
      </c>
      <c r="D98">
        <v>108334.34</v>
      </c>
    </row>
    <row r="99" spans="1:4" x14ac:dyDescent="0.25">
      <c r="A99" t="s">
        <v>152</v>
      </c>
      <c r="B99" t="s">
        <v>2890</v>
      </c>
      <c r="C99" t="s">
        <v>71</v>
      </c>
      <c r="D99">
        <v>1138553.33</v>
      </c>
    </row>
    <row r="100" spans="1:4" x14ac:dyDescent="0.25">
      <c r="B100" t="s">
        <v>1182</v>
      </c>
      <c r="C100" t="s">
        <v>154</v>
      </c>
      <c r="D100">
        <v>778734.32</v>
      </c>
    </row>
    <row r="101" spans="1:4" x14ac:dyDescent="0.25">
      <c r="A101" t="s">
        <v>156</v>
      </c>
      <c r="B101" t="s">
        <v>1179</v>
      </c>
      <c r="C101" t="s">
        <v>154</v>
      </c>
      <c r="D101">
        <v>83746.28</v>
      </c>
    </row>
    <row r="102" spans="1:4" x14ac:dyDescent="0.25">
      <c r="B102" t="s">
        <v>4017</v>
      </c>
      <c r="C102" t="s">
        <v>159</v>
      </c>
      <c r="D102">
        <v>23544.29</v>
      </c>
    </row>
    <row r="103" spans="1:4" x14ac:dyDescent="0.25">
      <c r="B103" t="s">
        <v>1662</v>
      </c>
      <c r="C103" t="s">
        <v>162</v>
      </c>
      <c r="D103">
        <v>97734.16</v>
      </c>
    </row>
    <row r="104" spans="1:4" x14ac:dyDescent="0.25">
      <c r="B104" t="s">
        <v>79</v>
      </c>
      <c r="C104" t="s">
        <v>163</v>
      </c>
      <c r="D104">
        <v>159348</v>
      </c>
    </row>
    <row r="105" spans="1:4" x14ac:dyDescent="0.25">
      <c r="A105" t="s">
        <v>165</v>
      </c>
      <c r="B105" t="s">
        <v>2062</v>
      </c>
      <c r="C105" t="s">
        <v>167</v>
      </c>
      <c r="D105">
        <v>114271.86</v>
      </c>
    </row>
    <row r="106" spans="1:4" x14ac:dyDescent="0.25">
      <c r="B106" t="s">
        <v>7445</v>
      </c>
      <c r="C106" t="s">
        <v>7443</v>
      </c>
      <c r="D106" t="s">
        <v>158</v>
      </c>
    </row>
    <row r="107" spans="1:4" x14ac:dyDescent="0.25">
      <c r="B107" t="s">
        <v>168</v>
      </c>
      <c r="C107" t="s">
        <v>90</v>
      </c>
      <c r="D107">
        <v>312009</v>
      </c>
    </row>
    <row r="108" spans="1:4" x14ac:dyDescent="0.25">
      <c r="C108" t="s">
        <v>170</v>
      </c>
      <c r="D108">
        <v>486994</v>
      </c>
    </row>
    <row r="109" spans="1:4" x14ac:dyDescent="0.25">
      <c r="A109" t="s">
        <v>172</v>
      </c>
      <c r="B109" t="s">
        <v>1</v>
      </c>
      <c r="C109" t="s">
        <v>74</v>
      </c>
      <c r="D109">
        <v>7766749.8399999999</v>
      </c>
    </row>
    <row r="110" spans="1:4" x14ac:dyDescent="0.25">
      <c r="C110" t="s">
        <v>3948</v>
      </c>
      <c r="D110">
        <v>2925150.66</v>
      </c>
    </row>
    <row r="111" spans="1:4" x14ac:dyDescent="0.25">
      <c r="B111" t="s">
        <v>3641</v>
      </c>
      <c r="C111" t="s">
        <v>3637</v>
      </c>
      <c r="D111">
        <v>2467510</v>
      </c>
    </row>
    <row r="112" spans="1:4" x14ac:dyDescent="0.25">
      <c r="B112" t="s">
        <v>56</v>
      </c>
      <c r="C112" t="s">
        <v>132</v>
      </c>
      <c r="D112">
        <v>1284592.46</v>
      </c>
    </row>
    <row r="113" spans="1:4" x14ac:dyDescent="0.25">
      <c r="A113" t="s">
        <v>4146</v>
      </c>
      <c r="B113" t="s">
        <v>4148</v>
      </c>
      <c r="C113" t="s">
        <v>4137</v>
      </c>
      <c r="D113">
        <v>111358.31</v>
      </c>
    </row>
    <row r="114" spans="1:4" x14ac:dyDescent="0.25">
      <c r="B114" t="s">
        <v>161</v>
      </c>
      <c r="C114" t="s">
        <v>7266</v>
      </c>
      <c r="D114" t="s">
        <v>7267</v>
      </c>
    </row>
    <row r="115" spans="1:4" x14ac:dyDescent="0.25">
      <c r="A115" t="s">
        <v>175</v>
      </c>
      <c r="B115" t="s">
        <v>739</v>
      </c>
      <c r="C115" t="s">
        <v>176</v>
      </c>
      <c r="D115">
        <v>2122805.2200000002</v>
      </c>
    </row>
    <row r="116" spans="1:4" x14ac:dyDescent="0.25">
      <c r="B116" t="s">
        <v>161</v>
      </c>
      <c r="C116" t="s">
        <v>138</v>
      </c>
      <c r="D116">
        <v>2832503.04</v>
      </c>
    </row>
    <row r="117" spans="1:4" x14ac:dyDescent="0.25">
      <c r="C117" t="s">
        <v>180</v>
      </c>
      <c r="D117">
        <v>371038.5</v>
      </c>
    </row>
    <row r="118" spans="1:4" x14ac:dyDescent="0.25">
      <c r="B118" t="s">
        <v>3225</v>
      </c>
      <c r="C118" t="s">
        <v>77</v>
      </c>
      <c r="D118">
        <v>382312</v>
      </c>
    </row>
    <row r="119" spans="1:4" x14ac:dyDescent="0.25">
      <c r="B119" t="s">
        <v>3578</v>
      </c>
      <c r="C119" t="s">
        <v>182</v>
      </c>
      <c r="D119">
        <v>2266558.56</v>
      </c>
    </row>
    <row r="120" spans="1:4" x14ac:dyDescent="0.25">
      <c r="A120" t="s">
        <v>1021</v>
      </c>
      <c r="B120" t="s">
        <v>56</v>
      </c>
      <c r="C120" t="s">
        <v>138</v>
      </c>
      <c r="D120">
        <v>1404255.84</v>
      </c>
    </row>
    <row r="121" spans="1:4" x14ac:dyDescent="0.25">
      <c r="B121" t="s">
        <v>7479</v>
      </c>
      <c r="C121" t="s">
        <v>7475</v>
      </c>
      <c r="D121" t="s">
        <v>7478</v>
      </c>
    </row>
    <row r="122" spans="1:4" x14ac:dyDescent="0.25">
      <c r="A122" t="s">
        <v>184</v>
      </c>
      <c r="B122" t="s">
        <v>752</v>
      </c>
      <c r="C122" t="s">
        <v>22</v>
      </c>
      <c r="D122">
        <v>2521284</v>
      </c>
    </row>
    <row r="123" spans="1:4" x14ac:dyDescent="0.25">
      <c r="B123" t="s">
        <v>1</v>
      </c>
      <c r="C123" t="s">
        <v>187</v>
      </c>
      <c r="D123">
        <v>471529.17</v>
      </c>
    </row>
    <row r="124" spans="1:4" x14ac:dyDescent="0.25">
      <c r="A124" t="s">
        <v>1197</v>
      </c>
      <c r="B124" t="s">
        <v>56</v>
      </c>
      <c r="C124" t="s">
        <v>1192</v>
      </c>
      <c r="D124">
        <v>85792.92</v>
      </c>
    </row>
    <row r="125" spans="1:4" x14ac:dyDescent="0.25">
      <c r="B125" t="s">
        <v>1818</v>
      </c>
      <c r="C125" t="s">
        <v>1814</v>
      </c>
      <c r="D125">
        <v>54831.47</v>
      </c>
    </row>
    <row r="126" spans="1:4" x14ac:dyDescent="0.25">
      <c r="A126" t="s">
        <v>3603</v>
      </c>
      <c r="B126" t="s">
        <v>63</v>
      </c>
      <c r="C126" t="s">
        <v>579</v>
      </c>
      <c r="D126">
        <v>171179.43</v>
      </c>
    </row>
    <row r="127" spans="1:4" x14ac:dyDescent="0.25">
      <c r="B127" t="s">
        <v>79</v>
      </c>
      <c r="C127" t="s">
        <v>579</v>
      </c>
      <c r="D127" t="s">
        <v>7180</v>
      </c>
    </row>
    <row r="128" spans="1:4" x14ac:dyDescent="0.25">
      <c r="A128" t="s">
        <v>189</v>
      </c>
      <c r="B128" t="s">
        <v>767</v>
      </c>
      <c r="C128" t="s">
        <v>190</v>
      </c>
      <c r="D128">
        <v>162625.68</v>
      </c>
    </row>
    <row r="129" spans="1:4" x14ac:dyDescent="0.25">
      <c r="B129" t="s">
        <v>4080</v>
      </c>
      <c r="C129" t="s">
        <v>193</v>
      </c>
      <c r="D129">
        <v>339133.77</v>
      </c>
    </row>
    <row r="130" spans="1:4" x14ac:dyDescent="0.25">
      <c r="A130" t="s">
        <v>195</v>
      </c>
      <c r="B130" t="s">
        <v>196</v>
      </c>
      <c r="C130" t="s">
        <v>197</v>
      </c>
      <c r="D130">
        <v>141641</v>
      </c>
    </row>
    <row r="131" spans="1:4" x14ac:dyDescent="0.25">
      <c r="B131" t="s">
        <v>199</v>
      </c>
      <c r="C131" t="s">
        <v>66</v>
      </c>
      <c r="D131">
        <v>199927.17</v>
      </c>
    </row>
    <row r="132" spans="1:4" x14ac:dyDescent="0.25">
      <c r="A132" t="s">
        <v>201</v>
      </c>
      <c r="B132" t="s">
        <v>27</v>
      </c>
      <c r="C132" t="s">
        <v>204</v>
      </c>
      <c r="D132">
        <v>123862</v>
      </c>
    </row>
    <row r="133" spans="1:4" x14ac:dyDescent="0.25">
      <c r="B133" t="s">
        <v>912</v>
      </c>
      <c r="C133" t="s">
        <v>202</v>
      </c>
      <c r="D133">
        <v>335053.02</v>
      </c>
    </row>
    <row r="134" spans="1:4" x14ac:dyDescent="0.25">
      <c r="B134" t="s">
        <v>7269</v>
      </c>
      <c r="C134" t="s">
        <v>7266</v>
      </c>
      <c r="D134" t="s">
        <v>7268</v>
      </c>
    </row>
    <row r="135" spans="1:4" x14ac:dyDescent="0.25">
      <c r="A135" t="s">
        <v>206</v>
      </c>
      <c r="B135" t="s">
        <v>2548</v>
      </c>
      <c r="C135" t="s">
        <v>204</v>
      </c>
      <c r="D135">
        <v>601702.18000000005</v>
      </c>
    </row>
    <row r="136" spans="1:4" x14ac:dyDescent="0.25">
      <c r="B136" t="s">
        <v>79</v>
      </c>
      <c r="C136" t="s">
        <v>107</v>
      </c>
      <c r="D136">
        <v>1684612</v>
      </c>
    </row>
    <row r="137" spans="1:4" x14ac:dyDescent="0.25">
      <c r="C137" t="s">
        <v>7201</v>
      </c>
      <c r="D137" t="s">
        <v>7205</v>
      </c>
    </row>
    <row r="138" spans="1:4" x14ac:dyDescent="0.25">
      <c r="B138" t="s">
        <v>7393</v>
      </c>
      <c r="C138" t="s">
        <v>7389</v>
      </c>
      <c r="D138" t="s">
        <v>7392</v>
      </c>
    </row>
    <row r="139" spans="1:4" x14ac:dyDescent="0.25">
      <c r="A139" t="s">
        <v>210</v>
      </c>
      <c r="B139" t="s">
        <v>993</v>
      </c>
      <c r="C139" t="s">
        <v>211</v>
      </c>
      <c r="D139">
        <v>97003.14</v>
      </c>
    </row>
    <row r="140" spans="1:4" x14ac:dyDescent="0.25">
      <c r="C140" t="s">
        <v>187</v>
      </c>
      <c r="D140">
        <v>72196.53</v>
      </c>
    </row>
    <row r="141" spans="1:4" x14ac:dyDescent="0.25">
      <c r="A141" t="s">
        <v>1334</v>
      </c>
      <c r="B141" t="s">
        <v>79</v>
      </c>
      <c r="C141" t="s">
        <v>107</v>
      </c>
      <c r="D141">
        <v>1526000</v>
      </c>
    </row>
    <row r="142" spans="1:4" x14ac:dyDescent="0.25">
      <c r="C142" t="s">
        <v>7201</v>
      </c>
      <c r="D142" t="s">
        <v>7206</v>
      </c>
    </row>
    <row r="143" spans="1:4" x14ac:dyDescent="0.25">
      <c r="B143" t="s">
        <v>7393</v>
      </c>
      <c r="C143" t="s">
        <v>7389</v>
      </c>
      <c r="D143" t="s">
        <v>7394</v>
      </c>
    </row>
    <row r="144" spans="1:4" x14ac:dyDescent="0.25">
      <c r="A144" t="s">
        <v>214</v>
      </c>
      <c r="B144" t="s">
        <v>281</v>
      </c>
      <c r="C144" t="s">
        <v>170</v>
      </c>
      <c r="D144">
        <v>1943593.45</v>
      </c>
    </row>
    <row r="145" spans="1:4" x14ac:dyDescent="0.25">
      <c r="B145" t="s">
        <v>1612</v>
      </c>
      <c r="C145" t="s">
        <v>216</v>
      </c>
      <c r="D145">
        <v>290856</v>
      </c>
    </row>
    <row r="146" spans="1:4" x14ac:dyDescent="0.25">
      <c r="A146" t="s">
        <v>3610</v>
      </c>
      <c r="B146" t="s">
        <v>986</v>
      </c>
      <c r="C146" t="s">
        <v>579</v>
      </c>
      <c r="D146" t="s">
        <v>7182</v>
      </c>
    </row>
    <row r="147" spans="1:4" x14ac:dyDescent="0.25">
      <c r="B147" t="s">
        <v>3607</v>
      </c>
      <c r="C147" t="s">
        <v>579</v>
      </c>
      <c r="D147">
        <v>36144.68</v>
      </c>
    </row>
    <row r="148" spans="1:4" x14ac:dyDescent="0.25">
      <c r="A148" t="s">
        <v>3605</v>
      </c>
      <c r="B148" t="s">
        <v>986</v>
      </c>
      <c r="C148" t="s">
        <v>579</v>
      </c>
      <c r="D148" t="s">
        <v>6010</v>
      </c>
    </row>
    <row r="149" spans="1:4" x14ac:dyDescent="0.25">
      <c r="B149" t="s">
        <v>3607</v>
      </c>
      <c r="C149" t="s">
        <v>579</v>
      </c>
      <c r="D149">
        <v>17692.04</v>
      </c>
    </row>
    <row r="150" spans="1:4" x14ac:dyDescent="0.25">
      <c r="A150" t="s">
        <v>3595</v>
      </c>
      <c r="B150" t="s">
        <v>584</v>
      </c>
      <c r="C150" t="s">
        <v>579</v>
      </c>
      <c r="D150">
        <v>241640</v>
      </c>
    </row>
    <row r="151" spans="1:4" x14ac:dyDescent="0.25">
      <c r="B151" t="s">
        <v>79</v>
      </c>
      <c r="C151" t="s">
        <v>579</v>
      </c>
      <c r="D151" t="s">
        <v>7181</v>
      </c>
    </row>
    <row r="152" spans="1:4" x14ac:dyDescent="0.25">
      <c r="A152" t="s">
        <v>550</v>
      </c>
      <c r="B152" t="s">
        <v>63</v>
      </c>
      <c r="C152" t="s">
        <v>547</v>
      </c>
      <c r="D152">
        <v>48974.58</v>
      </c>
    </row>
    <row r="153" spans="1:4" x14ac:dyDescent="0.25">
      <c r="B153" t="s">
        <v>554</v>
      </c>
      <c r="C153" t="s">
        <v>552</v>
      </c>
      <c r="D153">
        <v>158793</v>
      </c>
    </row>
    <row r="154" spans="1:4" x14ac:dyDescent="0.25">
      <c r="A154" t="s">
        <v>218</v>
      </c>
      <c r="B154" t="s">
        <v>161</v>
      </c>
      <c r="C154" t="s">
        <v>7227</v>
      </c>
      <c r="D154" t="s">
        <v>7231</v>
      </c>
    </row>
    <row r="155" spans="1:4" x14ac:dyDescent="0.25">
      <c r="B155" t="s">
        <v>3165</v>
      </c>
      <c r="C155" t="s">
        <v>30</v>
      </c>
      <c r="D155">
        <v>1248176.04</v>
      </c>
    </row>
    <row r="156" spans="1:4" x14ac:dyDescent="0.25">
      <c r="B156" t="s">
        <v>3935</v>
      </c>
      <c r="C156" t="s">
        <v>221</v>
      </c>
      <c r="D156">
        <v>9799353.5500000007</v>
      </c>
    </row>
    <row r="157" spans="1:4" x14ac:dyDescent="0.25">
      <c r="B157" t="s">
        <v>7096</v>
      </c>
      <c r="C157" t="s">
        <v>7090</v>
      </c>
      <c r="D157" t="s">
        <v>7095</v>
      </c>
    </row>
    <row r="158" spans="1:4" x14ac:dyDescent="0.25">
      <c r="B158" t="s">
        <v>7163</v>
      </c>
      <c r="C158" t="s">
        <v>7155</v>
      </c>
      <c r="D158" t="s">
        <v>158</v>
      </c>
    </row>
    <row r="159" spans="1:4" x14ac:dyDescent="0.25">
      <c r="B159" t="s">
        <v>3578</v>
      </c>
      <c r="C159" t="s">
        <v>182</v>
      </c>
      <c r="D159">
        <v>242278.66</v>
      </c>
    </row>
    <row r="160" spans="1:4" x14ac:dyDescent="0.25">
      <c r="A160" t="s">
        <v>3608</v>
      </c>
      <c r="B160" t="s">
        <v>986</v>
      </c>
      <c r="C160" t="s">
        <v>579</v>
      </c>
      <c r="D160" t="s">
        <v>7183</v>
      </c>
    </row>
    <row r="161" spans="1:4" x14ac:dyDescent="0.25">
      <c r="B161" t="s">
        <v>3607</v>
      </c>
      <c r="C161" t="s">
        <v>579</v>
      </c>
      <c r="D161">
        <v>31885.15</v>
      </c>
    </row>
    <row r="162" spans="1:4" x14ac:dyDescent="0.25">
      <c r="A162" t="s">
        <v>2612</v>
      </c>
      <c r="B162" t="s">
        <v>2615</v>
      </c>
      <c r="C162" t="s">
        <v>2610</v>
      </c>
      <c r="D162">
        <v>4170</v>
      </c>
    </row>
    <row r="163" spans="1:4" x14ac:dyDescent="0.25">
      <c r="B163" t="s">
        <v>7401</v>
      </c>
      <c r="C163" t="s">
        <v>7396</v>
      </c>
      <c r="D163" t="s">
        <v>7400</v>
      </c>
    </row>
    <row r="164" spans="1:4" x14ac:dyDescent="0.25">
      <c r="A164" t="s">
        <v>1461</v>
      </c>
      <c r="B164" t="s">
        <v>1463</v>
      </c>
      <c r="C164" t="s">
        <v>16</v>
      </c>
      <c r="D164">
        <v>318274.53999999998</v>
      </c>
    </row>
    <row r="165" spans="1:4" x14ac:dyDescent="0.25">
      <c r="B165" t="s">
        <v>1515</v>
      </c>
      <c r="C165" t="s">
        <v>6921</v>
      </c>
      <c r="D165" t="s">
        <v>6932</v>
      </c>
    </row>
    <row r="166" spans="1:4" x14ac:dyDescent="0.25">
      <c r="A166" t="s">
        <v>223</v>
      </c>
      <c r="B166" t="s">
        <v>224</v>
      </c>
      <c r="C166" t="s">
        <v>40</v>
      </c>
      <c r="D166">
        <v>365183.24</v>
      </c>
    </row>
    <row r="167" spans="1:4" x14ac:dyDescent="0.25">
      <c r="B167" t="s">
        <v>4019</v>
      </c>
      <c r="C167" t="s">
        <v>159</v>
      </c>
      <c r="D167">
        <v>85520.33</v>
      </c>
    </row>
    <row r="168" spans="1:4" x14ac:dyDescent="0.25">
      <c r="A168" t="s">
        <v>227</v>
      </c>
      <c r="B168" t="s">
        <v>56</v>
      </c>
      <c r="C168" t="s">
        <v>90</v>
      </c>
      <c r="D168">
        <v>231937.55</v>
      </c>
    </row>
    <row r="169" spans="1:4" x14ac:dyDescent="0.25">
      <c r="C169" t="s">
        <v>6957</v>
      </c>
      <c r="D169" t="s">
        <v>6960</v>
      </c>
    </row>
    <row r="170" spans="1:4" x14ac:dyDescent="0.25">
      <c r="B170" t="s">
        <v>7</v>
      </c>
      <c r="C170" t="s">
        <v>42</v>
      </c>
      <c r="D170">
        <v>367454.57</v>
      </c>
    </row>
    <row r="171" spans="1:4" x14ac:dyDescent="0.25">
      <c r="A171" t="s">
        <v>230</v>
      </c>
      <c r="B171" t="s">
        <v>79</v>
      </c>
      <c r="C171" t="s">
        <v>163</v>
      </c>
      <c r="D171">
        <v>50020</v>
      </c>
    </row>
    <row r="172" spans="1:4" x14ac:dyDescent="0.25">
      <c r="B172" t="s">
        <v>2897</v>
      </c>
      <c r="C172" t="s">
        <v>71</v>
      </c>
      <c r="D172">
        <v>52823</v>
      </c>
    </row>
    <row r="173" spans="1:4" x14ac:dyDescent="0.25">
      <c r="A173" t="s">
        <v>233</v>
      </c>
      <c r="B173" t="s">
        <v>1</v>
      </c>
      <c r="C173" t="s">
        <v>234</v>
      </c>
      <c r="D173">
        <v>198570.14</v>
      </c>
    </row>
    <row r="174" spans="1:4" x14ac:dyDescent="0.25">
      <c r="C174" t="s">
        <v>197</v>
      </c>
      <c r="D174">
        <v>283462.5</v>
      </c>
    </row>
    <row r="175" spans="1:4" x14ac:dyDescent="0.25">
      <c r="A175" t="s">
        <v>3414</v>
      </c>
      <c r="B175" t="s">
        <v>885</v>
      </c>
      <c r="C175" t="s">
        <v>3411</v>
      </c>
      <c r="D175">
        <v>2025.52</v>
      </c>
    </row>
    <row r="176" spans="1:4" x14ac:dyDescent="0.25">
      <c r="D176" t="s">
        <v>6046</v>
      </c>
    </row>
    <row r="177" spans="1:4" x14ac:dyDescent="0.25">
      <c r="A177" t="s">
        <v>1798</v>
      </c>
      <c r="B177" t="s">
        <v>1797</v>
      </c>
      <c r="C177" t="s">
        <v>1786</v>
      </c>
      <c r="D177">
        <v>124159.2</v>
      </c>
    </row>
    <row r="178" spans="1:4" x14ac:dyDescent="0.25">
      <c r="B178" t="s">
        <v>63</v>
      </c>
      <c r="C178" t="s">
        <v>6808</v>
      </c>
      <c r="D178" t="s">
        <v>6813</v>
      </c>
    </row>
    <row r="179" spans="1:4" x14ac:dyDescent="0.25">
      <c r="A179" t="s">
        <v>237</v>
      </c>
      <c r="B179" t="s">
        <v>238</v>
      </c>
      <c r="C179" t="s">
        <v>239</v>
      </c>
      <c r="D179">
        <v>9913168</v>
      </c>
    </row>
    <row r="180" spans="1:4" x14ac:dyDescent="0.25">
      <c r="B180" t="s">
        <v>79</v>
      </c>
      <c r="C180" t="s">
        <v>241</v>
      </c>
      <c r="D180">
        <v>12855132</v>
      </c>
    </row>
    <row r="181" spans="1:4" x14ac:dyDescent="0.25">
      <c r="A181" t="s">
        <v>243</v>
      </c>
      <c r="B181" t="s">
        <v>15</v>
      </c>
      <c r="C181" t="s">
        <v>246</v>
      </c>
      <c r="D181">
        <v>2719251.99</v>
      </c>
    </row>
    <row r="182" spans="1:4" x14ac:dyDescent="0.25">
      <c r="B182" t="s">
        <v>161</v>
      </c>
      <c r="C182" t="s">
        <v>138</v>
      </c>
      <c r="D182">
        <v>2037041.09</v>
      </c>
    </row>
    <row r="183" spans="1:4" x14ac:dyDescent="0.25">
      <c r="B183" t="s">
        <v>3234</v>
      </c>
      <c r="C183" t="s">
        <v>246</v>
      </c>
      <c r="D183">
        <v>1105481.8899999999</v>
      </c>
    </row>
    <row r="184" spans="1:4" x14ac:dyDescent="0.25">
      <c r="B184" t="s">
        <v>119</v>
      </c>
      <c r="C184" t="s">
        <v>40</v>
      </c>
      <c r="D184">
        <v>1633650.84</v>
      </c>
    </row>
    <row r="185" spans="1:4" x14ac:dyDescent="0.25">
      <c r="A185" t="s">
        <v>560</v>
      </c>
      <c r="B185" t="s">
        <v>561</v>
      </c>
      <c r="C185" t="s">
        <v>559</v>
      </c>
      <c r="D185" t="s">
        <v>6737</v>
      </c>
    </row>
    <row r="186" spans="1:4" x14ac:dyDescent="0.25">
      <c r="B186" t="s">
        <v>63</v>
      </c>
      <c r="C186" t="s">
        <v>562</v>
      </c>
      <c r="D186">
        <v>9996.56</v>
      </c>
    </row>
    <row r="187" spans="1:4" x14ac:dyDescent="0.25">
      <c r="A187" t="s">
        <v>565</v>
      </c>
      <c r="B187" t="s">
        <v>3088</v>
      </c>
      <c r="C187" t="s">
        <v>239</v>
      </c>
      <c r="D187">
        <v>15009.09</v>
      </c>
    </row>
    <row r="188" spans="1:4" x14ac:dyDescent="0.25">
      <c r="B188" t="s">
        <v>769</v>
      </c>
      <c r="C188" t="s">
        <v>22</v>
      </c>
      <c r="D188">
        <v>6006.17</v>
      </c>
    </row>
    <row r="189" spans="1:4" x14ac:dyDescent="0.25">
      <c r="A189" t="s">
        <v>249</v>
      </c>
      <c r="B189" t="s">
        <v>250</v>
      </c>
      <c r="C189" t="s">
        <v>252</v>
      </c>
      <c r="D189">
        <v>796029</v>
      </c>
    </row>
    <row r="190" spans="1:4" x14ac:dyDescent="0.25">
      <c r="B190" t="s">
        <v>2214</v>
      </c>
      <c r="C190" t="s">
        <v>120</v>
      </c>
      <c r="D190">
        <v>1963181.72</v>
      </c>
    </row>
    <row r="191" spans="1:4" x14ac:dyDescent="0.25">
      <c r="B191" t="s">
        <v>1</v>
      </c>
      <c r="C191" t="s">
        <v>3411</v>
      </c>
      <c r="D191" t="s">
        <v>7254</v>
      </c>
    </row>
    <row r="192" spans="1:4" x14ac:dyDescent="0.25">
      <c r="C192" t="s">
        <v>44</v>
      </c>
      <c r="D192">
        <v>11603934.529999999</v>
      </c>
    </row>
    <row r="193" spans="1:4" x14ac:dyDescent="0.25">
      <c r="B193" t="s">
        <v>256</v>
      </c>
      <c r="C193" t="s">
        <v>257</v>
      </c>
      <c r="D193">
        <v>6441574.3799999999</v>
      </c>
    </row>
    <row r="194" spans="1:4" x14ac:dyDescent="0.25">
      <c r="B194" t="s">
        <v>3232</v>
      </c>
      <c r="C194" t="s">
        <v>246</v>
      </c>
      <c r="D194">
        <v>10697807.74</v>
      </c>
    </row>
    <row r="195" spans="1:4" x14ac:dyDescent="0.25">
      <c r="B195" t="s">
        <v>6757</v>
      </c>
      <c r="C195" t="s">
        <v>6751</v>
      </c>
      <c r="D195" t="s">
        <v>6756</v>
      </c>
    </row>
    <row r="196" spans="1:4" x14ac:dyDescent="0.25">
      <c r="B196" t="s">
        <v>3923</v>
      </c>
      <c r="C196" t="s">
        <v>259</v>
      </c>
      <c r="D196">
        <v>5439420</v>
      </c>
    </row>
    <row r="197" spans="1:4" x14ac:dyDescent="0.25">
      <c r="A197" t="s">
        <v>261</v>
      </c>
      <c r="B197" t="s">
        <v>3159</v>
      </c>
      <c r="C197" t="s">
        <v>30</v>
      </c>
      <c r="D197" t="s">
        <v>6737</v>
      </c>
    </row>
    <row r="198" spans="1:4" x14ac:dyDescent="0.25">
      <c r="B198" t="s">
        <v>737</v>
      </c>
      <c r="C198" t="s">
        <v>262</v>
      </c>
      <c r="D198">
        <v>171061.2</v>
      </c>
    </row>
    <row r="199" spans="1:4" x14ac:dyDescent="0.25">
      <c r="A199" t="s">
        <v>264</v>
      </c>
      <c r="B199" t="s">
        <v>265</v>
      </c>
      <c r="C199" t="s">
        <v>22</v>
      </c>
      <c r="D199">
        <v>1532303.25</v>
      </c>
    </row>
    <row r="200" spans="1:4" x14ac:dyDescent="0.25">
      <c r="B200" t="s">
        <v>2570</v>
      </c>
      <c r="C200" t="s">
        <v>74</v>
      </c>
      <c r="D200">
        <v>8328633.21</v>
      </c>
    </row>
    <row r="201" spans="1:4" x14ac:dyDescent="0.25">
      <c r="A201" t="s">
        <v>268</v>
      </c>
      <c r="B201" t="s">
        <v>1899</v>
      </c>
      <c r="C201" t="s">
        <v>270</v>
      </c>
      <c r="D201">
        <v>431373</v>
      </c>
    </row>
    <row r="202" spans="1:4" x14ac:dyDescent="0.25">
      <c r="B202" t="s">
        <v>3662</v>
      </c>
      <c r="C202" t="s">
        <v>170</v>
      </c>
      <c r="D202">
        <v>106091.32</v>
      </c>
    </row>
    <row r="203" spans="1:4" x14ac:dyDescent="0.25">
      <c r="A203" t="s">
        <v>274</v>
      </c>
      <c r="B203" t="s">
        <v>2890</v>
      </c>
      <c r="C203" t="s">
        <v>71</v>
      </c>
      <c r="D203">
        <v>972889.98</v>
      </c>
    </row>
    <row r="204" spans="1:4" x14ac:dyDescent="0.25">
      <c r="B204" t="s">
        <v>283</v>
      </c>
      <c r="C204" t="s">
        <v>8</v>
      </c>
      <c r="D204">
        <v>128952</v>
      </c>
    </row>
    <row r="205" spans="1:4" x14ac:dyDescent="0.25">
      <c r="B205" t="s">
        <v>3162</v>
      </c>
      <c r="C205" t="s">
        <v>30</v>
      </c>
      <c r="D205">
        <v>479279.77</v>
      </c>
    </row>
    <row r="206" spans="1:4" x14ac:dyDescent="0.25">
      <c r="B206" t="s">
        <v>56</v>
      </c>
      <c r="C206" t="s">
        <v>6971</v>
      </c>
      <c r="D206" t="s">
        <v>6975</v>
      </c>
    </row>
    <row r="207" spans="1:4" x14ac:dyDescent="0.25">
      <c r="B207" t="s">
        <v>3272</v>
      </c>
      <c r="C207" t="s">
        <v>278</v>
      </c>
      <c r="D207">
        <v>431940.9</v>
      </c>
    </row>
    <row r="208" spans="1:4" x14ac:dyDescent="0.25">
      <c r="A208" t="s">
        <v>280</v>
      </c>
      <c r="B208" t="s">
        <v>281</v>
      </c>
      <c r="C208" t="s">
        <v>170</v>
      </c>
      <c r="D208">
        <v>1166502.24</v>
      </c>
    </row>
    <row r="209" spans="1:4" x14ac:dyDescent="0.25">
      <c r="B209" t="s">
        <v>283</v>
      </c>
      <c r="C209" t="s">
        <v>8</v>
      </c>
      <c r="D209">
        <v>71061</v>
      </c>
    </row>
    <row r="210" spans="1:4" x14ac:dyDescent="0.25">
      <c r="B210" t="s">
        <v>56</v>
      </c>
      <c r="C210" t="s">
        <v>3708</v>
      </c>
      <c r="D210">
        <v>37833.58</v>
      </c>
    </row>
    <row r="211" spans="1:4" x14ac:dyDescent="0.25">
      <c r="B211" t="s">
        <v>7</v>
      </c>
      <c r="C211" t="s">
        <v>7201</v>
      </c>
      <c r="D211" t="s">
        <v>7204</v>
      </c>
    </row>
    <row r="212" spans="1:4" x14ac:dyDescent="0.25">
      <c r="A212" t="s">
        <v>285</v>
      </c>
      <c r="B212" t="s">
        <v>286</v>
      </c>
      <c r="C212" t="s">
        <v>287</v>
      </c>
      <c r="D212">
        <v>9888467.0899999999</v>
      </c>
    </row>
    <row r="213" spans="1:4" x14ac:dyDescent="0.25">
      <c r="B213" t="s">
        <v>4136</v>
      </c>
      <c r="C213" t="s">
        <v>289</v>
      </c>
      <c r="D213">
        <v>5642096.6200000001</v>
      </c>
    </row>
    <row r="214" spans="1:4" x14ac:dyDescent="0.25">
      <c r="A214" t="s">
        <v>3612</v>
      </c>
      <c r="B214" t="s">
        <v>986</v>
      </c>
      <c r="C214" t="s">
        <v>579</v>
      </c>
      <c r="D214" t="s">
        <v>7184</v>
      </c>
    </row>
    <row r="215" spans="1:4" x14ac:dyDescent="0.25">
      <c r="B215" t="s">
        <v>3607</v>
      </c>
      <c r="C215" t="s">
        <v>579</v>
      </c>
      <c r="D215">
        <v>83513.05</v>
      </c>
    </row>
    <row r="216" spans="1:4" x14ac:dyDescent="0.25">
      <c r="A216" t="s">
        <v>1626</v>
      </c>
      <c r="B216" t="s">
        <v>56</v>
      </c>
      <c r="C216" t="s">
        <v>7285</v>
      </c>
      <c r="D216" t="s">
        <v>158</v>
      </c>
    </row>
    <row r="217" spans="1:4" x14ac:dyDescent="0.25">
      <c r="B217" t="s">
        <v>1628</v>
      </c>
      <c r="C217" t="s">
        <v>382</v>
      </c>
      <c r="D217">
        <v>142016</v>
      </c>
    </row>
    <row r="218" spans="1:4" x14ac:dyDescent="0.25">
      <c r="A218" t="s">
        <v>582</v>
      </c>
      <c r="B218" t="s">
        <v>584</v>
      </c>
      <c r="C218" t="s">
        <v>579</v>
      </c>
      <c r="D218">
        <v>97245</v>
      </c>
    </row>
    <row r="219" spans="1:4" x14ac:dyDescent="0.25">
      <c r="B219" t="s">
        <v>3662</v>
      </c>
      <c r="C219" t="s">
        <v>170</v>
      </c>
      <c r="D219">
        <v>86900</v>
      </c>
    </row>
    <row r="220" spans="1:4" x14ac:dyDescent="0.25">
      <c r="A220" t="s">
        <v>291</v>
      </c>
      <c r="B220" t="s">
        <v>3071</v>
      </c>
      <c r="C220" t="s">
        <v>292</v>
      </c>
      <c r="D220">
        <v>928077.31</v>
      </c>
    </row>
    <row r="221" spans="1:4" x14ac:dyDescent="0.25">
      <c r="B221" t="s">
        <v>1191</v>
      </c>
      <c r="C221" t="s">
        <v>154</v>
      </c>
      <c r="D221">
        <v>2953426.02</v>
      </c>
    </row>
    <row r="222" spans="1:4" x14ac:dyDescent="0.25">
      <c r="C222" t="s">
        <v>6957</v>
      </c>
      <c r="D222" t="s">
        <v>6963</v>
      </c>
    </row>
    <row r="223" spans="1:4" x14ac:dyDescent="0.25">
      <c r="A223" t="s">
        <v>295</v>
      </c>
      <c r="B223" t="s">
        <v>1899</v>
      </c>
      <c r="C223" t="s">
        <v>270</v>
      </c>
      <c r="D223">
        <v>148934</v>
      </c>
    </row>
    <row r="224" spans="1:4" x14ac:dyDescent="0.25">
      <c r="B224" t="s">
        <v>34</v>
      </c>
      <c r="C224" t="s">
        <v>6940</v>
      </c>
      <c r="D224" t="s">
        <v>6941</v>
      </c>
    </row>
    <row r="225" spans="1:4" x14ac:dyDescent="0.25">
      <c r="B225" t="s">
        <v>125</v>
      </c>
      <c r="C225" t="s">
        <v>296</v>
      </c>
      <c r="D225">
        <v>502683.95</v>
      </c>
    </row>
    <row r="226" spans="1:4" x14ac:dyDescent="0.25">
      <c r="B226" t="s">
        <v>6929</v>
      </c>
      <c r="C226" t="s">
        <v>6921</v>
      </c>
      <c r="D226" t="s">
        <v>6928</v>
      </c>
    </row>
    <row r="227" spans="1:4" x14ac:dyDescent="0.25">
      <c r="A227" t="s">
        <v>2535</v>
      </c>
      <c r="B227" t="s">
        <v>309</v>
      </c>
      <c r="C227" t="s">
        <v>2534</v>
      </c>
      <c r="D227">
        <v>197110</v>
      </c>
    </row>
    <row r="228" spans="1:4" x14ac:dyDescent="0.25">
      <c r="B228" t="s">
        <v>7093</v>
      </c>
      <c r="C228" t="s">
        <v>7090</v>
      </c>
      <c r="D228" t="s">
        <v>7094</v>
      </c>
    </row>
    <row r="229" spans="1:4" x14ac:dyDescent="0.25">
      <c r="A229" t="s">
        <v>298</v>
      </c>
      <c r="B229" t="s">
        <v>2788</v>
      </c>
      <c r="C229" t="s">
        <v>13</v>
      </c>
      <c r="D229">
        <v>577268.01</v>
      </c>
    </row>
    <row r="230" spans="1:4" x14ac:dyDescent="0.25">
      <c r="B230" t="s">
        <v>7</v>
      </c>
      <c r="C230" t="s">
        <v>300</v>
      </c>
      <c r="D230">
        <v>1407110.19</v>
      </c>
    </row>
    <row r="231" spans="1:4" x14ac:dyDescent="0.25">
      <c r="B231" t="s">
        <v>265</v>
      </c>
      <c r="C231" t="s">
        <v>257</v>
      </c>
      <c r="D231">
        <v>1223044.21</v>
      </c>
    </row>
    <row r="232" spans="1:4" x14ac:dyDescent="0.25">
      <c r="A232" t="s">
        <v>303</v>
      </c>
      <c r="B232" t="s">
        <v>1</v>
      </c>
      <c r="C232" t="s">
        <v>42</v>
      </c>
      <c r="D232">
        <v>1888671.67</v>
      </c>
    </row>
    <row r="233" spans="1:4" x14ac:dyDescent="0.25">
      <c r="B233" t="s">
        <v>286</v>
      </c>
      <c r="C233" t="s">
        <v>287</v>
      </c>
      <c r="D233">
        <v>7553220.96</v>
      </c>
    </row>
    <row r="234" spans="1:4" x14ac:dyDescent="0.25">
      <c r="B234" t="s">
        <v>224</v>
      </c>
      <c r="C234" t="s">
        <v>40</v>
      </c>
      <c r="D234">
        <v>1271104.72</v>
      </c>
    </row>
    <row r="235" spans="1:4" x14ac:dyDescent="0.25">
      <c r="B235" t="s">
        <v>265</v>
      </c>
      <c r="C235" t="s">
        <v>257</v>
      </c>
      <c r="D235">
        <v>2472959.11</v>
      </c>
    </row>
    <row r="236" spans="1:4" x14ac:dyDescent="0.25">
      <c r="A236" t="s">
        <v>308</v>
      </c>
      <c r="B236" t="s">
        <v>2862</v>
      </c>
      <c r="C236" t="s">
        <v>311</v>
      </c>
      <c r="D236">
        <v>539153.05000000005</v>
      </c>
    </row>
    <row r="237" spans="1:4" x14ac:dyDescent="0.25">
      <c r="B237" t="s">
        <v>309</v>
      </c>
      <c r="C237" t="s">
        <v>77</v>
      </c>
      <c r="D237">
        <v>931119</v>
      </c>
    </row>
    <row r="238" spans="1:4" x14ac:dyDescent="0.25">
      <c r="A238" t="s">
        <v>3614</v>
      </c>
      <c r="B238" t="s">
        <v>986</v>
      </c>
      <c r="C238" t="s">
        <v>579</v>
      </c>
      <c r="D238" t="s">
        <v>6013</v>
      </c>
    </row>
    <row r="239" spans="1:4" x14ac:dyDescent="0.25">
      <c r="B239" t="s">
        <v>3607</v>
      </c>
      <c r="C239" t="s">
        <v>579</v>
      </c>
      <c r="D239">
        <v>185674.5</v>
      </c>
    </row>
    <row r="240" spans="1:4" x14ac:dyDescent="0.25">
      <c r="A240" t="s">
        <v>1001</v>
      </c>
      <c r="B240" t="s">
        <v>1002</v>
      </c>
      <c r="C240" t="s">
        <v>116</v>
      </c>
      <c r="D240">
        <v>113565.32</v>
      </c>
    </row>
    <row r="241" spans="1:4" x14ac:dyDescent="0.25">
      <c r="B241" t="s">
        <v>1005</v>
      </c>
      <c r="C241" t="s">
        <v>116</v>
      </c>
      <c r="D241">
        <v>118459</v>
      </c>
    </row>
    <row r="242" spans="1:4" x14ac:dyDescent="0.25">
      <c r="A242" t="s">
        <v>1373</v>
      </c>
      <c r="B242" t="s">
        <v>1375</v>
      </c>
      <c r="C242" t="s">
        <v>1371</v>
      </c>
      <c r="D242">
        <v>12570.49</v>
      </c>
    </row>
    <row r="243" spans="1:4" x14ac:dyDescent="0.25">
      <c r="B243" t="s">
        <v>675</v>
      </c>
      <c r="C243" t="s">
        <v>1371</v>
      </c>
      <c r="D243">
        <v>12492</v>
      </c>
    </row>
    <row r="244" spans="1:4" x14ac:dyDescent="0.25">
      <c r="A244" t="s">
        <v>7440</v>
      </c>
      <c r="B244" t="s">
        <v>597</v>
      </c>
      <c r="C244" t="s">
        <v>7433</v>
      </c>
      <c r="D244" t="s">
        <v>7441</v>
      </c>
    </row>
    <row r="245" spans="1:4" x14ac:dyDescent="0.25">
      <c r="B245" t="s">
        <v>7494</v>
      </c>
      <c r="C245" t="s">
        <v>7490</v>
      </c>
      <c r="D245" t="s">
        <v>7496</v>
      </c>
    </row>
    <row r="246" spans="1:4" x14ac:dyDescent="0.25">
      <c r="A246" t="s">
        <v>313</v>
      </c>
      <c r="B246" t="s">
        <v>1144</v>
      </c>
      <c r="C246" t="s">
        <v>314</v>
      </c>
      <c r="D246">
        <v>114762.22</v>
      </c>
    </row>
    <row r="247" spans="1:4" x14ac:dyDescent="0.25">
      <c r="B247" t="s">
        <v>1640</v>
      </c>
      <c r="C247" t="s">
        <v>316</v>
      </c>
      <c r="D247">
        <v>60445.59</v>
      </c>
    </row>
    <row r="248" spans="1:4" x14ac:dyDescent="0.25">
      <c r="A248" t="s">
        <v>6835</v>
      </c>
      <c r="B248" t="s">
        <v>6837</v>
      </c>
      <c r="C248" t="s">
        <v>6844</v>
      </c>
      <c r="D248" t="s">
        <v>6846</v>
      </c>
    </row>
    <row r="249" spans="1:4" x14ac:dyDescent="0.25">
      <c r="C249" t="s">
        <v>6832</v>
      </c>
      <c r="D249" t="s">
        <v>6836</v>
      </c>
    </row>
    <row r="250" spans="1:4" x14ac:dyDescent="0.25">
      <c r="A250" t="s">
        <v>1646</v>
      </c>
      <c r="B250" t="s">
        <v>1643</v>
      </c>
      <c r="C250" t="s">
        <v>162</v>
      </c>
      <c r="D250" t="s">
        <v>6737</v>
      </c>
    </row>
    <row r="251" spans="1:4" x14ac:dyDescent="0.25">
      <c r="B251" t="s">
        <v>7021</v>
      </c>
      <c r="C251" t="s">
        <v>7013</v>
      </c>
      <c r="D251" t="s">
        <v>7022</v>
      </c>
    </row>
    <row r="252" spans="1:4" x14ac:dyDescent="0.25">
      <c r="A252" t="s">
        <v>6850</v>
      </c>
      <c r="B252" t="s">
        <v>1204</v>
      </c>
      <c r="C252" t="s">
        <v>7190</v>
      </c>
      <c r="D252" t="s">
        <v>7198</v>
      </c>
    </row>
    <row r="253" spans="1:4" x14ac:dyDescent="0.25">
      <c r="B253" t="s">
        <v>1169</v>
      </c>
      <c r="C253" t="s">
        <v>6844</v>
      </c>
      <c r="D253" t="s">
        <v>6851</v>
      </c>
    </row>
    <row r="254" spans="1:4" x14ac:dyDescent="0.25">
      <c r="A254" t="s">
        <v>318</v>
      </c>
      <c r="B254" t="s">
        <v>727</v>
      </c>
      <c r="C254" t="s">
        <v>262</v>
      </c>
      <c r="D254">
        <v>33350.33</v>
      </c>
    </row>
    <row r="255" spans="1:4" x14ac:dyDescent="0.25">
      <c r="B255" t="s">
        <v>3671</v>
      </c>
      <c r="C255" t="s">
        <v>321</v>
      </c>
      <c r="D255">
        <v>16160.11</v>
      </c>
    </row>
    <row r="256" spans="1:4" x14ac:dyDescent="0.25">
      <c r="A256" t="s">
        <v>595</v>
      </c>
      <c r="B256" t="s">
        <v>4046</v>
      </c>
      <c r="C256" t="s">
        <v>4</v>
      </c>
      <c r="D256">
        <v>247136.76</v>
      </c>
    </row>
    <row r="257" spans="1:4" x14ac:dyDescent="0.25">
      <c r="B257" t="s">
        <v>910</v>
      </c>
      <c r="C257" t="s">
        <v>126</v>
      </c>
      <c r="D257">
        <v>456460.27</v>
      </c>
    </row>
    <row r="258" spans="1:4" x14ac:dyDescent="0.25">
      <c r="A258" t="s">
        <v>2813</v>
      </c>
      <c r="B258" t="s">
        <v>2815</v>
      </c>
      <c r="C258" t="s">
        <v>2811</v>
      </c>
      <c r="D258">
        <v>2488</v>
      </c>
    </row>
    <row r="259" spans="1:4" x14ac:dyDescent="0.25">
      <c r="B259" t="s">
        <v>554</v>
      </c>
      <c r="C259" t="s">
        <v>2811</v>
      </c>
      <c r="D259">
        <v>2748</v>
      </c>
    </row>
    <row r="260" spans="1:4" x14ac:dyDescent="0.25">
      <c r="A260" t="s">
        <v>323</v>
      </c>
      <c r="B260" t="s">
        <v>15</v>
      </c>
      <c r="C260" t="s">
        <v>246</v>
      </c>
      <c r="D260">
        <v>7026313.5300000003</v>
      </c>
    </row>
    <row r="261" spans="1:4" x14ac:dyDescent="0.25">
      <c r="B261" t="s">
        <v>27</v>
      </c>
      <c r="C261" t="s">
        <v>289</v>
      </c>
      <c r="D261">
        <v>3027824.65</v>
      </c>
    </row>
    <row r="262" spans="1:4" x14ac:dyDescent="0.25">
      <c r="B262" t="s">
        <v>763</v>
      </c>
      <c r="C262" t="s">
        <v>22</v>
      </c>
      <c r="D262">
        <v>20847078.41</v>
      </c>
    </row>
    <row r="263" spans="1:4" x14ac:dyDescent="0.25">
      <c r="A263" t="s">
        <v>327</v>
      </c>
      <c r="B263" t="s">
        <v>1166</v>
      </c>
      <c r="C263" t="s">
        <v>328</v>
      </c>
      <c r="D263">
        <v>990918.58</v>
      </c>
    </row>
    <row r="264" spans="1:4" x14ac:dyDescent="0.25">
      <c r="B264" t="s">
        <v>2218</v>
      </c>
      <c r="C264" t="s">
        <v>120</v>
      </c>
      <c r="D264">
        <v>1605496.09</v>
      </c>
    </row>
    <row r="265" spans="1:4" x14ac:dyDescent="0.25">
      <c r="B265" t="s">
        <v>1186</v>
      </c>
      <c r="C265" t="s">
        <v>154</v>
      </c>
      <c r="D265">
        <v>4124236.12</v>
      </c>
    </row>
    <row r="266" spans="1:4" x14ac:dyDescent="0.25">
      <c r="A266" t="s">
        <v>332</v>
      </c>
      <c r="B266" t="s">
        <v>333</v>
      </c>
      <c r="C266" t="s">
        <v>107</v>
      </c>
      <c r="D266">
        <v>899452.65</v>
      </c>
    </row>
    <row r="267" spans="1:4" x14ac:dyDescent="0.25">
      <c r="B267" t="s">
        <v>335</v>
      </c>
      <c r="C267" t="s">
        <v>113</v>
      </c>
      <c r="D267">
        <v>266740.65999999997</v>
      </c>
    </row>
    <row r="268" spans="1:4" x14ac:dyDescent="0.25">
      <c r="B268" t="s">
        <v>2971</v>
      </c>
      <c r="C268" t="s">
        <v>35</v>
      </c>
      <c r="D268">
        <v>44430.15</v>
      </c>
    </row>
    <row r="269" spans="1:4" x14ac:dyDescent="0.25">
      <c r="B269" t="s">
        <v>338</v>
      </c>
      <c r="C269" t="s">
        <v>339</v>
      </c>
      <c r="D269">
        <v>124992.74</v>
      </c>
    </row>
    <row r="270" spans="1:4" x14ac:dyDescent="0.25">
      <c r="A270" t="s">
        <v>341</v>
      </c>
      <c r="B270" t="s">
        <v>3484</v>
      </c>
      <c r="C270" t="s">
        <v>44</v>
      </c>
      <c r="D270">
        <v>205357</v>
      </c>
    </row>
    <row r="271" spans="1:4" x14ac:dyDescent="0.25">
      <c r="B271" t="s">
        <v>1</v>
      </c>
      <c r="C271" t="s">
        <v>344</v>
      </c>
      <c r="D271">
        <v>895774.83</v>
      </c>
    </row>
    <row r="272" spans="1:4" x14ac:dyDescent="0.25">
      <c r="B272" t="s">
        <v>95</v>
      </c>
      <c r="C272" t="s">
        <v>96</v>
      </c>
      <c r="D272">
        <v>63636.12</v>
      </c>
    </row>
    <row r="273" spans="1:4" x14ac:dyDescent="0.25">
      <c r="A273" t="s">
        <v>2415</v>
      </c>
      <c r="B273" t="s">
        <v>682</v>
      </c>
      <c r="C273" t="s">
        <v>2413</v>
      </c>
      <c r="D273">
        <v>263.58</v>
      </c>
    </row>
    <row r="274" spans="1:4" x14ac:dyDescent="0.25">
      <c r="D274">
        <v>286.22000000000003</v>
      </c>
    </row>
    <row r="275" spans="1:4" x14ac:dyDescent="0.25">
      <c r="A275" t="s">
        <v>3950</v>
      </c>
      <c r="B275" t="s">
        <v>1</v>
      </c>
      <c r="C275" t="s">
        <v>3948</v>
      </c>
      <c r="D275">
        <v>437721</v>
      </c>
    </row>
    <row r="276" spans="1:4" x14ac:dyDescent="0.25">
      <c r="B276" t="s">
        <v>7447</v>
      </c>
      <c r="C276" t="s">
        <v>7443</v>
      </c>
      <c r="D276" t="s">
        <v>7446</v>
      </c>
    </row>
    <row r="277" spans="1:4" x14ac:dyDescent="0.25">
      <c r="A277" t="s">
        <v>3952</v>
      </c>
      <c r="B277" t="s">
        <v>1</v>
      </c>
      <c r="C277" t="s">
        <v>3948</v>
      </c>
      <c r="D277">
        <v>952715.77</v>
      </c>
    </row>
    <row r="278" spans="1:4" x14ac:dyDescent="0.25">
      <c r="B278" t="s">
        <v>7447</v>
      </c>
      <c r="C278" t="s">
        <v>7443</v>
      </c>
      <c r="D278" t="s">
        <v>7448</v>
      </c>
    </row>
    <row r="279" spans="1:4" x14ac:dyDescent="0.25">
      <c r="A279" t="s">
        <v>355</v>
      </c>
      <c r="B279" t="s">
        <v>250</v>
      </c>
      <c r="C279" t="s">
        <v>6823</v>
      </c>
      <c r="D279" t="s">
        <v>6824</v>
      </c>
    </row>
    <row r="280" spans="1:4" x14ac:dyDescent="0.25">
      <c r="C280" t="s">
        <v>132</v>
      </c>
      <c r="D280">
        <v>1095791</v>
      </c>
    </row>
    <row r="281" spans="1:4" x14ac:dyDescent="0.25">
      <c r="B281" t="s">
        <v>767</v>
      </c>
      <c r="C281" t="s">
        <v>22</v>
      </c>
      <c r="D281">
        <v>11815139.140000001</v>
      </c>
    </row>
    <row r="282" spans="1:4" x14ac:dyDescent="0.25">
      <c r="B282" t="s">
        <v>3660</v>
      </c>
      <c r="C282" t="s">
        <v>170</v>
      </c>
      <c r="D282">
        <v>2096045.22</v>
      </c>
    </row>
    <row r="283" spans="1:4" x14ac:dyDescent="0.25">
      <c r="A283" t="s">
        <v>3412</v>
      </c>
      <c r="B283" t="s">
        <v>885</v>
      </c>
      <c r="C283" t="s">
        <v>3411</v>
      </c>
      <c r="D283">
        <v>1050.8</v>
      </c>
    </row>
    <row r="284" spans="1:4" x14ac:dyDescent="0.25">
      <c r="D284" t="s">
        <v>6047</v>
      </c>
    </row>
    <row r="285" spans="1:4" x14ac:dyDescent="0.25">
      <c r="A285" t="s">
        <v>359</v>
      </c>
      <c r="B285" t="s">
        <v>4021</v>
      </c>
      <c r="C285" t="s">
        <v>159</v>
      </c>
      <c r="D285">
        <v>32481</v>
      </c>
    </row>
    <row r="286" spans="1:4" x14ac:dyDescent="0.25">
      <c r="B286" t="s">
        <v>1057</v>
      </c>
      <c r="C286" t="s">
        <v>96</v>
      </c>
      <c r="D286">
        <v>33927</v>
      </c>
    </row>
    <row r="287" spans="1:4" x14ac:dyDescent="0.25">
      <c r="A287" t="s">
        <v>362</v>
      </c>
      <c r="B287" t="s">
        <v>1</v>
      </c>
      <c r="C287" t="s">
        <v>132</v>
      </c>
      <c r="D287">
        <v>50123636.979999997</v>
      </c>
    </row>
    <row r="288" spans="1:4" x14ac:dyDescent="0.25">
      <c r="B288" t="s">
        <v>7</v>
      </c>
      <c r="C288" t="s">
        <v>287</v>
      </c>
      <c r="D288">
        <v>42525806.719999999</v>
      </c>
    </row>
    <row r="289" spans="1:4" x14ac:dyDescent="0.25">
      <c r="A289" t="s">
        <v>365</v>
      </c>
      <c r="B289" t="s">
        <v>1</v>
      </c>
      <c r="C289" t="s">
        <v>366</v>
      </c>
      <c r="D289">
        <v>165837.10999999999</v>
      </c>
    </row>
    <row r="290" spans="1:4" x14ac:dyDescent="0.25">
      <c r="B290" t="s">
        <v>1915</v>
      </c>
      <c r="C290" t="s">
        <v>8</v>
      </c>
      <c r="D290">
        <v>111790.66</v>
      </c>
    </row>
    <row r="291" spans="1:4" x14ac:dyDescent="0.25">
      <c r="A291" t="s">
        <v>369</v>
      </c>
      <c r="B291" t="s">
        <v>7</v>
      </c>
      <c r="C291" t="s">
        <v>234</v>
      </c>
      <c r="D291">
        <v>45468.86</v>
      </c>
    </row>
    <row r="292" spans="1:4" x14ac:dyDescent="0.25">
      <c r="C292" t="s">
        <v>371</v>
      </c>
      <c r="D292">
        <v>175974.71</v>
      </c>
    </row>
    <row r="293" spans="1:4" x14ac:dyDescent="0.25">
      <c r="A293" t="s">
        <v>373</v>
      </c>
      <c r="B293" t="s">
        <v>7125</v>
      </c>
      <c r="C293" t="s">
        <v>7475</v>
      </c>
      <c r="D293" t="s">
        <v>7480</v>
      </c>
    </row>
    <row r="294" spans="1:4" x14ac:dyDescent="0.25">
      <c r="B294" t="s">
        <v>1450</v>
      </c>
      <c r="C294" t="s">
        <v>16</v>
      </c>
      <c r="D294">
        <v>27047956.370000001</v>
      </c>
    </row>
    <row r="295" spans="1:4" x14ac:dyDescent="0.25">
      <c r="B295" t="s">
        <v>763</v>
      </c>
      <c r="C295" t="s">
        <v>22</v>
      </c>
      <c r="D295">
        <v>34226005.310000002</v>
      </c>
    </row>
    <row r="296" spans="1:4" x14ac:dyDescent="0.25">
      <c r="B296" t="s">
        <v>1166</v>
      </c>
      <c r="C296" t="s">
        <v>289</v>
      </c>
      <c r="D296">
        <v>11041699.35</v>
      </c>
    </row>
    <row r="297" spans="1:4" x14ac:dyDescent="0.25">
      <c r="A297" t="s">
        <v>377</v>
      </c>
      <c r="B297" t="s">
        <v>7445</v>
      </c>
      <c r="C297" t="s">
        <v>7443</v>
      </c>
      <c r="D297" t="s">
        <v>158</v>
      </c>
    </row>
    <row r="298" spans="1:4" x14ac:dyDescent="0.25">
      <c r="B298" t="s">
        <v>2541</v>
      </c>
      <c r="C298" t="s">
        <v>204</v>
      </c>
      <c r="D298">
        <v>237943.77</v>
      </c>
    </row>
    <row r="299" spans="1:4" x14ac:dyDescent="0.25">
      <c r="B299" t="s">
        <v>3266</v>
      </c>
      <c r="C299" t="s">
        <v>278</v>
      </c>
      <c r="D299" t="s">
        <v>6737</v>
      </c>
    </row>
    <row r="300" spans="1:4" x14ac:dyDescent="0.25">
      <c r="B300" t="s">
        <v>2904</v>
      </c>
      <c r="C300" t="s">
        <v>2901</v>
      </c>
      <c r="D300">
        <v>131758.64000000001</v>
      </c>
    </row>
    <row r="301" spans="1:4" x14ac:dyDescent="0.25">
      <c r="A301" t="s">
        <v>378</v>
      </c>
      <c r="B301" t="s">
        <v>752</v>
      </c>
      <c r="C301" t="s">
        <v>22</v>
      </c>
      <c r="D301">
        <v>8866687</v>
      </c>
    </row>
    <row r="302" spans="1:4" x14ac:dyDescent="0.25">
      <c r="B302" t="s">
        <v>1307</v>
      </c>
      <c r="C302" t="s">
        <v>380</v>
      </c>
      <c r="D302">
        <v>11577603.26</v>
      </c>
    </row>
    <row r="303" spans="1:4" x14ac:dyDescent="0.25">
      <c r="B303" t="s">
        <v>1630</v>
      </c>
      <c r="C303" t="s">
        <v>382</v>
      </c>
      <c r="D303">
        <v>7206832.9500000002</v>
      </c>
    </row>
    <row r="304" spans="1:4" x14ac:dyDescent="0.25">
      <c r="A304" t="s">
        <v>3754</v>
      </c>
      <c r="B304" t="s">
        <v>1640</v>
      </c>
      <c r="C304" t="s">
        <v>7061</v>
      </c>
      <c r="D304" t="s">
        <v>7062</v>
      </c>
    </row>
    <row r="305" spans="1:4" x14ac:dyDescent="0.25">
      <c r="B305" t="s">
        <v>867</v>
      </c>
      <c r="C305" t="s">
        <v>287</v>
      </c>
      <c r="D305">
        <v>99600.09</v>
      </c>
    </row>
    <row r="306" spans="1:4" x14ac:dyDescent="0.25">
      <c r="A306" t="s">
        <v>384</v>
      </c>
      <c r="B306" t="s">
        <v>1111</v>
      </c>
      <c r="C306" t="s">
        <v>136</v>
      </c>
      <c r="D306">
        <v>252517.86</v>
      </c>
    </row>
    <row r="307" spans="1:4" x14ac:dyDescent="0.25">
      <c r="B307" t="s">
        <v>7429</v>
      </c>
      <c r="C307" t="s">
        <v>7406</v>
      </c>
      <c r="D307" t="s">
        <v>7428</v>
      </c>
    </row>
    <row r="308" spans="1:4" x14ac:dyDescent="0.25">
      <c r="B308" t="s">
        <v>1640</v>
      </c>
      <c r="C308" t="s">
        <v>7461</v>
      </c>
      <c r="D308" t="s">
        <v>7464</v>
      </c>
    </row>
    <row r="309" spans="1:4" x14ac:dyDescent="0.25">
      <c r="B309" t="s">
        <v>6931</v>
      </c>
      <c r="C309" t="s">
        <v>6921</v>
      </c>
      <c r="D309" t="s">
        <v>6930</v>
      </c>
    </row>
    <row r="310" spans="1:4" x14ac:dyDescent="0.25">
      <c r="B310" t="s">
        <v>867</v>
      </c>
      <c r="C310" t="s">
        <v>66</v>
      </c>
      <c r="D310">
        <v>202798.45</v>
      </c>
    </row>
    <row r="311" spans="1:4" x14ac:dyDescent="0.25">
      <c r="C311" t="s">
        <v>287</v>
      </c>
      <c r="D311">
        <v>575670.89</v>
      </c>
    </row>
    <row r="312" spans="1:4" x14ac:dyDescent="0.25">
      <c r="A312" t="s">
        <v>614</v>
      </c>
      <c r="B312" t="s">
        <v>735</v>
      </c>
      <c r="C312" t="s">
        <v>612</v>
      </c>
      <c r="D312">
        <v>45110</v>
      </c>
    </row>
    <row r="313" spans="1:4" x14ac:dyDescent="0.25">
      <c r="B313" t="s">
        <v>675</v>
      </c>
      <c r="C313" t="s">
        <v>616</v>
      </c>
      <c r="D313">
        <v>176325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2852"/>
  <sheetViews>
    <sheetView zoomScaleNormal="100" workbookViewId="0">
      <pane ySplit="1" topLeftCell="A2" activePane="bottomLeft" state="frozen"/>
      <selection activeCell="B1" sqref="B1"/>
      <selection pane="bottomLeft" activeCell="C8" sqref="C8"/>
    </sheetView>
  </sheetViews>
  <sheetFormatPr defaultColWidth="11.42578125" defaultRowHeight="15" x14ac:dyDescent="0.25"/>
  <cols>
    <col min="1" max="1" width="53.28515625" style="35" customWidth="1"/>
    <col min="2" max="2" width="11.85546875" style="34" bestFit="1" customWidth="1"/>
    <col min="3" max="3" width="34" style="34" bestFit="1" customWidth="1"/>
    <col min="4" max="4" width="15.28515625" style="193" bestFit="1" customWidth="1"/>
    <col min="5" max="5" width="27.140625" style="193" bestFit="1" customWidth="1"/>
    <col min="6" max="6" width="48.7109375" style="35" bestFit="1" customWidth="1"/>
    <col min="7" max="7" width="10.28515625" style="291" bestFit="1" customWidth="1"/>
    <col min="8" max="8" width="18.140625" style="55" bestFit="1" customWidth="1"/>
    <col min="9" max="9" width="21.5703125" style="34" bestFit="1" customWidth="1"/>
    <col min="10" max="10" width="15.85546875" style="34" bestFit="1" customWidth="1"/>
    <col min="11" max="11" width="24.5703125" style="33" bestFit="1" customWidth="1"/>
    <col min="12" max="12" width="27" style="33" bestFit="1" customWidth="1"/>
    <col min="13" max="13" width="28.7109375" style="36" bestFit="1" customWidth="1"/>
    <col min="14" max="14" width="39.42578125" style="96" bestFit="1" customWidth="1"/>
    <col min="15" max="15" width="68.5703125" style="35" customWidth="1"/>
    <col min="16" max="16" width="17.42578125" style="35" bestFit="1" customWidth="1"/>
    <col min="17" max="18" width="15.7109375" style="291" customWidth="1"/>
    <col min="19" max="16384" width="11.42578125" style="109"/>
  </cols>
  <sheetData>
    <row r="1" spans="1:18" s="105" customFormat="1" ht="43.5" x14ac:dyDescent="0.25">
      <c r="A1" s="290" t="s">
        <v>389</v>
      </c>
      <c r="B1" s="416" t="s">
        <v>619</v>
      </c>
      <c r="C1" s="417" t="s">
        <v>390</v>
      </c>
      <c r="D1" s="418" t="s">
        <v>391</v>
      </c>
      <c r="E1" s="418" t="s">
        <v>392</v>
      </c>
      <c r="F1" s="290" t="s">
        <v>7621</v>
      </c>
      <c r="G1" s="290" t="s">
        <v>7622</v>
      </c>
      <c r="H1" s="419" t="s">
        <v>6735</v>
      </c>
      <c r="I1" s="417" t="s">
        <v>397</v>
      </c>
      <c r="J1" s="417" t="s">
        <v>620</v>
      </c>
      <c r="K1" s="417" t="s">
        <v>621</v>
      </c>
      <c r="L1" s="417" t="s">
        <v>622</v>
      </c>
      <c r="M1" s="419" t="s">
        <v>623</v>
      </c>
      <c r="N1" s="420" t="s">
        <v>624</v>
      </c>
      <c r="O1" s="290" t="s">
        <v>398</v>
      </c>
      <c r="P1" s="346" t="s">
        <v>625</v>
      </c>
      <c r="Q1" s="346" t="s">
        <v>11975</v>
      </c>
      <c r="R1" s="390" t="s">
        <v>626</v>
      </c>
    </row>
    <row r="2" spans="1:18" x14ac:dyDescent="0.25">
      <c r="A2" s="23" t="s">
        <v>4054</v>
      </c>
      <c r="B2" s="18" t="str">
        <f>IF(ISNA(VLOOKUP($A2,'Data Pull Sheet'!$B$2:$C$1795,2,0)),"",(VLOOKUP($A2,'Data Pull Sheet'!$B$2:$C$1795,2,0)))</f>
        <v>VEON</v>
      </c>
      <c r="C2" s="59" t="s">
        <v>418</v>
      </c>
      <c r="D2" s="356" t="s">
        <v>4055</v>
      </c>
      <c r="E2" s="356" t="s">
        <v>700</v>
      </c>
      <c r="F2" s="23" t="s">
        <v>4056</v>
      </c>
      <c r="G2" s="23" t="s">
        <v>417</v>
      </c>
      <c r="H2" s="353">
        <v>679339.06</v>
      </c>
      <c r="I2" s="59"/>
      <c r="J2" s="59" t="s">
        <v>4057</v>
      </c>
      <c r="K2" s="20">
        <v>4</v>
      </c>
      <c r="L2" s="20">
        <v>1</v>
      </c>
      <c r="M2" s="357">
        <f>H2</f>
        <v>679339.06</v>
      </c>
      <c r="N2" s="411">
        <f>IFERROR((M2/(VLOOKUP(B2,'Data Pull Sheet'!$C:$H,6,FALSE))),"DC")</f>
        <v>9.0578541333333346E-3</v>
      </c>
      <c r="O2" s="23" t="s">
        <v>60</v>
      </c>
      <c r="P2" s="92" t="s">
        <v>632</v>
      </c>
      <c r="Q2" s="92" t="s">
        <v>633</v>
      </c>
      <c r="R2" s="372" t="str">
        <f t="shared" ref="R2:R65" si="0">IF(COUNTIF(F:F,F2)&gt;=2,"FF","")</f>
        <v/>
      </c>
    </row>
    <row r="3" spans="1:18" ht="30" x14ac:dyDescent="0.25">
      <c r="A3" s="23" t="s">
        <v>4054</v>
      </c>
      <c r="B3" s="18" t="str">
        <f>IF(ISNA(VLOOKUP($A3,'Data Pull Sheet'!$B$2:$C$1795,2,0)),"",(VLOOKUP($A3,'Data Pull Sheet'!$B$2:$C$1795,2,0)))</f>
        <v>VEON</v>
      </c>
      <c r="C3" s="59" t="s">
        <v>418</v>
      </c>
      <c r="D3" s="356" t="s">
        <v>4055</v>
      </c>
      <c r="E3" s="356" t="s">
        <v>700</v>
      </c>
      <c r="F3" s="23" t="s">
        <v>4058</v>
      </c>
      <c r="G3" s="23" t="s">
        <v>403</v>
      </c>
      <c r="H3" s="353">
        <v>22055</v>
      </c>
      <c r="I3" s="59"/>
      <c r="J3" s="59" t="s">
        <v>4059</v>
      </c>
      <c r="K3" s="20"/>
      <c r="L3" s="20">
        <v>2</v>
      </c>
      <c r="M3" s="357">
        <f>SUM(H3:H4)</f>
        <v>96669.19</v>
      </c>
      <c r="N3" s="411">
        <f>IFERROR((M3/(VLOOKUP(B3,'Data Pull Sheet'!$C:$H,6,FALSE))),"DC")</f>
        <v>1.2889225333333333E-3</v>
      </c>
      <c r="O3" s="23" t="s">
        <v>597</v>
      </c>
      <c r="P3" s="92" t="s">
        <v>632</v>
      </c>
      <c r="Q3" s="92" t="s">
        <v>646</v>
      </c>
      <c r="R3" s="372" t="str">
        <f t="shared" si="0"/>
        <v/>
      </c>
    </row>
    <row r="4" spans="1:18" ht="30" x14ac:dyDescent="0.25">
      <c r="A4" s="23" t="s">
        <v>4054</v>
      </c>
      <c r="B4" s="18" t="str">
        <f>IF(ISNA(VLOOKUP($A4,'Data Pull Sheet'!$B$2:$C$1795,2,0)),"",(VLOOKUP($A4,'Data Pull Sheet'!$B$2:$C$1795,2,0)))</f>
        <v>VEON</v>
      </c>
      <c r="C4" s="59" t="s">
        <v>418</v>
      </c>
      <c r="D4" s="356" t="s">
        <v>4055</v>
      </c>
      <c r="E4" s="356" t="s">
        <v>700</v>
      </c>
      <c r="F4" s="23" t="s">
        <v>4060</v>
      </c>
      <c r="G4" s="23" t="s">
        <v>403</v>
      </c>
      <c r="H4" s="353">
        <v>74614.19</v>
      </c>
      <c r="I4" s="59"/>
      <c r="J4" s="59" t="s">
        <v>4061</v>
      </c>
      <c r="K4" s="20"/>
      <c r="L4" s="20"/>
      <c r="M4" s="357"/>
      <c r="N4" s="411"/>
      <c r="O4" s="23" t="s">
        <v>597</v>
      </c>
      <c r="P4" s="92" t="s">
        <v>632</v>
      </c>
      <c r="Q4" s="92" t="s">
        <v>646</v>
      </c>
      <c r="R4" s="372" t="str">
        <f t="shared" si="0"/>
        <v/>
      </c>
    </row>
    <row r="5" spans="1:18" ht="30" x14ac:dyDescent="0.25">
      <c r="A5" s="23" t="s">
        <v>4054</v>
      </c>
      <c r="B5" s="18" t="str">
        <f>IF(ISNA(VLOOKUP($A5,'Data Pull Sheet'!$B$2:$C$1795,2,0)),"",(VLOOKUP($A5,'Data Pull Sheet'!$B$2:$C$1795,2,0)))</f>
        <v>VEON</v>
      </c>
      <c r="C5" s="59" t="s">
        <v>418</v>
      </c>
      <c r="D5" s="356" t="s">
        <v>4055</v>
      </c>
      <c r="E5" s="356" t="s">
        <v>700</v>
      </c>
      <c r="F5" s="23" t="s">
        <v>4062</v>
      </c>
      <c r="G5" s="23" t="s">
        <v>403</v>
      </c>
      <c r="H5" s="353">
        <v>115000</v>
      </c>
      <c r="I5" s="59"/>
      <c r="J5" s="59" t="s">
        <v>4063</v>
      </c>
      <c r="K5" s="20"/>
      <c r="L5" s="20">
        <v>3</v>
      </c>
      <c r="M5" s="357">
        <f>SUM(H5:H7)</f>
        <v>678587.27</v>
      </c>
      <c r="N5" s="411">
        <f>IFERROR((M5/(VLOOKUP(B5,'Data Pull Sheet'!$C:$H,6,FALSE))),"DC")</f>
        <v>9.0478302666666677E-3</v>
      </c>
      <c r="O5" s="23" t="s">
        <v>1015</v>
      </c>
      <c r="P5" s="92" t="s">
        <v>632</v>
      </c>
      <c r="Q5" s="92" t="s">
        <v>646</v>
      </c>
      <c r="R5" s="372" t="str">
        <f t="shared" si="0"/>
        <v/>
      </c>
    </row>
    <row r="6" spans="1:18" ht="30" x14ac:dyDescent="0.25">
      <c r="A6" s="23" t="s">
        <v>4054</v>
      </c>
      <c r="B6" s="18" t="str">
        <f>IF(ISNA(VLOOKUP($A6,'Data Pull Sheet'!$B$2:$C$1795,2,0)),"",(VLOOKUP($A6,'Data Pull Sheet'!$B$2:$C$1795,2,0)))</f>
        <v>VEON</v>
      </c>
      <c r="C6" s="59" t="s">
        <v>418</v>
      </c>
      <c r="D6" s="356" t="s">
        <v>4055</v>
      </c>
      <c r="E6" s="356" t="s">
        <v>700</v>
      </c>
      <c r="F6" s="23" t="s">
        <v>4064</v>
      </c>
      <c r="G6" s="23" t="s">
        <v>403</v>
      </c>
      <c r="H6" s="353">
        <v>198302.23</v>
      </c>
      <c r="I6" s="59"/>
      <c r="J6" s="59" t="s">
        <v>4065</v>
      </c>
      <c r="K6" s="20"/>
      <c r="L6" s="20"/>
      <c r="M6" s="357"/>
      <c r="N6" s="411"/>
      <c r="O6" s="23" t="s">
        <v>1015</v>
      </c>
      <c r="P6" s="92" t="s">
        <v>632</v>
      </c>
      <c r="Q6" s="92" t="s">
        <v>646</v>
      </c>
      <c r="R6" s="372" t="str">
        <f t="shared" si="0"/>
        <v/>
      </c>
    </row>
    <row r="7" spans="1:18" ht="30" x14ac:dyDescent="0.25">
      <c r="A7" s="23" t="s">
        <v>4054</v>
      </c>
      <c r="B7" s="18" t="str">
        <f>IF(ISNA(VLOOKUP($A7,'Data Pull Sheet'!$B$2:$C$1795,2,0)),"",(VLOOKUP($A7,'Data Pull Sheet'!$B$2:$C$1795,2,0)))</f>
        <v>VEON</v>
      </c>
      <c r="C7" s="59" t="s">
        <v>418</v>
      </c>
      <c r="D7" s="356" t="s">
        <v>4055</v>
      </c>
      <c r="E7" s="356" t="s">
        <v>700</v>
      </c>
      <c r="F7" s="23" t="s">
        <v>4066</v>
      </c>
      <c r="G7" s="23" t="s">
        <v>403</v>
      </c>
      <c r="H7" s="353">
        <v>365285.04</v>
      </c>
      <c r="I7" s="59"/>
      <c r="J7" s="59" t="s">
        <v>4067</v>
      </c>
      <c r="K7" s="20"/>
      <c r="L7" s="20"/>
      <c r="M7" s="357"/>
      <c r="N7" s="411"/>
      <c r="O7" s="23" t="s">
        <v>1015</v>
      </c>
      <c r="P7" s="92" t="s">
        <v>632</v>
      </c>
      <c r="Q7" s="92" t="s">
        <v>646</v>
      </c>
      <c r="R7" s="372" t="str">
        <f t="shared" si="0"/>
        <v/>
      </c>
    </row>
    <row r="8" spans="1:18" ht="30" x14ac:dyDescent="0.25">
      <c r="A8" s="23" t="s">
        <v>4054</v>
      </c>
      <c r="B8" s="18" t="str">
        <f>IF(ISNA(VLOOKUP($A8,'Data Pull Sheet'!$B$2:$C$1795,2,0)),"",(VLOOKUP($A8,'Data Pull Sheet'!$B$2:$C$1795,2,0)))</f>
        <v>VEON</v>
      </c>
      <c r="C8" s="59" t="s">
        <v>418</v>
      </c>
      <c r="D8" s="356" t="s">
        <v>4055</v>
      </c>
      <c r="E8" s="356" t="s">
        <v>700</v>
      </c>
      <c r="F8" s="23" t="s">
        <v>4068</v>
      </c>
      <c r="G8" s="23" t="s">
        <v>403</v>
      </c>
      <c r="H8" s="353">
        <v>43791</v>
      </c>
      <c r="I8" s="59"/>
      <c r="J8" s="59" t="s">
        <v>4069</v>
      </c>
      <c r="K8" s="20"/>
      <c r="L8" s="20">
        <v>2</v>
      </c>
      <c r="M8" s="357">
        <f>SUM(H8:H9)</f>
        <v>89877</v>
      </c>
      <c r="N8" s="411">
        <f>IFERROR((M8/(VLOOKUP(B8,'Data Pull Sheet'!$C:$H,6,FALSE))),"DC")</f>
        <v>1.1983600000000001E-3</v>
      </c>
      <c r="O8" s="23" t="s">
        <v>1204</v>
      </c>
      <c r="P8" s="92" t="s">
        <v>632</v>
      </c>
      <c r="Q8" s="92" t="s">
        <v>646</v>
      </c>
      <c r="R8" s="372" t="str">
        <f t="shared" si="0"/>
        <v/>
      </c>
    </row>
    <row r="9" spans="1:18" x14ac:dyDescent="0.25">
      <c r="A9" s="23" t="s">
        <v>4054</v>
      </c>
      <c r="B9" s="18" t="str">
        <f>IF(ISNA(VLOOKUP($A9,'Data Pull Sheet'!$B$2:$C$1795,2,0)),"",(VLOOKUP($A9,'Data Pull Sheet'!$B$2:$C$1795,2,0)))</f>
        <v>VEON</v>
      </c>
      <c r="C9" s="59" t="s">
        <v>418</v>
      </c>
      <c r="D9" s="356" t="s">
        <v>4055</v>
      </c>
      <c r="E9" s="356" t="s">
        <v>700</v>
      </c>
      <c r="F9" s="23" t="s">
        <v>4070</v>
      </c>
      <c r="G9" s="23" t="s">
        <v>403</v>
      </c>
      <c r="H9" s="353">
        <v>46086</v>
      </c>
      <c r="I9" s="59"/>
      <c r="J9" s="59" t="s">
        <v>4071</v>
      </c>
      <c r="K9" s="20"/>
      <c r="L9" s="20"/>
      <c r="M9" s="357"/>
      <c r="N9" s="411"/>
      <c r="O9" s="23" t="s">
        <v>1204</v>
      </c>
      <c r="P9" s="92" t="s">
        <v>632</v>
      </c>
      <c r="Q9" s="92" t="s">
        <v>646</v>
      </c>
      <c r="R9" s="372" t="str">
        <f t="shared" si="0"/>
        <v/>
      </c>
    </row>
    <row r="10" spans="1:18" ht="30" x14ac:dyDescent="0.25">
      <c r="A10" s="23" t="s">
        <v>3459</v>
      </c>
      <c r="B10" s="18" t="str">
        <f>IF(ISNA(VLOOKUP($A10,'Data Pull Sheet'!$B$2:$C$1795,2,0)),"",(VLOOKUP($A10,'Data Pull Sheet'!$B$2:$C$1795,2,0)))</f>
        <v>STRZA</v>
      </c>
      <c r="C10" s="59" t="s">
        <v>446</v>
      </c>
      <c r="D10" s="356" t="s">
        <v>3460</v>
      </c>
      <c r="E10" s="356" t="s">
        <v>453</v>
      </c>
      <c r="F10" s="23" t="s">
        <v>3461</v>
      </c>
      <c r="G10" s="23" t="s">
        <v>403</v>
      </c>
      <c r="H10" s="353">
        <v>4364</v>
      </c>
      <c r="I10" s="59"/>
      <c r="J10" s="59" t="s">
        <v>3462</v>
      </c>
      <c r="K10" s="20">
        <v>2</v>
      </c>
      <c r="L10" s="20">
        <v>1</v>
      </c>
      <c r="M10" s="357">
        <f t="shared" ref="M10:M16" si="1">H10</f>
        <v>4364</v>
      </c>
      <c r="N10" s="411">
        <f>IFERROR((M10/(VLOOKUP(B10,'Data Pull Sheet'!$C:$H,6,FALSE))),"DC")</f>
        <v>2.9093333333333335E-5</v>
      </c>
      <c r="O10" s="23" t="s">
        <v>597</v>
      </c>
      <c r="P10" s="92" t="s">
        <v>632</v>
      </c>
      <c r="Q10" s="92" t="s">
        <v>637</v>
      </c>
      <c r="R10" s="372" t="str">
        <f t="shared" si="0"/>
        <v/>
      </c>
    </row>
    <row r="11" spans="1:18" x14ac:dyDescent="0.25">
      <c r="A11" s="23" t="s">
        <v>3459</v>
      </c>
      <c r="B11" s="18" t="str">
        <f>IF(ISNA(VLOOKUP($A11,'Data Pull Sheet'!$B$2:$C$1795,2,0)),"",(VLOOKUP($A11,'Data Pull Sheet'!$B$2:$C$1795,2,0)))</f>
        <v>STRZA</v>
      </c>
      <c r="C11" s="59" t="s">
        <v>446</v>
      </c>
      <c r="D11" s="356" t="s">
        <v>3460</v>
      </c>
      <c r="E11" s="356" t="s">
        <v>453</v>
      </c>
      <c r="F11" s="23" t="s">
        <v>3463</v>
      </c>
      <c r="G11" s="23" t="s">
        <v>403</v>
      </c>
      <c r="H11" s="353">
        <v>1172.28</v>
      </c>
      <c r="I11" s="59"/>
      <c r="J11" s="59" t="s">
        <v>3464</v>
      </c>
      <c r="K11" s="20"/>
      <c r="L11" s="20">
        <v>1</v>
      </c>
      <c r="M11" s="357">
        <f t="shared" si="1"/>
        <v>1172.28</v>
      </c>
      <c r="N11" s="411">
        <f>IFERROR((M11/(VLOOKUP(B11,'Data Pull Sheet'!$C:$H,6,FALSE))),"DC")</f>
        <v>7.8151999999999993E-6</v>
      </c>
      <c r="O11" s="23" t="s">
        <v>1015</v>
      </c>
      <c r="P11" s="92" t="s">
        <v>632</v>
      </c>
      <c r="Q11" s="92" t="s">
        <v>637</v>
      </c>
      <c r="R11" s="372" t="str">
        <f t="shared" si="0"/>
        <v/>
      </c>
    </row>
    <row r="12" spans="1:18" x14ac:dyDescent="0.25">
      <c r="A12" s="23" t="s">
        <v>1285</v>
      </c>
      <c r="B12" s="18" t="str">
        <f>IF(ISNA(VLOOKUP($A12,'Data Pull Sheet'!$B$2:$C$1795,2,0)),"",(VLOOKUP($A12,'Data Pull Sheet'!$B$2:$C$1795,2,0)))</f>
        <v>CKP</v>
      </c>
      <c r="C12" s="59" t="s">
        <v>424</v>
      </c>
      <c r="D12" s="356" t="s">
        <v>1286</v>
      </c>
      <c r="E12" s="356" t="s">
        <v>423</v>
      </c>
      <c r="F12" s="23" t="s">
        <v>1287</v>
      </c>
      <c r="G12" s="23" t="s">
        <v>403</v>
      </c>
      <c r="H12" s="353">
        <v>4792.9399999999996</v>
      </c>
      <c r="I12" s="59"/>
      <c r="J12" s="59" t="s">
        <v>1288</v>
      </c>
      <c r="K12" s="20">
        <v>2</v>
      </c>
      <c r="L12" s="20">
        <v>1</v>
      </c>
      <c r="M12" s="357">
        <f t="shared" si="1"/>
        <v>4792.9399999999996</v>
      </c>
      <c r="N12" s="411">
        <f>IFERROR((M12/(VLOOKUP(B12,'Data Pull Sheet'!$C:$H,6,FALSE))),"DC")</f>
        <v>1.0197744680851063E-4</v>
      </c>
      <c r="O12" s="23" t="s">
        <v>1015</v>
      </c>
      <c r="P12" s="92" t="s">
        <v>632</v>
      </c>
      <c r="Q12" s="92" t="s">
        <v>637</v>
      </c>
      <c r="R12" s="372" t="str">
        <f t="shared" si="0"/>
        <v/>
      </c>
    </row>
    <row r="13" spans="1:18" x14ac:dyDescent="0.25">
      <c r="A13" s="23" t="s">
        <v>1285</v>
      </c>
      <c r="B13" s="18" t="str">
        <f>IF(ISNA(VLOOKUP($A13,'Data Pull Sheet'!$B$2:$C$1795,2,0)),"",(VLOOKUP($A13,'Data Pull Sheet'!$B$2:$C$1795,2,0)))</f>
        <v>CKP</v>
      </c>
      <c r="C13" s="59" t="s">
        <v>424</v>
      </c>
      <c r="D13" s="356" t="s">
        <v>1286</v>
      </c>
      <c r="E13" s="356" t="s">
        <v>423</v>
      </c>
      <c r="F13" s="23" t="s">
        <v>1289</v>
      </c>
      <c r="G13" s="23" t="s">
        <v>403</v>
      </c>
      <c r="H13" s="353">
        <v>6853.51</v>
      </c>
      <c r="I13" s="59"/>
      <c r="J13" s="59" t="s">
        <v>1290</v>
      </c>
      <c r="K13" s="20"/>
      <c r="L13" s="20">
        <v>1</v>
      </c>
      <c r="M13" s="357">
        <f t="shared" si="1"/>
        <v>6853.51</v>
      </c>
      <c r="N13" s="411">
        <f>IFERROR((M13/(VLOOKUP(B13,'Data Pull Sheet'!$C:$H,6,FALSE))),"DC")</f>
        <v>1.4581936170212766E-4</v>
      </c>
      <c r="O13" s="23" t="s">
        <v>63</v>
      </c>
      <c r="P13" s="92" t="s">
        <v>632</v>
      </c>
      <c r="Q13" s="92" t="s">
        <v>637</v>
      </c>
      <c r="R13" s="372" t="str">
        <f t="shared" si="0"/>
        <v/>
      </c>
    </row>
    <row r="14" spans="1:18" x14ac:dyDescent="0.25">
      <c r="A14" s="23" t="s">
        <v>8</v>
      </c>
      <c r="B14" s="18" t="str">
        <f>IF(ISNA(VLOOKUP($A14,'Data Pull Sheet'!$B$2:$C$1795,2,0)),"",(VLOOKUP($A14,'Data Pull Sheet'!$B$2:$C$1795,2,0)))</f>
        <v>FTK</v>
      </c>
      <c r="C14" s="59" t="s">
        <v>421</v>
      </c>
      <c r="D14" s="356" t="s">
        <v>422</v>
      </c>
      <c r="E14" s="356" t="s">
        <v>423</v>
      </c>
      <c r="F14" s="23" t="s">
        <v>365</v>
      </c>
      <c r="G14" s="23" t="s">
        <v>417</v>
      </c>
      <c r="H14" s="353">
        <v>111790.66</v>
      </c>
      <c r="I14" s="59"/>
      <c r="J14" s="59" t="s">
        <v>1914</v>
      </c>
      <c r="K14" s="20">
        <v>9</v>
      </c>
      <c r="L14" s="20">
        <v>1</v>
      </c>
      <c r="M14" s="357">
        <f t="shared" si="1"/>
        <v>111790.66</v>
      </c>
      <c r="N14" s="411">
        <f>IFERROR((M14/(VLOOKUP(B14,'Data Pull Sheet'!$C:$H,6,FALSE))),"DC")</f>
        <v>5.5895330000000005E-4</v>
      </c>
      <c r="O14" s="23" t="s">
        <v>1915</v>
      </c>
      <c r="P14" s="92" t="s">
        <v>632</v>
      </c>
      <c r="Q14" s="92" t="s">
        <v>633</v>
      </c>
      <c r="R14" s="372" t="str">
        <f t="shared" si="0"/>
        <v>FF</v>
      </c>
    </row>
    <row r="15" spans="1:18" x14ac:dyDescent="0.25">
      <c r="A15" s="23" t="s">
        <v>8</v>
      </c>
      <c r="B15" s="18" t="str">
        <f>IF(ISNA(VLOOKUP($A15,'Data Pull Sheet'!$B$2:$C$1795,2,0)),"",(VLOOKUP($A15,'Data Pull Sheet'!$B$2:$C$1795,2,0)))</f>
        <v>FTK</v>
      </c>
      <c r="C15" s="59" t="s">
        <v>421</v>
      </c>
      <c r="D15" s="356" t="s">
        <v>422</v>
      </c>
      <c r="E15" s="356" t="s">
        <v>423</v>
      </c>
      <c r="F15" s="23" t="s">
        <v>1916</v>
      </c>
      <c r="G15" s="23" t="s">
        <v>403</v>
      </c>
      <c r="H15" s="353">
        <v>153390.56</v>
      </c>
      <c r="I15" s="59" t="s">
        <v>413</v>
      </c>
      <c r="J15" s="59" t="s">
        <v>1917</v>
      </c>
      <c r="K15" s="20"/>
      <c r="L15" s="20">
        <v>1</v>
      </c>
      <c r="M15" s="357">
        <f t="shared" si="1"/>
        <v>153390.56</v>
      </c>
      <c r="N15" s="411">
        <f>IFERROR((M15/(VLOOKUP(B15,'Data Pull Sheet'!$C:$H,6,FALSE))),"DC")</f>
        <v>7.6695279999999995E-4</v>
      </c>
      <c r="O15" s="23" t="s">
        <v>1918</v>
      </c>
      <c r="P15" s="92" t="s">
        <v>632</v>
      </c>
      <c r="Q15" s="92" t="s">
        <v>637</v>
      </c>
      <c r="R15" s="372" t="str">
        <f t="shared" si="0"/>
        <v/>
      </c>
    </row>
    <row r="16" spans="1:18" x14ac:dyDescent="0.25">
      <c r="A16" s="23" t="s">
        <v>8</v>
      </c>
      <c r="B16" s="18" t="str">
        <f>IF(ISNA(VLOOKUP($A16,'Data Pull Sheet'!$B$2:$C$1795,2,0)),"",(VLOOKUP($A16,'Data Pull Sheet'!$B$2:$C$1795,2,0)))</f>
        <v>FTK</v>
      </c>
      <c r="C16" s="59" t="s">
        <v>421</v>
      </c>
      <c r="D16" s="356" t="s">
        <v>422</v>
      </c>
      <c r="E16" s="356" t="s">
        <v>423</v>
      </c>
      <c r="F16" s="23" t="s">
        <v>1919</v>
      </c>
      <c r="G16" s="23" t="s">
        <v>403</v>
      </c>
      <c r="H16" s="353">
        <v>4597.96</v>
      </c>
      <c r="I16" s="59"/>
      <c r="J16" s="59" t="s">
        <v>1920</v>
      </c>
      <c r="K16" s="20"/>
      <c r="L16" s="20">
        <v>1</v>
      </c>
      <c r="M16" s="357">
        <f t="shared" si="1"/>
        <v>4597.96</v>
      </c>
      <c r="N16" s="411">
        <f>IFERROR((M16/(VLOOKUP(B16,'Data Pull Sheet'!$C:$H,6,FALSE))),"DC")</f>
        <v>2.2989800000000001E-5</v>
      </c>
      <c r="O16" s="23" t="s">
        <v>1921</v>
      </c>
      <c r="P16" s="92" t="s">
        <v>632</v>
      </c>
      <c r="Q16" s="92" t="s">
        <v>637</v>
      </c>
      <c r="R16" s="372" t="str">
        <f t="shared" si="0"/>
        <v/>
      </c>
    </row>
    <row r="17" spans="1:18" x14ac:dyDescent="0.25">
      <c r="A17" s="23" t="s">
        <v>8</v>
      </c>
      <c r="B17" s="18" t="str">
        <f>IF(ISNA(VLOOKUP($A17,'Data Pull Sheet'!$B$2:$C$1795,2,0)),"",(VLOOKUP($A17,'Data Pull Sheet'!$B$2:$C$1795,2,0)))</f>
        <v>FTK</v>
      </c>
      <c r="C17" s="59" t="s">
        <v>421</v>
      </c>
      <c r="D17" s="356" t="s">
        <v>422</v>
      </c>
      <c r="E17" s="356" t="s">
        <v>423</v>
      </c>
      <c r="F17" s="23" t="s">
        <v>280</v>
      </c>
      <c r="G17" s="23" t="s">
        <v>417</v>
      </c>
      <c r="H17" s="353">
        <v>71061</v>
      </c>
      <c r="I17" s="59" t="s">
        <v>442</v>
      </c>
      <c r="J17" s="59" t="s">
        <v>1922</v>
      </c>
      <c r="K17" s="20"/>
      <c r="L17" s="20">
        <v>2</v>
      </c>
      <c r="M17" s="357">
        <f>SUM(H17:H18)</f>
        <v>200013</v>
      </c>
      <c r="N17" s="411">
        <f>IFERROR((M17/(VLOOKUP(B17,'Data Pull Sheet'!$C:$H,6,FALSE))),"DC")</f>
        <v>1.0000650000000001E-3</v>
      </c>
      <c r="O17" s="23" t="s">
        <v>283</v>
      </c>
      <c r="P17" s="92" t="s">
        <v>632</v>
      </c>
      <c r="Q17" s="92" t="s">
        <v>640</v>
      </c>
      <c r="R17" s="372" t="str">
        <f t="shared" si="0"/>
        <v>FF</v>
      </c>
    </row>
    <row r="18" spans="1:18" x14ac:dyDescent="0.25">
      <c r="A18" s="23" t="s">
        <v>8</v>
      </c>
      <c r="B18" s="18" t="str">
        <f>IF(ISNA(VLOOKUP($A18,'Data Pull Sheet'!$B$2:$C$1795,2,0)),"",(VLOOKUP($A18,'Data Pull Sheet'!$B$2:$C$1795,2,0)))</f>
        <v>FTK</v>
      </c>
      <c r="C18" s="59" t="s">
        <v>421</v>
      </c>
      <c r="D18" s="356" t="s">
        <v>422</v>
      </c>
      <c r="E18" s="356" t="s">
        <v>423</v>
      </c>
      <c r="F18" s="23" t="s">
        <v>274</v>
      </c>
      <c r="G18" s="23" t="s">
        <v>417</v>
      </c>
      <c r="H18" s="353">
        <v>128952</v>
      </c>
      <c r="I18" s="59" t="s">
        <v>413</v>
      </c>
      <c r="J18" s="59" t="s">
        <v>1923</v>
      </c>
      <c r="K18" s="20"/>
      <c r="L18" s="20"/>
      <c r="M18" s="357"/>
      <c r="N18" s="411"/>
      <c r="O18" s="23" t="s">
        <v>283</v>
      </c>
      <c r="P18" s="92" t="s">
        <v>632</v>
      </c>
      <c r="Q18" s="92" t="s">
        <v>640</v>
      </c>
      <c r="R18" s="372" t="str">
        <f t="shared" si="0"/>
        <v>FF</v>
      </c>
    </row>
    <row r="19" spans="1:18" x14ac:dyDescent="0.25">
      <c r="A19" s="23" t="s">
        <v>8</v>
      </c>
      <c r="B19" s="18" t="str">
        <f>IF(ISNA(VLOOKUP($A19,'Data Pull Sheet'!$B$2:$C$1795,2,0)),"",(VLOOKUP($A19,'Data Pull Sheet'!$B$2:$C$1795,2,0)))</f>
        <v>FTK</v>
      </c>
      <c r="C19" s="59" t="s">
        <v>421</v>
      </c>
      <c r="D19" s="356" t="s">
        <v>422</v>
      </c>
      <c r="E19" s="356" t="s">
        <v>423</v>
      </c>
      <c r="F19" s="23" t="s">
        <v>1924</v>
      </c>
      <c r="G19" s="23" t="s">
        <v>403</v>
      </c>
      <c r="H19" s="353">
        <v>30633.86</v>
      </c>
      <c r="I19" s="59"/>
      <c r="J19" s="59" t="s">
        <v>1925</v>
      </c>
      <c r="K19" s="20"/>
      <c r="L19" s="20">
        <v>1</v>
      </c>
      <c r="M19" s="357">
        <f>H19</f>
        <v>30633.86</v>
      </c>
      <c r="N19" s="411">
        <f>IFERROR((M19/(VLOOKUP(B19,'Data Pull Sheet'!$C:$H,6,FALSE))),"DC")</f>
        <v>1.531693E-4</v>
      </c>
      <c r="O19" s="23" t="s">
        <v>1926</v>
      </c>
      <c r="P19" s="92" t="s">
        <v>632</v>
      </c>
      <c r="Q19" s="92" t="s">
        <v>637</v>
      </c>
      <c r="R19" s="372" t="str">
        <f t="shared" si="0"/>
        <v/>
      </c>
    </row>
    <row r="20" spans="1:18" x14ac:dyDescent="0.25">
      <c r="A20" s="23" t="s">
        <v>8</v>
      </c>
      <c r="B20" s="18" t="str">
        <f>IF(ISNA(VLOOKUP($A20,'Data Pull Sheet'!$B$2:$C$1795,2,0)),"",(VLOOKUP($A20,'Data Pull Sheet'!$B$2:$C$1795,2,0)))</f>
        <v>FTK</v>
      </c>
      <c r="C20" s="59" t="s">
        <v>421</v>
      </c>
      <c r="D20" s="356" t="s">
        <v>422</v>
      </c>
      <c r="E20" s="356" t="s">
        <v>423</v>
      </c>
      <c r="F20" s="23" t="s">
        <v>1927</v>
      </c>
      <c r="G20" s="23" t="s">
        <v>403</v>
      </c>
      <c r="H20" s="353">
        <v>3578</v>
      </c>
      <c r="I20" s="59"/>
      <c r="J20" s="59" t="s">
        <v>1928</v>
      </c>
      <c r="K20" s="20"/>
      <c r="L20" s="20">
        <v>1</v>
      </c>
      <c r="M20" s="357">
        <f>H20</f>
        <v>3578</v>
      </c>
      <c r="N20" s="411">
        <f>IFERROR((M20/(VLOOKUP(B20,'Data Pull Sheet'!$C:$H,6,FALSE))),"DC")</f>
        <v>1.789E-5</v>
      </c>
      <c r="O20" s="23" t="s">
        <v>1929</v>
      </c>
      <c r="P20" s="92" t="s">
        <v>632</v>
      </c>
      <c r="Q20" s="92" t="s">
        <v>637</v>
      </c>
      <c r="R20" s="372" t="str">
        <f t="shared" si="0"/>
        <v/>
      </c>
    </row>
    <row r="21" spans="1:18" ht="30" x14ac:dyDescent="0.25">
      <c r="A21" s="23" t="s">
        <v>8</v>
      </c>
      <c r="B21" s="18" t="str">
        <f>IF(ISNA(VLOOKUP($A21,'Data Pull Sheet'!$B$2:$C$1795,2,0)),"",(VLOOKUP($A21,'Data Pull Sheet'!$B$2:$C$1795,2,0)))</f>
        <v>FTK</v>
      </c>
      <c r="C21" s="59" t="s">
        <v>421</v>
      </c>
      <c r="D21" s="356" t="s">
        <v>422</v>
      </c>
      <c r="E21" s="356" t="s">
        <v>423</v>
      </c>
      <c r="F21" s="23" t="s">
        <v>6</v>
      </c>
      <c r="G21" s="23" t="s">
        <v>417</v>
      </c>
      <c r="H21" s="353">
        <v>226809.08</v>
      </c>
      <c r="I21" s="59"/>
      <c r="J21" s="59" t="s">
        <v>1930</v>
      </c>
      <c r="K21" s="20"/>
      <c r="L21" s="20">
        <v>1</v>
      </c>
      <c r="M21" s="357">
        <f>H21</f>
        <v>226809.08</v>
      </c>
      <c r="N21" s="411">
        <f>IFERROR((M21/(VLOOKUP(B21,'Data Pull Sheet'!$C:$H,6,FALSE))),"DC")</f>
        <v>1.1340453999999999E-3</v>
      </c>
      <c r="O21" s="23" t="s">
        <v>1931</v>
      </c>
      <c r="P21" s="92" t="s">
        <v>632</v>
      </c>
      <c r="Q21" s="92" t="s">
        <v>633</v>
      </c>
      <c r="R21" s="372" t="str">
        <f t="shared" si="0"/>
        <v>FF</v>
      </c>
    </row>
    <row r="22" spans="1:18" ht="30" x14ac:dyDescent="0.25">
      <c r="A22" s="23" t="s">
        <v>8</v>
      </c>
      <c r="B22" s="18" t="str">
        <f>IF(ISNA(VLOOKUP($A22,'Data Pull Sheet'!$B$2:$C$1795,2,0)),"",(VLOOKUP($A22,'Data Pull Sheet'!$B$2:$C$1795,2,0)))</f>
        <v>FTK</v>
      </c>
      <c r="C22" s="59" t="s">
        <v>421</v>
      </c>
      <c r="D22" s="356" t="s">
        <v>422</v>
      </c>
      <c r="E22" s="356" t="s">
        <v>423</v>
      </c>
      <c r="F22" s="23" t="s">
        <v>1932</v>
      </c>
      <c r="G22" s="23" t="s">
        <v>403</v>
      </c>
      <c r="H22" s="353">
        <v>12114</v>
      </c>
      <c r="I22" s="59"/>
      <c r="J22" s="59" t="s">
        <v>1933</v>
      </c>
      <c r="K22" s="20"/>
      <c r="L22" s="20">
        <v>2</v>
      </c>
      <c r="M22" s="357">
        <f>SUM(H22:H23)</f>
        <v>32180</v>
      </c>
      <c r="N22" s="411">
        <f>IFERROR((M22/(VLOOKUP(B22,'Data Pull Sheet'!$C:$H,6,FALSE))),"DC")</f>
        <v>1.6090000000000001E-4</v>
      </c>
      <c r="O22" s="23" t="s">
        <v>682</v>
      </c>
      <c r="P22" s="92" t="s">
        <v>632</v>
      </c>
      <c r="Q22" s="92" t="s">
        <v>646</v>
      </c>
      <c r="R22" s="372" t="str">
        <f t="shared" si="0"/>
        <v/>
      </c>
    </row>
    <row r="23" spans="1:18" ht="30" x14ac:dyDescent="0.25">
      <c r="A23" s="23" t="s">
        <v>8</v>
      </c>
      <c r="B23" s="18" t="str">
        <f>IF(ISNA(VLOOKUP($A23,'Data Pull Sheet'!$B$2:$C$1795,2,0)),"",(VLOOKUP($A23,'Data Pull Sheet'!$B$2:$C$1795,2,0)))</f>
        <v>FTK</v>
      </c>
      <c r="C23" s="59" t="s">
        <v>421</v>
      </c>
      <c r="D23" s="356" t="s">
        <v>422</v>
      </c>
      <c r="E23" s="356" t="s">
        <v>423</v>
      </c>
      <c r="F23" s="23" t="s">
        <v>1934</v>
      </c>
      <c r="G23" s="23" t="s">
        <v>403</v>
      </c>
      <c r="H23" s="353">
        <v>20066</v>
      </c>
      <c r="I23" s="59"/>
      <c r="J23" s="59" t="s">
        <v>1935</v>
      </c>
      <c r="K23" s="20"/>
      <c r="L23" s="20"/>
      <c r="M23" s="357"/>
      <c r="N23" s="411"/>
      <c r="O23" s="23" t="s">
        <v>682</v>
      </c>
      <c r="P23" s="92" t="s">
        <v>632</v>
      </c>
      <c r="Q23" s="92" t="s">
        <v>646</v>
      </c>
      <c r="R23" s="372" t="str">
        <f t="shared" si="0"/>
        <v/>
      </c>
    </row>
    <row r="24" spans="1:18" x14ac:dyDescent="0.25">
      <c r="A24" s="23" t="s">
        <v>8</v>
      </c>
      <c r="B24" s="18" t="str">
        <f>IF(ISNA(VLOOKUP($A24,'Data Pull Sheet'!$B$2:$C$1795,2,0)),"",(VLOOKUP($A24,'Data Pull Sheet'!$B$2:$C$1795,2,0)))</f>
        <v>FTK</v>
      </c>
      <c r="C24" s="59" t="s">
        <v>421</v>
      </c>
      <c r="D24" s="356" t="s">
        <v>422</v>
      </c>
      <c r="E24" s="356" t="s">
        <v>423</v>
      </c>
      <c r="F24" s="23" t="s">
        <v>1936</v>
      </c>
      <c r="G24" s="23" t="s">
        <v>403</v>
      </c>
      <c r="H24" s="353">
        <v>12272</v>
      </c>
      <c r="I24" s="59" t="s">
        <v>406</v>
      </c>
      <c r="J24" s="59" t="s">
        <v>1937</v>
      </c>
      <c r="K24" s="20"/>
      <c r="L24" s="20">
        <v>2</v>
      </c>
      <c r="M24" s="357">
        <f>SUM(H24:H25)</f>
        <v>116818.65</v>
      </c>
      <c r="N24" s="411">
        <f>IFERROR((M24/(VLOOKUP(B24,'Data Pull Sheet'!$C:$H,6,FALSE))),"DC")</f>
        <v>5.8409325000000002E-4</v>
      </c>
      <c r="O24" s="23" t="s">
        <v>1938</v>
      </c>
      <c r="P24" s="92" t="s">
        <v>632</v>
      </c>
      <c r="Q24" s="92" t="s">
        <v>646</v>
      </c>
      <c r="R24" s="372" t="str">
        <f t="shared" si="0"/>
        <v/>
      </c>
    </row>
    <row r="25" spans="1:18" x14ac:dyDescent="0.25">
      <c r="A25" s="23" t="s">
        <v>8</v>
      </c>
      <c r="B25" s="18" t="str">
        <f>IF(ISNA(VLOOKUP($A25,'Data Pull Sheet'!$B$2:$C$1795,2,0)),"",(VLOOKUP($A25,'Data Pull Sheet'!$B$2:$C$1795,2,0)))</f>
        <v>FTK</v>
      </c>
      <c r="C25" s="59" t="s">
        <v>421</v>
      </c>
      <c r="D25" s="356" t="s">
        <v>422</v>
      </c>
      <c r="E25" s="356" t="s">
        <v>423</v>
      </c>
      <c r="F25" s="23" t="s">
        <v>1939</v>
      </c>
      <c r="G25" s="23" t="s">
        <v>403</v>
      </c>
      <c r="H25" s="353">
        <v>104546.65</v>
      </c>
      <c r="I25" s="59" t="s">
        <v>406</v>
      </c>
      <c r="J25" s="59" t="s">
        <v>1940</v>
      </c>
      <c r="K25" s="20"/>
      <c r="L25" s="20"/>
      <c r="M25" s="357"/>
      <c r="N25" s="411"/>
      <c r="O25" s="23" t="s">
        <v>1938</v>
      </c>
      <c r="P25" s="92" t="s">
        <v>632</v>
      </c>
      <c r="Q25" s="92" t="s">
        <v>646</v>
      </c>
      <c r="R25" s="372" t="str">
        <f t="shared" si="0"/>
        <v/>
      </c>
    </row>
    <row r="26" spans="1:18" x14ac:dyDescent="0.25">
      <c r="A26" s="23" t="s">
        <v>3685</v>
      </c>
      <c r="B26" s="18" t="str">
        <f>IF(ISNA(VLOOKUP($A26,'Data Pull Sheet'!$B$2:$C$1795,2,0)),"",(VLOOKUP($A26,'Data Pull Sheet'!$B$2:$C$1795,2,0)))</f>
        <v>TCPIF</v>
      </c>
      <c r="C26" s="59" t="s">
        <v>496</v>
      </c>
      <c r="D26" s="356" t="s">
        <v>1286</v>
      </c>
      <c r="E26" s="356" t="s">
        <v>423</v>
      </c>
      <c r="F26" s="23" t="s">
        <v>3686</v>
      </c>
      <c r="G26" s="23" t="s">
        <v>403</v>
      </c>
      <c r="H26" s="353">
        <v>9001.23</v>
      </c>
      <c r="I26" s="59"/>
      <c r="J26" s="59" t="s">
        <v>3687</v>
      </c>
      <c r="K26" s="20">
        <v>3</v>
      </c>
      <c r="L26" s="20">
        <v>1</v>
      </c>
      <c r="M26" s="357">
        <f>H26</f>
        <v>9001.23</v>
      </c>
      <c r="N26" s="411">
        <f>IFERROR((M26/(VLOOKUP(B26,'Data Pull Sheet'!$C:$H,6,FALSE))),"DC")</f>
        <v>1.0844855421686747E-4</v>
      </c>
      <c r="O26" s="23" t="s">
        <v>597</v>
      </c>
      <c r="P26" s="92" t="s">
        <v>632</v>
      </c>
      <c r="Q26" s="92" t="s">
        <v>637</v>
      </c>
      <c r="R26" s="372" t="str">
        <f t="shared" si="0"/>
        <v/>
      </c>
    </row>
    <row r="27" spans="1:18" ht="45" x14ac:dyDescent="0.25">
      <c r="A27" s="23" t="s">
        <v>3685</v>
      </c>
      <c r="B27" s="18" t="str">
        <f>IF(ISNA(VLOOKUP($A27,'Data Pull Sheet'!$B$2:$C$1795,2,0)),"",(VLOOKUP($A27,'Data Pull Sheet'!$B$2:$C$1795,2,0)))</f>
        <v>TCPIF</v>
      </c>
      <c r="C27" s="59" t="s">
        <v>496</v>
      </c>
      <c r="D27" s="356" t="s">
        <v>1286</v>
      </c>
      <c r="E27" s="356" t="s">
        <v>423</v>
      </c>
      <c r="F27" s="23" t="s">
        <v>3688</v>
      </c>
      <c r="G27" s="23" t="s">
        <v>403</v>
      </c>
      <c r="H27" s="353">
        <v>2399</v>
      </c>
      <c r="I27" s="59"/>
      <c r="J27" s="59" t="s">
        <v>3689</v>
      </c>
      <c r="K27" s="20"/>
      <c r="L27" s="20">
        <v>3</v>
      </c>
      <c r="M27" s="357">
        <f>SUM(H27:H29)</f>
        <v>12474</v>
      </c>
      <c r="N27" s="411">
        <f>IFERROR((M27/(VLOOKUP(B27,'Data Pull Sheet'!$C:$H,6,FALSE))),"DC")</f>
        <v>1.5028915662650602E-4</v>
      </c>
      <c r="O27" s="23" t="s">
        <v>1086</v>
      </c>
      <c r="P27" s="92" t="s">
        <v>632</v>
      </c>
      <c r="Q27" s="92" t="s">
        <v>646</v>
      </c>
      <c r="R27" s="372" t="str">
        <f t="shared" si="0"/>
        <v/>
      </c>
    </row>
    <row r="28" spans="1:18" x14ac:dyDescent="0.25">
      <c r="A28" s="23" t="s">
        <v>3685</v>
      </c>
      <c r="B28" s="18" t="str">
        <f>IF(ISNA(VLOOKUP($A28,'Data Pull Sheet'!$B$2:$C$1795,2,0)),"",(VLOOKUP($A28,'Data Pull Sheet'!$B$2:$C$1795,2,0)))</f>
        <v>TCPIF</v>
      </c>
      <c r="C28" s="59" t="s">
        <v>496</v>
      </c>
      <c r="D28" s="356" t="s">
        <v>1286</v>
      </c>
      <c r="E28" s="356" t="s">
        <v>423</v>
      </c>
      <c r="F28" s="23" t="s">
        <v>3690</v>
      </c>
      <c r="G28" s="23" t="s">
        <v>403</v>
      </c>
      <c r="H28" s="353">
        <v>3289</v>
      </c>
      <c r="I28" s="59"/>
      <c r="J28" s="59" t="s">
        <v>3691</v>
      </c>
      <c r="K28" s="20"/>
      <c r="L28" s="20"/>
      <c r="M28" s="357"/>
      <c r="N28" s="411"/>
      <c r="O28" s="23" t="s">
        <v>1086</v>
      </c>
      <c r="P28" s="92" t="s">
        <v>632</v>
      </c>
      <c r="Q28" s="92" t="s">
        <v>646</v>
      </c>
      <c r="R28" s="372" t="str">
        <f t="shared" si="0"/>
        <v/>
      </c>
    </row>
    <row r="29" spans="1:18" x14ac:dyDescent="0.25">
      <c r="A29" s="23" t="s">
        <v>3685</v>
      </c>
      <c r="B29" s="18" t="str">
        <f>IF(ISNA(VLOOKUP($A29,'Data Pull Sheet'!$B$2:$C$1795,2,0)),"",(VLOOKUP($A29,'Data Pull Sheet'!$B$2:$C$1795,2,0)))</f>
        <v>TCPIF</v>
      </c>
      <c r="C29" s="59" t="s">
        <v>496</v>
      </c>
      <c r="D29" s="356" t="s">
        <v>1286</v>
      </c>
      <c r="E29" s="356" t="s">
        <v>423</v>
      </c>
      <c r="F29" s="23" t="s">
        <v>3692</v>
      </c>
      <c r="G29" s="23" t="s">
        <v>403</v>
      </c>
      <c r="H29" s="353">
        <v>6786</v>
      </c>
      <c r="I29" s="59"/>
      <c r="J29" s="59" t="s">
        <v>3693</v>
      </c>
      <c r="K29" s="20"/>
      <c r="L29" s="20"/>
      <c r="M29" s="357"/>
      <c r="N29" s="411"/>
      <c r="O29" s="23" t="s">
        <v>1086</v>
      </c>
      <c r="P29" s="92" t="s">
        <v>632</v>
      </c>
      <c r="Q29" s="92" t="s">
        <v>646</v>
      </c>
      <c r="R29" s="372" t="str">
        <f t="shared" si="0"/>
        <v/>
      </c>
    </row>
    <row r="30" spans="1:18" x14ac:dyDescent="0.25">
      <c r="A30" s="23" t="s">
        <v>3685</v>
      </c>
      <c r="B30" s="18" t="str">
        <f>IF(ISNA(VLOOKUP($A30,'Data Pull Sheet'!$B$2:$C$1795,2,0)),"",(VLOOKUP($A30,'Data Pull Sheet'!$B$2:$C$1795,2,0)))</f>
        <v>TCPIF</v>
      </c>
      <c r="C30" s="59" t="s">
        <v>496</v>
      </c>
      <c r="D30" s="356" t="s">
        <v>1286</v>
      </c>
      <c r="E30" s="356" t="s">
        <v>423</v>
      </c>
      <c r="F30" s="23" t="s">
        <v>3694</v>
      </c>
      <c r="G30" s="23" t="s">
        <v>403</v>
      </c>
      <c r="H30" s="353">
        <v>9118</v>
      </c>
      <c r="I30" s="59"/>
      <c r="J30" s="59" t="s">
        <v>3695</v>
      </c>
      <c r="K30" s="20"/>
      <c r="L30" s="20">
        <v>1</v>
      </c>
      <c r="M30" s="357">
        <f>H30</f>
        <v>9118</v>
      </c>
      <c r="N30" s="411">
        <f>IFERROR((M30/(VLOOKUP(B30,'Data Pull Sheet'!$C:$H,6,FALSE))),"DC")</f>
        <v>1.0985542168674699E-4</v>
      </c>
      <c r="O30" s="23" t="s">
        <v>1086</v>
      </c>
      <c r="P30" s="92" t="s">
        <v>632</v>
      </c>
      <c r="Q30" s="92" t="s">
        <v>646</v>
      </c>
      <c r="R30" s="372" t="str">
        <f t="shared" si="0"/>
        <v/>
      </c>
    </row>
    <row r="31" spans="1:18" x14ac:dyDescent="0.25">
      <c r="A31" s="23" t="s">
        <v>366</v>
      </c>
      <c r="B31" s="18" t="str">
        <f>IF(ISNA(VLOOKUP($A31,'Data Pull Sheet'!$B$2:$C$1795,2,0)),"",(VLOOKUP($A31,'Data Pull Sheet'!$B$2:$C$1795,2,0)))</f>
        <v>EROS</v>
      </c>
      <c r="C31" s="59" t="s">
        <v>418</v>
      </c>
      <c r="D31" s="356" t="s">
        <v>606</v>
      </c>
      <c r="E31" s="356" t="s">
        <v>607</v>
      </c>
      <c r="F31" s="23" t="s">
        <v>365</v>
      </c>
      <c r="G31" s="23" t="s">
        <v>417</v>
      </c>
      <c r="H31" s="353">
        <v>165837.10999999999</v>
      </c>
      <c r="I31" s="59"/>
      <c r="J31" s="59" t="s">
        <v>1771</v>
      </c>
      <c r="K31" s="20">
        <v>6</v>
      </c>
      <c r="L31" s="20">
        <v>1</v>
      </c>
      <c r="M31" s="357">
        <f>H31</f>
        <v>165837.10999999999</v>
      </c>
      <c r="N31" s="411">
        <f>IFERROR((M31/(VLOOKUP(B31,'Data Pull Sheet'!$C:$H,6,FALSE))),"DC")</f>
        <v>9.2131727777777766E-3</v>
      </c>
      <c r="O31" s="23" t="s">
        <v>1</v>
      </c>
      <c r="P31" s="92" t="s">
        <v>632</v>
      </c>
      <c r="Q31" s="92" t="s">
        <v>633</v>
      </c>
      <c r="R31" s="372" t="str">
        <f t="shared" si="0"/>
        <v>FF</v>
      </c>
    </row>
    <row r="32" spans="1:18" x14ac:dyDescent="0.25">
      <c r="A32" s="23" t="s">
        <v>366</v>
      </c>
      <c r="B32" s="18" t="str">
        <f>IF(ISNA(VLOOKUP($A32,'Data Pull Sheet'!$B$2:$C$1795,2,0)),"",(VLOOKUP($A32,'Data Pull Sheet'!$B$2:$C$1795,2,0)))</f>
        <v>EROS</v>
      </c>
      <c r="C32" s="59" t="s">
        <v>418</v>
      </c>
      <c r="D32" s="356" t="s">
        <v>606</v>
      </c>
      <c r="E32" s="356" t="s">
        <v>607</v>
      </c>
      <c r="F32" s="23" t="s">
        <v>1772</v>
      </c>
      <c r="G32" s="23" t="s">
        <v>403</v>
      </c>
      <c r="H32" s="353">
        <v>129610.69</v>
      </c>
      <c r="I32" s="59"/>
      <c r="J32" s="59" t="s">
        <v>1773</v>
      </c>
      <c r="K32" s="20"/>
      <c r="L32" s="20">
        <v>2</v>
      </c>
      <c r="M32" s="357">
        <f>SUM(H32:H33)</f>
        <v>368516.87</v>
      </c>
      <c r="N32" s="411">
        <f>IFERROR((M32/(VLOOKUP(B32,'Data Pull Sheet'!$C:$H,6,FALSE))),"DC")</f>
        <v>2.0473159444444444E-2</v>
      </c>
      <c r="O32" s="23" t="s">
        <v>597</v>
      </c>
      <c r="P32" s="92" t="s">
        <v>632</v>
      </c>
      <c r="Q32" s="92" t="s">
        <v>646</v>
      </c>
      <c r="R32" s="372" t="str">
        <f t="shared" si="0"/>
        <v/>
      </c>
    </row>
    <row r="33" spans="1:18" x14ac:dyDescent="0.25">
      <c r="A33" s="23" t="s">
        <v>366</v>
      </c>
      <c r="B33" s="18" t="str">
        <f>IF(ISNA(VLOOKUP($A33,'Data Pull Sheet'!$B$2:$C$1795,2,0)),"",(VLOOKUP($A33,'Data Pull Sheet'!$B$2:$C$1795,2,0)))</f>
        <v>EROS</v>
      </c>
      <c r="C33" s="59" t="s">
        <v>418</v>
      </c>
      <c r="D33" s="356" t="s">
        <v>606</v>
      </c>
      <c r="E33" s="356" t="s">
        <v>607</v>
      </c>
      <c r="F33" s="23" t="s">
        <v>1774</v>
      </c>
      <c r="G33" s="23" t="s">
        <v>403</v>
      </c>
      <c r="H33" s="353">
        <v>238906.18</v>
      </c>
      <c r="I33" s="59"/>
      <c r="J33" s="59" t="s">
        <v>1775</v>
      </c>
      <c r="K33" s="20"/>
      <c r="L33" s="20"/>
      <c r="M33" s="357"/>
      <c r="N33" s="411"/>
      <c r="O33" s="23" t="s">
        <v>597</v>
      </c>
      <c r="P33" s="92" t="s">
        <v>632</v>
      </c>
      <c r="Q33" s="92" t="s">
        <v>646</v>
      </c>
      <c r="R33" s="372" t="str">
        <f t="shared" si="0"/>
        <v/>
      </c>
    </row>
    <row r="34" spans="1:18" x14ac:dyDescent="0.25">
      <c r="A34" s="23" t="s">
        <v>366</v>
      </c>
      <c r="B34" s="18" t="str">
        <f>IF(ISNA(VLOOKUP($A34,'Data Pull Sheet'!$B$2:$C$1795,2,0)),"",(VLOOKUP($A34,'Data Pull Sheet'!$B$2:$C$1795,2,0)))</f>
        <v>EROS</v>
      </c>
      <c r="C34" s="59" t="s">
        <v>418</v>
      </c>
      <c r="D34" s="356" t="s">
        <v>606</v>
      </c>
      <c r="E34" s="356" t="s">
        <v>607</v>
      </c>
      <c r="F34" s="23" t="s">
        <v>1776</v>
      </c>
      <c r="G34" s="23" t="s">
        <v>403</v>
      </c>
      <c r="H34" s="353">
        <v>117661</v>
      </c>
      <c r="I34" s="59" t="s">
        <v>406</v>
      </c>
      <c r="J34" s="59" t="s">
        <v>1777</v>
      </c>
      <c r="K34" s="20"/>
      <c r="L34" s="20">
        <v>1</v>
      </c>
      <c r="M34" s="357">
        <f>SUM(H34)</f>
        <v>117661</v>
      </c>
      <c r="N34" s="411">
        <f>IFERROR((M34/(VLOOKUP(B34,'Data Pull Sheet'!$C:$H,6,FALSE))),"DC")</f>
        <v>6.5367222222222224E-3</v>
      </c>
      <c r="O34" s="23" t="s">
        <v>309</v>
      </c>
      <c r="P34" s="92" t="s">
        <v>632</v>
      </c>
      <c r="Q34" s="92" t="s">
        <v>637</v>
      </c>
      <c r="R34" s="372" t="str">
        <f t="shared" si="0"/>
        <v/>
      </c>
    </row>
    <row r="35" spans="1:18" x14ac:dyDescent="0.25">
      <c r="A35" s="23" t="s">
        <v>366</v>
      </c>
      <c r="B35" s="18" t="str">
        <f>IF(ISNA(VLOOKUP($A35,'Data Pull Sheet'!$B$2:$C$1795,2,0)),"",(VLOOKUP($A35,'Data Pull Sheet'!$B$2:$C$1795,2,0)))</f>
        <v>EROS</v>
      </c>
      <c r="C35" s="59" t="s">
        <v>418</v>
      </c>
      <c r="D35" s="356" t="s">
        <v>606</v>
      </c>
      <c r="E35" s="356" t="s">
        <v>607</v>
      </c>
      <c r="F35" s="23" t="s">
        <v>1778</v>
      </c>
      <c r="G35" s="23" t="s">
        <v>403</v>
      </c>
      <c r="H35" s="353">
        <v>632986.98</v>
      </c>
      <c r="I35" s="59" t="s">
        <v>406</v>
      </c>
      <c r="J35" s="59" t="s">
        <v>1779</v>
      </c>
      <c r="K35" s="20"/>
      <c r="L35" s="20">
        <v>2</v>
      </c>
      <c r="M35" s="357">
        <f>SUM(H35:H36)</f>
        <v>1304985.3500000001</v>
      </c>
      <c r="N35" s="411">
        <f>IFERROR((M35/(VLOOKUP(B35,'Data Pull Sheet'!$C:$H,6,FALSE))),"DC")</f>
        <v>7.2499186111111114E-2</v>
      </c>
      <c r="O35" s="23" t="s">
        <v>56</v>
      </c>
      <c r="P35" s="92" t="s">
        <v>632</v>
      </c>
      <c r="Q35" s="92" t="s">
        <v>646</v>
      </c>
      <c r="R35" s="372" t="str">
        <f t="shared" si="0"/>
        <v/>
      </c>
    </row>
    <row r="36" spans="1:18" x14ac:dyDescent="0.25">
      <c r="A36" s="23" t="s">
        <v>366</v>
      </c>
      <c r="B36" s="18" t="str">
        <f>IF(ISNA(VLOOKUP($A36,'Data Pull Sheet'!$B$2:$C$1795,2,0)),"",(VLOOKUP($A36,'Data Pull Sheet'!$B$2:$C$1795,2,0)))</f>
        <v>EROS</v>
      </c>
      <c r="C36" s="59" t="s">
        <v>418</v>
      </c>
      <c r="D36" s="356" t="s">
        <v>606</v>
      </c>
      <c r="E36" s="356" t="s">
        <v>607</v>
      </c>
      <c r="F36" s="23" t="s">
        <v>1780</v>
      </c>
      <c r="G36" s="23" t="s">
        <v>403</v>
      </c>
      <c r="H36" s="353">
        <v>671998.37</v>
      </c>
      <c r="I36" s="59" t="s">
        <v>406</v>
      </c>
      <c r="J36" s="59" t="s">
        <v>1781</v>
      </c>
      <c r="K36" s="20"/>
      <c r="L36" s="20"/>
      <c r="M36" s="357"/>
      <c r="N36" s="411"/>
      <c r="O36" s="23" t="s">
        <v>56</v>
      </c>
      <c r="P36" s="92" t="s">
        <v>632</v>
      </c>
      <c r="Q36" s="92" t="s">
        <v>646</v>
      </c>
      <c r="R36" s="372" t="str">
        <f t="shared" si="0"/>
        <v/>
      </c>
    </row>
    <row r="37" spans="1:18" ht="30" x14ac:dyDescent="0.25">
      <c r="A37" s="23" t="s">
        <v>366</v>
      </c>
      <c r="B37" s="18" t="str">
        <f>IF(ISNA(VLOOKUP($A37,'Data Pull Sheet'!$B$2:$C$1795,2,0)),"",(VLOOKUP($A37,'Data Pull Sheet'!$B$2:$C$1795,2,0)))</f>
        <v>EROS</v>
      </c>
      <c r="C37" s="59" t="s">
        <v>418</v>
      </c>
      <c r="D37" s="356" t="s">
        <v>606</v>
      </c>
      <c r="E37" s="356" t="s">
        <v>607</v>
      </c>
      <c r="F37" s="23" t="s">
        <v>1782</v>
      </c>
      <c r="G37" s="23" t="s">
        <v>417</v>
      </c>
      <c r="H37" s="353">
        <v>721033.63</v>
      </c>
      <c r="I37" s="59"/>
      <c r="J37" s="59" t="s">
        <v>1783</v>
      </c>
      <c r="K37" s="20"/>
      <c r="L37" s="20">
        <v>1</v>
      </c>
      <c r="M37" s="357">
        <f>H37</f>
        <v>721033.63</v>
      </c>
      <c r="N37" s="411">
        <f>IFERROR((M37/(VLOOKUP(B37,'Data Pull Sheet'!$C:$H,6,FALSE))),"DC")</f>
        <v>4.0057423888888888E-2</v>
      </c>
      <c r="O37" s="23" t="s">
        <v>10823</v>
      </c>
      <c r="P37" s="92" t="s">
        <v>632</v>
      </c>
      <c r="Q37" s="92" t="s">
        <v>633</v>
      </c>
      <c r="R37" s="372" t="str">
        <f t="shared" si="0"/>
        <v>FF</v>
      </c>
    </row>
    <row r="38" spans="1:18" x14ac:dyDescent="0.25">
      <c r="A38" s="23" t="s">
        <v>366</v>
      </c>
      <c r="B38" s="18" t="str">
        <f>IF(ISNA(VLOOKUP($A38,'Data Pull Sheet'!$B$2:$C$1795,2,0)),"",(VLOOKUP($A38,'Data Pull Sheet'!$B$2:$C$1795,2,0)))</f>
        <v>EROS</v>
      </c>
      <c r="C38" s="59" t="s">
        <v>418</v>
      </c>
      <c r="D38" s="356" t="s">
        <v>606</v>
      </c>
      <c r="E38" s="356" t="s">
        <v>607</v>
      </c>
      <c r="F38" s="23" t="s">
        <v>1784</v>
      </c>
      <c r="G38" s="23" t="s">
        <v>403</v>
      </c>
      <c r="H38" s="353">
        <v>3393877.05</v>
      </c>
      <c r="I38" s="59"/>
      <c r="J38" s="59" t="s">
        <v>1785</v>
      </c>
      <c r="K38" s="20"/>
      <c r="L38" s="20">
        <v>1</v>
      </c>
      <c r="M38" s="357">
        <f>H38</f>
        <v>3393877.05</v>
      </c>
      <c r="N38" s="411">
        <f>IFERROR((M38/(VLOOKUP(B38,'Data Pull Sheet'!$C:$H,6,FALSE))),"DC")</f>
        <v>0.188548725</v>
      </c>
      <c r="O38" s="23" t="s">
        <v>682</v>
      </c>
      <c r="P38" s="92" t="s">
        <v>632</v>
      </c>
      <c r="Q38" s="92" t="s">
        <v>637</v>
      </c>
      <c r="R38" s="372" t="str">
        <f t="shared" si="0"/>
        <v/>
      </c>
    </row>
    <row r="39" spans="1:18" x14ac:dyDescent="0.25">
      <c r="A39" s="23" t="s">
        <v>3545</v>
      </c>
      <c r="B39" s="18" t="str">
        <f>IF(ISNA(VLOOKUP($A39,'Data Pull Sheet'!$B$2:$C$1795,2,0)),"",(VLOOKUP($A39,'Data Pull Sheet'!$B$2:$C$1795,2,0)))</f>
        <v>STRP</v>
      </c>
      <c r="C39" s="59" t="s">
        <v>424</v>
      </c>
      <c r="D39" s="356" t="s">
        <v>606</v>
      </c>
      <c r="E39" s="356" t="s">
        <v>607</v>
      </c>
      <c r="F39" s="23" t="s">
        <v>3550</v>
      </c>
      <c r="G39" s="23" t="s">
        <v>403</v>
      </c>
      <c r="H39" s="353">
        <v>105550</v>
      </c>
      <c r="I39" s="59"/>
      <c r="J39" s="59" t="s">
        <v>3551</v>
      </c>
      <c r="K39" s="20">
        <v>4</v>
      </c>
      <c r="L39" s="20">
        <v>1</v>
      </c>
      <c r="M39" s="357">
        <f>H39</f>
        <v>105550</v>
      </c>
      <c r="N39" s="411">
        <f>IFERROR((M39/(VLOOKUP(B39,'Data Pull Sheet'!$C:$H,6,FALSE))),"DC")</f>
        <v>8.1192307692307694E-4</v>
      </c>
      <c r="O39" s="23" t="s">
        <v>2657</v>
      </c>
      <c r="P39" s="92" t="s">
        <v>632</v>
      </c>
      <c r="Q39" s="92" t="s">
        <v>637</v>
      </c>
      <c r="R39" s="372" t="str">
        <f t="shared" si="0"/>
        <v/>
      </c>
    </row>
    <row r="40" spans="1:18" ht="30" x14ac:dyDescent="0.25">
      <c r="A40" s="23" t="s">
        <v>3545</v>
      </c>
      <c r="B40" s="18" t="str">
        <f>IF(ISNA(VLOOKUP($A40,'Data Pull Sheet'!$B$2:$C$1795,2,0)),"",(VLOOKUP($A40,'Data Pull Sheet'!$B$2:$C$1795,2,0)))</f>
        <v>STRP</v>
      </c>
      <c r="C40" s="59" t="s">
        <v>424</v>
      </c>
      <c r="D40" s="356" t="s">
        <v>606</v>
      </c>
      <c r="E40" s="356" t="s">
        <v>607</v>
      </c>
      <c r="F40" s="23" t="s">
        <v>3552</v>
      </c>
      <c r="G40" s="23" t="s">
        <v>403</v>
      </c>
      <c r="H40" s="353">
        <v>3816131.82</v>
      </c>
      <c r="I40" s="59"/>
      <c r="J40" s="59" t="s">
        <v>3553</v>
      </c>
      <c r="K40" s="20"/>
      <c r="L40" s="20">
        <v>1</v>
      </c>
      <c r="M40" s="357">
        <f>H40</f>
        <v>3816131.82</v>
      </c>
      <c r="N40" s="411">
        <f>IFERROR((M40/(VLOOKUP(B40,'Data Pull Sheet'!$C:$H,6,FALSE))),"DC")</f>
        <v>2.9354860153846151E-2</v>
      </c>
      <c r="O40" s="23" t="s">
        <v>3554</v>
      </c>
      <c r="P40" s="92" t="s">
        <v>632</v>
      </c>
      <c r="Q40" s="92" t="s">
        <v>637</v>
      </c>
      <c r="R40" s="372" t="str">
        <f t="shared" si="0"/>
        <v/>
      </c>
    </row>
    <row r="41" spans="1:18" x14ac:dyDescent="0.25">
      <c r="A41" s="23" t="s">
        <v>3545</v>
      </c>
      <c r="B41" s="18" t="str">
        <f>IF(ISNA(VLOOKUP($A41,'Data Pull Sheet'!$B$2:$C$1795,2,0)),"",(VLOOKUP($A41,'Data Pull Sheet'!$B$2:$C$1795,2,0)))</f>
        <v>STRP</v>
      </c>
      <c r="C41" s="59" t="s">
        <v>424</v>
      </c>
      <c r="D41" s="356" t="s">
        <v>606</v>
      </c>
      <c r="E41" s="356" t="s">
        <v>607</v>
      </c>
      <c r="F41" s="23" t="s">
        <v>3555</v>
      </c>
      <c r="G41" s="23" t="s">
        <v>403</v>
      </c>
      <c r="H41" s="353">
        <v>293541.74</v>
      </c>
      <c r="I41" s="59" t="s">
        <v>442</v>
      </c>
      <c r="J41" s="59" t="s">
        <v>3556</v>
      </c>
      <c r="K41" s="20"/>
      <c r="L41" s="20">
        <v>1</v>
      </c>
      <c r="M41" s="357">
        <f>H41</f>
        <v>293541.74</v>
      </c>
      <c r="N41" s="411">
        <f>IFERROR((M41/(VLOOKUP(B41,'Data Pull Sheet'!$C:$H,6,FALSE))),"DC")</f>
        <v>2.2580133846153844E-3</v>
      </c>
      <c r="O41" s="23" t="s">
        <v>10806</v>
      </c>
      <c r="P41" s="92" t="s">
        <v>632</v>
      </c>
      <c r="Q41" s="92" t="s">
        <v>637</v>
      </c>
      <c r="R41" s="372" t="str">
        <f t="shared" si="0"/>
        <v/>
      </c>
    </row>
    <row r="42" spans="1:18" x14ac:dyDescent="0.25">
      <c r="A42" s="23" t="s">
        <v>3545</v>
      </c>
      <c r="B42" s="18" t="str">
        <f>IF(ISNA(VLOOKUP($A42,'Data Pull Sheet'!$B$2:$C$1795,2,0)),"",(VLOOKUP($A42,'Data Pull Sheet'!$B$2:$C$1795,2,0)))</f>
        <v>STRP</v>
      </c>
      <c r="C42" s="59" t="s">
        <v>424</v>
      </c>
      <c r="D42" s="356" t="s">
        <v>606</v>
      </c>
      <c r="E42" s="356" t="s">
        <v>607</v>
      </c>
      <c r="F42" s="23" t="s">
        <v>3546</v>
      </c>
      <c r="G42" s="23" t="s">
        <v>403</v>
      </c>
      <c r="H42" s="353">
        <v>7123.5</v>
      </c>
      <c r="I42" s="59"/>
      <c r="J42" s="365" t="s">
        <v>6711</v>
      </c>
      <c r="K42" s="20"/>
      <c r="L42" s="20">
        <v>4</v>
      </c>
      <c r="M42" s="357">
        <f>SUM(H42:H45)</f>
        <v>84409.53</v>
      </c>
      <c r="N42" s="411">
        <f>IFERROR((M42/(VLOOKUP(B42,'Data Pull Sheet'!$C:$H,6,FALSE))),"DC")</f>
        <v>6.4930407692307692E-4</v>
      </c>
      <c r="O42" s="23" t="s">
        <v>1617</v>
      </c>
      <c r="P42" s="92" t="s">
        <v>632</v>
      </c>
      <c r="Q42" s="92" t="s">
        <v>646</v>
      </c>
      <c r="R42" s="372" t="str">
        <f t="shared" si="0"/>
        <v/>
      </c>
    </row>
    <row r="43" spans="1:18" x14ac:dyDescent="0.25">
      <c r="A43" s="23" t="s">
        <v>3545</v>
      </c>
      <c r="B43" s="18" t="str">
        <f>IF(ISNA(VLOOKUP($A43,'Data Pull Sheet'!$B$2:$C$1795,2,0)),"",(VLOOKUP($A43,'Data Pull Sheet'!$B$2:$C$1795,2,0)))</f>
        <v>STRP</v>
      </c>
      <c r="C43" s="59" t="s">
        <v>424</v>
      </c>
      <c r="D43" s="356" t="s">
        <v>606</v>
      </c>
      <c r="E43" s="356" t="s">
        <v>607</v>
      </c>
      <c r="F43" s="23" t="s">
        <v>3547</v>
      </c>
      <c r="G43" s="23" t="s">
        <v>403</v>
      </c>
      <c r="H43" s="353">
        <v>15883.8</v>
      </c>
      <c r="I43" s="59"/>
      <c r="J43" s="365" t="s">
        <v>6712</v>
      </c>
      <c r="K43" s="20"/>
      <c r="L43" s="20"/>
      <c r="M43" s="357"/>
      <c r="N43" s="411"/>
      <c r="O43" s="23" t="s">
        <v>1617</v>
      </c>
      <c r="P43" s="92" t="s">
        <v>632</v>
      </c>
      <c r="Q43" s="92" t="s">
        <v>646</v>
      </c>
      <c r="R43" s="372" t="str">
        <f t="shared" si="0"/>
        <v/>
      </c>
    </row>
    <row r="44" spans="1:18" x14ac:dyDescent="0.25">
      <c r="A44" s="23" t="s">
        <v>3545</v>
      </c>
      <c r="B44" s="18" t="str">
        <f>IF(ISNA(VLOOKUP($A44,'Data Pull Sheet'!$B$2:$C$1795,2,0)),"",(VLOOKUP($A44,'Data Pull Sheet'!$B$2:$C$1795,2,0)))</f>
        <v>STRP</v>
      </c>
      <c r="C44" s="59" t="s">
        <v>424</v>
      </c>
      <c r="D44" s="356" t="s">
        <v>606</v>
      </c>
      <c r="E44" s="356" t="s">
        <v>607</v>
      </c>
      <c r="F44" s="23" t="s">
        <v>3548</v>
      </c>
      <c r="G44" s="23" t="s">
        <v>403</v>
      </c>
      <c r="H44" s="353">
        <v>28830.26</v>
      </c>
      <c r="I44" s="59"/>
      <c r="J44" s="365" t="s">
        <v>6713</v>
      </c>
      <c r="K44" s="20"/>
      <c r="L44" s="20"/>
      <c r="M44" s="357"/>
      <c r="N44" s="411"/>
      <c r="O44" s="23" t="s">
        <v>1617</v>
      </c>
      <c r="P44" s="92" t="s">
        <v>632</v>
      </c>
      <c r="Q44" s="92" t="s">
        <v>646</v>
      </c>
      <c r="R44" s="372" t="str">
        <f t="shared" si="0"/>
        <v/>
      </c>
    </row>
    <row r="45" spans="1:18" x14ac:dyDescent="0.25">
      <c r="A45" s="23" t="s">
        <v>3545</v>
      </c>
      <c r="B45" s="18" t="str">
        <f>IF(ISNA(VLOOKUP($A45,'Data Pull Sheet'!$B$2:$C$1795,2,0)),"",(VLOOKUP($A45,'Data Pull Sheet'!$B$2:$C$1795,2,0)))</f>
        <v>STRP</v>
      </c>
      <c r="C45" s="59" t="s">
        <v>424</v>
      </c>
      <c r="D45" s="356" t="s">
        <v>606</v>
      </c>
      <c r="E45" s="356" t="s">
        <v>607</v>
      </c>
      <c r="F45" s="23" t="s">
        <v>3549</v>
      </c>
      <c r="G45" s="23" t="s">
        <v>403</v>
      </c>
      <c r="H45" s="353">
        <v>32571.97</v>
      </c>
      <c r="I45" s="59"/>
      <c r="J45" s="365" t="s">
        <v>6714</v>
      </c>
      <c r="K45" s="20"/>
      <c r="L45" s="20"/>
      <c r="M45" s="357"/>
      <c r="N45" s="411"/>
      <c r="O45" s="23" t="s">
        <v>1617</v>
      </c>
      <c r="P45" s="92" t="s">
        <v>632</v>
      </c>
      <c r="Q45" s="92" t="s">
        <v>646</v>
      </c>
      <c r="R45" s="372" t="str">
        <f t="shared" si="0"/>
        <v/>
      </c>
    </row>
    <row r="46" spans="1:18" x14ac:dyDescent="0.25">
      <c r="A46" s="23" t="s">
        <v>1076</v>
      </c>
      <c r="B46" s="18" t="str">
        <f>IF(ISNA(VLOOKUP($A46,'Data Pull Sheet'!$B$2:$C$1795,2,0)),"",(VLOOKUP($A46,'Data Pull Sheet'!$B$2:$C$1795,2,0)))</f>
        <v>CPST</v>
      </c>
      <c r="C46" s="59" t="s">
        <v>446</v>
      </c>
      <c r="D46" s="356" t="s">
        <v>1077</v>
      </c>
      <c r="E46" s="356" t="s">
        <v>1078</v>
      </c>
      <c r="F46" s="23" t="s">
        <v>1079</v>
      </c>
      <c r="G46" s="23" t="s">
        <v>403</v>
      </c>
      <c r="H46" s="353">
        <v>184708.02</v>
      </c>
      <c r="I46" s="59" t="s">
        <v>413</v>
      </c>
      <c r="J46" s="59" t="s">
        <v>1080</v>
      </c>
      <c r="K46" s="20">
        <v>4</v>
      </c>
      <c r="L46" s="20">
        <v>1</v>
      </c>
      <c r="M46" s="357">
        <f>H46</f>
        <v>184708.02</v>
      </c>
      <c r="N46" s="411">
        <f>IFERROR((M46/(VLOOKUP(B46,'Data Pull Sheet'!$C:$H,6,FALSE))),"DC")</f>
        <v>4.8607373684210527E-3</v>
      </c>
      <c r="O46" s="23" t="s">
        <v>1081</v>
      </c>
      <c r="P46" s="92" t="s">
        <v>632</v>
      </c>
      <c r="Q46" s="92" t="s">
        <v>637</v>
      </c>
      <c r="R46" s="372" t="str">
        <f t="shared" si="0"/>
        <v/>
      </c>
    </row>
    <row r="47" spans="1:18" x14ac:dyDescent="0.25">
      <c r="A47" s="23" t="s">
        <v>1076</v>
      </c>
      <c r="B47" s="18" t="str">
        <f>IF(ISNA(VLOOKUP($A47,'Data Pull Sheet'!$B$2:$C$1795,2,0)),"",(VLOOKUP($A47,'Data Pull Sheet'!$B$2:$C$1795,2,0)))</f>
        <v>CPST</v>
      </c>
      <c r="C47" s="59" t="s">
        <v>446</v>
      </c>
      <c r="D47" s="356" t="s">
        <v>1077</v>
      </c>
      <c r="E47" s="356" t="s">
        <v>1078</v>
      </c>
      <c r="F47" s="23" t="s">
        <v>10431</v>
      </c>
      <c r="G47" s="23" t="s">
        <v>403</v>
      </c>
      <c r="H47" s="353">
        <v>789293.15</v>
      </c>
      <c r="I47" s="59" t="s">
        <v>406</v>
      </c>
      <c r="J47" s="59" t="s">
        <v>10432</v>
      </c>
      <c r="K47" s="20"/>
      <c r="L47" s="20">
        <v>1</v>
      </c>
      <c r="M47" s="357">
        <f>+H47</f>
        <v>789293.15</v>
      </c>
      <c r="N47" s="411">
        <f>IFERROR((M47/(VLOOKUP(B47,'Data Pull Sheet'!$C:$H,6,FALSE))),"DC")</f>
        <v>2.0770872368421053E-2</v>
      </c>
      <c r="O47" s="23" t="s">
        <v>597</v>
      </c>
      <c r="P47" s="92" t="s">
        <v>632</v>
      </c>
      <c r="Q47" s="92" t="s">
        <v>637</v>
      </c>
      <c r="R47" s="372" t="str">
        <f t="shared" si="0"/>
        <v/>
      </c>
    </row>
    <row r="48" spans="1:18" x14ac:dyDescent="0.25">
      <c r="A48" s="23" t="s">
        <v>1076</v>
      </c>
      <c r="B48" s="18" t="str">
        <f>IF(ISNA(VLOOKUP($A48,'Data Pull Sheet'!$B$2:$C$1795,2,0)),"",(VLOOKUP($A48,'Data Pull Sheet'!$B$2:$C$1795,2,0)))</f>
        <v>CPST</v>
      </c>
      <c r="C48" s="59" t="s">
        <v>446</v>
      </c>
      <c r="D48" s="356" t="s">
        <v>1077</v>
      </c>
      <c r="E48" s="356" t="s">
        <v>1078</v>
      </c>
      <c r="F48" s="23" t="s">
        <v>1084</v>
      </c>
      <c r="G48" s="23" t="s">
        <v>403</v>
      </c>
      <c r="H48" s="353">
        <v>78290</v>
      </c>
      <c r="I48" s="59" t="s">
        <v>413</v>
      </c>
      <c r="J48" s="59" t="s">
        <v>1085</v>
      </c>
      <c r="K48" s="20"/>
      <c r="L48" s="20">
        <v>4</v>
      </c>
      <c r="M48" s="357">
        <f>SUM(H48:H51)</f>
        <v>1777534</v>
      </c>
      <c r="N48" s="411">
        <f>IFERROR((M48/(VLOOKUP(B48,'Data Pull Sheet'!$C:$H,6,FALSE))),"DC")</f>
        <v>4.6777210526315789E-2</v>
      </c>
      <c r="O48" s="23" t="s">
        <v>1086</v>
      </c>
      <c r="P48" s="92" t="s">
        <v>632</v>
      </c>
      <c r="Q48" s="92" t="s">
        <v>646</v>
      </c>
      <c r="R48" s="372" t="str">
        <f t="shared" si="0"/>
        <v/>
      </c>
    </row>
    <row r="49" spans="1:18" x14ac:dyDescent="0.25">
      <c r="A49" s="23" t="s">
        <v>1076</v>
      </c>
      <c r="B49" s="18" t="str">
        <f>IF(ISNA(VLOOKUP($A49,'Data Pull Sheet'!$B$2:$C$1795,2,0)),"",(VLOOKUP($A49,'Data Pull Sheet'!$B$2:$C$1795,2,0)))</f>
        <v>CPST</v>
      </c>
      <c r="C49" s="59" t="s">
        <v>446</v>
      </c>
      <c r="D49" s="356" t="s">
        <v>1077</v>
      </c>
      <c r="E49" s="356" t="s">
        <v>1078</v>
      </c>
      <c r="F49" s="23" t="s">
        <v>1087</v>
      </c>
      <c r="G49" s="23" t="s">
        <v>403</v>
      </c>
      <c r="H49" s="353">
        <v>243895</v>
      </c>
      <c r="I49" s="59" t="s">
        <v>413</v>
      </c>
      <c r="J49" s="59" t="s">
        <v>1088</v>
      </c>
      <c r="K49" s="20"/>
      <c r="L49" s="20"/>
      <c r="M49" s="357"/>
      <c r="N49" s="411"/>
      <c r="O49" s="23" t="s">
        <v>1086</v>
      </c>
      <c r="P49" s="92" t="s">
        <v>632</v>
      </c>
      <c r="Q49" s="92" t="s">
        <v>646</v>
      </c>
      <c r="R49" s="372" t="str">
        <f t="shared" si="0"/>
        <v/>
      </c>
    </row>
    <row r="50" spans="1:18" x14ac:dyDescent="0.25">
      <c r="A50" s="23" t="s">
        <v>1076</v>
      </c>
      <c r="B50" s="18" t="str">
        <f>IF(ISNA(VLOOKUP($A50,'Data Pull Sheet'!$B$2:$C$1795,2,0)),"",(VLOOKUP($A50,'Data Pull Sheet'!$B$2:$C$1795,2,0)))</f>
        <v>CPST</v>
      </c>
      <c r="C50" s="59" t="s">
        <v>446</v>
      </c>
      <c r="D50" s="356" t="s">
        <v>1077</v>
      </c>
      <c r="E50" s="356" t="s">
        <v>1078</v>
      </c>
      <c r="F50" s="23" t="s">
        <v>1089</v>
      </c>
      <c r="G50" s="23" t="s">
        <v>403</v>
      </c>
      <c r="H50" s="353">
        <v>279285</v>
      </c>
      <c r="I50" s="59" t="s">
        <v>413</v>
      </c>
      <c r="J50" s="59" t="s">
        <v>1090</v>
      </c>
      <c r="K50" s="20"/>
      <c r="L50" s="20"/>
      <c r="M50" s="357"/>
      <c r="N50" s="411"/>
      <c r="O50" s="23" t="s">
        <v>1086</v>
      </c>
      <c r="P50" s="92" t="s">
        <v>632</v>
      </c>
      <c r="Q50" s="92" t="s">
        <v>646</v>
      </c>
      <c r="R50" s="372" t="str">
        <f t="shared" si="0"/>
        <v/>
      </c>
    </row>
    <row r="51" spans="1:18" x14ac:dyDescent="0.25">
      <c r="A51" s="23" t="s">
        <v>1076</v>
      </c>
      <c r="B51" s="18" t="str">
        <f>IF(ISNA(VLOOKUP($A51,'Data Pull Sheet'!$B$2:$C$1795,2,0)),"",(VLOOKUP($A51,'Data Pull Sheet'!$B$2:$C$1795,2,0)))</f>
        <v>CPST</v>
      </c>
      <c r="C51" s="59" t="s">
        <v>446</v>
      </c>
      <c r="D51" s="356" t="s">
        <v>1077</v>
      </c>
      <c r="E51" s="356" t="s">
        <v>1078</v>
      </c>
      <c r="F51" s="23" t="s">
        <v>1091</v>
      </c>
      <c r="G51" s="23" t="s">
        <v>403</v>
      </c>
      <c r="H51" s="353">
        <v>1176064</v>
      </c>
      <c r="I51" s="59" t="s">
        <v>413</v>
      </c>
      <c r="J51" s="59" t="s">
        <v>1092</v>
      </c>
      <c r="K51" s="20"/>
      <c r="L51" s="20"/>
      <c r="M51" s="357"/>
      <c r="N51" s="411"/>
      <c r="O51" s="23" t="s">
        <v>1086</v>
      </c>
      <c r="P51" s="92" t="s">
        <v>632</v>
      </c>
      <c r="Q51" s="92" t="s">
        <v>646</v>
      </c>
      <c r="R51" s="372" t="str">
        <f t="shared" si="0"/>
        <v/>
      </c>
    </row>
    <row r="52" spans="1:18" x14ac:dyDescent="0.25">
      <c r="A52" s="23" t="s">
        <v>1076</v>
      </c>
      <c r="B52" s="18" t="str">
        <f>IF(ISNA(VLOOKUP($A52,'Data Pull Sheet'!$B$2:$C$1795,2,0)),"",(VLOOKUP($A52,'Data Pull Sheet'!$B$2:$C$1795,2,0)))</f>
        <v>CPST</v>
      </c>
      <c r="C52" s="59" t="s">
        <v>446</v>
      </c>
      <c r="D52" s="356" t="s">
        <v>1077</v>
      </c>
      <c r="E52" s="356" t="s">
        <v>1078</v>
      </c>
      <c r="F52" s="23" t="s">
        <v>1093</v>
      </c>
      <c r="G52" s="23" t="s">
        <v>403</v>
      </c>
      <c r="H52" s="353">
        <v>36295.15</v>
      </c>
      <c r="I52" s="59" t="s">
        <v>476</v>
      </c>
      <c r="J52" s="59" t="s">
        <v>1094</v>
      </c>
      <c r="K52" s="20"/>
      <c r="L52" s="20">
        <v>2</v>
      </c>
      <c r="M52" s="357">
        <f>SUM(H52:H53)</f>
        <v>78570.209999999992</v>
      </c>
      <c r="N52" s="411">
        <f>IFERROR((M52/(VLOOKUP(B52,'Data Pull Sheet'!$C:$H,6,FALSE))),"DC")</f>
        <v>2.0676371052631578E-3</v>
      </c>
      <c r="O52" s="23" t="s">
        <v>192</v>
      </c>
      <c r="P52" s="92" t="s">
        <v>632</v>
      </c>
      <c r="Q52" s="92" t="s">
        <v>646</v>
      </c>
      <c r="R52" s="372" t="str">
        <f t="shared" si="0"/>
        <v/>
      </c>
    </row>
    <row r="53" spans="1:18" x14ac:dyDescent="0.25">
      <c r="A53" s="23" t="s">
        <v>1076</v>
      </c>
      <c r="B53" s="18" t="str">
        <f>IF(ISNA(VLOOKUP($A53,'Data Pull Sheet'!$B$2:$C$1795,2,0)),"",(VLOOKUP($A53,'Data Pull Sheet'!$B$2:$C$1795,2,0)))</f>
        <v>CPST</v>
      </c>
      <c r="C53" s="59" t="s">
        <v>446</v>
      </c>
      <c r="D53" s="356" t="s">
        <v>1077</v>
      </c>
      <c r="E53" s="356" t="s">
        <v>1078</v>
      </c>
      <c r="F53" s="23" t="s">
        <v>1095</v>
      </c>
      <c r="G53" s="23" t="s">
        <v>403</v>
      </c>
      <c r="H53" s="353">
        <v>42275.06</v>
      </c>
      <c r="I53" s="59" t="s">
        <v>476</v>
      </c>
      <c r="J53" s="59" t="s">
        <v>1096</v>
      </c>
      <c r="K53" s="20"/>
      <c r="L53" s="20"/>
      <c r="M53" s="357"/>
      <c r="N53" s="411"/>
      <c r="O53" s="23" t="s">
        <v>192</v>
      </c>
      <c r="P53" s="92" t="s">
        <v>632</v>
      </c>
      <c r="Q53" s="92" t="s">
        <v>646</v>
      </c>
      <c r="R53" s="372" t="str">
        <f t="shared" si="0"/>
        <v/>
      </c>
    </row>
    <row r="54" spans="1:18" ht="30" x14ac:dyDescent="0.25">
      <c r="A54" s="23" t="s">
        <v>1387</v>
      </c>
      <c r="B54" s="18" t="str">
        <f>IF(ISNA(VLOOKUP($A54,'Data Pull Sheet'!$B$2:$C$1795,2,0)),"",(VLOOKUP($A54,'Data Pull Sheet'!$B$2:$C$1795,2,0)))</f>
        <v>CLVS</v>
      </c>
      <c r="C54" s="59" t="s">
        <v>545</v>
      </c>
      <c r="D54" s="356" t="s">
        <v>1388</v>
      </c>
      <c r="E54" s="356" t="s">
        <v>1389</v>
      </c>
      <c r="F54" s="23" t="s">
        <v>1390</v>
      </c>
      <c r="G54" s="23" t="s">
        <v>417</v>
      </c>
      <c r="H54" s="353">
        <v>6012494.4800000004</v>
      </c>
      <c r="I54" s="59"/>
      <c r="J54" s="59" t="s">
        <v>1391</v>
      </c>
      <c r="K54" s="20">
        <v>6</v>
      </c>
      <c r="L54" s="20">
        <v>2</v>
      </c>
      <c r="M54" s="357">
        <f>SUM(H54:H55)</f>
        <v>13436422.289999999</v>
      </c>
      <c r="N54" s="411">
        <f>IFERROR((M54/(VLOOKUP(B54,'Data Pull Sheet'!$C:$H,6,FALSE))),"DC")</f>
        <v>1.5355911188571427E-2</v>
      </c>
      <c r="O54" s="23" t="s">
        <v>1392</v>
      </c>
      <c r="P54" s="92" t="s">
        <v>632</v>
      </c>
      <c r="Q54" s="92" t="s">
        <v>662</v>
      </c>
      <c r="R54" s="372" t="str">
        <f t="shared" si="0"/>
        <v/>
      </c>
    </row>
    <row r="55" spans="1:18" ht="30" x14ac:dyDescent="0.25">
      <c r="A55" s="23" t="s">
        <v>1387</v>
      </c>
      <c r="B55" s="18" t="str">
        <f>IF(ISNA(VLOOKUP($A55,'Data Pull Sheet'!$B$2:$C$1795,2,0)),"",(VLOOKUP($A55,'Data Pull Sheet'!$B$2:$C$1795,2,0)))</f>
        <v>CLVS</v>
      </c>
      <c r="C55" s="59" t="s">
        <v>545</v>
      </c>
      <c r="D55" s="356" t="s">
        <v>1388</v>
      </c>
      <c r="E55" s="356" t="s">
        <v>1389</v>
      </c>
      <c r="F55" s="23" t="s">
        <v>1393</v>
      </c>
      <c r="G55" s="23" t="s">
        <v>403</v>
      </c>
      <c r="H55" s="353">
        <v>7423927.8099999996</v>
      </c>
      <c r="I55" s="59"/>
      <c r="J55" s="59" t="s">
        <v>1394</v>
      </c>
      <c r="K55" s="20"/>
      <c r="L55" s="20"/>
      <c r="M55" s="357"/>
      <c r="N55" s="411"/>
      <c r="O55" s="23" t="s">
        <v>1392</v>
      </c>
      <c r="P55" s="92" t="s">
        <v>632</v>
      </c>
      <c r="Q55" s="92" t="s">
        <v>662</v>
      </c>
      <c r="R55" s="372" t="str">
        <f t="shared" si="0"/>
        <v/>
      </c>
    </row>
    <row r="56" spans="1:18" x14ac:dyDescent="0.25">
      <c r="A56" s="23" t="s">
        <v>1387</v>
      </c>
      <c r="B56" s="18" t="str">
        <f>IF(ISNA(VLOOKUP($A56,'Data Pull Sheet'!$B$2:$C$1795,2,0)),"",(VLOOKUP($A56,'Data Pull Sheet'!$B$2:$C$1795,2,0)))</f>
        <v>CLVS</v>
      </c>
      <c r="C56" s="59" t="s">
        <v>545</v>
      </c>
      <c r="D56" s="356" t="s">
        <v>1388</v>
      </c>
      <c r="E56" s="356" t="s">
        <v>1389</v>
      </c>
      <c r="F56" s="23" t="s">
        <v>1395</v>
      </c>
      <c r="G56" s="23" t="s">
        <v>403</v>
      </c>
      <c r="H56" s="353">
        <v>120400.95</v>
      </c>
      <c r="I56" s="59"/>
      <c r="J56" s="59" t="s">
        <v>1396</v>
      </c>
      <c r="K56" s="20"/>
      <c r="L56" s="20">
        <v>3</v>
      </c>
      <c r="M56" s="357">
        <f>SUM(H56:H58)</f>
        <v>586922.28</v>
      </c>
      <c r="N56" s="411">
        <f>IFERROR((M56/(VLOOKUP(B56,'Data Pull Sheet'!$C:$H,6,FALSE))),"DC")</f>
        <v>6.7076831999999999E-4</v>
      </c>
      <c r="O56" s="23" t="s">
        <v>1375</v>
      </c>
      <c r="P56" s="92" t="s">
        <v>632</v>
      </c>
      <c r="Q56" s="92" t="s">
        <v>646</v>
      </c>
      <c r="R56" s="372" t="str">
        <f t="shared" si="0"/>
        <v/>
      </c>
    </row>
    <row r="57" spans="1:18" x14ac:dyDescent="0.25">
      <c r="A57" s="23" t="s">
        <v>1387</v>
      </c>
      <c r="B57" s="18" t="str">
        <f>IF(ISNA(VLOOKUP($A57,'Data Pull Sheet'!$B$2:$C$1795,2,0)),"",(VLOOKUP($A57,'Data Pull Sheet'!$B$2:$C$1795,2,0)))</f>
        <v>CLVS</v>
      </c>
      <c r="C57" s="59" t="s">
        <v>545</v>
      </c>
      <c r="D57" s="356" t="s">
        <v>1388</v>
      </c>
      <c r="E57" s="356" t="s">
        <v>1389</v>
      </c>
      <c r="F57" s="23" t="s">
        <v>1397</v>
      </c>
      <c r="G57" s="23" t="s">
        <v>403</v>
      </c>
      <c r="H57" s="353">
        <v>125066.68</v>
      </c>
      <c r="I57" s="59"/>
      <c r="J57" s="59" t="s">
        <v>1398</v>
      </c>
      <c r="K57" s="20"/>
      <c r="L57" s="20"/>
      <c r="M57" s="357"/>
      <c r="N57" s="411"/>
      <c r="O57" s="23" t="s">
        <v>1375</v>
      </c>
      <c r="P57" s="92" t="s">
        <v>632</v>
      </c>
      <c r="Q57" s="92" t="s">
        <v>646</v>
      </c>
      <c r="R57" s="372" t="str">
        <f t="shared" si="0"/>
        <v/>
      </c>
    </row>
    <row r="58" spans="1:18" x14ac:dyDescent="0.25">
      <c r="A58" s="23" t="s">
        <v>1387</v>
      </c>
      <c r="B58" s="18" t="str">
        <f>IF(ISNA(VLOOKUP($A58,'Data Pull Sheet'!$B$2:$C$1795,2,0)),"",(VLOOKUP($A58,'Data Pull Sheet'!$B$2:$C$1795,2,0)))</f>
        <v>CLVS</v>
      </c>
      <c r="C58" s="59" t="s">
        <v>545</v>
      </c>
      <c r="D58" s="356" t="s">
        <v>1388</v>
      </c>
      <c r="E58" s="356" t="s">
        <v>1389</v>
      </c>
      <c r="F58" s="23" t="s">
        <v>1399</v>
      </c>
      <c r="G58" s="23" t="s">
        <v>403</v>
      </c>
      <c r="H58" s="353">
        <v>341454.65</v>
      </c>
      <c r="I58" s="59"/>
      <c r="J58" s="59" t="s">
        <v>1400</v>
      </c>
      <c r="K58" s="20"/>
      <c r="L58" s="20"/>
      <c r="M58" s="357"/>
      <c r="N58" s="411"/>
      <c r="O58" s="23" t="s">
        <v>1375</v>
      </c>
      <c r="P58" s="92" t="s">
        <v>632</v>
      </c>
      <c r="Q58" s="92" t="s">
        <v>646</v>
      </c>
      <c r="R58" s="372" t="str">
        <f t="shared" si="0"/>
        <v/>
      </c>
    </row>
    <row r="59" spans="1:18" ht="30" x14ac:dyDescent="0.25">
      <c r="A59" s="23" t="s">
        <v>1387</v>
      </c>
      <c r="B59" s="18" t="str">
        <f>IF(ISNA(VLOOKUP($A59,'Data Pull Sheet'!$B$2:$C$1795,2,0)),"",(VLOOKUP($A59,'Data Pull Sheet'!$B$2:$C$1795,2,0)))</f>
        <v>CLVS</v>
      </c>
      <c r="C59" s="59" t="s">
        <v>545</v>
      </c>
      <c r="D59" s="356" t="s">
        <v>1388</v>
      </c>
      <c r="E59" s="356" t="s">
        <v>1389</v>
      </c>
      <c r="F59" s="23" t="s">
        <v>1401</v>
      </c>
      <c r="G59" s="23" t="s">
        <v>417</v>
      </c>
      <c r="H59" s="353">
        <v>98346</v>
      </c>
      <c r="I59" s="59" t="s">
        <v>442</v>
      </c>
      <c r="J59" s="59" t="s">
        <v>1402</v>
      </c>
      <c r="K59" s="20"/>
      <c r="L59" s="20">
        <v>2</v>
      </c>
      <c r="M59" s="357">
        <f>SUM(H59:H60)</f>
        <v>215507</v>
      </c>
      <c r="N59" s="411">
        <f>IFERROR((M59/(VLOOKUP(B59,'Data Pull Sheet'!$C:$H,6,FALSE))),"DC")</f>
        <v>2.4629371428571431E-4</v>
      </c>
      <c r="O59" s="23" t="s">
        <v>1403</v>
      </c>
      <c r="P59" s="92" t="s">
        <v>632</v>
      </c>
      <c r="Q59" s="92" t="s">
        <v>640</v>
      </c>
      <c r="R59" s="372" t="str">
        <f t="shared" si="0"/>
        <v/>
      </c>
    </row>
    <row r="60" spans="1:18" ht="30" x14ac:dyDescent="0.25">
      <c r="A60" s="23" t="s">
        <v>1387</v>
      </c>
      <c r="B60" s="18" t="str">
        <f>IF(ISNA(VLOOKUP($A60,'Data Pull Sheet'!$B$2:$C$1795,2,0)),"",(VLOOKUP($A60,'Data Pull Sheet'!$B$2:$C$1795,2,0)))</f>
        <v>CLVS</v>
      </c>
      <c r="C60" s="59" t="s">
        <v>545</v>
      </c>
      <c r="D60" s="356" t="s">
        <v>1388</v>
      </c>
      <c r="E60" s="356" t="s">
        <v>1389</v>
      </c>
      <c r="F60" s="23" t="s">
        <v>1404</v>
      </c>
      <c r="G60" s="23" t="s">
        <v>417</v>
      </c>
      <c r="H60" s="353">
        <v>117161</v>
      </c>
      <c r="I60" s="59" t="s">
        <v>442</v>
      </c>
      <c r="J60" s="59" t="s">
        <v>1405</v>
      </c>
      <c r="K60" s="20"/>
      <c r="L60" s="20"/>
      <c r="M60" s="357"/>
      <c r="N60" s="411"/>
      <c r="O60" s="23" t="s">
        <v>1403</v>
      </c>
      <c r="P60" s="92" t="s">
        <v>632</v>
      </c>
      <c r="Q60" s="92" t="s">
        <v>640</v>
      </c>
      <c r="R60" s="372" t="str">
        <f t="shared" si="0"/>
        <v/>
      </c>
    </row>
    <row r="61" spans="1:18" x14ac:dyDescent="0.25">
      <c r="A61" s="23" t="s">
        <v>1387</v>
      </c>
      <c r="B61" s="18" t="str">
        <f>IF(ISNA(VLOOKUP($A61,'Data Pull Sheet'!$B$2:$C$1795,2,0)),"",(VLOOKUP($A61,'Data Pull Sheet'!$B$2:$C$1795,2,0)))</f>
        <v>CLVS</v>
      </c>
      <c r="C61" s="59" t="s">
        <v>545</v>
      </c>
      <c r="D61" s="356" t="s">
        <v>1388</v>
      </c>
      <c r="E61" s="356" t="s">
        <v>1389</v>
      </c>
      <c r="F61" s="23" t="s">
        <v>1406</v>
      </c>
      <c r="G61" s="23" t="s">
        <v>403</v>
      </c>
      <c r="H61" s="353">
        <v>63167.519999999997</v>
      </c>
      <c r="I61" s="59"/>
      <c r="J61" s="59" t="s">
        <v>1407</v>
      </c>
      <c r="K61" s="20"/>
      <c r="L61" s="20">
        <v>1</v>
      </c>
      <c r="M61" s="357">
        <f>H61</f>
        <v>63167.519999999997</v>
      </c>
      <c r="N61" s="411">
        <f>IFERROR((M61/(VLOOKUP(B61,'Data Pull Sheet'!$C:$H,6,FALSE))),"DC")</f>
        <v>7.2191451428571432E-5</v>
      </c>
      <c r="O61" s="23" t="s">
        <v>1002</v>
      </c>
      <c r="P61" s="92" t="s">
        <v>632</v>
      </c>
      <c r="Q61" s="92" t="s">
        <v>646</v>
      </c>
      <c r="R61" s="372" t="str">
        <f t="shared" si="0"/>
        <v/>
      </c>
    </row>
    <row r="62" spans="1:18" ht="30" x14ac:dyDescent="0.25">
      <c r="A62" s="23" t="s">
        <v>1387</v>
      </c>
      <c r="B62" s="18" t="str">
        <f>IF(ISNA(VLOOKUP($A62,'Data Pull Sheet'!$B$2:$C$1795,2,0)),"",(VLOOKUP($A62,'Data Pull Sheet'!$B$2:$C$1795,2,0)))</f>
        <v>CLVS</v>
      </c>
      <c r="C62" s="59" t="s">
        <v>545</v>
      </c>
      <c r="D62" s="356" t="s">
        <v>1388</v>
      </c>
      <c r="E62" s="356" t="s">
        <v>1389</v>
      </c>
      <c r="F62" s="23" t="s">
        <v>1408</v>
      </c>
      <c r="G62" s="23" t="s">
        <v>403</v>
      </c>
      <c r="H62" s="353">
        <v>1032089.48</v>
      </c>
      <c r="I62" s="59" t="s">
        <v>406</v>
      </c>
      <c r="J62" s="59" t="s">
        <v>1409</v>
      </c>
      <c r="K62" s="20"/>
      <c r="L62" s="20">
        <v>2</v>
      </c>
      <c r="M62" s="357">
        <f>SUM(H62:H63)</f>
        <v>2189260.31</v>
      </c>
      <c r="N62" s="411">
        <f>IFERROR((M62/(VLOOKUP(B62,'Data Pull Sheet'!$C:$H,6,FALSE))),"DC")</f>
        <v>2.502011782857143E-3</v>
      </c>
      <c r="O62" s="23" t="s">
        <v>1410</v>
      </c>
      <c r="P62" s="92" t="s">
        <v>632</v>
      </c>
      <c r="Q62" s="92" t="s">
        <v>646</v>
      </c>
      <c r="R62" s="372" t="str">
        <f t="shared" si="0"/>
        <v/>
      </c>
    </row>
    <row r="63" spans="1:18" ht="30" x14ac:dyDescent="0.25">
      <c r="A63" s="23" t="s">
        <v>1387</v>
      </c>
      <c r="B63" s="18" t="str">
        <f>IF(ISNA(VLOOKUP($A63,'Data Pull Sheet'!$B$2:$C$1795,2,0)),"",(VLOOKUP($A63,'Data Pull Sheet'!$B$2:$C$1795,2,0)))</f>
        <v>CLVS</v>
      </c>
      <c r="C63" s="59" t="s">
        <v>545</v>
      </c>
      <c r="D63" s="356" t="s">
        <v>1388</v>
      </c>
      <c r="E63" s="356" t="s">
        <v>1389</v>
      </c>
      <c r="F63" s="23" t="s">
        <v>1411</v>
      </c>
      <c r="G63" s="23" t="s">
        <v>403</v>
      </c>
      <c r="H63" s="353">
        <v>1157170.83</v>
      </c>
      <c r="I63" s="59" t="s">
        <v>406</v>
      </c>
      <c r="J63" s="59" t="s">
        <v>1412</v>
      </c>
      <c r="K63" s="20"/>
      <c r="L63" s="20"/>
      <c r="M63" s="357"/>
      <c r="N63" s="411"/>
      <c r="O63" s="23" t="s">
        <v>1410</v>
      </c>
      <c r="P63" s="92" t="s">
        <v>632</v>
      </c>
      <c r="Q63" s="92" t="s">
        <v>646</v>
      </c>
      <c r="R63" s="372" t="str">
        <f t="shared" si="0"/>
        <v/>
      </c>
    </row>
    <row r="64" spans="1:18" x14ac:dyDescent="0.25">
      <c r="A64" s="23" t="s">
        <v>1387</v>
      </c>
      <c r="B64" s="18" t="str">
        <f>IF(ISNA(VLOOKUP($A64,'Data Pull Sheet'!$B$2:$C$1795,2,0)),"",(VLOOKUP($A64,'Data Pull Sheet'!$B$2:$C$1795,2,0)))</f>
        <v>CLVS</v>
      </c>
      <c r="C64" s="59" t="s">
        <v>545</v>
      </c>
      <c r="D64" s="356" t="s">
        <v>1388</v>
      </c>
      <c r="E64" s="356" t="s">
        <v>1389</v>
      </c>
      <c r="F64" s="23" t="s">
        <v>1413</v>
      </c>
      <c r="G64" s="23" t="s">
        <v>403</v>
      </c>
      <c r="H64" s="353">
        <v>20613</v>
      </c>
      <c r="I64" s="59"/>
      <c r="J64" s="59" t="s">
        <v>1414</v>
      </c>
      <c r="K64" s="20"/>
      <c r="L64" s="20">
        <v>2</v>
      </c>
      <c r="M64" s="357">
        <f>SUM(H64:H66)</f>
        <v>96673</v>
      </c>
      <c r="N64" s="411">
        <f>IFERROR((M64/(VLOOKUP(B64,'Data Pull Sheet'!$C:$H,6,FALSE))),"DC")</f>
        <v>1.1048342857142857E-4</v>
      </c>
      <c r="O64" s="23" t="s">
        <v>1415</v>
      </c>
      <c r="P64" s="92" t="s">
        <v>632</v>
      </c>
      <c r="Q64" s="92" t="s">
        <v>646</v>
      </c>
      <c r="R64" s="372" t="str">
        <f t="shared" si="0"/>
        <v/>
      </c>
    </row>
    <row r="65" spans="1:18" x14ac:dyDescent="0.25">
      <c r="A65" s="23" t="s">
        <v>1387</v>
      </c>
      <c r="B65" s="18" t="str">
        <f>IF(ISNA(VLOOKUP($A65,'Data Pull Sheet'!$B$2:$C$1795,2,0)),"",(VLOOKUP($A65,'Data Pull Sheet'!$B$2:$C$1795,2,0)))</f>
        <v>CLVS</v>
      </c>
      <c r="C65" s="59" t="s">
        <v>545</v>
      </c>
      <c r="D65" s="356" t="s">
        <v>1388</v>
      </c>
      <c r="E65" s="356" t="s">
        <v>1389</v>
      </c>
      <c r="F65" s="23" t="s">
        <v>1416</v>
      </c>
      <c r="G65" s="23" t="s">
        <v>403</v>
      </c>
      <c r="H65" s="353">
        <v>25668</v>
      </c>
      <c r="I65" s="59"/>
      <c r="J65" s="59" t="s">
        <v>1417</v>
      </c>
      <c r="K65" s="20"/>
      <c r="L65" s="20"/>
      <c r="M65" s="357"/>
      <c r="N65" s="411"/>
      <c r="O65" s="23" t="s">
        <v>1415</v>
      </c>
      <c r="P65" s="92" t="s">
        <v>632</v>
      </c>
      <c r="Q65" s="92" t="s">
        <v>646</v>
      </c>
      <c r="R65" s="372" t="str">
        <f t="shared" si="0"/>
        <v/>
      </c>
    </row>
    <row r="66" spans="1:18" x14ac:dyDescent="0.25">
      <c r="A66" s="23" t="s">
        <v>1387</v>
      </c>
      <c r="B66" s="18" t="str">
        <f>IF(ISNA(VLOOKUP($A66,'Data Pull Sheet'!$B$2:$C$1795,2,0)),"",(VLOOKUP($A66,'Data Pull Sheet'!$B$2:$C$1795,2,0)))</f>
        <v>CLVS</v>
      </c>
      <c r="C66" s="59" t="s">
        <v>545</v>
      </c>
      <c r="D66" s="356" t="s">
        <v>1388</v>
      </c>
      <c r="E66" s="356" t="s">
        <v>1389</v>
      </c>
      <c r="F66" s="23" t="s">
        <v>1418</v>
      </c>
      <c r="G66" s="23" t="s">
        <v>403</v>
      </c>
      <c r="H66" s="353">
        <v>50392</v>
      </c>
      <c r="I66" s="59"/>
      <c r="J66" s="59" t="s">
        <v>1419</v>
      </c>
      <c r="K66" s="20"/>
      <c r="L66" s="20"/>
      <c r="M66" s="357"/>
      <c r="N66" s="411"/>
      <c r="O66" s="23" t="s">
        <v>1415</v>
      </c>
      <c r="P66" s="92" t="s">
        <v>632</v>
      </c>
      <c r="Q66" s="92" t="s">
        <v>646</v>
      </c>
      <c r="R66" s="372" t="str">
        <f t="shared" ref="R66:R129" si="2">IF(COUNTIF(F:F,F66)&gt;=2,"FF","")</f>
        <v/>
      </c>
    </row>
    <row r="67" spans="1:18" x14ac:dyDescent="0.25">
      <c r="A67" s="23" t="s">
        <v>2659</v>
      </c>
      <c r="B67" s="18" t="str">
        <f>IF(ISNA(VLOOKUP($A67,'Data Pull Sheet'!$B$2:$C$1795,2,0)),"",(VLOOKUP($A67,'Data Pull Sheet'!$B$2:$C$1795,2,0)))</f>
        <v>MCHX</v>
      </c>
      <c r="C67" s="59" t="s">
        <v>480</v>
      </c>
      <c r="D67" s="356" t="s">
        <v>2660</v>
      </c>
      <c r="E67" s="356" t="s">
        <v>1389</v>
      </c>
      <c r="F67" s="23" t="s">
        <v>2661</v>
      </c>
      <c r="G67" s="23" t="s">
        <v>403</v>
      </c>
      <c r="H67" s="353">
        <v>12153</v>
      </c>
      <c r="I67" s="59"/>
      <c r="J67" s="59" t="s">
        <v>2662</v>
      </c>
      <c r="K67" s="20">
        <v>2</v>
      </c>
      <c r="L67" s="20">
        <v>1</v>
      </c>
      <c r="M67" s="357">
        <f>H67</f>
        <v>12153</v>
      </c>
      <c r="N67" s="411">
        <f>IFERROR((M67/(VLOOKUP(B67,'Data Pull Sheet'!$C:$H,6,FALSE))),"DC")</f>
        <v>1.5191250000000001E-4</v>
      </c>
      <c r="O67" s="23" t="s">
        <v>1015</v>
      </c>
      <c r="P67" s="92" t="s">
        <v>632</v>
      </c>
      <c r="Q67" s="92" t="s">
        <v>637</v>
      </c>
      <c r="R67" s="372" t="str">
        <f t="shared" si="2"/>
        <v/>
      </c>
    </row>
    <row r="68" spans="1:18" x14ac:dyDescent="0.25">
      <c r="A68" s="23" t="s">
        <v>2659</v>
      </c>
      <c r="B68" s="18" t="str">
        <f>IF(ISNA(VLOOKUP($A68,'Data Pull Sheet'!$B$2:$C$1795,2,0)),"",(VLOOKUP($A68,'Data Pull Sheet'!$B$2:$C$1795,2,0)))</f>
        <v>MCHX</v>
      </c>
      <c r="C68" s="59" t="s">
        <v>480</v>
      </c>
      <c r="D68" s="356" t="s">
        <v>2660</v>
      </c>
      <c r="E68" s="356" t="s">
        <v>1389</v>
      </c>
      <c r="F68" s="23" t="s">
        <v>2663</v>
      </c>
      <c r="G68" s="23" t="s">
        <v>403</v>
      </c>
      <c r="H68" s="353">
        <v>11799.62</v>
      </c>
      <c r="I68" s="59"/>
      <c r="J68" s="59" t="s">
        <v>2664</v>
      </c>
      <c r="K68" s="20"/>
      <c r="L68" s="20">
        <v>1</v>
      </c>
      <c r="M68" s="357">
        <f>H68</f>
        <v>11799.62</v>
      </c>
      <c r="N68" s="411">
        <f>IFERROR((M68/(VLOOKUP(B68,'Data Pull Sheet'!$C:$H,6,FALSE))),"DC")</f>
        <v>1.4749525000000001E-4</v>
      </c>
      <c r="O68" s="23" t="s">
        <v>63</v>
      </c>
      <c r="P68" s="92" t="s">
        <v>632</v>
      </c>
      <c r="Q68" s="92" t="s">
        <v>637</v>
      </c>
      <c r="R68" s="372" t="str">
        <f t="shared" si="2"/>
        <v/>
      </c>
    </row>
    <row r="69" spans="1:18" ht="30" x14ac:dyDescent="0.25">
      <c r="A69" s="23" t="s">
        <v>2990</v>
      </c>
      <c r="B69" s="18" t="str">
        <f>IF(ISNA(VLOOKUP($A69,'Data Pull Sheet'!$B$2:$C$1795,2,0)),"",(VLOOKUP($A69,'Data Pull Sheet'!$B$2:$C$1795,2,0)))</f>
        <v>OSIR</v>
      </c>
      <c r="C69" s="59" t="s">
        <v>817</v>
      </c>
      <c r="D69" s="356" t="s">
        <v>2991</v>
      </c>
      <c r="E69" s="356" t="s">
        <v>601</v>
      </c>
      <c r="F69" s="23" t="s">
        <v>2992</v>
      </c>
      <c r="G69" s="23" t="s">
        <v>403</v>
      </c>
      <c r="H69" s="353">
        <v>1536</v>
      </c>
      <c r="I69" s="59"/>
      <c r="J69" s="59" t="s">
        <v>2993</v>
      </c>
      <c r="K69" s="20">
        <v>2</v>
      </c>
      <c r="L69" s="20">
        <v>5</v>
      </c>
      <c r="M69" s="357">
        <f>SUM(H69:H73)</f>
        <v>97292</v>
      </c>
      <c r="N69" s="411">
        <f>IFERROR((M69/(VLOOKUP(B69,'Data Pull Sheet'!$C:$H,6,FALSE))),"DC")</f>
        <v>3.2430666666666665E-3</v>
      </c>
      <c r="O69" s="23" t="s">
        <v>2994</v>
      </c>
      <c r="P69" s="92" t="s">
        <v>632</v>
      </c>
      <c r="Q69" s="92" t="s">
        <v>646</v>
      </c>
      <c r="R69" s="372" t="str">
        <f t="shared" si="2"/>
        <v/>
      </c>
    </row>
    <row r="70" spans="1:18" ht="30" x14ac:dyDescent="0.25">
      <c r="A70" s="23" t="s">
        <v>2990</v>
      </c>
      <c r="B70" s="18" t="str">
        <f>IF(ISNA(VLOOKUP($A70,'Data Pull Sheet'!$B$2:$C$1795,2,0)),"",(VLOOKUP($A70,'Data Pull Sheet'!$B$2:$C$1795,2,0)))</f>
        <v>OSIR</v>
      </c>
      <c r="C70" s="59" t="s">
        <v>817</v>
      </c>
      <c r="D70" s="356" t="s">
        <v>2991</v>
      </c>
      <c r="E70" s="356" t="s">
        <v>601</v>
      </c>
      <c r="F70" s="23" t="s">
        <v>2995</v>
      </c>
      <c r="G70" s="23" t="s">
        <v>403</v>
      </c>
      <c r="H70" s="353">
        <v>6017</v>
      </c>
      <c r="I70" s="59"/>
      <c r="J70" s="59" t="s">
        <v>2996</v>
      </c>
      <c r="K70" s="20"/>
      <c r="L70" s="20"/>
      <c r="M70" s="357"/>
      <c r="N70" s="411"/>
      <c r="O70" s="23" t="s">
        <v>2994</v>
      </c>
      <c r="P70" s="92" t="s">
        <v>632</v>
      </c>
      <c r="Q70" s="92" t="s">
        <v>646</v>
      </c>
      <c r="R70" s="372" t="str">
        <f t="shared" si="2"/>
        <v/>
      </c>
    </row>
    <row r="71" spans="1:18" ht="30" x14ac:dyDescent="0.25">
      <c r="A71" s="23" t="s">
        <v>2990</v>
      </c>
      <c r="B71" s="18" t="str">
        <f>IF(ISNA(VLOOKUP($A71,'Data Pull Sheet'!$B$2:$C$1795,2,0)),"",(VLOOKUP($A71,'Data Pull Sheet'!$B$2:$C$1795,2,0)))</f>
        <v>OSIR</v>
      </c>
      <c r="C71" s="59" t="s">
        <v>817</v>
      </c>
      <c r="D71" s="356" t="s">
        <v>2991</v>
      </c>
      <c r="E71" s="356" t="s">
        <v>601</v>
      </c>
      <c r="F71" s="23" t="s">
        <v>2997</v>
      </c>
      <c r="G71" s="23" t="s">
        <v>403</v>
      </c>
      <c r="H71" s="353">
        <v>8018</v>
      </c>
      <c r="I71" s="59"/>
      <c r="J71" s="59" t="s">
        <v>2998</v>
      </c>
      <c r="K71" s="20"/>
      <c r="L71" s="20"/>
      <c r="M71" s="357"/>
      <c r="N71" s="411"/>
      <c r="O71" s="23" t="s">
        <v>2994</v>
      </c>
      <c r="P71" s="92" t="s">
        <v>632</v>
      </c>
      <c r="Q71" s="92" t="s">
        <v>646</v>
      </c>
      <c r="R71" s="372" t="str">
        <f t="shared" si="2"/>
        <v/>
      </c>
    </row>
    <row r="72" spans="1:18" ht="30" x14ac:dyDescent="0.25">
      <c r="A72" s="23" t="s">
        <v>2990</v>
      </c>
      <c r="B72" s="18" t="str">
        <f>IF(ISNA(VLOOKUP($A72,'Data Pull Sheet'!$B$2:$C$1795,2,0)),"",(VLOOKUP($A72,'Data Pull Sheet'!$B$2:$C$1795,2,0)))</f>
        <v>OSIR</v>
      </c>
      <c r="C72" s="59" t="s">
        <v>817</v>
      </c>
      <c r="D72" s="356" t="s">
        <v>2991</v>
      </c>
      <c r="E72" s="356" t="s">
        <v>601</v>
      </c>
      <c r="F72" s="23" t="s">
        <v>2999</v>
      </c>
      <c r="G72" s="23" t="s">
        <v>403</v>
      </c>
      <c r="H72" s="353">
        <v>15502</v>
      </c>
      <c r="I72" s="59"/>
      <c r="J72" s="59" t="s">
        <v>3000</v>
      </c>
      <c r="K72" s="20"/>
      <c r="L72" s="20"/>
      <c r="M72" s="357"/>
      <c r="N72" s="411"/>
      <c r="O72" s="23" t="s">
        <v>2994</v>
      </c>
      <c r="P72" s="92" t="s">
        <v>632</v>
      </c>
      <c r="Q72" s="92" t="s">
        <v>646</v>
      </c>
      <c r="R72" s="372" t="str">
        <f t="shared" si="2"/>
        <v/>
      </c>
    </row>
    <row r="73" spans="1:18" ht="30" x14ac:dyDescent="0.25">
      <c r="A73" s="23" t="s">
        <v>2990</v>
      </c>
      <c r="B73" s="18" t="str">
        <f>IF(ISNA(VLOOKUP($A73,'Data Pull Sheet'!$B$2:$C$1795,2,0)),"",(VLOOKUP($A73,'Data Pull Sheet'!$B$2:$C$1795,2,0)))</f>
        <v>OSIR</v>
      </c>
      <c r="C73" s="59" t="s">
        <v>817</v>
      </c>
      <c r="D73" s="356" t="s">
        <v>2991</v>
      </c>
      <c r="E73" s="356" t="s">
        <v>601</v>
      </c>
      <c r="F73" s="23" t="s">
        <v>3001</v>
      </c>
      <c r="G73" s="23" t="s">
        <v>403</v>
      </c>
      <c r="H73" s="353">
        <v>66219</v>
      </c>
      <c r="I73" s="59"/>
      <c r="J73" s="59" t="s">
        <v>3002</v>
      </c>
      <c r="K73" s="20"/>
      <c r="L73" s="20"/>
      <c r="M73" s="357"/>
      <c r="N73" s="411"/>
      <c r="O73" s="23" t="s">
        <v>2994</v>
      </c>
      <c r="P73" s="92" t="s">
        <v>632</v>
      </c>
      <c r="Q73" s="92" t="s">
        <v>646</v>
      </c>
      <c r="R73" s="372" t="str">
        <f t="shared" si="2"/>
        <v/>
      </c>
    </row>
    <row r="74" spans="1:18" x14ac:dyDescent="0.25">
      <c r="A74" s="23" t="s">
        <v>2990</v>
      </c>
      <c r="B74" s="18" t="str">
        <f>IF(ISNA(VLOOKUP($A74,'Data Pull Sheet'!$B$2:$C$1795,2,0)),"",(VLOOKUP($A74,'Data Pull Sheet'!$B$2:$C$1795,2,0)))</f>
        <v>OSIR</v>
      </c>
      <c r="C74" s="59" t="s">
        <v>817</v>
      </c>
      <c r="D74" s="356" t="s">
        <v>2991</v>
      </c>
      <c r="E74" s="356" t="s">
        <v>601</v>
      </c>
      <c r="F74" s="23" t="s">
        <v>3003</v>
      </c>
      <c r="G74" s="23" t="s">
        <v>403</v>
      </c>
      <c r="H74" s="353">
        <v>89885.49</v>
      </c>
      <c r="I74" s="59"/>
      <c r="J74" s="59" t="s">
        <v>3004</v>
      </c>
      <c r="K74" s="20"/>
      <c r="L74" s="20">
        <v>1</v>
      </c>
      <c r="M74" s="357">
        <f>H74</f>
        <v>89885.49</v>
      </c>
      <c r="N74" s="411">
        <f>IFERROR((M74/(VLOOKUP(B74,'Data Pull Sheet'!$C:$H,6,FALSE))),"DC")</f>
        <v>2.9961830000000004E-3</v>
      </c>
      <c r="O74" s="23" t="s">
        <v>3005</v>
      </c>
      <c r="P74" s="92" t="s">
        <v>632</v>
      </c>
      <c r="Q74" s="92" t="s">
        <v>637</v>
      </c>
      <c r="R74" s="372" t="str">
        <f t="shared" si="2"/>
        <v/>
      </c>
    </row>
    <row r="75" spans="1:18" x14ac:dyDescent="0.25">
      <c r="A75" s="23" t="s">
        <v>2821</v>
      </c>
      <c r="B75" s="18" t="str">
        <f>IF(ISNA(VLOOKUP($A75,'Data Pull Sheet'!$B$2:$C$1795,2,0)),"",(VLOOKUP($A75,'Data Pull Sheet'!$B$2:$C$1795,2,0)))</f>
        <v>NSLPQ</v>
      </c>
      <c r="C75" s="59" t="s">
        <v>418</v>
      </c>
      <c r="D75" s="356" t="s">
        <v>606</v>
      </c>
      <c r="E75" s="356" t="s">
        <v>2822</v>
      </c>
      <c r="F75" s="23" t="s">
        <v>2823</v>
      </c>
      <c r="G75" s="23" t="s">
        <v>403</v>
      </c>
      <c r="H75" s="353">
        <v>24725.64</v>
      </c>
      <c r="I75" s="59"/>
      <c r="J75" s="59" t="s">
        <v>2824</v>
      </c>
      <c r="K75" s="20">
        <v>2</v>
      </c>
      <c r="L75" s="20">
        <v>1</v>
      </c>
      <c r="M75" s="357">
        <f>H75</f>
        <v>24725.64</v>
      </c>
      <c r="N75" s="411">
        <f>IFERROR((M75/(VLOOKUP(B75,'Data Pull Sheet'!$C:$H,6,FALSE))),"DC")</f>
        <v>6.18141E-4</v>
      </c>
      <c r="O75" s="23" t="s">
        <v>597</v>
      </c>
      <c r="P75" s="92" t="s">
        <v>632</v>
      </c>
      <c r="Q75" s="92" t="s">
        <v>637</v>
      </c>
      <c r="R75" s="372" t="str">
        <f t="shared" si="2"/>
        <v/>
      </c>
    </row>
    <row r="76" spans="1:18" x14ac:dyDescent="0.25">
      <c r="A76" s="23" t="s">
        <v>2821</v>
      </c>
      <c r="B76" s="18" t="str">
        <f>IF(ISNA(VLOOKUP($A76,'Data Pull Sheet'!$B$2:$C$1795,2,0)),"",(VLOOKUP($A76,'Data Pull Sheet'!$B$2:$C$1795,2,0)))</f>
        <v>NSLPQ</v>
      </c>
      <c r="C76" s="59" t="s">
        <v>418</v>
      </c>
      <c r="D76" s="356" t="s">
        <v>606</v>
      </c>
      <c r="E76" s="356" t="s">
        <v>2822</v>
      </c>
      <c r="F76" s="23" t="s">
        <v>2825</v>
      </c>
      <c r="G76" s="23" t="s">
        <v>403</v>
      </c>
      <c r="H76" s="353">
        <v>23130</v>
      </c>
      <c r="I76" s="59"/>
      <c r="J76" s="59" t="s">
        <v>2826</v>
      </c>
      <c r="K76" s="20"/>
      <c r="L76" s="20">
        <v>3</v>
      </c>
      <c r="M76" s="357">
        <f>SUM(H76:H78)</f>
        <v>133890</v>
      </c>
      <c r="N76" s="411">
        <f>IFERROR((M76/(VLOOKUP(B76,'Data Pull Sheet'!$C:$H,6,FALSE))),"DC")</f>
        <v>3.34725E-3</v>
      </c>
      <c r="O76" s="23" t="s">
        <v>2827</v>
      </c>
      <c r="P76" s="92" t="s">
        <v>632</v>
      </c>
      <c r="Q76" s="92" t="s">
        <v>646</v>
      </c>
      <c r="R76" s="372" t="str">
        <f t="shared" si="2"/>
        <v/>
      </c>
    </row>
    <row r="77" spans="1:18" x14ac:dyDescent="0.25">
      <c r="A77" s="23" t="s">
        <v>2821</v>
      </c>
      <c r="B77" s="18" t="str">
        <f>IF(ISNA(VLOOKUP($A77,'Data Pull Sheet'!$B$2:$C$1795,2,0)),"",(VLOOKUP($A77,'Data Pull Sheet'!$B$2:$C$1795,2,0)))</f>
        <v>NSLPQ</v>
      </c>
      <c r="C77" s="59" t="s">
        <v>418</v>
      </c>
      <c r="D77" s="356" t="s">
        <v>606</v>
      </c>
      <c r="E77" s="356" t="s">
        <v>2822</v>
      </c>
      <c r="F77" s="23" t="s">
        <v>2828</v>
      </c>
      <c r="G77" s="23" t="s">
        <v>403</v>
      </c>
      <c r="H77" s="353">
        <v>41370</v>
      </c>
      <c r="I77" s="59"/>
      <c r="J77" s="59" t="s">
        <v>2829</v>
      </c>
      <c r="K77" s="20"/>
      <c r="L77" s="20"/>
      <c r="M77" s="357"/>
      <c r="N77" s="411"/>
      <c r="O77" s="23" t="s">
        <v>2827</v>
      </c>
      <c r="P77" s="92" t="s">
        <v>632</v>
      </c>
      <c r="Q77" s="92" t="s">
        <v>646</v>
      </c>
      <c r="R77" s="372" t="str">
        <f t="shared" si="2"/>
        <v/>
      </c>
    </row>
    <row r="78" spans="1:18" x14ac:dyDescent="0.25">
      <c r="A78" s="23" t="s">
        <v>2821</v>
      </c>
      <c r="B78" s="18" t="str">
        <f>IF(ISNA(VLOOKUP($A78,'Data Pull Sheet'!$B$2:$C$1795,2,0)),"",(VLOOKUP($A78,'Data Pull Sheet'!$B$2:$C$1795,2,0)))</f>
        <v>NSLPQ</v>
      </c>
      <c r="C78" s="59" t="s">
        <v>418</v>
      </c>
      <c r="D78" s="356" t="s">
        <v>606</v>
      </c>
      <c r="E78" s="356" t="s">
        <v>2822</v>
      </c>
      <c r="F78" s="23" t="s">
        <v>2830</v>
      </c>
      <c r="G78" s="23" t="s">
        <v>403</v>
      </c>
      <c r="H78" s="353">
        <v>69390</v>
      </c>
      <c r="I78" s="59"/>
      <c r="J78" s="59" t="s">
        <v>2831</v>
      </c>
      <c r="K78" s="20"/>
      <c r="L78" s="20"/>
      <c r="M78" s="357"/>
      <c r="N78" s="411"/>
      <c r="O78" s="23" t="s">
        <v>2827</v>
      </c>
      <c r="P78" s="92" t="s">
        <v>632</v>
      </c>
      <c r="Q78" s="92" t="s">
        <v>646</v>
      </c>
      <c r="R78" s="372" t="str">
        <f t="shared" si="2"/>
        <v/>
      </c>
    </row>
    <row r="79" spans="1:18" ht="30" x14ac:dyDescent="0.25">
      <c r="A79" s="23" t="s">
        <v>246</v>
      </c>
      <c r="B79" s="18" t="s">
        <v>10659</v>
      </c>
      <c r="C79" s="59" t="s">
        <v>557</v>
      </c>
      <c r="D79" s="356" t="s">
        <v>532</v>
      </c>
      <c r="E79" s="356" t="s">
        <v>558</v>
      </c>
      <c r="F79" s="23" t="s">
        <v>249</v>
      </c>
      <c r="G79" s="23" t="s">
        <v>417</v>
      </c>
      <c r="H79" s="353">
        <v>10697807.74</v>
      </c>
      <c r="I79" s="59" t="s">
        <v>413</v>
      </c>
      <c r="J79" s="59" t="s">
        <v>10663</v>
      </c>
      <c r="K79" s="20">
        <v>2</v>
      </c>
      <c r="L79" s="20">
        <v>1</v>
      </c>
      <c r="M79" s="357">
        <f>H79</f>
        <v>10697807.74</v>
      </c>
      <c r="N79" s="411">
        <f>IFERROR((M79/(VLOOKUP(B79,'Data Pull Sheet'!$C:$H,6,FALSE))),"DC")</f>
        <v>5.3489038700000003E-3</v>
      </c>
      <c r="O79" s="23" t="s">
        <v>10840</v>
      </c>
      <c r="P79" s="92" t="s">
        <v>632</v>
      </c>
      <c r="Q79" s="92" t="s">
        <v>633</v>
      </c>
      <c r="R79" s="372" t="str">
        <f t="shared" si="2"/>
        <v>FF</v>
      </c>
    </row>
    <row r="80" spans="1:18" x14ac:dyDescent="0.25">
      <c r="A80" s="23" t="s">
        <v>246</v>
      </c>
      <c r="B80" s="18" t="s">
        <v>10659</v>
      </c>
      <c r="C80" s="59" t="s">
        <v>557</v>
      </c>
      <c r="D80" s="356" t="s">
        <v>532</v>
      </c>
      <c r="E80" s="356" t="s">
        <v>558</v>
      </c>
      <c r="F80" s="23" t="s">
        <v>243</v>
      </c>
      <c r="G80" s="23" t="s">
        <v>417</v>
      </c>
      <c r="H80" s="353">
        <v>1105481.8899999999</v>
      </c>
      <c r="I80" s="59"/>
      <c r="J80" s="59" t="s">
        <v>10662</v>
      </c>
      <c r="K80" s="20"/>
      <c r="L80" s="20">
        <v>1</v>
      </c>
      <c r="M80" s="357">
        <f>H80</f>
        <v>1105481.8899999999</v>
      </c>
      <c r="N80" s="411">
        <f>IFERROR((M80/(VLOOKUP(B80,'Data Pull Sheet'!$C:$H,6,FALSE))),"DC")</f>
        <v>5.5274094499999993E-4</v>
      </c>
      <c r="O80" s="23" t="s">
        <v>3234</v>
      </c>
      <c r="P80" s="92" t="s">
        <v>632</v>
      </c>
      <c r="Q80" s="92" t="s">
        <v>633</v>
      </c>
      <c r="R80" s="372" t="str">
        <f t="shared" si="2"/>
        <v>FF</v>
      </c>
    </row>
    <row r="81" spans="1:18" x14ac:dyDescent="0.25">
      <c r="A81" s="23" t="s">
        <v>1765</v>
      </c>
      <c r="B81" s="18" t="str">
        <f>IF(ISNA(VLOOKUP($A81,'Data Pull Sheet'!$B$2:$C$1795,2,0)),"",(VLOOKUP($A81,'Data Pull Sheet'!$B$2:$C$1795,2,0)))</f>
        <v>ERBA</v>
      </c>
      <c r="C81" s="59" t="s">
        <v>603</v>
      </c>
      <c r="D81" s="356" t="s">
        <v>1766</v>
      </c>
      <c r="E81" s="356" t="s">
        <v>533</v>
      </c>
      <c r="F81" s="23" t="s">
        <v>1767</v>
      </c>
      <c r="G81" s="23" t="s">
        <v>403</v>
      </c>
      <c r="H81" s="353">
        <v>14450</v>
      </c>
      <c r="I81" s="59"/>
      <c r="J81" s="59" t="s">
        <v>1768</v>
      </c>
      <c r="K81" s="20">
        <v>2</v>
      </c>
      <c r="L81" s="20">
        <v>1</v>
      </c>
      <c r="M81" s="357">
        <f>H81</f>
        <v>14450</v>
      </c>
      <c r="N81" s="411">
        <f>IFERROR((M81/(VLOOKUP(B81,'Data Pull Sheet'!$C:$H,6,FALSE))),"DC")</f>
        <v>2.8900000000000002E-3</v>
      </c>
      <c r="O81" s="23" t="s">
        <v>1015</v>
      </c>
      <c r="P81" s="92" t="s">
        <v>632</v>
      </c>
      <c r="Q81" s="92" t="s">
        <v>637</v>
      </c>
      <c r="R81" s="372" t="str">
        <f t="shared" si="2"/>
        <v/>
      </c>
    </row>
    <row r="82" spans="1:18" x14ac:dyDescent="0.25">
      <c r="A82" s="23" t="s">
        <v>1765</v>
      </c>
      <c r="B82" s="18" t="str">
        <f>IF(ISNA(VLOOKUP($A82,'Data Pull Sheet'!$B$2:$C$1795,2,0)),"",(VLOOKUP($A82,'Data Pull Sheet'!$B$2:$C$1795,2,0)))</f>
        <v>ERBA</v>
      </c>
      <c r="C82" s="59" t="s">
        <v>603</v>
      </c>
      <c r="D82" s="356" t="s">
        <v>1766</v>
      </c>
      <c r="E82" s="356" t="s">
        <v>533</v>
      </c>
      <c r="F82" s="23" t="s">
        <v>1769</v>
      </c>
      <c r="G82" s="23" t="s">
        <v>403</v>
      </c>
      <c r="H82" s="353">
        <v>8228</v>
      </c>
      <c r="I82" s="59"/>
      <c r="J82" s="59" t="s">
        <v>1770</v>
      </c>
      <c r="K82" s="20"/>
      <c r="L82" s="20">
        <v>1</v>
      </c>
      <c r="M82" s="357">
        <f>H82</f>
        <v>8228</v>
      </c>
      <c r="N82" s="411">
        <f>IFERROR((M82/(VLOOKUP(B82,'Data Pull Sheet'!$C:$H,6,FALSE))),"DC")</f>
        <v>1.6456000000000001E-3</v>
      </c>
      <c r="O82" s="23" t="s">
        <v>79</v>
      </c>
      <c r="P82" s="92" t="s">
        <v>632</v>
      </c>
      <c r="Q82" s="92" t="s">
        <v>637</v>
      </c>
      <c r="R82" s="372" t="str">
        <f t="shared" si="2"/>
        <v/>
      </c>
    </row>
    <row r="83" spans="1:18" ht="30" x14ac:dyDescent="0.25">
      <c r="A83" s="23" t="s">
        <v>182</v>
      </c>
      <c r="B83" s="18" t="str">
        <f>IF(ISNA(VLOOKUP($A83,'Data Pull Sheet'!$B$2:$C$1795,2,0)),"",(VLOOKUP($A83,'Data Pull Sheet'!$B$2:$C$1795,2,0)))</f>
        <v>SUNE</v>
      </c>
      <c r="C83" s="59" t="s">
        <v>531</v>
      </c>
      <c r="D83" s="356" t="s">
        <v>532</v>
      </c>
      <c r="E83" s="356" t="s">
        <v>533</v>
      </c>
      <c r="F83" s="23" t="s">
        <v>3558</v>
      </c>
      <c r="G83" s="23" t="s">
        <v>417</v>
      </c>
      <c r="H83" s="353">
        <v>8319268.9500000002</v>
      </c>
      <c r="I83" s="59" t="s">
        <v>413</v>
      </c>
      <c r="J83" s="59" t="s">
        <v>3559</v>
      </c>
      <c r="K83" s="20">
        <v>6</v>
      </c>
      <c r="L83" s="20">
        <v>1</v>
      </c>
      <c r="M83" s="357">
        <f>H83</f>
        <v>8319268.9500000002</v>
      </c>
      <c r="N83" s="411">
        <f>IFERROR((M83/(VLOOKUP(B83,'Data Pull Sheet'!$C:$H,6,FALSE))),"DC")</f>
        <v>2.7730896500000001E-2</v>
      </c>
      <c r="O83" s="23" t="s">
        <v>3560</v>
      </c>
      <c r="P83" s="92" t="s">
        <v>632</v>
      </c>
      <c r="Q83" s="92" t="s">
        <v>3561</v>
      </c>
      <c r="R83" s="372" t="str">
        <f t="shared" si="2"/>
        <v>FF</v>
      </c>
    </row>
    <row r="84" spans="1:18" x14ac:dyDescent="0.25">
      <c r="A84" s="23" t="s">
        <v>182</v>
      </c>
      <c r="B84" s="18" t="str">
        <f>IF(ISNA(VLOOKUP($A84,'Data Pull Sheet'!$B$2:$C$1795,2,0)),"",(VLOOKUP($A84,'Data Pull Sheet'!$B$2:$C$1795,2,0)))</f>
        <v>SUNE</v>
      </c>
      <c r="C84" s="59" t="s">
        <v>531</v>
      </c>
      <c r="D84" s="356" t="s">
        <v>532</v>
      </c>
      <c r="E84" s="356" t="s">
        <v>533</v>
      </c>
      <c r="F84" s="23" t="s">
        <v>3562</v>
      </c>
      <c r="G84" s="23" t="s">
        <v>403</v>
      </c>
      <c r="H84" s="353">
        <v>211390.35</v>
      </c>
      <c r="I84" s="59"/>
      <c r="J84" s="59" t="s">
        <v>3563</v>
      </c>
      <c r="K84" s="20"/>
      <c r="L84" s="20">
        <v>2</v>
      </c>
      <c r="M84" s="357">
        <f>SUM(H84:H85)</f>
        <v>434485.28</v>
      </c>
      <c r="N84" s="411">
        <f>IFERROR((M84/(VLOOKUP(B84,'Data Pull Sheet'!$C:$H,6,FALSE))),"DC")</f>
        <v>1.4482842666666668E-3</v>
      </c>
      <c r="O84" s="23" t="s">
        <v>3564</v>
      </c>
      <c r="P84" s="92" t="s">
        <v>632</v>
      </c>
      <c r="Q84" s="92" t="s">
        <v>646</v>
      </c>
      <c r="R84" s="372" t="str">
        <f t="shared" si="2"/>
        <v/>
      </c>
    </row>
    <row r="85" spans="1:18" x14ac:dyDescent="0.25">
      <c r="A85" s="23" t="s">
        <v>182</v>
      </c>
      <c r="B85" s="18" t="str">
        <f>IF(ISNA(VLOOKUP($A85,'Data Pull Sheet'!$B$2:$C$1795,2,0)),"",(VLOOKUP($A85,'Data Pull Sheet'!$B$2:$C$1795,2,0)))</f>
        <v>SUNE</v>
      </c>
      <c r="C85" s="59" t="s">
        <v>531</v>
      </c>
      <c r="D85" s="356" t="s">
        <v>532</v>
      </c>
      <c r="E85" s="356" t="s">
        <v>533</v>
      </c>
      <c r="F85" s="23" t="s">
        <v>3565</v>
      </c>
      <c r="G85" s="23" t="s">
        <v>403</v>
      </c>
      <c r="H85" s="353">
        <v>223094.93</v>
      </c>
      <c r="I85" s="59"/>
      <c r="J85" s="59" t="s">
        <v>3566</v>
      </c>
      <c r="K85" s="20"/>
      <c r="L85" s="20"/>
      <c r="M85" s="357"/>
      <c r="N85" s="411"/>
      <c r="O85" s="23" t="s">
        <v>3564</v>
      </c>
      <c r="P85" s="92" t="s">
        <v>632</v>
      </c>
      <c r="Q85" s="92" t="s">
        <v>646</v>
      </c>
      <c r="R85" s="372" t="str">
        <f t="shared" si="2"/>
        <v/>
      </c>
    </row>
    <row r="86" spans="1:18" x14ac:dyDescent="0.25">
      <c r="A86" s="23" t="s">
        <v>182</v>
      </c>
      <c r="B86" s="18" t="str">
        <f>IF(ISNA(VLOOKUP($A86,'Data Pull Sheet'!$B$2:$C$1795,2,0)),"",(VLOOKUP($A86,'Data Pull Sheet'!$B$2:$C$1795,2,0)))</f>
        <v>SUNE</v>
      </c>
      <c r="C86" s="59" t="s">
        <v>531</v>
      </c>
      <c r="D86" s="356" t="s">
        <v>532</v>
      </c>
      <c r="E86" s="356" t="s">
        <v>533</v>
      </c>
      <c r="F86" s="23" t="s">
        <v>3567</v>
      </c>
      <c r="G86" s="23" t="s">
        <v>403</v>
      </c>
      <c r="H86" s="353">
        <v>42840.5</v>
      </c>
      <c r="I86" s="59"/>
      <c r="J86" s="59" t="s">
        <v>3568</v>
      </c>
      <c r="K86" s="20"/>
      <c r="L86" s="20">
        <v>3</v>
      </c>
      <c r="M86" s="357">
        <f>SUM(H86:H88)</f>
        <v>4359500.2</v>
      </c>
      <c r="N86" s="411">
        <f>IFERROR((M86/(VLOOKUP(B86,'Data Pull Sheet'!$C:$H,6,FALSE))),"DC")</f>
        <v>1.4531667333333335E-2</v>
      </c>
      <c r="O86" s="23" t="s">
        <v>3569</v>
      </c>
      <c r="P86" s="92" t="s">
        <v>632</v>
      </c>
      <c r="Q86" s="92" t="s">
        <v>662</v>
      </c>
      <c r="R86" s="372" t="str">
        <f t="shared" si="2"/>
        <v/>
      </c>
    </row>
    <row r="87" spans="1:18" x14ac:dyDescent="0.25">
      <c r="A87" s="23" t="s">
        <v>182</v>
      </c>
      <c r="B87" s="18" t="str">
        <f>IF(ISNA(VLOOKUP($A87,'Data Pull Sheet'!$B$2:$C$1795,2,0)),"",(VLOOKUP($A87,'Data Pull Sheet'!$B$2:$C$1795,2,0)))</f>
        <v>SUNE</v>
      </c>
      <c r="C87" s="59" t="s">
        <v>531</v>
      </c>
      <c r="D87" s="356" t="s">
        <v>532</v>
      </c>
      <c r="E87" s="356" t="s">
        <v>533</v>
      </c>
      <c r="F87" s="23" t="s">
        <v>3570</v>
      </c>
      <c r="G87" s="23" t="s">
        <v>403</v>
      </c>
      <c r="H87" s="353">
        <v>1527751.8</v>
      </c>
      <c r="I87" s="59"/>
      <c r="J87" s="59" t="s">
        <v>3571</v>
      </c>
      <c r="K87" s="20"/>
      <c r="L87" s="20"/>
      <c r="M87" s="357"/>
      <c r="N87" s="411"/>
      <c r="O87" s="23" t="s">
        <v>3569</v>
      </c>
      <c r="P87" s="92" t="s">
        <v>632</v>
      </c>
      <c r="Q87" s="92" t="s">
        <v>662</v>
      </c>
      <c r="R87" s="372" t="str">
        <f t="shared" si="2"/>
        <v/>
      </c>
    </row>
    <row r="88" spans="1:18" x14ac:dyDescent="0.25">
      <c r="A88" s="23" t="s">
        <v>182</v>
      </c>
      <c r="B88" s="18" t="str">
        <f>IF(ISNA(VLOOKUP($A88,'Data Pull Sheet'!$B$2:$C$1795,2,0)),"",(VLOOKUP($A88,'Data Pull Sheet'!$B$2:$C$1795,2,0)))</f>
        <v>SUNE</v>
      </c>
      <c r="C88" s="59" t="s">
        <v>531</v>
      </c>
      <c r="D88" s="356" t="s">
        <v>532</v>
      </c>
      <c r="E88" s="356" t="s">
        <v>533</v>
      </c>
      <c r="F88" s="23" t="s">
        <v>3572</v>
      </c>
      <c r="G88" s="23" t="s">
        <v>417</v>
      </c>
      <c r="H88" s="353">
        <v>2788907.9</v>
      </c>
      <c r="I88" s="59"/>
      <c r="J88" s="59" t="s">
        <v>3573</v>
      </c>
      <c r="K88" s="20"/>
      <c r="L88" s="20"/>
      <c r="M88" s="357"/>
      <c r="N88" s="411"/>
      <c r="O88" s="23" t="s">
        <v>3569</v>
      </c>
      <c r="P88" s="92" t="s">
        <v>632</v>
      </c>
      <c r="Q88" s="92" t="s">
        <v>662</v>
      </c>
      <c r="R88" s="372" t="str">
        <f t="shared" si="2"/>
        <v/>
      </c>
    </row>
    <row r="89" spans="1:18" x14ac:dyDescent="0.25">
      <c r="A89" s="23" t="s">
        <v>182</v>
      </c>
      <c r="B89" s="18" t="str">
        <f>IF(ISNA(VLOOKUP($A89,'Data Pull Sheet'!$B$2:$C$1795,2,0)),"",(VLOOKUP($A89,'Data Pull Sheet'!$B$2:$C$1795,2,0)))</f>
        <v>SUNE</v>
      </c>
      <c r="C89" s="59" t="s">
        <v>531</v>
      </c>
      <c r="D89" s="356" t="s">
        <v>532</v>
      </c>
      <c r="E89" s="356" t="s">
        <v>533</v>
      </c>
      <c r="F89" s="23" t="s">
        <v>3574</v>
      </c>
      <c r="G89" s="23" t="s">
        <v>403</v>
      </c>
      <c r="H89" s="353">
        <v>441058.82</v>
      </c>
      <c r="I89" s="59"/>
      <c r="J89" s="59" t="s">
        <v>3575</v>
      </c>
      <c r="K89" s="20"/>
      <c r="L89" s="20">
        <v>1</v>
      </c>
      <c r="M89" s="357">
        <f>H89</f>
        <v>441058.82</v>
      </c>
      <c r="N89" s="411">
        <f>IFERROR((M89/(VLOOKUP(B89,'Data Pull Sheet'!$C:$H,6,FALSE))),"DC")</f>
        <v>1.4701960666666668E-3</v>
      </c>
      <c r="O89" s="23" t="s">
        <v>3576</v>
      </c>
      <c r="P89" s="92" t="s">
        <v>632</v>
      </c>
      <c r="Q89" s="92" t="s">
        <v>637</v>
      </c>
      <c r="R89" s="372" t="str">
        <f t="shared" si="2"/>
        <v/>
      </c>
    </row>
    <row r="90" spans="1:18" x14ac:dyDescent="0.25">
      <c r="A90" s="23" t="s">
        <v>182</v>
      </c>
      <c r="B90" s="18" t="str">
        <f>IF(ISNA(VLOOKUP($A90,'Data Pull Sheet'!$B$2:$C$1795,2,0)),"",(VLOOKUP($A90,'Data Pull Sheet'!$B$2:$C$1795,2,0)))</f>
        <v>SUNE</v>
      </c>
      <c r="C90" s="59" t="s">
        <v>531</v>
      </c>
      <c r="D90" s="356" t="s">
        <v>532</v>
      </c>
      <c r="E90" s="356" t="s">
        <v>533</v>
      </c>
      <c r="F90" s="23" t="s">
        <v>218</v>
      </c>
      <c r="G90" s="23" t="s">
        <v>417</v>
      </c>
      <c r="H90" s="353">
        <v>242278.66</v>
      </c>
      <c r="I90" s="59"/>
      <c r="J90" s="59" t="s">
        <v>3577</v>
      </c>
      <c r="K90" s="20"/>
      <c r="L90" s="20">
        <v>2</v>
      </c>
      <c r="M90" s="357">
        <f>SUM(H90:H91)</f>
        <v>2508837.2200000002</v>
      </c>
      <c r="N90" s="411">
        <f>IFERROR((M90/(VLOOKUP(B90,'Data Pull Sheet'!$C:$H,6,FALSE))),"DC")</f>
        <v>8.3627907333333334E-3</v>
      </c>
      <c r="O90" s="23" t="s">
        <v>3578</v>
      </c>
      <c r="P90" s="92" t="s">
        <v>632</v>
      </c>
      <c r="Q90" s="92" t="s">
        <v>640</v>
      </c>
      <c r="R90" s="372" t="str">
        <f t="shared" si="2"/>
        <v>FF</v>
      </c>
    </row>
    <row r="91" spans="1:18" x14ac:dyDescent="0.25">
      <c r="A91" s="23" t="s">
        <v>182</v>
      </c>
      <c r="B91" s="18" t="str">
        <f>IF(ISNA(VLOOKUP($A91,'Data Pull Sheet'!$B$2:$C$1795,2,0)),"",(VLOOKUP($A91,'Data Pull Sheet'!$B$2:$C$1795,2,0)))</f>
        <v>SUNE</v>
      </c>
      <c r="C91" s="59" t="s">
        <v>531</v>
      </c>
      <c r="D91" s="356" t="s">
        <v>532</v>
      </c>
      <c r="E91" s="356" t="s">
        <v>533</v>
      </c>
      <c r="F91" s="23" t="s">
        <v>175</v>
      </c>
      <c r="G91" s="23" t="s">
        <v>417</v>
      </c>
      <c r="H91" s="353">
        <v>2266558.56</v>
      </c>
      <c r="I91" s="59"/>
      <c r="J91" s="59" t="s">
        <v>3579</v>
      </c>
      <c r="K91" s="20"/>
      <c r="L91" s="20"/>
      <c r="M91" s="357"/>
      <c r="N91" s="411"/>
      <c r="O91" s="23" t="s">
        <v>3578</v>
      </c>
      <c r="P91" s="92" t="s">
        <v>632</v>
      </c>
      <c r="Q91" s="92" t="s">
        <v>640</v>
      </c>
      <c r="R91" s="372" t="str">
        <f t="shared" si="2"/>
        <v>FF</v>
      </c>
    </row>
    <row r="92" spans="1:18" ht="30" x14ac:dyDescent="0.25">
      <c r="A92" s="23" t="s">
        <v>182</v>
      </c>
      <c r="B92" s="18" t="str">
        <f>IF(ISNA(VLOOKUP($A92,'Data Pull Sheet'!$B$2:$C$1795,2,0)),"",(VLOOKUP($A92,'Data Pull Sheet'!$B$2:$C$1795,2,0)))</f>
        <v>SUNE</v>
      </c>
      <c r="C92" s="59" t="s">
        <v>531</v>
      </c>
      <c r="D92" s="356" t="s">
        <v>532</v>
      </c>
      <c r="E92" s="356" t="s">
        <v>533</v>
      </c>
      <c r="F92" s="23" t="s">
        <v>3580</v>
      </c>
      <c r="G92" s="23" t="s">
        <v>403</v>
      </c>
      <c r="H92" s="353">
        <v>205181</v>
      </c>
      <c r="I92" s="59"/>
      <c r="J92" s="59" t="s">
        <v>3581</v>
      </c>
      <c r="K92" s="20"/>
      <c r="L92" s="20">
        <v>5</v>
      </c>
      <c r="M92" s="357">
        <f>SUM(H92:H96)</f>
        <v>3184042</v>
      </c>
      <c r="N92" s="411">
        <f>IFERROR((M92/(VLOOKUP(B92,'Data Pull Sheet'!$C:$H,6,FALSE))),"DC")</f>
        <v>1.0613473333333333E-2</v>
      </c>
      <c r="O92" s="23" t="s">
        <v>11176</v>
      </c>
      <c r="P92" s="92" t="s">
        <v>632</v>
      </c>
      <c r="Q92" s="92" t="s">
        <v>646</v>
      </c>
      <c r="R92" s="372" t="str">
        <f t="shared" si="2"/>
        <v/>
      </c>
    </row>
    <row r="93" spans="1:18" ht="30" x14ac:dyDescent="0.25">
      <c r="A93" s="23" t="s">
        <v>182</v>
      </c>
      <c r="B93" s="18" t="str">
        <f>IF(ISNA(VLOOKUP($A93,'Data Pull Sheet'!$B$2:$C$1795,2,0)),"",(VLOOKUP($A93,'Data Pull Sheet'!$B$2:$C$1795,2,0)))</f>
        <v>SUNE</v>
      </c>
      <c r="C93" s="59" t="s">
        <v>531</v>
      </c>
      <c r="D93" s="356" t="s">
        <v>532</v>
      </c>
      <c r="E93" s="356" t="s">
        <v>533</v>
      </c>
      <c r="F93" s="23" t="s">
        <v>3583</v>
      </c>
      <c r="G93" s="23" t="s">
        <v>403</v>
      </c>
      <c r="H93" s="353">
        <v>221509</v>
      </c>
      <c r="I93" s="59"/>
      <c r="J93" s="59" t="s">
        <v>3584</v>
      </c>
      <c r="K93" s="20"/>
      <c r="L93" s="20"/>
      <c r="M93" s="357"/>
      <c r="N93" s="411"/>
      <c r="O93" s="23" t="s">
        <v>11176</v>
      </c>
      <c r="P93" s="92" t="s">
        <v>632</v>
      </c>
      <c r="Q93" s="92" t="s">
        <v>646</v>
      </c>
      <c r="R93" s="372" t="str">
        <f t="shared" si="2"/>
        <v/>
      </c>
    </row>
    <row r="94" spans="1:18" ht="30" x14ac:dyDescent="0.25">
      <c r="A94" s="23" t="s">
        <v>182</v>
      </c>
      <c r="B94" s="18" t="str">
        <f>IF(ISNA(VLOOKUP($A94,'Data Pull Sheet'!$B$2:$C$1795,2,0)),"",(VLOOKUP($A94,'Data Pull Sheet'!$B$2:$C$1795,2,0)))</f>
        <v>SUNE</v>
      </c>
      <c r="C94" s="59" t="s">
        <v>531</v>
      </c>
      <c r="D94" s="356" t="s">
        <v>532</v>
      </c>
      <c r="E94" s="356" t="s">
        <v>533</v>
      </c>
      <c r="F94" s="23" t="s">
        <v>3585</v>
      </c>
      <c r="G94" s="23" t="s">
        <v>403</v>
      </c>
      <c r="H94" s="353">
        <v>806456</v>
      </c>
      <c r="I94" s="59"/>
      <c r="J94" s="59" t="s">
        <v>3586</v>
      </c>
      <c r="K94" s="20"/>
      <c r="L94" s="20"/>
      <c r="M94" s="357"/>
      <c r="N94" s="411"/>
      <c r="O94" s="23" t="s">
        <v>11176</v>
      </c>
      <c r="P94" s="92" t="s">
        <v>632</v>
      </c>
      <c r="Q94" s="92" t="s">
        <v>646</v>
      </c>
      <c r="R94" s="372" t="str">
        <f t="shared" si="2"/>
        <v/>
      </c>
    </row>
    <row r="95" spans="1:18" ht="30" x14ac:dyDescent="0.25">
      <c r="A95" s="23" t="s">
        <v>182</v>
      </c>
      <c r="B95" s="18" t="str">
        <f>IF(ISNA(VLOOKUP($A95,'Data Pull Sheet'!$B$2:$C$1795,2,0)),"",(VLOOKUP($A95,'Data Pull Sheet'!$B$2:$C$1795,2,0)))</f>
        <v>SUNE</v>
      </c>
      <c r="C95" s="59" t="s">
        <v>531</v>
      </c>
      <c r="D95" s="356" t="s">
        <v>532</v>
      </c>
      <c r="E95" s="356" t="s">
        <v>533</v>
      </c>
      <c r="F95" s="23" t="s">
        <v>3587</v>
      </c>
      <c r="G95" s="23" t="s">
        <v>403</v>
      </c>
      <c r="H95" s="353">
        <v>918517</v>
      </c>
      <c r="I95" s="59"/>
      <c r="J95" s="59" t="s">
        <v>3588</v>
      </c>
      <c r="K95" s="20"/>
      <c r="L95" s="20"/>
      <c r="M95" s="357"/>
      <c r="N95" s="411"/>
      <c r="O95" s="23" t="s">
        <v>11176</v>
      </c>
      <c r="P95" s="92" t="s">
        <v>632</v>
      </c>
      <c r="Q95" s="92" t="s">
        <v>646</v>
      </c>
      <c r="R95" s="372" t="str">
        <f t="shared" si="2"/>
        <v/>
      </c>
    </row>
    <row r="96" spans="1:18" ht="30" x14ac:dyDescent="0.25">
      <c r="A96" s="23" t="s">
        <v>182</v>
      </c>
      <c r="B96" s="18" t="str">
        <f>IF(ISNA(VLOOKUP($A96,'Data Pull Sheet'!$B$2:$C$1795,2,0)),"",(VLOOKUP($A96,'Data Pull Sheet'!$B$2:$C$1795,2,0)))</f>
        <v>SUNE</v>
      </c>
      <c r="C96" s="59" t="s">
        <v>531</v>
      </c>
      <c r="D96" s="356" t="s">
        <v>532</v>
      </c>
      <c r="E96" s="356" t="s">
        <v>533</v>
      </c>
      <c r="F96" s="23" t="s">
        <v>3589</v>
      </c>
      <c r="G96" s="23" t="s">
        <v>403</v>
      </c>
      <c r="H96" s="353">
        <v>1032379</v>
      </c>
      <c r="I96" s="59"/>
      <c r="J96" s="59" t="s">
        <v>3590</v>
      </c>
      <c r="K96" s="20"/>
      <c r="L96" s="20"/>
      <c r="M96" s="357"/>
      <c r="N96" s="411"/>
      <c r="O96" s="23" t="s">
        <v>11176</v>
      </c>
      <c r="P96" s="92" t="s">
        <v>632</v>
      </c>
      <c r="Q96" s="92" t="s">
        <v>646</v>
      </c>
      <c r="R96" s="372" t="str">
        <f t="shared" si="2"/>
        <v/>
      </c>
    </row>
    <row r="97" spans="1:18" x14ac:dyDescent="0.25">
      <c r="A97" s="23" t="s">
        <v>4081</v>
      </c>
      <c r="B97" s="18" t="str">
        <f>IF(ISNA(VLOOKUP($A97,'Data Pull Sheet'!$B$2:$C$1795,2,0)),"",(VLOOKUP($A97,'Data Pull Sheet'!$B$2:$C$1795,2,0)))</f>
        <v>VTL</v>
      </c>
      <c r="C97" s="59" t="s">
        <v>557</v>
      </c>
      <c r="D97" s="356" t="s">
        <v>1766</v>
      </c>
      <c r="E97" s="356" t="s">
        <v>533</v>
      </c>
      <c r="F97" s="23" t="s">
        <v>4082</v>
      </c>
      <c r="G97" s="23" t="s">
        <v>403</v>
      </c>
      <c r="H97" s="353">
        <v>2728.14</v>
      </c>
      <c r="I97" s="59"/>
      <c r="J97" s="59" t="s">
        <v>4083</v>
      </c>
      <c r="K97" s="20">
        <v>3</v>
      </c>
      <c r="L97" s="20">
        <v>1</v>
      </c>
      <c r="M97" s="357">
        <f t="shared" ref="M97:M103" si="3">H97</f>
        <v>2728.14</v>
      </c>
      <c r="N97" s="411">
        <f>IFERROR((M97/(VLOOKUP(B97,'Data Pull Sheet'!$C:$H,6,FALSE))),"DC")</f>
        <v>1.091256E-5</v>
      </c>
      <c r="O97" s="23" t="s">
        <v>1015</v>
      </c>
      <c r="P97" s="92" t="s">
        <v>632</v>
      </c>
      <c r="Q97" s="92" t="s">
        <v>637</v>
      </c>
      <c r="R97" s="372" t="str">
        <f t="shared" si="2"/>
        <v/>
      </c>
    </row>
    <row r="98" spans="1:18" x14ac:dyDescent="0.25">
      <c r="A98" s="23" t="s">
        <v>4081</v>
      </c>
      <c r="B98" s="18" t="str">
        <f>IF(ISNA(VLOOKUP($A98,'Data Pull Sheet'!$B$2:$C$1795,2,0)),"",(VLOOKUP($A98,'Data Pull Sheet'!$B$2:$C$1795,2,0)))</f>
        <v>VTL</v>
      </c>
      <c r="C98" s="59" t="s">
        <v>557</v>
      </c>
      <c r="D98" s="356" t="s">
        <v>1766</v>
      </c>
      <c r="E98" s="356" t="s">
        <v>533</v>
      </c>
      <c r="F98" s="23" t="s">
        <v>4084</v>
      </c>
      <c r="G98" s="23" t="s">
        <v>403</v>
      </c>
      <c r="H98" s="353">
        <v>24534.44</v>
      </c>
      <c r="I98" s="59"/>
      <c r="J98" s="59" t="s">
        <v>4085</v>
      </c>
      <c r="K98" s="20"/>
      <c r="L98" s="20">
        <v>1</v>
      </c>
      <c r="M98" s="357">
        <f t="shared" si="3"/>
        <v>24534.44</v>
      </c>
      <c r="N98" s="411">
        <f>IFERROR((M98/(VLOOKUP(B98,'Data Pull Sheet'!$C:$H,6,FALSE))),"DC")</f>
        <v>9.8137759999999998E-5</v>
      </c>
      <c r="O98" s="23" t="s">
        <v>63</v>
      </c>
      <c r="P98" s="92" t="s">
        <v>632</v>
      </c>
      <c r="Q98" s="92" t="s">
        <v>637</v>
      </c>
      <c r="R98" s="372" t="str">
        <f t="shared" si="2"/>
        <v/>
      </c>
    </row>
    <row r="99" spans="1:18" x14ac:dyDescent="0.25">
      <c r="A99" s="23" t="s">
        <v>4081</v>
      </c>
      <c r="B99" s="18" t="str">
        <f>IF(ISNA(VLOOKUP($A99,'Data Pull Sheet'!$B$2:$C$1795,2,0)),"",(VLOOKUP($A99,'Data Pull Sheet'!$B$2:$C$1795,2,0)))</f>
        <v>VTL</v>
      </c>
      <c r="C99" s="59" t="s">
        <v>557</v>
      </c>
      <c r="D99" s="356" t="s">
        <v>1766</v>
      </c>
      <c r="E99" s="356" t="s">
        <v>533</v>
      </c>
      <c r="F99" s="23" t="s">
        <v>4086</v>
      </c>
      <c r="G99" s="23" t="s">
        <v>403</v>
      </c>
      <c r="H99" s="353">
        <v>8558</v>
      </c>
      <c r="I99" s="59"/>
      <c r="J99" s="59" t="s">
        <v>4087</v>
      </c>
      <c r="K99" s="20"/>
      <c r="L99" s="20">
        <v>1</v>
      </c>
      <c r="M99" s="357">
        <f t="shared" si="3"/>
        <v>8558</v>
      </c>
      <c r="N99" s="411">
        <f>IFERROR((M99/(VLOOKUP(B99,'Data Pull Sheet'!$C:$H,6,FALSE))),"DC")</f>
        <v>3.4232E-5</v>
      </c>
      <c r="O99" s="23" t="s">
        <v>79</v>
      </c>
      <c r="P99" s="92" t="s">
        <v>632</v>
      </c>
      <c r="Q99" s="92" t="s">
        <v>637</v>
      </c>
      <c r="R99" s="372" t="str">
        <f t="shared" si="2"/>
        <v/>
      </c>
    </row>
    <row r="100" spans="1:18" ht="30" x14ac:dyDescent="0.25">
      <c r="A100" s="23" t="s">
        <v>4162</v>
      </c>
      <c r="B100" s="18" t="str">
        <f>IF(ISNA(VLOOKUP($A100,'Data Pull Sheet'!$B$2:$C$1795,2,0)),"",(VLOOKUP($A100,'Data Pull Sheet'!$B$2:$C$1795,2,0)))</f>
        <v>XBIT</v>
      </c>
      <c r="C100" s="59" t="s">
        <v>1380</v>
      </c>
      <c r="D100" s="356" t="s">
        <v>1766</v>
      </c>
      <c r="E100" s="356" t="s">
        <v>533</v>
      </c>
      <c r="F100" s="23" t="s">
        <v>4163</v>
      </c>
      <c r="G100" s="23" t="s">
        <v>403</v>
      </c>
      <c r="H100" s="353">
        <v>737324</v>
      </c>
      <c r="I100" s="59"/>
      <c r="J100" s="59" t="s">
        <v>4164</v>
      </c>
      <c r="K100" s="20">
        <v>4</v>
      </c>
      <c r="L100" s="20">
        <v>1</v>
      </c>
      <c r="M100" s="357">
        <f t="shared" si="3"/>
        <v>737324</v>
      </c>
      <c r="N100" s="411">
        <f>IFERROR((M100/(VLOOKUP(B100,'Data Pull Sheet'!$C:$H,6,FALSE))),"DC")</f>
        <v>1.8433100000000001E-2</v>
      </c>
      <c r="O100" s="23" t="s">
        <v>4165</v>
      </c>
      <c r="P100" s="92" t="s">
        <v>632</v>
      </c>
      <c r="Q100" s="92" t="s">
        <v>637</v>
      </c>
      <c r="R100" s="372" t="str">
        <f t="shared" si="2"/>
        <v/>
      </c>
    </row>
    <row r="101" spans="1:18" x14ac:dyDescent="0.25">
      <c r="A101" s="23" t="s">
        <v>4162</v>
      </c>
      <c r="B101" s="18" t="str">
        <f>IF(ISNA(VLOOKUP($A101,'Data Pull Sheet'!$B$2:$C$1795,2,0)),"",(VLOOKUP($A101,'Data Pull Sheet'!$B$2:$C$1795,2,0)))</f>
        <v>XBIT</v>
      </c>
      <c r="C101" s="59" t="s">
        <v>1380</v>
      </c>
      <c r="D101" s="356" t="s">
        <v>1766</v>
      </c>
      <c r="E101" s="356" t="s">
        <v>533</v>
      </c>
      <c r="F101" s="23" t="s">
        <v>4166</v>
      </c>
      <c r="G101" s="23" t="s">
        <v>403</v>
      </c>
      <c r="H101" s="353">
        <v>8109.08</v>
      </c>
      <c r="I101" s="59"/>
      <c r="J101" s="59" t="s">
        <v>4167</v>
      </c>
      <c r="K101" s="20"/>
      <c r="L101" s="20">
        <v>1</v>
      </c>
      <c r="M101" s="357">
        <f t="shared" si="3"/>
        <v>8109.08</v>
      </c>
      <c r="N101" s="411">
        <f>IFERROR((M101/(VLOOKUP(B101,'Data Pull Sheet'!$C:$H,6,FALSE))),"DC")</f>
        <v>2.0272699999999999E-4</v>
      </c>
      <c r="O101" s="23" t="s">
        <v>1921</v>
      </c>
      <c r="P101" s="92" t="s">
        <v>632</v>
      </c>
      <c r="Q101" s="92" t="s">
        <v>637</v>
      </c>
      <c r="R101" s="372" t="str">
        <f t="shared" si="2"/>
        <v/>
      </c>
    </row>
    <row r="102" spans="1:18" x14ac:dyDescent="0.25">
      <c r="A102" s="23" t="s">
        <v>4162</v>
      </c>
      <c r="B102" s="18" t="str">
        <f>IF(ISNA(VLOOKUP($A102,'Data Pull Sheet'!$B$2:$C$1795,2,0)),"",(VLOOKUP($A102,'Data Pull Sheet'!$B$2:$C$1795,2,0)))</f>
        <v>XBIT</v>
      </c>
      <c r="C102" s="59" t="s">
        <v>1380</v>
      </c>
      <c r="D102" s="356" t="s">
        <v>1766</v>
      </c>
      <c r="E102" s="356" t="s">
        <v>533</v>
      </c>
      <c r="F102" s="23" t="s">
        <v>4168</v>
      </c>
      <c r="G102" s="23" t="s">
        <v>403</v>
      </c>
      <c r="H102" s="353">
        <v>9859.59</v>
      </c>
      <c r="I102" s="59"/>
      <c r="J102" s="59" t="s">
        <v>4169</v>
      </c>
      <c r="K102" s="20"/>
      <c r="L102" s="20">
        <v>1</v>
      </c>
      <c r="M102" s="357">
        <f t="shared" si="3"/>
        <v>9859.59</v>
      </c>
      <c r="N102" s="411">
        <f>IFERROR((M102/(VLOOKUP(B102,'Data Pull Sheet'!$C:$H,6,FALSE))),"DC")</f>
        <v>2.4648975E-4</v>
      </c>
      <c r="O102" s="23" t="s">
        <v>1926</v>
      </c>
      <c r="P102" s="92" t="s">
        <v>632</v>
      </c>
      <c r="Q102" s="92" t="s">
        <v>637</v>
      </c>
      <c r="R102" s="372" t="str">
        <f t="shared" si="2"/>
        <v/>
      </c>
    </row>
    <row r="103" spans="1:18" x14ac:dyDescent="0.25">
      <c r="A103" s="23" t="s">
        <v>4162</v>
      </c>
      <c r="B103" s="18" t="str">
        <f>IF(ISNA(VLOOKUP($A103,'Data Pull Sheet'!$B$2:$C$1795,2,0)),"",(VLOOKUP($A103,'Data Pull Sheet'!$B$2:$C$1795,2,0)))</f>
        <v>XBIT</v>
      </c>
      <c r="C103" s="59" t="s">
        <v>1380</v>
      </c>
      <c r="D103" s="356" t="s">
        <v>1766</v>
      </c>
      <c r="E103" s="356" t="s">
        <v>533</v>
      </c>
      <c r="F103" s="23" t="s">
        <v>4170</v>
      </c>
      <c r="G103" s="23" t="s">
        <v>403</v>
      </c>
      <c r="H103" s="353">
        <v>23605.25</v>
      </c>
      <c r="I103" s="59"/>
      <c r="J103" s="59" t="s">
        <v>4171</v>
      </c>
      <c r="K103" s="20"/>
      <c r="L103" s="20">
        <v>1</v>
      </c>
      <c r="M103" s="357">
        <f t="shared" si="3"/>
        <v>23605.25</v>
      </c>
      <c r="N103" s="411">
        <f>IFERROR((M103/(VLOOKUP(B103,'Data Pull Sheet'!$C:$H,6,FALSE))),"DC")</f>
        <v>5.9013125000000001E-4</v>
      </c>
      <c r="O103" s="23" t="s">
        <v>4172</v>
      </c>
      <c r="P103" s="92" t="s">
        <v>632</v>
      </c>
      <c r="Q103" s="92" t="s">
        <v>637</v>
      </c>
      <c r="R103" s="372" t="str">
        <f t="shared" si="2"/>
        <v/>
      </c>
    </row>
    <row r="104" spans="1:18" x14ac:dyDescent="0.25">
      <c r="A104" s="23" t="s">
        <v>4</v>
      </c>
      <c r="B104" s="18" t="str">
        <f>IF(ISNA(VLOOKUP($A104,'Data Pull Sheet'!$B$2:$C$1795,2,0)),"",(VLOOKUP($A104,'Data Pull Sheet'!$B$2:$C$1795,2,0)))</f>
        <v>VALE</v>
      </c>
      <c r="C104" s="59" t="s">
        <v>418</v>
      </c>
      <c r="D104" s="356" t="s">
        <v>419</v>
      </c>
      <c r="E104" s="356" t="s">
        <v>420</v>
      </c>
      <c r="F104" s="23" t="s">
        <v>4029</v>
      </c>
      <c r="G104" s="23" t="s">
        <v>417</v>
      </c>
      <c r="H104" s="353">
        <v>2265462.1</v>
      </c>
      <c r="I104" s="59"/>
      <c r="J104" s="59" t="s">
        <v>4030</v>
      </c>
      <c r="K104" s="20">
        <v>6</v>
      </c>
      <c r="L104" s="20">
        <v>2</v>
      </c>
      <c r="M104" s="357">
        <f>SUM(H104:H105)</f>
        <v>15297748.09</v>
      </c>
      <c r="N104" s="411">
        <f>IFERROR((M104/(VLOOKUP(B104,'Data Pull Sheet'!$C:$H,6,FALSE))),"DC")</f>
        <v>3.0595496180000001E-2</v>
      </c>
      <c r="O104" s="23" t="s">
        <v>1</v>
      </c>
      <c r="P104" s="92" t="s">
        <v>632</v>
      </c>
      <c r="Q104" s="92" t="s">
        <v>640</v>
      </c>
      <c r="R104" s="372" t="str">
        <f t="shared" si="2"/>
        <v/>
      </c>
    </row>
    <row r="105" spans="1:18" x14ac:dyDescent="0.25">
      <c r="A105" s="23" t="s">
        <v>4</v>
      </c>
      <c r="B105" s="18" t="str">
        <f>IF(ISNA(VLOOKUP($A105,'Data Pull Sheet'!$B$2:$C$1795,2,0)),"",(VLOOKUP($A105,'Data Pull Sheet'!$B$2:$C$1795,2,0)))</f>
        <v>VALE</v>
      </c>
      <c r="C105" s="59" t="s">
        <v>418</v>
      </c>
      <c r="D105" s="356" t="s">
        <v>419</v>
      </c>
      <c r="E105" s="356" t="s">
        <v>420</v>
      </c>
      <c r="F105" s="23" t="s">
        <v>0</v>
      </c>
      <c r="G105" s="23" t="s">
        <v>417</v>
      </c>
      <c r="H105" s="353">
        <v>13032285.99</v>
      </c>
      <c r="I105" s="59"/>
      <c r="J105" s="59" t="s">
        <v>4031</v>
      </c>
      <c r="K105" s="20"/>
      <c r="L105" s="20"/>
      <c r="M105" s="357"/>
      <c r="N105" s="411"/>
      <c r="O105" s="23" t="s">
        <v>1</v>
      </c>
      <c r="P105" s="92" t="s">
        <v>632</v>
      </c>
      <c r="Q105" s="92" t="s">
        <v>640</v>
      </c>
      <c r="R105" s="372" t="str">
        <f t="shared" si="2"/>
        <v>FF</v>
      </c>
    </row>
    <row r="106" spans="1:18" x14ac:dyDescent="0.25">
      <c r="A106" s="23" t="s">
        <v>4</v>
      </c>
      <c r="B106" s="18" t="str">
        <f>IF(ISNA(VLOOKUP($A106,'Data Pull Sheet'!$B$2:$C$1795,2,0)),"",(VLOOKUP($A106,'Data Pull Sheet'!$B$2:$C$1795,2,0)))</f>
        <v>VALE</v>
      </c>
      <c r="C106" s="59" t="s">
        <v>418</v>
      </c>
      <c r="D106" s="356" t="s">
        <v>419</v>
      </c>
      <c r="E106" s="356" t="s">
        <v>420</v>
      </c>
      <c r="F106" s="23" t="s">
        <v>4032</v>
      </c>
      <c r="G106" s="23" t="s">
        <v>403</v>
      </c>
      <c r="H106" s="353">
        <v>293749</v>
      </c>
      <c r="I106" s="59"/>
      <c r="J106" s="59" t="s">
        <v>4033</v>
      </c>
      <c r="K106" s="20"/>
      <c r="L106" s="20">
        <v>1</v>
      </c>
      <c r="M106" s="357">
        <f>H106</f>
        <v>293749</v>
      </c>
      <c r="N106" s="411">
        <f>IFERROR((M106/(VLOOKUP(B106,'Data Pull Sheet'!$C:$H,6,FALSE))),"DC")</f>
        <v>5.8749799999999999E-4</v>
      </c>
      <c r="O106" s="23" t="s">
        <v>4034</v>
      </c>
      <c r="P106" s="92" t="s">
        <v>632</v>
      </c>
      <c r="Q106" s="92" t="s">
        <v>637</v>
      </c>
      <c r="R106" s="372" t="str">
        <f t="shared" si="2"/>
        <v>FF</v>
      </c>
    </row>
    <row r="107" spans="1:18" x14ac:dyDescent="0.25">
      <c r="A107" s="23" t="s">
        <v>4</v>
      </c>
      <c r="B107" s="18" t="str">
        <f>IF(ISNA(VLOOKUP($A107,'Data Pull Sheet'!$B$2:$C$1795,2,0)),"",(VLOOKUP($A107,'Data Pull Sheet'!$B$2:$C$1795,2,0)))</f>
        <v>VALE</v>
      </c>
      <c r="C107" s="59" t="s">
        <v>418</v>
      </c>
      <c r="D107" s="356" t="s">
        <v>419</v>
      </c>
      <c r="E107" s="356" t="s">
        <v>420</v>
      </c>
      <c r="F107" s="23" t="s">
        <v>4035</v>
      </c>
      <c r="G107" s="23" t="s">
        <v>403</v>
      </c>
      <c r="H107" s="353">
        <v>60574</v>
      </c>
      <c r="I107" s="59"/>
      <c r="J107" s="59" t="s">
        <v>4036</v>
      </c>
      <c r="K107" s="20"/>
      <c r="L107" s="20">
        <v>5</v>
      </c>
      <c r="M107" s="357">
        <f>SUM(H107:H111)</f>
        <v>1024846</v>
      </c>
      <c r="N107" s="411">
        <f>IFERROR((M107/(VLOOKUP(B107,'Data Pull Sheet'!$C:$H,6,FALSE))),"DC")</f>
        <v>2.0496920000000001E-3</v>
      </c>
      <c r="O107" s="23" t="s">
        <v>1598</v>
      </c>
      <c r="P107" s="92" t="s">
        <v>632</v>
      </c>
      <c r="Q107" s="92" t="s">
        <v>646</v>
      </c>
      <c r="R107" s="372" t="str">
        <f t="shared" si="2"/>
        <v/>
      </c>
    </row>
    <row r="108" spans="1:18" x14ac:dyDescent="0.25">
      <c r="A108" s="23" t="s">
        <v>4</v>
      </c>
      <c r="B108" s="18" t="str">
        <f>IF(ISNA(VLOOKUP($A108,'Data Pull Sheet'!$B$2:$C$1795,2,0)),"",(VLOOKUP($A108,'Data Pull Sheet'!$B$2:$C$1795,2,0)))</f>
        <v>VALE</v>
      </c>
      <c r="C108" s="59" t="s">
        <v>418</v>
      </c>
      <c r="D108" s="356" t="s">
        <v>419</v>
      </c>
      <c r="E108" s="356" t="s">
        <v>420</v>
      </c>
      <c r="F108" s="23" t="s">
        <v>4037</v>
      </c>
      <c r="G108" s="23" t="s">
        <v>403</v>
      </c>
      <c r="H108" s="353">
        <v>74594</v>
      </c>
      <c r="I108" s="59"/>
      <c r="J108" s="59" t="s">
        <v>4038</v>
      </c>
      <c r="K108" s="20"/>
      <c r="L108" s="20"/>
      <c r="M108" s="357"/>
      <c r="N108" s="411"/>
      <c r="O108" s="23" t="s">
        <v>1598</v>
      </c>
      <c r="P108" s="92" t="s">
        <v>632</v>
      </c>
      <c r="Q108" s="92" t="s">
        <v>646</v>
      </c>
      <c r="R108" s="372" t="str">
        <f t="shared" si="2"/>
        <v/>
      </c>
    </row>
    <row r="109" spans="1:18" x14ac:dyDescent="0.25">
      <c r="A109" s="23" t="s">
        <v>4</v>
      </c>
      <c r="B109" s="18" t="str">
        <f>IF(ISNA(VLOOKUP($A109,'Data Pull Sheet'!$B$2:$C$1795,2,0)),"",(VLOOKUP($A109,'Data Pull Sheet'!$B$2:$C$1795,2,0)))</f>
        <v>VALE</v>
      </c>
      <c r="C109" s="59" t="s">
        <v>418</v>
      </c>
      <c r="D109" s="356" t="s">
        <v>419</v>
      </c>
      <c r="E109" s="356" t="s">
        <v>420</v>
      </c>
      <c r="F109" s="23" t="s">
        <v>4039</v>
      </c>
      <c r="G109" s="23" t="s">
        <v>403</v>
      </c>
      <c r="H109" s="353">
        <v>107420</v>
      </c>
      <c r="I109" s="59"/>
      <c r="J109" s="59" t="s">
        <v>4040</v>
      </c>
      <c r="K109" s="20"/>
      <c r="L109" s="20"/>
      <c r="M109" s="357"/>
      <c r="N109" s="411"/>
      <c r="O109" s="23" t="s">
        <v>1598</v>
      </c>
      <c r="P109" s="92" t="s">
        <v>632</v>
      </c>
      <c r="Q109" s="92" t="s">
        <v>646</v>
      </c>
      <c r="R109" s="372" t="str">
        <f t="shared" si="2"/>
        <v/>
      </c>
    </row>
    <row r="110" spans="1:18" x14ac:dyDescent="0.25">
      <c r="A110" s="23" t="s">
        <v>4</v>
      </c>
      <c r="B110" s="18" t="str">
        <f>IF(ISNA(VLOOKUP($A110,'Data Pull Sheet'!$B$2:$C$1795,2,0)),"",(VLOOKUP($A110,'Data Pull Sheet'!$B$2:$C$1795,2,0)))</f>
        <v>VALE</v>
      </c>
      <c r="C110" s="59" t="s">
        <v>418</v>
      </c>
      <c r="D110" s="356" t="s">
        <v>419</v>
      </c>
      <c r="E110" s="356" t="s">
        <v>420</v>
      </c>
      <c r="F110" s="23" t="s">
        <v>4032</v>
      </c>
      <c r="G110" s="23" t="s">
        <v>403</v>
      </c>
      <c r="H110" s="353">
        <v>294020</v>
      </c>
      <c r="I110" s="59"/>
      <c r="J110" s="59" t="s">
        <v>4041</v>
      </c>
      <c r="K110" s="20"/>
      <c r="L110" s="20"/>
      <c r="M110" s="357"/>
      <c r="N110" s="411"/>
      <c r="O110" s="23" t="s">
        <v>1598</v>
      </c>
      <c r="P110" s="92" t="s">
        <v>632</v>
      </c>
      <c r="Q110" s="92" t="s">
        <v>646</v>
      </c>
      <c r="R110" s="372" t="str">
        <f t="shared" si="2"/>
        <v>FF</v>
      </c>
    </row>
    <row r="111" spans="1:18" x14ac:dyDescent="0.25">
      <c r="A111" s="23" t="s">
        <v>4</v>
      </c>
      <c r="B111" s="18" t="str">
        <f>IF(ISNA(VLOOKUP($A111,'Data Pull Sheet'!$B$2:$C$1795,2,0)),"",(VLOOKUP($A111,'Data Pull Sheet'!$B$2:$C$1795,2,0)))</f>
        <v>VALE</v>
      </c>
      <c r="C111" s="59" t="s">
        <v>418</v>
      </c>
      <c r="D111" s="356" t="s">
        <v>419</v>
      </c>
      <c r="E111" s="356" t="s">
        <v>420</v>
      </c>
      <c r="F111" s="23" t="s">
        <v>4042</v>
      </c>
      <c r="G111" s="23" t="s">
        <v>403</v>
      </c>
      <c r="H111" s="353">
        <v>488238</v>
      </c>
      <c r="I111" s="59"/>
      <c r="J111" s="59" t="s">
        <v>4043</v>
      </c>
      <c r="K111" s="20"/>
      <c r="L111" s="20"/>
      <c r="M111" s="357"/>
      <c r="N111" s="411"/>
      <c r="O111" s="23" t="s">
        <v>1598</v>
      </c>
      <c r="P111" s="92" t="s">
        <v>632</v>
      </c>
      <c r="Q111" s="92" t="s">
        <v>646</v>
      </c>
      <c r="R111" s="372" t="str">
        <f t="shared" si="2"/>
        <v/>
      </c>
    </row>
    <row r="112" spans="1:18" x14ac:dyDescent="0.25">
      <c r="A112" s="23" t="s">
        <v>4</v>
      </c>
      <c r="B112" s="18" t="str">
        <f>IF(ISNA(VLOOKUP($A112,'Data Pull Sheet'!$B$2:$C$1795,2,0)),"",(VLOOKUP($A112,'Data Pull Sheet'!$B$2:$C$1795,2,0)))</f>
        <v>VALE</v>
      </c>
      <c r="C112" s="59" t="s">
        <v>418</v>
      </c>
      <c r="D112" s="356" t="s">
        <v>419</v>
      </c>
      <c r="E112" s="356" t="s">
        <v>420</v>
      </c>
      <c r="F112" s="23" t="s">
        <v>4044</v>
      </c>
      <c r="G112" s="23" t="s">
        <v>403</v>
      </c>
      <c r="H112" s="353">
        <v>204351.85</v>
      </c>
      <c r="I112" s="59" t="s">
        <v>406</v>
      </c>
      <c r="J112" s="59" t="s">
        <v>4045</v>
      </c>
      <c r="K112" s="20"/>
      <c r="L112" s="20">
        <v>3</v>
      </c>
      <c r="M112" s="357">
        <f>SUM(H112:H114)</f>
        <v>713671.76</v>
      </c>
      <c r="N112" s="411">
        <f>IFERROR((M112/(VLOOKUP(B112,'Data Pull Sheet'!$C:$H,6,FALSE))),"DC")</f>
        <v>1.4273435200000001E-3</v>
      </c>
      <c r="O112" s="23" t="s">
        <v>4046</v>
      </c>
      <c r="P112" s="92" t="s">
        <v>632</v>
      </c>
      <c r="Q112" s="92" t="s">
        <v>646</v>
      </c>
      <c r="R112" s="372" t="str">
        <f t="shared" si="2"/>
        <v/>
      </c>
    </row>
    <row r="113" spans="1:18" x14ac:dyDescent="0.25">
      <c r="A113" s="23" t="s">
        <v>4</v>
      </c>
      <c r="B113" s="18" t="str">
        <f>IF(ISNA(VLOOKUP($A113,'Data Pull Sheet'!$B$2:$C$1795,2,0)),"",(VLOOKUP($A113,'Data Pull Sheet'!$B$2:$C$1795,2,0)))</f>
        <v>VALE</v>
      </c>
      <c r="C113" s="59" t="s">
        <v>418</v>
      </c>
      <c r="D113" s="356" t="s">
        <v>419</v>
      </c>
      <c r="E113" s="356" t="s">
        <v>420</v>
      </c>
      <c r="F113" s="23" t="s">
        <v>595</v>
      </c>
      <c r="G113" s="23" t="s">
        <v>403</v>
      </c>
      <c r="H113" s="353">
        <v>247136.76</v>
      </c>
      <c r="I113" s="59" t="s">
        <v>406</v>
      </c>
      <c r="J113" s="59" t="s">
        <v>4047</v>
      </c>
      <c r="K113" s="20"/>
      <c r="L113" s="20"/>
      <c r="M113" s="357"/>
      <c r="N113" s="411"/>
      <c r="O113" s="23" t="s">
        <v>4046</v>
      </c>
      <c r="P113" s="92" t="s">
        <v>632</v>
      </c>
      <c r="Q113" s="92" t="s">
        <v>646</v>
      </c>
      <c r="R113" s="372" t="str">
        <f t="shared" si="2"/>
        <v>FF</v>
      </c>
    </row>
    <row r="114" spans="1:18" x14ac:dyDescent="0.25">
      <c r="A114" s="23" t="s">
        <v>4</v>
      </c>
      <c r="B114" s="18" t="str">
        <f>IF(ISNA(VLOOKUP($A114,'Data Pull Sheet'!$B$2:$C$1795,2,0)),"",(VLOOKUP($A114,'Data Pull Sheet'!$B$2:$C$1795,2,0)))</f>
        <v>VALE</v>
      </c>
      <c r="C114" s="59" t="s">
        <v>418</v>
      </c>
      <c r="D114" s="356" t="s">
        <v>419</v>
      </c>
      <c r="E114" s="356" t="s">
        <v>420</v>
      </c>
      <c r="F114" s="23" t="s">
        <v>4048</v>
      </c>
      <c r="G114" s="23" t="s">
        <v>403</v>
      </c>
      <c r="H114" s="353">
        <v>262183.15000000002</v>
      </c>
      <c r="I114" s="59" t="s">
        <v>406</v>
      </c>
      <c r="J114" s="59" t="s">
        <v>4049</v>
      </c>
      <c r="K114" s="20"/>
      <c r="L114" s="20"/>
      <c r="M114" s="357"/>
      <c r="N114" s="411"/>
      <c r="O114" s="23" t="s">
        <v>4046</v>
      </c>
      <c r="P114" s="92" t="s">
        <v>632</v>
      </c>
      <c r="Q114" s="92" t="s">
        <v>646</v>
      </c>
      <c r="R114" s="372" t="str">
        <f t="shared" si="2"/>
        <v/>
      </c>
    </row>
    <row r="115" spans="1:18" x14ac:dyDescent="0.25">
      <c r="A115" s="23" t="s">
        <v>4</v>
      </c>
      <c r="B115" s="18" t="str">
        <f>IF(ISNA(VLOOKUP($A115,'Data Pull Sheet'!$B$2:$C$1795,2,0)),"",(VLOOKUP($A115,'Data Pull Sheet'!$B$2:$C$1795,2,0)))</f>
        <v>VALE</v>
      </c>
      <c r="C115" s="59" t="s">
        <v>418</v>
      </c>
      <c r="D115" s="356" t="s">
        <v>419</v>
      </c>
      <c r="E115" s="356" t="s">
        <v>420</v>
      </c>
      <c r="F115" s="23" t="s">
        <v>4050</v>
      </c>
      <c r="G115" s="23" t="s">
        <v>417</v>
      </c>
      <c r="H115" s="353">
        <v>354112</v>
      </c>
      <c r="I115" s="59" t="s">
        <v>406</v>
      </c>
      <c r="J115" s="59" t="s">
        <v>4051</v>
      </c>
      <c r="K115" s="20"/>
      <c r="L115" s="20">
        <v>1</v>
      </c>
      <c r="M115" s="357">
        <f>H115</f>
        <v>354112</v>
      </c>
      <c r="N115" s="411">
        <f>IFERROR((M115/(VLOOKUP(B115,'Data Pull Sheet'!$C:$H,6,FALSE))),"DC")</f>
        <v>7.0822400000000003E-4</v>
      </c>
      <c r="O115" s="23" t="s">
        <v>1002</v>
      </c>
      <c r="P115" s="92" t="s">
        <v>632</v>
      </c>
      <c r="Q115" s="92" t="s">
        <v>633</v>
      </c>
      <c r="R115" s="372" t="str">
        <f t="shared" si="2"/>
        <v/>
      </c>
    </row>
    <row r="116" spans="1:18" x14ac:dyDescent="0.25">
      <c r="A116" s="23" t="s">
        <v>4</v>
      </c>
      <c r="B116" s="18" t="str">
        <f>IF(ISNA(VLOOKUP($A116,'Data Pull Sheet'!$B$2:$C$1795,2,0)),"",(VLOOKUP($A116,'Data Pull Sheet'!$B$2:$C$1795,2,0)))</f>
        <v>VALE</v>
      </c>
      <c r="C116" s="59" t="s">
        <v>418</v>
      </c>
      <c r="D116" s="356" t="s">
        <v>419</v>
      </c>
      <c r="E116" s="356" t="s">
        <v>420</v>
      </c>
      <c r="F116" s="23" t="s">
        <v>4052</v>
      </c>
      <c r="G116" s="23" t="s">
        <v>403</v>
      </c>
      <c r="H116" s="353">
        <v>319372.34000000003</v>
      </c>
      <c r="I116" s="59"/>
      <c r="J116" s="59" t="s">
        <v>4053</v>
      </c>
      <c r="K116" s="20"/>
      <c r="L116" s="20">
        <v>1</v>
      </c>
      <c r="M116" s="357">
        <f>H116</f>
        <v>319372.34000000003</v>
      </c>
      <c r="N116" s="411">
        <f>IFERROR((M116/(VLOOKUP(B116,'Data Pull Sheet'!$C:$H,6,FALSE))),"DC")</f>
        <v>6.3874468E-4</v>
      </c>
      <c r="O116" s="23" t="s">
        <v>63</v>
      </c>
      <c r="P116" s="92" t="s">
        <v>632</v>
      </c>
      <c r="Q116" s="92" t="s">
        <v>637</v>
      </c>
      <c r="R116" s="372" t="str">
        <f t="shared" si="2"/>
        <v/>
      </c>
    </row>
    <row r="117" spans="1:18" ht="30" x14ac:dyDescent="0.25">
      <c r="A117" s="23" t="s">
        <v>162</v>
      </c>
      <c r="B117" s="18" t="str">
        <f>IF(ISNA(VLOOKUP($A117,'Data Pull Sheet'!$B$2:$C$1795,2,0)),"",(VLOOKUP($A117,'Data Pull Sheet'!$B$2:$C$1795,2,0)))</f>
        <v>DOLE</v>
      </c>
      <c r="C117" s="59" t="s">
        <v>437</v>
      </c>
      <c r="D117" s="356" t="s">
        <v>517</v>
      </c>
      <c r="E117" s="356" t="s">
        <v>518</v>
      </c>
      <c r="F117" s="23" t="s">
        <v>1641</v>
      </c>
      <c r="G117" s="23" t="s">
        <v>417</v>
      </c>
      <c r="H117" s="353" t="s">
        <v>10798</v>
      </c>
      <c r="I117" s="59"/>
      <c r="J117" s="59" t="s">
        <v>1642</v>
      </c>
      <c r="K117" s="20">
        <v>4</v>
      </c>
      <c r="L117" s="20">
        <v>4</v>
      </c>
      <c r="M117" s="357" t="s">
        <v>10798</v>
      </c>
      <c r="N117" s="411" t="str">
        <f>IFERROR((M117/(VLOOKUP(B117,'Data Pull Sheet'!$C:$H,6,FALSE))),"DC")</f>
        <v>DC</v>
      </c>
      <c r="O117" s="23" t="s">
        <v>1643</v>
      </c>
      <c r="P117" s="92" t="s">
        <v>632</v>
      </c>
      <c r="Q117" s="92" t="s">
        <v>640</v>
      </c>
      <c r="R117" s="372" t="str">
        <f t="shared" si="2"/>
        <v/>
      </c>
    </row>
    <row r="118" spans="1:18" ht="30" x14ac:dyDescent="0.25">
      <c r="A118" s="23" t="s">
        <v>162</v>
      </c>
      <c r="B118" s="18" t="str">
        <f>IF(ISNA(VLOOKUP($A118,'Data Pull Sheet'!$B$2:$C$1795,2,0)),"",(VLOOKUP($A118,'Data Pull Sheet'!$B$2:$C$1795,2,0)))</f>
        <v>DOLE</v>
      </c>
      <c r="C118" s="59" t="s">
        <v>437</v>
      </c>
      <c r="D118" s="356" t="s">
        <v>517</v>
      </c>
      <c r="E118" s="356" t="s">
        <v>518</v>
      </c>
      <c r="F118" s="23" t="s">
        <v>1644</v>
      </c>
      <c r="G118" s="23" t="s">
        <v>417</v>
      </c>
      <c r="H118" s="353" t="s">
        <v>10798</v>
      </c>
      <c r="I118" s="59"/>
      <c r="J118" s="59" t="s">
        <v>1645</v>
      </c>
      <c r="K118" s="20"/>
      <c r="L118" s="20"/>
      <c r="M118" s="357"/>
      <c r="N118" s="411"/>
      <c r="O118" s="23" t="s">
        <v>1643</v>
      </c>
      <c r="P118" s="92" t="s">
        <v>632</v>
      </c>
      <c r="Q118" s="92" t="s">
        <v>640</v>
      </c>
      <c r="R118" s="372" t="str">
        <f t="shared" si="2"/>
        <v/>
      </c>
    </row>
    <row r="119" spans="1:18" ht="30" x14ac:dyDescent="0.25">
      <c r="A119" s="23" t="s">
        <v>162</v>
      </c>
      <c r="B119" s="18" t="str">
        <f>IF(ISNA(VLOOKUP($A119,'Data Pull Sheet'!$B$2:$C$1795,2,0)),"",(VLOOKUP($A119,'Data Pull Sheet'!$B$2:$C$1795,2,0)))</f>
        <v>DOLE</v>
      </c>
      <c r="C119" s="59" t="s">
        <v>437</v>
      </c>
      <c r="D119" s="356" t="s">
        <v>517</v>
      </c>
      <c r="E119" s="356" t="s">
        <v>518</v>
      </c>
      <c r="F119" s="23" t="s">
        <v>1646</v>
      </c>
      <c r="G119" s="23" t="s">
        <v>417</v>
      </c>
      <c r="H119" s="353" t="s">
        <v>10798</v>
      </c>
      <c r="I119" s="59"/>
      <c r="J119" s="59" t="s">
        <v>1647</v>
      </c>
      <c r="K119" s="20"/>
      <c r="L119" s="20"/>
      <c r="M119" s="357"/>
      <c r="N119" s="411"/>
      <c r="O119" s="23" t="s">
        <v>1643</v>
      </c>
      <c r="P119" s="92" t="s">
        <v>632</v>
      </c>
      <c r="Q119" s="92" t="s">
        <v>640</v>
      </c>
      <c r="R119" s="372" t="str">
        <f t="shared" si="2"/>
        <v>FF</v>
      </c>
    </row>
    <row r="120" spans="1:18" ht="30" x14ac:dyDescent="0.25">
      <c r="A120" s="23" t="s">
        <v>162</v>
      </c>
      <c r="B120" s="18" t="str">
        <f>IF(ISNA(VLOOKUP($A120,'Data Pull Sheet'!$B$2:$C$1795,2,0)),"",(VLOOKUP($A120,'Data Pull Sheet'!$B$2:$C$1795,2,0)))</f>
        <v>DOLE</v>
      </c>
      <c r="C120" s="59" t="s">
        <v>437</v>
      </c>
      <c r="D120" s="356" t="s">
        <v>517</v>
      </c>
      <c r="E120" s="356" t="s">
        <v>518</v>
      </c>
      <c r="F120" s="23" t="s">
        <v>1648</v>
      </c>
      <c r="G120" s="23" t="s">
        <v>417</v>
      </c>
      <c r="H120" s="353" t="s">
        <v>10798</v>
      </c>
      <c r="I120" s="59"/>
      <c r="J120" s="59" t="s">
        <v>1649</v>
      </c>
      <c r="K120" s="20"/>
      <c r="L120" s="20"/>
      <c r="M120" s="357"/>
      <c r="N120" s="411"/>
      <c r="O120" s="23" t="s">
        <v>1643</v>
      </c>
      <c r="P120" s="92" t="s">
        <v>632</v>
      </c>
      <c r="Q120" s="92" t="s">
        <v>640</v>
      </c>
      <c r="R120" s="372" t="str">
        <f t="shared" si="2"/>
        <v>FF</v>
      </c>
    </row>
    <row r="121" spans="1:18" x14ac:dyDescent="0.25">
      <c r="A121" s="23" t="s">
        <v>162</v>
      </c>
      <c r="B121" s="18" t="str">
        <f>IF(ISNA(VLOOKUP($A121,'Data Pull Sheet'!$B$2:$C$1795,2,0)),"",(VLOOKUP($A121,'Data Pull Sheet'!$B$2:$C$1795,2,0)))</f>
        <v>DOLE</v>
      </c>
      <c r="C121" s="59" t="s">
        <v>437</v>
      </c>
      <c r="D121" s="356" t="s">
        <v>517</v>
      </c>
      <c r="E121" s="356" t="s">
        <v>518</v>
      </c>
      <c r="F121" s="23" t="s">
        <v>1650</v>
      </c>
      <c r="G121" s="23" t="s">
        <v>403</v>
      </c>
      <c r="H121" s="353">
        <v>15865</v>
      </c>
      <c r="I121" s="59" t="s">
        <v>1651</v>
      </c>
      <c r="J121" s="59" t="s">
        <v>1652</v>
      </c>
      <c r="K121" s="20"/>
      <c r="L121" s="20">
        <v>3</v>
      </c>
      <c r="M121" s="357">
        <f>SUM(H121:H123)</f>
        <v>258628.04</v>
      </c>
      <c r="N121" s="411">
        <f>IFERROR((M121/(VLOOKUP(B121,'Data Pull Sheet'!$C:$H,6,FALSE))),"DC")</f>
        <v>7.9577858461538466E-4</v>
      </c>
      <c r="O121" s="23" t="s">
        <v>1653</v>
      </c>
      <c r="P121" s="92" t="s">
        <v>632</v>
      </c>
      <c r="Q121" s="92" t="s">
        <v>646</v>
      </c>
      <c r="R121" s="372" t="str">
        <f t="shared" si="2"/>
        <v/>
      </c>
    </row>
    <row r="122" spans="1:18" x14ac:dyDescent="0.25">
      <c r="A122" s="23" t="s">
        <v>162</v>
      </c>
      <c r="B122" s="18" t="str">
        <f>IF(ISNA(VLOOKUP($A122,'Data Pull Sheet'!$B$2:$C$1795,2,0)),"",(VLOOKUP($A122,'Data Pull Sheet'!$B$2:$C$1795,2,0)))</f>
        <v>DOLE</v>
      </c>
      <c r="C122" s="59" t="s">
        <v>437</v>
      </c>
      <c r="D122" s="356" t="s">
        <v>517</v>
      </c>
      <c r="E122" s="356" t="s">
        <v>518</v>
      </c>
      <c r="F122" s="23" t="s">
        <v>1654</v>
      </c>
      <c r="G122" s="23" t="s">
        <v>403</v>
      </c>
      <c r="H122" s="353">
        <v>66896.160000000003</v>
      </c>
      <c r="I122" s="59" t="s">
        <v>1651</v>
      </c>
      <c r="J122" s="59" t="s">
        <v>1655</v>
      </c>
      <c r="K122" s="20"/>
      <c r="L122" s="20"/>
      <c r="M122" s="357"/>
      <c r="N122" s="411"/>
      <c r="O122" s="23" t="s">
        <v>1653</v>
      </c>
      <c r="P122" s="92" t="s">
        <v>632</v>
      </c>
      <c r="Q122" s="92" t="s">
        <v>646</v>
      </c>
      <c r="R122" s="372" t="str">
        <f t="shared" si="2"/>
        <v/>
      </c>
    </row>
    <row r="123" spans="1:18" x14ac:dyDescent="0.25">
      <c r="A123" s="23" t="s">
        <v>162</v>
      </c>
      <c r="B123" s="18" t="str">
        <f>IF(ISNA(VLOOKUP($A123,'Data Pull Sheet'!$B$2:$C$1795,2,0)),"",(VLOOKUP($A123,'Data Pull Sheet'!$B$2:$C$1795,2,0)))</f>
        <v>DOLE</v>
      </c>
      <c r="C123" s="59" t="s">
        <v>437</v>
      </c>
      <c r="D123" s="356" t="s">
        <v>517</v>
      </c>
      <c r="E123" s="356" t="s">
        <v>518</v>
      </c>
      <c r="F123" s="23" t="s">
        <v>1656</v>
      </c>
      <c r="G123" s="23" t="s">
        <v>403</v>
      </c>
      <c r="H123" s="353">
        <v>175866.88</v>
      </c>
      <c r="I123" s="59" t="s">
        <v>1651</v>
      </c>
      <c r="J123" s="59" t="s">
        <v>1657</v>
      </c>
      <c r="K123" s="20"/>
      <c r="L123" s="20"/>
      <c r="M123" s="357"/>
      <c r="N123" s="411"/>
      <c r="O123" s="23" t="s">
        <v>1653</v>
      </c>
      <c r="P123" s="92" t="s">
        <v>632</v>
      </c>
      <c r="Q123" s="92" t="s">
        <v>646</v>
      </c>
      <c r="R123" s="372" t="str">
        <f t="shared" si="2"/>
        <v/>
      </c>
    </row>
    <row r="124" spans="1:18" x14ac:dyDescent="0.25">
      <c r="A124" s="23" t="s">
        <v>162</v>
      </c>
      <c r="B124" s="18" t="str">
        <f>IF(ISNA(VLOOKUP($A124,'Data Pull Sheet'!$B$2:$C$1795,2,0)),"",(VLOOKUP($A124,'Data Pull Sheet'!$B$2:$C$1795,2,0)))</f>
        <v>DOLE</v>
      </c>
      <c r="C124" s="59" t="s">
        <v>437</v>
      </c>
      <c r="D124" s="356" t="s">
        <v>517</v>
      </c>
      <c r="E124" s="356" t="s">
        <v>518</v>
      </c>
      <c r="F124" s="23" t="s">
        <v>1658</v>
      </c>
      <c r="G124" s="23" t="s">
        <v>417</v>
      </c>
      <c r="H124" s="353" t="s">
        <v>10798</v>
      </c>
      <c r="I124" s="59"/>
      <c r="J124" s="59" t="s">
        <v>1659</v>
      </c>
      <c r="K124" s="20"/>
      <c r="L124" s="20">
        <v>1</v>
      </c>
      <c r="M124" s="357" t="s">
        <v>10798</v>
      </c>
      <c r="N124" s="411" t="str">
        <f>IFERROR((M124/(VLOOKUP(B124,'Data Pull Sheet'!$C:$H,6,FALSE))),"DC")</f>
        <v>DC</v>
      </c>
      <c r="O124" s="23" t="s">
        <v>1660</v>
      </c>
      <c r="P124" s="92" t="s">
        <v>632</v>
      </c>
      <c r="Q124" s="92" t="s">
        <v>633</v>
      </c>
      <c r="R124" s="372" t="str">
        <f t="shared" si="2"/>
        <v/>
      </c>
    </row>
    <row r="125" spans="1:18" ht="30" x14ac:dyDescent="0.25">
      <c r="A125" s="23" t="s">
        <v>162</v>
      </c>
      <c r="B125" s="18" t="str">
        <f>IF(ISNA(VLOOKUP($A125,'Data Pull Sheet'!$B$2:$C$1795,2,0)),"",(VLOOKUP($A125,'Data Pull Sheet'!$B$2:$C$1795,2,0)))</f>
        <v>DOLE</v>
      </c>
      <c r="C125" s="59" t="s">
        <v>437</v>
      </c>
      <c r="D125" s="356" t="s">
        <v>517</v>
      </c>
      <c r="E125" s="356" t="s">
        <v>518</v>
      </c>
      <c r="F125" s="23" t="s">
        <v>156</v>
      </c>
      <c r="G125" s="23" t="s">
        <v>417</v>
      </c>
      <c r="H125" s="353">
        <v>97734.16</v>
      </c>
      <c r="I125" s="59"/>
      <c r="J125" s="59" t="s">
        <v>1661</v>
      </c>
      <c r="K125" s="20"/>
      <c r="L125" s="20">
        <v>1</v>
      </c>
      <c r="M125" s="357">
        <f>H125</f>
        <v>97734.16</v>
      </c>
      <c r="N125" s="411">
        <f>IFERROR((M125/(VLOOKUP(B125,'Data Pull Sheet'!$C:$H,6,FALSE))),"DC")</f>
        <v>3.0072049230769231E-4</v>
      </c>
      <c r="O125" s="23" t="s">
        <v>1662</v>
      </c>
      <c r="P125" s="92" t="s">
        <v>632</v>
      </c>
      <c r="Q125" s="92" t="s">
        <v>633</v>
      </c>
      <c r="R125" s="372" t="str">
        <f t="shared" si="2"/>
        <v>FF</v>
      </c>
    </row>
    <row r="126" spans="1:18" x14ac:dyDescent="0.25">
      <c r="A126" s="23" t="s">
        <v>3622</v>
      </c>
      <c r="B126" s="18" t="str">
        <f>IF(ISNA(VLOOKUP($A126,'Data Pull Sheet'!$B$2:$C$1795,2,0)),"",(VLOOKUP($A126,'Data Pull Sheet'!$B$2:$C$1795,2,0)))</f>
        <v>SPCB</v>
      </c>
      <c r="C126" s="59" t="s">
        <v>418</v>
      </c>
      <c r="D126" s="356" t="s">
        <v>2708</v>
      </c>
      <c r="E126" s="356" t="s">
        <v>518</v>
      </c>
      <c r="F126" s="23" t="s">
        <v>3623</v>
      </c>
      <c r="G126" s="23" t="s">
        <v>403</v>
      </c>
      <c r="H126" s="353">
        <v>203741</v>
      </c>
      <c r="I126" s="59"/>
      <c r="J126" s="59" t="s">
        <v>3624</v>
      </c>
      <c r="K126" s="20">
        <v>3</v>
      </c>
      <c r="L126" s="20">
        <v>1</v>
      </c>
      <c r="M126" s="357">
        <f>H126</f>
        <v>203741</v>
      </c>
      <c r="N126" s="411">
        <f>IFERROR((M126/(VLOOKUP(B126,'Data Pull Sheet'!$C:$H,6,FALSE))),"DC")</f>
        <v>1.3582733333333333E-2</v>
      </c>
      <c r="O126" s="23" t="s">
        <v>584</v>
      </c>
      <c r="P126" s="92" t="s">
        <v>632</v>
      </c>
      <c r="Q126" s="92" t="s">
        <v>637</v>
      </c>
      <c r="R126" s="372" t="str">
        <f t="shared" si="2"/>
        <v/>
      </c>
    </row>
    <row r="127" spans="1:18" ht="30" x14ac:dyDescent="0.25">
      <c r="A127" s="23" t="s">
        <v>3622</v>
      </c>
      <c r="B127" s="18" t="str">
        <f>IF(ISNA(VLOOKUP($A127,'Data Pull Sheet'!$B$2:$C$1795,2,0)),"",(VLOOKUP($A127,'Data Pull Sheet'!$B$2:$C$1795,2,0)))</f>
        <v>SPCB</v>
      </c>
      <c r="C127" s="59" t="s">
        <v>418</v>
      </c>
      <c r="D127" s="356" t="s">
        <v>2708</v>
      </c>
      <c r="E127" s="356" t="s">
        <v>518</v>
      </c>
      <c r="F127" s="23" t="s">
        <v>3625</v>
      </c>
      <c r="G127" s="23" t="s">
        <v>417</v>
      </c>
      <c r="H127" s="353">
        <v>153219.51999999999</v>
      </c>
      <c r="I127" s="59"/>
      <c r="J127" s="59" t="s">
        <v>3626</v>
      </c>
      <c r="K127" s="20"/>
      <c r="L127" s="20">
        <v>1</v>
      </c>
      <c r="M127" s="357">
        <f>H127</f>
        <v>153219.51999999999</v>
      </c>
      <c r="N127" s="411">
        <f>IFERROR((M127/(VLOOKUP(B127,'Data Pull Sheet'!$C:$H,6,FALSE))),"DC")</f>
        <v>1.0214634666666667E-2</v>
      </c>
      <c r="O127" s="23" t="s">
        <v>3627</v>
      </c>
      <c r="P127" s="92" t="s">
        <v>632</v>
      </c>
      <c r="Q127" s="92" t="s">
        <v>633</v>
      </c>
      <c r="R127" s="372" t="str">
        <f t="shared" si="2"/>
        <v/>
      </c>
    </row>
    <row r="128" spans="1:18" x14ac:dyDescent="0.25">
      <c r="A128" s="23" t="s">
        <v>3622</v>
      </c>
      <c r="B128" s="18" t="str">
        <f>IF(ISNA(VLOOKUP($A128,'Data Pull Sheet'!$B$2:$C$1795,2,0)),"",(VLOOKUP($A128,'Data Pull Sheet'!$B$2:$C$1795,2,0)))</f>
        <v>SPCB</v>
      </c>
      <c r="C128" s="59" t="s">
        <v>418</v>
      </c>
      <c r="D128" s="356" t="s">
        <v>2708</v>
      </c>
      <c r="E128" s="356" t="s">
        <v>518</v>
      </c>
      <c r="F128" s="23" t="s">
        <v>3628</v>
      </c>
      <c r="G128" s="23" t="s">
        <v>403</v>
      </c>
      <c r="H128" s="353">
        <v>37223.18</v>
      </c>
      <c r="I128" s="59"/>
      <c r="J128" s="59" t="s">
        <v>3629</v>
      </c>
      <c r="K128" s="20"/>
      <c r="L128" s="20">
        <v>1</v>
      </c>
      <c r="M128" s="357">
        <f>H128</f>
        <v>37223.18</v>
      </c>
      <c r="N128" s="411">
        <f>IFERROR((M128/(VLOOKUP(B128,'Data Pull Sheet'!$C:$H,6,FALSE))),"DC")</f>
        <v>2.4815453333333335E-3</v>
      </c>
      <c r="O128" s="23" t="s">
        <v>682</v>
      </c>
      <c r="P128" s="92" t="s">
        <v>632</v>
      </c>
      <c r="Q128" s="92" t="s">
        <v>637</v>
      </c>
      <c r="R128" s="372" t="str">
        <f t="shared" si="2"/>
        <v/>
      </c>
    </row>
    <row r="129" spans="1:18" x14ac:dyDescent="0.25">
      <c r="A129" s="23" t="s">
        <v>2270</v>
      </c>
      <c r="B129" s="18" t="str">
        <f>IF(ISNA(VLOOKUP($A129,'Data Pull Sheet'!$B$2:$C$1795,2,0)),"",(VLOOKUP($A129,'Data Pull Sheet'!$B$2:$C$1795,2,0)))</f>
        <v>INVE</v>
      </c>
      <c r="C129" s="59" t="s">
        <v>457</v>
      </c>
      <c r="D129" s="356" t="s">
        <v>2271</v>
      </c>
      <c r="E129" s="356" t="s">
        <v>459</v>
      </c>
      <c r="F129" s="23" t="s">
        <v>2272</v>
      </c>
      <c r="G129" s="23" t="s">
        <v>403</v>
      </c>
      <c r="H129" s="353">
        <v>947025.72</v>
      </c>
      <c r="I129" s="59"/>
      <c r="J129" s="59" t="s">
        <v>2273</v>
      </c>
      <c r="K129" s="20">
        <v>3</v>
      </c>
      <c r="L129" s="20">
        <v>1</v>
      </c>
      <c r="M129" s="357">
        <f>H129</f>
        <v>947025.72</v>
      </c>
      <c r="N129" s="411">
        <f>IFERROR((M129/(VLOOKUP(B129,'Data Pull Sheet'!$C:$H,6,FALSE))),"DC")</f>
        <v>0.259459101369863</v>
      </c>
      <c r="O129" s="23" t="s">
        <v>1944</v>
      </c>
      <c r="P129" s="92" t="s">
        <v>632</v>
      </c>
      <c r="Q129" s="92" t="s">
        <v>637</v>
      </c>
      <c r="R129" s="372" t="str">
        <f t="shared" si="2"/>
        <v/>
      </c>
    </row>
    <row r="130" spans="1:18" x14ac:dyDescent="0.25">
      <c r="A130" s="23" t="s">
        <v>2270</v>
      </c>
      <c r="B130" s="18" t="str">
        <f>IF(ISNA(VLOOKUP($A130,'Data Pull Sheet'!$B$2:$C$1795,2,0)),"",(VLOOKUP($A130,'Data Pull Sheet'!$B$2:$C$1795,2,0)))</f>
        <v>INVE</v>
      </c>
      <c r="C130" s="59" t="s">
        <v>457</v>
      </c>
      <c r="D130" s="356" t="s">
        <v>2271</v>
      </c>
      <c r="E130" s="356" t="s">
        <v>459</v>
      </c>
      <c r="F130" s="23" t="s">
        <v>2274</v>
      </c>
      <c r="G130" s="23" t="s">
        <v>403</v>
      </c>
      <c r="H130" s="353">
        <v>14459</v>
      </c>
      <c r="I130" s="59"/>
      <c r="J130" s="59" t="s">
        <v>2275</v>
      </c>
      <c r="K130" s="20"/>
      <c r="L130" s="20">
        <v>3</v>
      </c>
      <c r="M130" s="357">
        <f>SUM(H130:H132)</f>
        <v>174239</v>
      </c>
      <c r="N130" s="411">
        <f>IFERROR((M130/(VLOOKUP(B130,'Data Pull Sheet'!$C:$H,6,FALSE))),"DC")</f>
        <v>4.7736712328767125E-2</v>
      </c>
      <c r="O130" s="23" t="s">
        <v>584</v>
      </c>
      <c r="P130" s="92" t="s">
        <v>632</v>
      </c>
      <c r="Q130" s="92" t="s">
        <v>646</v>
      </c>
      <c r="R130" s="372" t="str">
        <f t="shared" ref="R130:R193" si="4">IF(COUNTIF(F:F,F130)&gt;=2,"FF","")</f>
        <v/>
      </c>
    </row>
    <row r="131" spans="1:18" x14ac:dyDescent="0.25">
      <c r="A131" s="23" t="s">
        <v>2270</v>
      </c>
      <c r="B131" s="18" t="str">
        <f>IF(ISNA(VLOOKUP($A131,'Data Pull Sheet'!$B$2:$C$1795,2,0)),"",(VLOOKUP($A131,'Data Pull Sheet'!$B$2:$C$1795,2,0)))</f>
        <v>INVE</v>
      </c>
      <c r="C131" s="59" t="s">
        <v>457</v>
      </c>
      <c r="D131" s="356" t="s">
        <v>2271</v>
      </c>
      <c r="E131" s="356" t="s">
        <v>459</v>
      </c>
      <c r="F131" s="23" t="s">
        <v>2276</v>
      </c>
      <c r="G131" s="23" t="s">
        <v>403</v>
      </c>
      <c r="H131" s="353">
        <v>66040</v>
      </c>
      <c r="I131" s="59"/>
      <c r="J131" s="59" t="s">
        <v>2277</v>
      </c>
      <c r="K131" s="20"/>
      <c r="L131" s="20"/>
      <c r="M131" s="357"/>
      <c r="N131" s="411"/>
      <c r="O131" s="23" t="s">
        <v>584</v>
      </c>
      <c r="P131" s="92" t="s">
        <v>632</v>
      </c>
      <c r="Q131" s="92" t="s">
        <v>646</v>
      </c>
      <c r="R131" s="372" t="str">
        <f t="shared" si="4"/>
        <v/>
      </c>
    </row>
    <row r="132" spans="1:18" x14ac:dyDescent="0.25">
      <c r="A132" s="23" t="s">
        <v>2270</v>
      </c>
      <c r="B132" s="18" t="str">
        <f>IF(ISNA(VLOOKUP($A132,'Data Pull Sheet'!$B$2:$C$1795,2,0)),"",(VLOOKUP($A132,'Data Pull Sheet'!$B$2:$C$1795,2,0)))</f>
        <v>INVE</v>
      </c>
      <c r="C132" s="59" t="s">
        <v>457</v>
      </c>
      <c r="D132" s="356" t="s">
        <v>2271</v>
      </c>
      <c r="E132" s="356" t="s">
        <v>459</v>
      </c>
      <c r="F132" s="23" t="s">
        <v>2278</v>
      </c>
      <c r="G132" s="23" t="s">
        <v>403</v>
      </c>
      <c r="H132" s="353">
        <v>93740</v>
      </c>
      <c r="I132" s="59"/>
      <c r="J132" s="59" t="s">
        <v>2279</v>
      </c>
      <c r="K132" s="20"/>
      <c r="L132" s="20"/>
      <c r="M132" s="357"/>
      <c r="N132" s="411"/>
      <c r="O132" s="23" t="s">
        <v>584</v>
      </c>
      <c r="P132" s="92" t="s">
        <v>632</v>
      </c>
      <c r="Q132" s="92" t="s">
        <v>646</v>
      </c>
      <c r="R132" s="372" t="str">
        <f t="shared" si="4"/>
        <v/>
      </c>
    </row>
    <row r="133" spans="1:18" x14ac:dyDescent="0.25">
      <c r="A133" s="23" t="s">
        <v>2270</v>
      </c>
      <c r="B133" s="18" t="str">
        <f>IF(ISNA(VLOOKUP($A133,'Data Pull Sheet'!$B$2:$C$1795,2,0)),"",(VLOOKUP($A133,'Data Pull Sheet'!$B$2:$C$1795,2,0)))</f>
        <v>INVE</v>
      </c>
      <c r="C133" s="59" t="s">
        <v>457</v>
      </c>
      <c r="D133" s="356" t="s">
        <v>2271</v>
      </c>
      <c r="E133" s="356" t="s">
        <v>459</v>
      </c>
      <c r="F133" s="23" t="s">
        <v>2280</v>
      </c>
      <c r="G133" s="23" t="s">
        <v>403</v>
      </c>
      <c r="H133" s="353">
        <v>188202.2</v>
      </c>
      <c r="I133" s="59" t="s">
        <v>406</v>
      </c>
      <c r="J133" s="59" t="s">
        <v>2281</v>
      </c>
      <c r="K133" s="20"/>
      <c r="L133" s="20">
        <v>1</v>
      </c>
      <c r="M133" s="357">
        <f>H133</f>
        <v>188202.2</v>
      </c>
      <c r="N133" s="411">
        <f>IFERROR((M133/(VLOOKUP(B133,'Data Pull Sheet'!$C:$H,6,FALSE))),"DC")</f>
        <v>5.1562246575342467E-2</v>
      </c>
      <c r="O133" s="23" t="s">
        <v>63</v>
      </c>
      <c r="P133" s="92" t="s">
        <v>632</v>
      </c>
      <c r="Q133" s="92" t="s">
        <v>637</v>
      </c>
      <c r="R133" s="372" t="str">
        <f t="shared" si="4"/>
        <v/>
      </c>
    </row>
    <row r="134" spans="1:18" x14ac:dyDescent="0.25">
      <c r="A134" s="23" t="s">
        <v>616</v>
      </c>
      <c r="B134" s="18" t="str">
        <f>IF(ISNA(VLOOKUP($A134,'Data Pull Sheet'!$B$2:$C$1795,2,0)),"",(VLOOKUP($A134,'Data Pull Sheet'!$B$2:$C$1795,2,0)))</f>
        <v>KBIO</v>
      </c>
      <c r="C134" s="59" t="s">
        <v>457</v>
      </c>
      <c r="D134" s="356" t="s">
        <v>617</v>
      </c>
      <c r="E134" s="356" t="s">
        <v>459</v>
      </c>
      <c r="F134" s="23" t="s">
        <v>2476</v>
      </c>
      <c r="G134" s="23" t="s">
        <v>403</v>
      </c>
      <c r="H134" s="353">
        <v>18072</v>
      </c>
      <c r="I134" s="59"/>
      <c r="J134" s="59" t="s">
        <v>2477</v>
      </c>
      <c r="K134" s="20">
        <v>5</v>
      </c>
      <c r="L134" s="20">
        <v>4</v>
      </c>
      <c r="M134" s="357">
        <f>SUM(H134:H137)</f>
        <v>124508</v>
      </c>
      <c r="N134" s="411">
        <f>IFERROR((M134/(VLOOKUP(B134,'Data Pull Sheet'!$C:$H,6,FALSE))),"DC")</f>
        <v>4.1502666666666669E-3</v>
      </c>
      <c r="O134" s="23" t="s">
        <v>2157</v>
      </c>
      <c r="P134" s="92" t="s">
        <v>632</v>
      </c>
      <c r="Q134" s="92" t="s">
        <v>646</v>
      </c>
      <c r="R134" s="372" t="str">
        <f t="shared" si="4"/>
        <v/>
      </c>
    </row>
    <row r="135" spans="1:18" x14ac:dyDescent="0.25">
      <c r="A135" s="23" t="s">
        <v>616</v>
      </c>
      <c r="B135" s="18" t="str">
        <f>IF(ISNA(VLOOKUP($A135,'Data Pull Sheet'!$B$2:$C$1795,2,0)),"",(VLOOKUP($A135,'Data Pull Sheet'!$B$2:$C$1795,2,0)))</f>
        <v>KBIO</v>
      </c>
      <c r="C135" s="59" t="s">
        <v>457</v>
      </c>
      <c r="D135" s="356" t="s">
        <v>617</v>
      </c>
      <c r="E135" s="356" t="s">
        <v>459</v>
      </c>
      <c r="F135" s="23" t="s">
        <v>2478</v>
      </c>
      <c r="G135" s="23" t="s">
        <v>403</v>
      </c>
      <c r="H135" s="353">
        <v>18906</v>
      </c>
      <c r="I135" s="59"/>
      <c r="J135" s="59" t="s">
        <v>2479</v>
      </c>
      <c r="K135" s="20"/>
      <c r="L135" s="20"/>
      <c r="M135" s="357"/>
      <c r="N135" s="411"/>
      <c r="O135" s="23" t="s">
        <v>2157</v>
      </c>
      <c r="P135" s="92" t="s">
        <v>632</v>
      </c>
      <c r="Q135" s="92" t="s">
        <v>646</v>
      </c>
      <c r="R135" s="372" t="str">
        <f t="shared" si="4"/>
        <v/>
      </c>
    </row>
    <row r="136" spans="1:18" x14ac:dyDescent="0.25">
      <c r="A136" s="23" t="s">
        <v>616</v>
      </c>
      <c r="B136" s="18" t="str">
        <f>IF(ISNA(VLOOKUP($A136,'Data Pull Sheet'!$B$2:$C$1795,2,0)),"",(VLOOKUP($A136,'Data Pull Sheet'!$B$2:$C$1795,2,0)))</f>
        <v>KBIO</v>
      </c>
      <c r="C136" s="59" t="s">
        <v>457</v>
      </c>
      <c r="D136" s="356" t="s">
        <v>617</v>
      </c>
      <c r="E136" s="356" t="s">
        <v>459</v>
      </c>
      <c r="F136" s="23" t="s">
        <v>2480</v>
      </c>
      <c r="G136" s="23" t="s">
        <v>403</v>
      </c>
      <c r="H136" s="353">
        <v>24510</v>
      </c>
      <c r="I136" s="59"/>
      <c r="J136" s="59" t="s">
        <v>2481</v>
      </c>
      <c r="K136" s="20"/>
      <c r="L136" s="20"/>
      <c r="M136" s="357"/>
      <c r="N136" s="411"/>
      <c r="O136" s="23" t="s">
        <v>2157</v>
      </c>
      <c r="P136" s="92" t="s">
        <v>632</v>
      </c>
      <c r="Q136" s="92" t="s">
        <v>646</v>
      </c>
      <c r="R136" s="372" t="str">
        <f t="shared" si="4"/>
        <v/>
      </c>
    </row>
    <row r="137" spans="1:18" x14ac:dyDescent="0.25">
      <c r="A137" s="23" t="s">
        <v>616</v>
      </c>
      <c r="B137" s="18" t="str">
        <f>IF(ISNA(VLOOKUP($A137,'Data Pull Sheet'!$B$2:$C$1795,2,0)),"",(VLOOKUP($A137,'Data Pull Sheet'!$B$2:$C$1795,2,0)))</f>
        <v>KBIO</v>
      </c>
      <c r="C137" s="59" t="s">
        <v>457</v>
      </c>
      <c r="D137" s="356" t="s">
        <v>617</v>
      </c>
      <c r="E137" s="356" t="s">
        <v>459</v>
      </c>
      <c r="F137" s="23" t="s">
        <v>2482</v>
      </c>
      <c r="G137" s="23" t="s">
        <v>403</v>
      </c>
      <c r="H137" s="353">
        <v>63020</v>
      </c>
      <c r="I137" s="59"/>
      <c r="J137" s="59" t="s">
        <v>2483</v>
      </c>
      <c r="K137" s="20"/>
      <c r="L137" s="20"/>
      <c r="M137" s="357"/>
      <c r="N137" s="411"/>
      <c r="O137" s="23" t="s">
        <v>2157</v>
      </c>
      <c r="P137" s="92" t="s">
        <v>632</v>
      </c>
      <c r="Q137" s="92" t="s">
        <v>646</v>
      </c>
      <c r="R137" s="372" t="str">
        <f t="shared" si="4"/>
        <v/>
      </c>
    </row>
    <row r="138" spans="1:18" x14ac:dyDescent="0.25">
      <c r="A138" s="23" t="s">
        <v>616</v>
      </c>
      <c r="B138" s="18" t="str">
        <f>IF(ISNA(VLOOKUP($A138,'Data Pull Sheet'!$B$2:$C$1795,2,0)),"",(VLOOKUP($A138,'Data Pull Sheet'!$B$2:$C$1795,2,0)))</f>
        <v>KBIO</v>
      </c>
      <c r="C138" s="59" t="s">
        <v>457</v>
      </c>
      <c r="D138" s="356" t="s">
        <v>617</v>
      </c>
      <c r="E138" s="356" t="s">
        <v>459</v>
      </c>
      <c r="F138" s="23" t="s">
        <v>2484</v>
      </c>
      <c r="G138" s="23" t="s">
        <v>403</v>
      </c>
      <c r="H138" s="353">
        <v>88646.69</v>
      </c>
      <c r="I138" s="59"/>
      <c r="J138" s="59" t="s">
        <v>2485</v>
      </c>
      <c r="K138" s="20"/>
      <c r="L138" s="20">
        <v>4</v>
      </c>
      <c r="M138" s="357">
        <f>SUM(H138:H141)</f>
        <v>668157.78</v>
      </c>
      <c r="N138" s="411">
        <f>IFERROR((M138/(VLOOKUP(B138,'Data Pull Sheet'!$C:$H,6,FALSE))),"DC")</f>
        <v>2.2271926000000001E-2</v>
      </c>
      <c r="O138" s="23" t="s">
        <v>597</v>
      </c>
      <c r="P138" s="92" t="s">
        <v>632</v>
      </c>
      <c r="Q138" s="92" t="s">
        <v>646</v>
      </c>
      <c r="R138" s="372" t="str">
        <f t="shared" si="4"/>
        <v/>
      </c>
    </row>
    <row r="139" spans="1:18" x14ac:dyDescent="0.25">
      <c r="A139" s="23" t="s">
        <v>616</v>
      </c>
      <c r="B139" s="18" t="str">
        <f>IF(ISNA(VLOOKUP($A139,'Data Pull Sheet'!$B$2:$C$1795,2,0)),"",(VLOOKUP($A139,'Data Pull Sheet'!$B$2:$C$1795,2,0)))</f>
        <v>KBIO</v>
      </c>
      <c r="C139" s="59" t="s">
        <v>457</v>
      </c>
      <c r="D139" s="356" t="s">
        <v>617</v>
      </c>
      <c r="E139" s="356" t="s">
        <v>459</v>
      </c>
      <c r="F139" s="23" t="s">
        <v>2486</v>
      </c>
      <c r="G139" s="23" t="s">
        <v>403</v>
      </c>
      <c r="H139" s="353">
        <v>140893.57</v>
      </c>
      <c r="I139" s="59"/>
      <c r="J139" s="59" t="s">
        <v>2487</v>
      </c>
      <c r="K139" s="20"/>
      <c r="L139" s="20"/>
      <c r="M139" s="357"/>
      <c r="N139" s="411"/>
      <c r="O139" s="23" t="s">
        <v>597</v>
      </c>
      <c r="P139" s="92" t="s">
        <v>632</v>
      </c>
      <c r="Q139" s="92" t="s">
        <v>646</v>
      </c>
      <c r="R139" s="372" t="str">
        <f t="shared" si="4"/>
        <v/>
      </c>
    </row>
    <row r="140" spans="1:18" x14ac:dyDescent="0.25">
      <c r="A140" s="23" t="s">
        <v>616</v>
      </c>
      <c r="B140" s="18" t="str">
        <f>IF(ISNA(VLOOKUP($A140,'Data Pull Sheet'!$B$2:$C$1795,2,0)),"",(VLOOKUP($A140,'Data Pull Sheet'!$B$2:$C$1795,2,0)))</f>
        <v>KBIO</v>
      </c>
      <c r="C140" s="59" t="s">
        <v>457</v>
      </c>
      <c r="D140" s="356" t="s">
        <v>617</v>
      </c>
      <c r="E140" s="356" t="s">
        <v>459</v>
      </c>
      <c r="F140" s="23" t="s">
        <v>2488</v>
      </c>
      <c r="G140" s="23" t="s">
        <v>403</v>
      </c>
      <c r="H140" s="353">
        <v>185011.11</v>
      </c>
      <c r="I140" s="59"/>
      <c r="J140" s="59" t="s">
        <v>2489</v>
      </c>
      <c r="K140" s="20"/>
      <c r="L140" s="20"/>
      <c r="M140" s="357"/>
      <c r="N140" s="411"/>
      <c r="O140" s="23" t="s">
        <v>597</v>
      </c>
      <c r="P140" s="92" t="s">
        <v>632</v>
      </c>
      <c r="Q140" s="92" t="s">
        <v>646</v>
      </c>
      <c r="R140" s="372" t="str">
        <f t="shared" si="4"/>
        <v/>
      </c>
    </row>
    <row r="141" spans="1:18" x14ac:dyDescent="0.25">
      <c r="A141" s="23" t="s">
        <v>616</v>
      </c>
      <c r="B141" s="18" t="str">
        <f>IF(ISNA(VLOOKUP($A141,'Data Pull Sheet'!$B$2:$C$1795,2,0)),"",(VLOOKUP($A141,'Data Pull Sheet'!$B$2:$C$1795,2,0)))</f>
        <v>KBIO</v>
      </c>
      <c r="C141" s="59" t="s">
        <v>457</v>
      </c>
      <c r="D141" s="356" t="s">
        <v>617</v>
      </c>
      <c r="E141" s="356" t="s">
        <v>459</v>
      </c>
      <c r="F141" s="23" t="s">
        <v>2490</v>
      </c>
      <c r="G141" s="23" t="s">
        <v>403</v>
      </c>
      <c r="H141" s="353">
        <v>253606.41</v>
      </c>
      <c r="I141" s="59"/>
      <c r="J141" s="59" t="s">
        <v>2491</v>
      </c>
      <c r="K141" s="20"/>
      <c r="L141" s="20"/>
      <c r="M141" s="357"/>
      <c r="N141" s="411"/>
      <c r="O141" s="23" t="s">
        <v>597</v>
      </c>
      <c r="P141" s="92" t="s">
        <v>632</v>
      </c>
      <c r="Q141" s="92" t="s">
        <v>646</v>
      </c>
      <c r="R141" s="372" t="str">
        <f t="shared" si="4"/>
        <v/>
      </c>
    </row>
    <row r="142" spans="1:18" x14ac:dyDescent="0.25">
      <c r="A142" s="23" t="s">
        <v>616</v>
      </c>
      <c r="B142" s="18" t="str">
        <f>IF(ISNA(VLOOKUP($A142,'Data Pull Sheet'!$B$2:$C$1795,2,0)),"",(VLOOKUP($A142,'Data Pull Sheet'!$B$2:$C$1795,2,0)))</f>
        <v>KBIO</v>
      </c>
      <c r="C142" s="59" t="s">
        <v>457</v>
      </c>
      <c r="D142" s="356" t="s">
        <v>617</v>
      </c>
      <c r="E142" s="356" t="s">
        <v>459</v>
      </c>
      <c r="F142" s="23" t="s">
        <v>2492</v>
      </c>
      <c r="G142" s="23" t="s">
        <v>403</v>
      </c>
      <c r="H142" s="353">
        <v>20116.150000000001</v>
      </c>
      <c r="I142" s="59"/>
      <c r="J142" s="59" t="s">
        <v>2493</v>
      </c>
      <c r="K142" s="20"/>
      <c r="L142" s="20">
        <v>1</v>
      </c>
      <c r="M142" s="357">
        <f>H142</f>
        <v>20116.150000000001</v>
      </c>
      <c r="N142" s="411">
        <f>IFERROR((M142/(VLOOKUP(B142,'Data Pull Sheet'!$C:$H,6,FALSE))),"DC")</f>
        <v>6.7053833333333341E-4</v>
      </c>
      <c r="O142" s="23" t="s">
        <v>63</v>
      </c>
      <c r="P142" s="92" t="s">
        <v>632</v>
      </c>
      <c r="Q142" s="92" t="s">
        <v>637</v>
      </c>
      <c r="R142" s="372" t="str">
        <f t="shared" si="4"/>
        <v/>
      </c>
    </row>
    <row r="143" spans="1:18" x14ac:dyDescent="0.25">
      <c r="A143" s="23" t="s">
        <v>616</v>
      </c>
      <c r="B143" s="18" t="str">
        <f>IF(ISNA(VLOOKUP($A143,'Data Pull Sheet'!$B$2:$C$1795,2,0)),"",(VLOOKUP($A143,'Data Pull Sheet'!$B$2:$C$1795,2,0)))</f>
        <v>KBIO</v>
      </c>
      <c r="C143" s="59" t="s">
        <v>457</v>
      </c>
      <c r="D143" s="356" t="s">
        <v>617</v>
      </c>
      <c r="E143" s="356" t="s">
        <v>459</v>
      </c>
      <c r="F143" s="23" t="s">
        <v>2494</v>
      </c>
      <c r="G143" s="23" t="s">
        <v>403</v>
      </c>
      <c r="H143" s="353">
        <v>63211</v>
      </c>
      <c r="I143" s="59"/>
      <c r="J143" s="59" t="s">
        <v>2495</v>
      </c>
      <c r="K143" s="20"/>
      <c r="L143" s="20">
        <v>4</v>
      </c>
      <c r="M143" s="357">
        <f>SUM(H143:H146)</f>
        <v>615410</v>
      </c>
      <c r="N143" s="411">
        <f>IFERROR((M143/(VLOOKUP(B143,'Data Pull Sheet'!$C:$H,6,FALSE))),"DC")</f>
        <v>2.0513666666666666E-2</v>
      </c>
      <c r="O143" s="23" t="s">
        <v>675</v>
      </c>
      <c r="P143" s="92" t="s">
        <v>632</v>
      </c>
      <c r="Q143" s="92" t="s">
        <v>646</v>
      </c>
      <c r="R143" s="372" t="str">
        <f t="shared" si="4"/>
        <v/>
      </c>
    </row>
    <row r="144" spans="1:18" x14ac:dyDescent="0.25">
      <c r="A144" s="23" t="s">
        <v>616</v>
      </c>
      <c r="B144" s="18" t="str">
        <f>IF(ISNA(VLOOKUP($A144,'Data Pull Sheet'!$B$2:$C$1795,2,0)),"",(VLOOKUP($A144,'Data Pull Sheet'!$B$2:$C$1795,2,0)))</f>
        <v>KBIO</v>
      </c>
      <c r="C144" s="59" t="s">
        <v>457</v>
      </c>
      <c r="D144" s="356" t="s">
        <v>617</v>
      </c>
      <c r="E144" s="356" t="s">
        <v>459</v>
      </c>
      <c r="F144" s="23" t="s">
        <v>2496</v>
      </c>
      <c r="G144" s="23" t="s">
        <v>403</v>
      </c>
      <c r="H144" s="353">
        <v>153800</v>
      </c>
      <c r="I144" s="59"/>
      <c r="J144" s="59" t="s">
        <v>2497</v>
      </c>
      <c r="K144" s="20"/>
      <c r="L144" s="20"/>
      <c r="M144" s="357"/>
      <c r="N144" s="411"/>
      <c r="O144" s="23" t="s">
        <v>675</v>
      </c>
      <c r="P144" s="92" t="s">
        <v>632</v>
      </c>
      <c r="Q144" s="92" t="s">
        <v>646</v>
      </c>
      <c r="R144" s="372" t="str">
        <f t="shared" si="4"/>
        <v/>
      </c>
    </row>
    <row r="145" spans="1:18" x14ac:dyDescent="0.25">
      <c r="A145" s="23" t="s">
        <v>616</v>
      </c>
      <c r="B145" s="18" t="str">
        <f>IF(ISNA(VLOOKUP($A145,'Data Pull Sheet'!$B$2:$C$1795,2,0)),"",(VLOOKUP($A145,'Data Pull Sheet'!$B$2:$C$1795,2,0)))</f>
        <v>KBIO</v>
      </c>
      <c r="C145" s="59" t="s">
        <v>457</v>
      </c>
      <c r="D145" s="356" t="s">
        <v>617</v>
      </c>
      <c r="E145" s="356" t="s">
        <v>459</v>
      </c>
      <c r="F145" s="23" t="s">
        <v>614</v>
      </c>
      <c r="G145" s="23" t="s">
        <v>403</v>
      </c>
      <c r="H145" s="353">
        <v>176325</v>
      </c>
      <c r="I145" s="59"/>
      <c r="J145" s="59" t="s">
        <v>2498</v>
      </c>
      <c r="K145" s="20"/>
      <c r="L145" s="20"/>
      <c r="M145" s="357"/>
      <c r="N145" s="411"/>
      <c r="O145" s="23" t="s">
        <v>675</v>
      </c>
      <c r="P145" s="92" t="s">
        <v>632</v>
      </c>
      <c r="Q145" s="92" t="s">
        <v>646</v>
      </c>
      <c r="R145" s="372" t="str">
        <f t="shared" si="4"/>
        <v>FF</v>
      </c>
    </row>
    <row r="146" spans="1:18" x14ac:dyDescent="0.25">
      <c r="A146" s="23" t="s">
        <v>616</v>
      </c>
      <c r="B146" s="18" t="str">
        <f>IF(ISNA(VLOOKUP($A146,'Data Pull Sheet'!$B$2:$C$1795,2,0)),"",(VLOOKUP($A146,'Data Pull Sheet'!$B$2:$C$1795,2,0)))</f>
        <v>KBIO</v>
      </c>
      <c r="C146" s="59" t="s">
        <v>457</v>
      </c>
      <c r="D146" s="356" t="s">
        <v>617</v>
      </c>
      <c r="E146" s="356" t="s">
        <v>459</v>
      </c>
      <c r="F146" s="23" t="s">
        <v>2499</v>
      </c>
      <c r="G146" s="23" t="s">
        <v>403</v>
      </c>
      <c r="H146" s="353">
        <v>222074</v>
      </c>
      <c r="I146" s="59"/>
      <c r="J146" s="59" t="s">
        <v>2500</v>
      </c>
      <c r="K146" s="20"/>
      <c r="L146" s="20"/>
      <c r="M146" s="357"/>
      <c r="N146" s="411"/>
      <c r="O146" s="23" t="s">
        <v>675</v>
      </c>
      <c r="P146" s="92" t="s">
        <v>632</v>
      </c>
      <c r="Q146" s="92" t="s">
        <v>646</v>
      </c>
      <c r="R146" s="372" t="str">
        <f t="shared" si="4"/>
        <v/>
      </c>
    </row>
    <row r="147" spans="1:18" x14ac:dyDescent="0.25">
      <c r="A147" s="23" t="s">
        <v>616</v>
      </c>
      <c r="B147" s="18" t="str">
        <f>IF(ISNA(VLOOKUP($A147,'Data Pull Sheet'!$B$2:$C$1795,2,0)),"",(VLOOKUP($A147,'Data Pull Sheet'!$B$2:$C$1795,2,0)))</f>
        <v>KBIO</v>
      </c>
      <c r="C147" s="59" t="s">
        <v>457</v>
      </c>
      <c r="D147" s="356" t="s">
        <v>617</v>
      </c>
      <c r="E147" s="356" t="s">
        <v>459</v>
      </c>
      <c r="F147" s="23" t="s">
        <v>2501</v>
      </c>
      <c r="G147" s="23" t="s">
        <v>403</v>
      </c>
      <c r="H147" s="353">
        <v>50126</v>
      </c>
      <c r="I147" s="59" t="s">
        <v>442</v>
      </c>
      <c r="J147" s="59" t="s">
        <v>2502</v>
      </c>
      <c r="K147" s="20"/>
      <c r="L147" s="20">
        <v>1</v>
      </c>
      <c r="M147" s="357">
        <f>H147</f>
        <v>50126</v>
      </c>
      <c r="N147" s="411">
        <f>IFERROR((M147/(VLOOKUP(B147,'Data Pull Sheet'!$C:$H,6,FALSE))),"DC")</f>
        <v>1.6708666666666668E-3</v>
      </c>
      <c r="O147" s="23" t="s">
        <v>2503</v>
      </c>
      <c r="P147" s="92" t="s">
        <v>632</v>
      </c>
      <c r="Q147" s="92" t="s">
        <v>637</v>
      </c>
      <c r="R147" s="372" t="str">
        <f t="shared" si="4"/>
        <v/>
      </c>
    </row>
    <row r="148" spans="1:18" x14ac:dyDescent="0.25">
      <c r="A148" s="23" t="s">
        <v>57</v>
      </c>
      <c r="B148" s="18" t="str">
        <f>IF(ISNA(VLOOKUP($A148,'Data Pull Sheet'!$B$2:$C$1795,2,0)),"",(VLOOKUP($A148,'Data Pull Sheet'!$B$2:$C$1795,2,0)))</f>
        <v>NMBL</v>
      </c>
      <c r="C148" s="59" t="s">
        <v>457</v>
      </c>
      <c r="D148" s="356" t="s">
        <v>458</v>
      </c>
      <c r="E148" s="356" t="s">
        <v>459</v>
      </c>
      <c r="F148" s="23" t="s">
        <v>2842</v>
      </c>
      <c r="G148" s="23" t="s">
        <v>403</v>
      </c>
      <c r="H148" s="353">
        <v>59647.05</v>
      </c>
      <c r="I148" s="59"/>
      <c r="J148" s="59" t="s">
        <v>2843</v>
      </c>
      <c r="K148" s="20">
        <v>4</v>
      </c>
      <c r="L148" s="20">
        <v>2</v>
      </c>
      <c r="M148" s="357">
        <f>SUM(H148:H149)</f>
        <v>576486.43000000005</v>
      </c>
      <c r="N148" s="411">
        <f>IFERROR((M148/(VLOOKUP(B148,'Data Pull Sheet'!$C:$H,6,FALSE))),"DC")</f>
        <v>1.9216214333333335E-3</v>
      </c>
      <c r="O148" s="23" t="s">
        <v>2015</v>
      </c>
      <c r="P148" s="92" t="s">
        <v>632</v>
      </c>
      <c r="Q148" s="92" t="s">
        <v>646</v>
      </c>
      <c r="R148" s="372" t="str">
        <f t="shared" si="4"/>
        <v/>
      </c>
    </row>
    <row r="149" spans="1:18" x14ac:dyDescent="0.25">
      <c r="A149" s="23" t="s">
        <v>57</v>
      </c>
      <c r="B149" s="18" t="str">
        <f>IF(ISNA(VLOOKUP($A149,'Data Pull Sheet'!$B$2:$C$1795,2,0)),"",(VLOOKUP($A149,'Data Pull Sheet'!$B$2:$C$1795,2,0)))</f>
        <v>NMBL</v>
      </c>
      <c r="C149" s="59" t="s">
        <v>457</v>
      </c>
      <c r="D149" s="356" t="s">
        <v>458</v>
      </c>
      <c r="E149" s="356" t="s">
        <v>459</v>
      </c>
      <c r="F149" s="23" t="s">
        <v>2844</v>
      </c>
      <c r="G149" s="23" t="s">
        <v>403</v>
      </c>
      <c r="H149" s="353">
        <v>516839.38</v>
      </c>
      <c r="I149" s="59"/>
      <c r="J149" s="59" t="s">
        <v>2845</v>
      </c>
      <c r="K149" s="20"/>
      <c r="L149" s="20"/>
      <c r="M149" s="357"/>
      <c r="N149" s="411"/>
      <c r="O149" s="23" t="s">
        <v>2015</v>
      </c>
      <c r="P149" s="92" t="s">
        <v>632</v>
      </c>
      <c r="Q149" s="92" t="s">
        <v>646</v>
      </c>
      <c r="R149" s="372" t="str">
        <f t="shared" si="4"/>
        <v/>
      </c>
    </row>
    <row r="150" spans="1:18" x14ac:dyDescent="0.25">
      <c r="A150" s="23" t="s">
        <v>57</v>
      </c>
      <c r="B150" s="18" t="str">
        <f>IF(ISNA(VLOOKUP($A150,'Data Pull Sheet'!$B$2:$C$1795,2,0)),"",(VLOOKUP($A150,'Data Pull Sheet'!$B$2:$C$1795,2,0)))</f>
        <v>NMBL</v>
      </c>
      <c r="C150" s="59" t="s">
        <v>457</v>
      </c>
      <c r="D150" s="356" t="s">
        <v>458</v>
      </c>
      <c r="E150" s="356" t="s">
        <v>459</v>
      </c>
      <c r="F150" s="23" t="s">
        <v>39</v>
      </c>
      <c r="G150" s="23" t="s">
        <v>417</v>
      </c>
      <c r="H150" s="353">
        <v>1177771.58</v>
      </c>
      <c r="I150" s="59" t="s">
        <v>406</v>
      </c>
      <c r="J150" s="59" t="s">
        <v>2846</v>
      </c>
      <c r="K150" s="20"/>
      <c r="L150" s="20">
        <v>1</v>
      </c>
      <c r="M150" s="357">
        <f>H150</f>
        <v>1177771.58</v>
      </c>
      <c r="N150" s="411">
        <f>IFERROR((M150/(VLOOKUP(B150,'Data Pull Sheet'!$C:$H,6,FALSE))),"DC")</f>
        <v>3.9259052666666665E-3</v>
      </c>
      <c r="O150" s="23" t="s">
        <v>2847</v>
      </c>
      <c r="P150" s="92" t="s">
        <v>632</v>
      </c>
      <c r="Q150" s="92" t="s">
        <v>633</v>
      </c>
      <c r="R150" s="372" t="str">
        <f t="shared" si="4"/>
        <v>FF</v>
      </c>
    </row>
    <row r="151" spans="1:18" x14ac:dyDescent="0.25">
      <c r="A151" s="23" t="s">
        <v>57</v>
      </c>
      <c r="B151" s="18" t="str">
        <f>IF(ISNA(VLOOKUP($A151,'Data Pull Sheet'!$B$2:$C$1795,2,0)),"",(VLOOKUP($A151,'Data Pull Sheet'!$B$2:$C$1795,2,0)))</f>
        <v>NMBL</v>
      </c>
      <c r="C151" s="59" t="s">
        <v>457</v>
      </c>
      <c r="D151" s="356" t="s">
        <v>458</v>
      </c>
      <c r="E151" s="356" t="s">
        <v>459</v>
      </c>
      <c r="F151" s="23" t="s">
        <v>2848</v>
      </c>
      <c r="G151" s="23" t="s">
        <v>403</v>
      </c>
      <c r="H151" s="353">
        <v>12937</v>
      </c>
      <c r="I151" s="59"/>
      <c r="J151" s="59" t="s">
        <v>2849</v>
      </c>
      <c r="K151" s="20"/>
      <c r="L151" s="20">
        <v>3</v>
      </c>
      <c r="M151" s="357">
        <f>SUM(H151:H153)</f>
        <v>115770</v>
      </c>
      <c r="N151" s="411">
        <f>IFERROR((M151/(VLOOKUP(B151,'Data Pull Sheet'!$C:$H,6,FALSE))),"DC")</f>
        <v>3.859E-4</v>
      </c>
      <c r="O151" s="23" t="s">
        <v>675</v>
      </c>
      <c r="P151" s="92" t="s">
        <v>632</v>
      </c>
      <c r="Q151" s="92" t="s">
        <v>646</v>
      </c>
      <c r="R151" s="372" t="str">
        <f t="shared" si="4"/>
        <v/>
      </c>
    </row>
    <row r="152" spans="1:18" x14ac:dyDescent="0.25">
      <c r="A152" s="23" t="s">
        <v>57</v>
      </c>
      <c r="B152" s="18" t="str">
        <f>IF(ISNA(VLOOKUP($A152,'Data Pull Sheet'!$B$2:$C$1795,2,0)),"",(VLOOKUP($A152,'Data Pull Sheet'!$B$2:$C$1795,2,0)))</f>
        <v>NMBL</v>
      </c>
      <c r="C152" s="59" t="s">
        <v>457</v>
      </c>
      <c r="D152" s="356" t="s">
        <v>458</v>
      </c>
      <c r="E152" s="356" t="s">
        <v>459</v>
      </c>
      <c r="F152" s="23" t="s">
        <v>2850</v>
      </c>
      <c r="G152" s="23" t="s">
        <v>403</v>
      </c>
      <c r="H152" s="353">
        <v>31831</v>
      </c>
      <c r="I152" s="59"/>
      <c r="J152" s="59" t="s">
        <v>2851</v>
      </c>
      <c r="K152" s="20"/>
      <c r="L152" s="20"/>
      <c r="M152" s="357"/>
      <c r="N152" s="411"/>
      <c r="O152" s="23" t="s">
        <v>675</v>
      </c>
      <c r="P152" s="92" t="s">
        <v>632</v>
      </c>
      <c r="Q152" s="92" t="s">
        <v>646</v>
      </c>
      <c r="R152" s="372" t="str">
        <f t="shared" si="4"/>
        <v/>
      </c>
    </row>
    <row r="153" spans="1:18" x14ac:dyDescent="0.25">
      <c r="A153" s="23" t="s">
        <v>57</v>
      </c>
      <c r="B153" s="18" t="str">
        <f>IF(ISNA(VLOOKUP($A153,'Data Pull Sheet'!$B$2:$C$1795,2,0)),"",(VLOOKUP($A153,'Data Pull Sheet'!$B$2:$C$1795,2,0)))</f>
        <v>NMBL</v>
      </c>
      <c r="C153" s="59" t="s">
        <v>457</v>
      </c>
      <c r="D153" s="356" t="s">
        <v>458</v>
      </c>
      <c r="E153" s="356" t="s">
        <v>459</v>
      </c>
      <c r="F153" s="23" t="s">
        <v>2852</v>
      </c>
      <c r="G153" s="23" t="s">
        <v>403</v>
      </c>
      <c r="H153" s="353">
        <v>71002</v>
      </c>
      <c r="I153" s="59"/>
      <c r="J153" s="59" t="s">
        <v>2853</v>
      </c>
      <c r="K153" s="20"/>
      <c r="L153" s="20"/>
      <c r="M153" s="357"/>
      <c r="N153" s="411"/>
      <c r="O153" s="23" t="s">
        <v>675</v>
      </c>
      <c r="P153" s="92" t="s">
        <v>632</v>
      </c>
      <c r="Q153" s="92" t="s">
        <v>646</v>
      </c>
      <c r="R153" s="372" t="str">
        <f t="shared" si="4"/>
        <v/>
      </c>
    </row>
    <row r="154" spans="1:18" x14ac:dyDescent="0.25">
      <c r="A154" s="23" t="s">
        <v>57</v>
      </c>
      <c r="B154" s="18" t="str">
        <f>IF(ISNA(VLOOKUP($A154,'Data Pull Sheet'!$B$2:$C$1795,2,0)),"",(VLOOKUP($A154,'Data Pull Sheet'!$B$2:$C$1795,2,0)))</f>
        <v>NMBL</v>
      </c>
      <c r="C154" s="59" t="s">
        <v>457</v>
      </c>
      <c r="D154" s="356" t="s">
        <v>458</v>
      </c>
      <c r="E154" s="356" t="s">
        <v>459</v>
      </c>
      <c r="F154" s="23" t="s">
        <v>2854</v>
      </c>
      <c r="G154" s="23" t="s">
        <v>403</v>
      </c>
      <c r="H154" s="353">
        <v>22591.55</v>
      </c>
      <c r="I154" s="59"/>
      <c r="J154" s="59" t="s">
        <v>2855</v>
      </c>
      <c r="K154" s="20"/>
      <c r="L154" s="20">
        <v>1</v>
      </c>
      <c r="M154" s="357">
        <f>H154</f>
        <v>22591.55</v>
      </c>
      <c r="N154" s="411">
        <f>IFERROR((M154/(VLOOKUP(B154,'Data Pull Sheet'!$C:$H,6,FALSE))),"DC")</f>
        <v>7.5305166666666658E-5</v>
      </c>
      <c r="O154" s="23" t="s">
        <v>682</v>
      </c>
      <c r="P154" s="92" t="s">
        <v>632</v>
      </c>
      <c r="Q154" s="92" t="s">
        <v>637</v>
      </c>
      <c r="R154" s="372" t="str">
        <f t="shared" si="4"/>
        <v/>
      </c>
    </row>
    <row r="155" spans="1:18" x14ac:dyDescent="0.25">
      <c r="A155" s="23" t="s">
        <v>3996</v>
      </c>
      <c r="B155" s="18" t="str">
        <f>IF(ISNA(VLOOKUP($A155,'Data Pull Sheet'!$B$2:$C$1795,2,0)),"",(VLOOKUP($A155,'Data Pull Sheet'!$B$2:$C$1795,2,0)))</f>
        <v>UDFI</v>
      </c>
      <c r="C155" s="59" t="s">
        <v>1815</v>
      </c>
      <c r="D155" s="356" t="s">
        <v>3997</v>
      </c>
      <c r="E155" s="356" t="s">
        <v>3998</v>
      </c>
      <c r="F155" s="23" t="s">
        <v>3999</v>
      </c>
      <c r="G155" s="23" t="s">
        <v>403</v>
      </c>
      <c r="H155" s="353">
        <v>205865.55</v>
      </c>
      <c r="I155" s="59" t="s">
        <v>476</v>
      </c>
      <c r="J155" s="59" t="s">
        <v>4000</v>
      </c>
      <c r="K155" s="20">
        <v>5</v>
      </c>
      <c r="L155" s="20">
        <v>2</v>
      </c>
      <c r="M155" s="357">
        <f>SUM(H155:H156)</f>
        <v>550123.77</v>
      </c>
      <c r="N155" s="411">
        <f>IFERROR((M155/(VLOOKUP(B155,'Data Pull Sheet'!$C:$H,6,FALSE))),"DC")</f>
        <v>2.5587152093023255E-3</v>
      </c>
      <c r="O155" s="23" t="s">
        <v>1918</v>
      </c>
      <c r="P155" s="92" t="s">
        <v>632</v>
      </c>
      <c r="Q155" s="92" t="s">
        <v>646</v>
      </c>
      <c r="R155" s="372" t="str">
        <f t="shared" si="4"/>
        <v/>
      </c>
    </row>
    <row r="156" spans="1:18" x14ac:dyDescent="0.25">
      <c r="A156" s="23" t="s">
        <v>3996</v>
      </c>
      <c r="B156" s="18" t="str">
        <f>IF(ISNA(VLOOKUP($A156,'Data Pull Sheet'!$B$2:$C$1795,2,0)),"",(VLOOKUP($A156,'Data Pull Sheet'!$B$2:$C$1795,2,0)))</f>
        <v>UDFI</v>
      </c>
      <c r="C156" s="59" t="s">
        <v>1815</v>
      </c>
      <c r="D156" s="356" t="s">
        <v>3997</v>
      </c>
      <c r="E156" s="356" t="s">
        <v>3998</v>
      </c>
      <c r="F156" s="23" t="s">
        <v>4001</v>
      </c>
      <c r="G156" s="23" t="s">
        <v>403</v>
      </c>
      <c r="H156" s="353">
        <v>344258.22</v>
      </c>
      <c r="I156" s="59" t="s">
        <v>476</v>
      </c>
      <c r="J156" s="59" t="s">
        <v>4002</v>
      </c>
      <c r="K156" s="20"/>
      <c r="L156" s="20"/>
      <c r="M156" s="357"/>
      <c r="N156" s="411"/>
      <c r="O156" s="23" t="s">
        <v>1918</v>
      </c>
      <c r="P156" s="92" t="s">
        <v>632</v>
      </c>
      <c r="Q156" s="92" t="s">
        <v>646</v>
      </c>
      <c r="R156" s="372" t="str">
        <f t="shared" si="4"/>
        <v/>
      </c>
    </row>
    <row r="157" spans="1:18" x14ac:dyDescent="0.25">
      <c r="A157" s="23" t="s">
        <v>3996</v>
      </c>
      <c r="B157" s="18" t="str">
        <f>IF(ISNA(VLOOKUP($A157,'Data Pull Sheet'!$B$2:$C$1795,2,0)),"",(VLOOKUP($A157,'Data Pull Sheet'!$B$2:$C$1795,2,0)))</f>
        <v>UDFI</v>
      </c>
      <c r="C157" s="59" t="s">
        <v>1815</v>
      </c>
      <c r="D157" s="356" t="s">
        <v>3997</v>
      </c>
      <c r="E157" s="356" t="s">
        <v>3998</v>
      </c>
      <c r="F157" s="23" t="s">
        <v>4003</v>
      </c>
      <c r="G157" s="23" t="s">
        <v>403</v>
      </c>
      <c r="H157" s="353">
        <v>820189.87</v>
      </c>
      <c r="I157" s="59"/>
      <c r="J157" s="59" t="s">
        <v>4004</v>
      </c>
      <c r="K157" s="20"/>
      <c r="L157" s="20">
        <v>1</v>
      </c>
      <c r="M157" s="357">
        <f>H157</f>
        <v>820189.87</v>
      </c>
      <c r="N157" s="411">
        <f>IFERROR((M157/(VLOOKUP(B157,'Data Pull Sheet'!$C:$H,6,FALSE))),"DC")</f>
        <v>3.8148366046511627E-3</v>
      </c>
      <c r="O157" s="23" t="s">
        <v>1921</v>
      </c>
      <c r="P157" s="92" t="s">
        <v>632</v>
      </c>
      <c r="Q157" s="92" t="s">
        <v>637</v>
      </c>
      <c r="R157" s="372" t="str">
        <f t="shared" si="4"/>
        <v/>
      </c>
    </row>
    <row r="158" spans="1:18" x14ac:dyDescent="0.25">
      <c r="A158" s="23" t="s">
        <v>3996</v>
      </c>
      <c r="B158" s="18" t="str">
        <f>IF(ISNA(VLOOKUP($A158,'Data Pull Sheet'!$B$2:$C$1795,2,0)),"",(VLOOKUP($A158,'Data Pull Sheet'!$B$2:$C$1795,2,0)))</f>
        <v>UDFI</v>
      </c>
      <c r="C158" s="59" t="s">
        <v>1815</v>
      </c>
      <c r="D158" s="356" t="s">
        <v>3997</v>
      </c>
      <c r="E158" s="356" t="s">
        <v>3998</v>
      </c>
      <c r="F158" s="23" t="s">
        <v>4005</v>
      </c>
      <c r="G158" s="23" t="s">
        <v>403</v>
      </c>
      <c r="H158" s="353">
        <v>86042.06</v>
      </c>
      <c r="I158" s="59"/>
      <c r="J158" s="59" t="s">
        <v>4006</v>
      </c>
      <c r="K158" s="20"/>
      <c r="L158" s="20">
        <v>1</v>
      </c>
      <c r="M158" s="357">
        <f>H158</f>
        <v>86042.06</v>
      </c>
      <c r="N158" s="411">
        <f>IFERROR((M158/(VLOOKUP(B158,'Data Pull Sheet'!$C:$H,6,FALSE))),"DC")</f>
        <v>4.0019562790697674E-4</v>
      </c>
      <c r="O158" s="23" t="s">
        <v>4007</v>
      </c>
      <c r="P158" s="92" t="s">
        <v>632</v>
      </c>
      <c r="Q158" s="92" t="s">
        <v>637</v>
      </c>
      <c r="R158" s="372" t="str">
        <f t="shared" si="4"/>
        <v/>
      </c>
    </row>
    <row r="159" spans="1:18" x14ac:dyDescent="0.25">
      <c r="A159" s="23" t="s">
        <v>3996</v>
      </c>
      <c r="B159" s="18" t="str">
        <f>IF(ISNA(VLOOKUP($A159,'Data Pull Sheet'!$B$2:$C$1795,2,0)),"",(VLOOKUP($A159,'Data Pull Sheet'!$B$2:$C$1795,2,0)))</f>
        <v>UDFI</v>
      </c>
      <c r="C159" s="59" t="s">
        <v>1815</v>
      </c>
      <c r="D159" s="356" t="s">
        <v>3997</v>
      </c>
      <c r="E159" s="356" t="s">
        <v>3998</v>
      </c>
      <c r="F159" s="23" t="s">
        <v>4008</v>
      </c>
      <c r="G159" s="23" t="s">
        <v>403</v>
      </c>
      <c r="H159" s="353">
        <v>28646</v>
      </c>
      <c r="I159" s="59"/>
      <c r="J159" s="59" t="s">
        <v>4009</v>
      </c>
      <c r="K159" s="20"/>
      <c r="L159" s="20">
        <v>3</v>
      </c>
      <c r="M159" s="357">
        <f>SUM(H159:H161)</f>
        <v>305945</v>
      </c>
      <c r="N159" s="411">
        <f>IFERROR((M159/(VLOOKUP(B159,'Data Pull Sheet'!$C:$H,6,FALSE))),"DC")</f>
        <v>1.423E-3</v>
      </c>
      <c r="O159" s="23" t="s">
        <v>79</v>
      </c>
      <c r="P159" s="92" t="s">
        <v>632</v>
      </c>
      <c r="Q159" s="92" t="s">
        <v>646</v>
      </c>
      <c r="R159" s="372" t="str">
        <f t="shared" si="4"/>
        <v/>
      </c>
    </row>
    <row r="160" spans="1:18" x14ac:dyDescent="0.25">
      <c r="A160" s="23" t="s">
        <v>3996</v>
      </c>
      <c r="B160" s="18" t="str">
        <f>IF(ISNA(VLOOKUP($A160,'Data Pull Sheet'!$B$2:$C$1795,2,0)),"",(VLOOKUP($A160,'Data Pull Sheet'!$B$2:$C$1795,2,0)))</f>
        <v>UDFI</v>
      </c>
      <c r="C160" s="59" t="s">
        <v>1815</v>
      </c>
      <c r="D160" s="356" t="s">
        <v>3997</v>
      </c>
      <c r="E160" s="356" t="s">
        <v>3998</v>
      </c>
      <c r="F160" s="23" t="s">
        <v>4010</v>
      </c>
      <c r="G160" s="23" t="s">
        <v>403</v>
      </c>
      <c r="H160" s="353">
        <v>94270</v>
      </c>
      <c r="I160" s="59"/>
      <c r="J160" s="59" t="s">
        <v>4011</v>
      </c>
      <c r="K160" s="20"/>
      <c r="L160" s="20"/>
      <c r="M160" s="357"/>
      <c r="N160" s="411"/>
      <c r="O160" s="23" t="s">
        <v>79</v>
      </c>
      <c r="P160" s="92" t="s">
        <v>632</v>
      </c>
      <c r="Q160" s="92" t="s">
        <v>646</v>
      </c>
      <c r="R160" s="372" t="str">
        <f t="shared" si="4"/>
        <v/>
      </c>
    </row>
    <row r="161" spans="1:18" x14ac:dyDescent="0.25">
      <c r="A161" s="23" t="s">
        <v>3996</v>
      </c>
      <c r="B161" s="18" t="str">
        <f>IF(ISNA(VLOOKUP($A161,'Data Pull Sheet'!$B$2:$C$1795,2,0)),"",(VLOOKUP($A161,'Data Pull Sheet'!$B$2:$C$1795,2,0)))</f>
        <v>UDFI</v>
      </c>
      <c r="C161" s="59" t="s">
        <v>1815</v>
      </c>
      <c r="D161" s="356" t="s">
        <v>3997</v>
      </c>
      <c r="E161" s="356" t="s">
        <v>3998</v>
      </c>
      <c r="F161" s="23" t="s">
        <v>4012</v>
      </c>
      <c r="G161" s="23" t="s">
        <v>403</v>
      </c>
      <c r="H161" s="353">
        <v>183029</v>
      </c>
      <c r="I161" s="59"/>
      <c r="J161" s="59" t="s">
        <v>4013</v>
      </c>
      <c r="K161" s="20"/>
      <c r="L161" s="20"/>
      <c r="M161" s="357"/>
      <c r="N161" s="411"/>
      <c r="O161" s="23" t="s">
        <v>79</v>
      </c>
      <c r="P161" s="92" t="s">
        <v>632</v>
      </c>
      <c r="Q161" s="92" t="s">
        <v>646</v>
      </c>
      <c r="R161" s="372" t="str">
        <f t="shared" si="4"/>
        <v/>
      </c>
    </row>
    <row r="162" spans="1:18" x14ac:dyDescent="0.25">
      <c r="A162" s="23" t="s">
        <v>3996</v>
      </c>
      <c r="B162" s="18" t="str">
        <f>IF(ISNA(VLOOKUP($A162,'Data Pull Sheet'!$B$2:$C$1795,2,0)),"",(VLOOKUP($A162,'Data Pull Sheet'!$B$2:$C$1795,2,0)))</f>
        <v>UDFI</v>
      </c>
      <c r="C162" s="59" t="s">
        <v>1815</v>
      </c>
      <c r="D162" s="356" t="s">
        <v>3997</v>
      </c>
      <c r="E162" s="356" t="s">
        <v>3998</v>
      </c>
      <c r="F162" s="23" t="s">
        <v>4014</v>
      </c>
      <c r="G162" s="23" t="s">
        <v>403</v>
      </c>
      <c r="H162" s="353">
        <v>283886.95</v>
      </c>
      <c r="I162" s="59"/>
      <c r="J162" s="59" t="s">
        <v>4015</v>
      </c>
      <c r="K162" s="20"/>
      <c r="L162" s="20">
        <v>1</v>
      </c>
      <c r="M162" s="357">
        <f>H162</f>
        <v>283886.95</v>
      </c>
      <c r="N162" s="411">
        <f>IFERROR((M162/(VLOOKUP(B162,'Data Pull Sheet'!$C:$H,6,FALSE))),"DC")</f>
        <v>1.3204044186046512E-3</v>
      </c>
      <c r="O162" s="23" t="s">
        <v>3378</v>
      </c>
      <c r="P162" s="92" t="s">
        <v>632</v>
      </c>
      <c r="Q162" s="92" t="s">
        <v>637</v>
      </c>
      <c r="R162" s="372" t="str">
        <f t="shared" si="4"/>
        <v/>
      </c>
    </row>
    <row r="163" spans="1:18" x14ac:dyDescent="0.25">
      <c r="A163" s="23" t="s">
        <v>880</v>
      </c>
      <c r="B163" s="18" t="str">
        <f>IF(ISNA(VLOOKUP($A163,'Data Pull Sheet'!$B$2:$C$1795,2,0)),"",(VLOOKUP($A163,'Data Pull Sheet'!$B$2:$C$1795,2,0)))</f>
        <v>AXVL</v>
      </c>
      <c r="C163" s="59" t="s">
        <v>418</v>
      </c>
      <c r="D163" s="356" t="s">
        <v>881</v>
      </c>
      <c r="E163" s="356" t="s">
        <v>882</v>
      </c>
      <c r="F163" s="23" t="s">
        <v>883</v>
      </c>
      <c r="G163" s="23" t="s">
        <v>403</v>
      </c>
      <c r="H163" s="353">
        <v>16254.39</v>
      </c>
      <c r="I163" s="59"/>
      <c r="J163" s="59" t="s">
        <v>884</v>
      </c>
      <c r="K163" s="20">
        <v>3</v>
      </c>
      <c r="L163" s="20">
        <v>2</v>
      </c>
      <c r="M163" s="357">
        <f>SUM(H163:H164)</f>
        <v>36290.949999999997</v>
      </c>
      <c r="N163" s="411">
        <f>IFERROR((M163/(VLOOKUP(B163,'Data Pull Sheet'!$C:$H,6,FALSE))),"DC")</f>
        <v>8.0646555555555547E-4</v>
      </c>
      <c r="O163" s="23" t="s">
        <v>885</v>
      </c>
      <c r="P163" s="92" t="s">
        <v>632</v>
      </c>
      <c r="Q163" s="92" t="s">
        <v>646</v>
      </c>
      <c r="R163" s="372" t="str">
        <f t="shared" si="4"/>
        <v/>
      </c>
    </row>
    <row r="164" spans="1:18" x14ac:dyDescent="0.25">
      <c r="A164" s="23" t="s">
        <v>880</v>
      </c>
      <c r="B164" s="18" t="str">
        <f>IF(ISNA(VLOOKUP($A164,'Data Pull Sheet'!$B$2:$C$1795,2,0)),"",(VLOOKUP($A164,'Data Pull Sheet'!$B$2:$C$1795,2,0)))</f>
        <v>AXVL</v>
      </c>
      <c r="C164" s="59" t="s">
        <v>418</v>
      </c>
      <c r="D164" s="356" t="s">
        <v>881</v>
      </c>
      <c r="E164" s="356" t="s">
        <v>882</v>
      </c>
      <c r="F164" s="23" t="s">
        <v>886</v>
      </c>
      <c r="G164" s="23" t="s">
        <v>403</v>
      </c>
      <c r="H164" s="353">
        <v>20036.560000000001</v>
      </c>
      <c r="I164" s="59"/>
      <c r="J164" s="59" t="s">
        <v>887</v>
      </c>
      <c r="K164" s="20"/>
      <c r="L164" s="20"/>
      <c r="M164" s="357"/>
      <c r="N164" s="411"/>
      <c r="O164" s="23" t="s">
        <v>885</v>
      </c>
      <c r="P164" s="92" t="s">
        <v>632</v>
      </c>
      <c r="Q164" s="92" t="s">
        <v>646</v>
      </c>
      <c r="R164" s="372" t="str">
        <f t="shared" si="4"/>
        <v/>
      </c>
    </row>
    <row r="165" spans="1:18" x14ac:dyDescent="0.25">
      <c r="A165" s="23" t="s">
        <v>880</v>
      </c>
      <c r="B165" s="18" t="str">
        <f>IF(ISNA(VLOOKUP($A165,'Data Pull Sheet'!$B$2:$C$1795,2,0)),"",(VLOOKUP($A165,'Data Pull Sheet'!$B$2:$C$1795,2,0)))</f>
        <v>AXVL</v>
      </c>
      <c r="C165" s="59" t="s">
        <v>418</v>
      </c>
      <c r="D165" s="356" t="s">
        <v>881</v>
      </c>
      <c r="E165" s="356" t="s">
        <v>882</v>
      </c>
      <c r="F165" s="23" t="s">
        <v>888</v>
      </c>
      <c r="G165" s="23" t="s">
        <v>403</v>
      </c>
      <c r="H165" s="353">
        <v>29111.919999999998</v>
      </c>
      <c r="I165" s="59"/>
      <c r="J165" s="59" t="s">
        <v>889</v>
      </c>
      <c r="K165" s="20"/>
      <c r="L165" s="20">
        <v>1</v>
      </c>
      <c r="M165" s="357">
        <f t="shared" ref="M165:M172" si="5">H165</f>
        <v>29111.919999999998</v>
      </c>
      <c r="N165" s="411">
        <f>IFERROR((M165/(VLOOKUP(B165,'Data Pull Sheet'!$C:$H,6,FALSE))),"DC")</f>
        <v>6.4693155555555556E-4</v>
      </c>
      <c r="O165" s="23" t="s">
        <v>63</v>
      </c>
      <c r="P165" s="92" t="s">
        <v>632</v>
      </c>
      <c r="Q165" s="92" t="s">
        <v>637</v>
      </c>
      <c r="R165" s="372" t="str">
        <f t="shared" si="4"/>
        <v/>
      </c>
    </row>
    <row r="166" spans="1:18" x14ac:dyDescent="0.25">
      <c r="A166" s="23" t="s">
        <v>880</v>
      </c>
      <c r="B166" s="18" t="str">
        <f>IF(ISNA(VLOOKUP($A166,'Data Pull Sheet'!$B$2:$C$1795,2,0)),"",(VLOOKUP($A166,'Data Pull Sheet'!$B$2:$C$1795,2,0)))</f>
        <v>AXVL</v>
      </c>
      <c r="C166" s="59" t="s">
        <v>418</v>
      </c>
      <c r="D166" s="356" t="s">
        <v>881</v>
      </c>
      <c r="E166" s="356" t="s">
        <v>882</v>
      </c>
      <c r="F166" s="23" t="s">
        <v>890</v>
      </c>
      <c r="G166" s="23" t="s">
        <v>403</v>
      </c>
      <c r="H166" s="353">
        <v>28862.41</v>
      </c>
      <c r="I166" s="59" t="s">
        <v>406</v>
      </c>
      <c r="J166" s="59" t="s">
        <v>891</v>
      </c>
      <c r="K166" s="20"/>
      <c r="L166" s="20">
        <v>1</v>
      </c>
      <c r="M166" s="357">
        <f t="shared" si="5"/>
        <v>28862.41</v>
      </c>
      <c r="N166" s="411">
        <f>IFERROR((M166/(VLOOKUP(B166,'Data Pull Sheet'!$C:$H,6,FALSE))),"DC")</f>
        <v>6.413868888888889E-4</v>
      </c>
      <c r="O166" s="23" t="s">
        <v>8986</v>
      </c>
      <c r="P166" s="92" t="s">
        <v>632</v>
      </c>
      <c r="Q166" s="92" t="s">
        <v>637</v>
      </c>
      <c r="R166" s="372" t="str">
        <f t="shared" si="4"/>
        <v/>
      </c>
    </row>
    <row r="167" spans="1:18" x14ac:dyDescent="0.25">
      <c r="A167" s="23" t="s">
        <v>699</v>
      </c>
      <c r="B167" s="18" t="str">
        <f>IF(ISNA(VLOOKUP($A167,'Data Pull Sheet'!$B$2:$C$1795,2,0)),"",(VLOOKUP($A167,'Data Pull Sheet'!$B$2:$C$1795,2,0)))</f>
        <v>AIXNY</v>
      </c>
      <c r="C167" s="59" t="s">
        <v>418</v>
      </c>
      <c r="D167" s="356" t="s">
        <v>700</v>
      </c>
      <c r="E167" s="356" t="s">
        <v>501</v>
      </c>
      <c r="F167" s="23" t="s">
        <v>701</v>
      </c>
      <c r="G167" s="23" t="s">
        <v>403</v>
      </c>
      <c r="H167" s="353">
        <v>4150.33</v>
      </c>
      <c r="I167" s="59"/>
      <c r="J167" s="59" t="s">
        <v>702</v>
      </c>
      <c r="K167" s="20">
        <v>2</v>
      </c>
      <c r="L167" s="20">
        <v>1</v>
      </c>
      <c r="M167" s="357">
        <f t="shared" si="5"/>
        <v>4150.33</v>
      </c>
      <c r="N167" s="411">
        <f>IFERROR((M167/(VLOOKUP(B167,'Data Pull Sheet'!$C:$H,6,FALSE))),"DC")</f>
        <v>6.9172166666666671E-4</v>
      </c>
      <c r="O167" s="23" t="s">
        <v>597</v>
      </c>
      <c r="P167" s="92" t="s">
        <v>632</v>
      </c>
      <c r="Q167" s="92" t="s">
        <v>637</v>
      </c>
      <c r="R167" s="372" t="str">
        <f t="shared" si="4"/>
        <v/>
      </c>
    </row>
    <row r="168" spans="1:18" x14ac:dyDescent="0.25">
      <c r="A168" s="23" t="s">
        <v>699</v>
      </c>
      <c r="B168" s="18" t="str">
        <f>IF(ISNA(VLOOKUP($A168,'Data Pull Sheet'!$B$2:$C$1795,2,0)),"",(VLOOKUP($A168,'Data Pull Sheet'!$B$2:$C$1795,2,0)))</f>
        <v>AIXNY</v>
      </c>
      <c r="C168" s="59" t="s">
        <v>418</v>
      </c>
      <c r="D168" s="356" t="s">
        <v>700</v>
      </c>
      <c r="E168" s="356" t="s">
        <v>501</v>
      </c>
      <c r="F168" s="23" t="s">
        <v>703</v>
      </c>
      <c r="G168" s="23" t="s">
        <v>403</v>
      </c>
      <c r="H168" s="353">
        <v>147.19999999999999</v>
      </c>
      <c r="I168" s="59"/>
      <c r="J168" s="59" t="s">
        <v>704</v>
      </c>
      <c r="K168" s="20"/>
      <c r="L168" s="20">
        <v>1</v>
      </c>
      <c r="M168" s="357">
        <f t="shared" si="5"/>
        <v>147.19999999999999</v>
      </c>
      <c r="N168" s="411">
        <f>IFERROR((M168/(VLOOKUP(B168,'Data Pull Sheet'!$C:$H,6,FALSE))),"DC")</f>
        <v>2.4533333333333331E-5</v>
      </c>
      <c r="O168" s="23" t="s">
        <v>682</v>
      </c>
      <c r="P168" s="92" t="s">
        <v>632</v>
      </c>
      <c r="Q168" s="92" t="s">
        <v>637</v>
      </c>
      <c r="R168" s="372" t="str">
        <f t="shared" si="4"/>
        <v/>
      </c>
    </row>
    <row r="169" spans="1:18" x14ac:dyDescent="0.25">
      <c r="A169" s="23" t="s">
        <v>1889</v>
      </c>
      <c r="B169" s="18" t="str">
        <f>IF(ISNA(VLOOKUP($A169,'Data Pull Sheet'!$B$2:$C$1795,2,0)),"",(VLOOKUP($A169,'Data Pull Sheet'!$B$2:$C$1795,2,0)))</f>
        <v>FSAM</v>
      </c>
      <c r="C169" s="59" t="s">
        <v>418</v>
      </c>
      <c r="D169" s="356" t="s">
        <v>1890</v>
      </c>
      <c r="E169" s="356" t="s">
        <v>605</v>
      </c>
      <c r="F169" s="23" t="s">
        <v>1891</v>
      </c>
      <c r="G169" s="23" t="s">
        <v>403</v>
      </c>
      <c r="H169" s="353">
        <v>215265.25</v>
      </c>
      <c r="I169" s="59"/>
      <c r="J169" s="59" t="s">
        <v>1892</v>
      </c>
      <c r="K169" s="20">
        <v>3</v>
      </c>
      <c r="L169" s="20">
        <v>1</v>
      </c>
      <c r="M169" s="357">
        <f t="shared" si="5"/>
        <v>215265.25</v>
      </c>
      <c r="N169" s="411">
        <f>IFERROR((M169/(VLOOKUP(B169,'Data Pull Sheet'!$C:$H,6,FALSE))),"DC")</f>
        <v>2.6908156250000002E-3</v>
      </c>
      <c r="O169" s="23" t="s">
        <v>597</v>
      </c>
      <c r="P169" s="92" t="s">
        <v>632</v>
      </c>
      <c r="Q169" s="92" t="s">
        <v>637</v>
      </c>
      <c r="R169" s="372" t="str">
        <f t="shared" si="4"/>
        <v/>
      </c>
    </row>
    <row r="170" spans="1:18" ht="30" x14ac:dyDescent="0.25">
      <c r="A170" s="23" t="s">
        <v>1889</v>
      </c>
      <c r="B170" s="18" t="str">
        <f>IF(ISNA(VLOOKUP($A170,'Data Pull Sheet'!$B$2:$C$1795,2,0)),"",(VLOOKUP($A170,'Data Pull Sheet'!$B$2:$C$1795,2,0)))</f>
        <v>FSAM</v>
      </c>
      <c r="C170" s="59" t="s">
        <v>418</v>
      </c>
      <c r="D170" s="356" t="s">
        <v>1890</v>
      </c>
      <c r="E170" s="356" t="s">
        <v>605</v>
      </c>
      <c r="F170" s="23" t="s">
        <v>1893</v>
      </c>
      <c r="G170" s="23" t="s">
        <v>403</v>
      </c>
      <c r="H170" s="353">
        <v>128045.84</v>
      </c>
      <c r="I170" s="59" t="s">
        <v>442</v>
      </c>
      <c r="J170" s="59" t="s">
        <v>1894</v>
      </c>
      <c r="K170" s="20"/>
      <c r="L170" s="20">
        <v>1</v>
      </c>
      <c r="M170" s="357">
        <f t="shared" si="5"/>
        <v>128045.84</v>
      </c>
      <c r="N170" s="411">
        <f>IFERROR((M170/(VLOOKUP(B170,'Data Pull Sheet'!$C:$H,6,FALSE))),"DC")</f>
        <v>1.6005729999999999E-3</v>
      </c>
      <c r="O170" s="23" t="s">
        <v>1366</v>
      </c>
      <c r="P170" s="92" t="s">
        <v>632</v>
      </c>
      <c r="Q170" s="92" t="s">
        <v>637</v>
      </c>
      <c r="R170" s="372" t="str">
        <f t="shared" si="4"/>
        <v/>
      </c>
    </row>
    <row r="171" spans="1:18" x14ac:dyDescent="0.25">
      <c r="A171" s="23" t="s">
        <v>1889</v>
      </c>
      <c r="B171" s="18" t="str">
        <f>IF(ISNA(VLOOKUP($A171,'Data Pull Sheet'!$B$2:$C$1795,2,0)),"",(VLOOKUP($A171,'Data Pull Sheet'!$B$2:$C$1795,2,0)))</f>
        <v>FSAM</v>
      </c>
      <c r="C171" s="59" t="s">
        <v>418</v>
      </c>
      <c r="D171" s="356" t="s">
        <v>1890</v>
      </c>
      <c r="E171" s="356" t="s">
        <v>605</v>
      </c>
      <c r="F171" s="23" t="s">
        <v>1895</v>
      </c>
      <c r="G171" s="23" t="s">
        <v>403</v>
      </c>
      <c r="H171" s="353">
        <v>65000</v>
      </c>
      <c r="I171" s="59"/>
      <c r="J171" s="59" t="s">
        <v>1896</v>
      </c>
      <c r="K171" s="20"/>
      <c r="L171" s="20">
        <v>1</v>
      </c>
      <c r="M171" s="357">
        <f t="shared" si="5"/>
        <v>65000</v>
      </c>
      <c r="N171" s="411">
        <f>IFERROR((M171/(VLOOKUP(B171,'Data Pull Sheet'!$C:$H,6,FALSE))),"DC")</f>
        <v>8.1249999999999996E-4</v>
      </c>
      <c r="O171" s="23" t="s">
        <v>682</v>
      </c>
      <c r="P171" s="92" t="s">
        <v>632</v>
      </c>
      <c r="Q171" s="92" t="s">
        <v>637</v>
      </c>
      <c r="R171" s="372" t="str">
        <f t="shared" si="4"/>
        <v/>
      </c>
    </row>
    <row r="172" spans="1:18" x14ac:dyDescent="0.25">
      <c r="A172" s="23" t="s">
        <v>353</v>
      </c>
      <c r="B172" s="18" t="str">
        <f>IF(ISNA(VLOOKUP($A172,'Data Pull Sheet'!$B$2:$C$1795,2,0)),"",(VLOOKUP($A172,'Data Pull Sheet'!$B$2:$C$1795,2,0)))</f>
        <v>KLXI</v>
      </c>
      <c r="C172" s="59" t="s">
        <v>603</v>
      </c>
      <c r="D172" s="356" t="s">
        <v>604</v>
      </c>
      <c r="E172" s="356" t="s">
        <v>605</v>
      </c>
      <c r="F172" s="23" t="s">
        <v>2526</v>
      </c>
      <c r="G172" s="23" t="s">
        <v>403</v>
      </c>
      <c r="H172" s="353">
        <v>109288.7</v>
      </c>
      <c r="I172" s="59"/>
      <c r="J172" s="59" t="s">
        <v>2527</v>
      </c>
      <c r="K172" s="20">
        <v>3</v>
      </c>
      <c r="L172" s="20">
        <v>1</v>
      </c>
      <c r="M172" s="357">
        <f t="shared" si="5"/>
        <v>109288.7</v>
      </c>
      <c r="N172" s="411">
        <f>IFERROR((M172/(VLOOKUP(B172,'Data Pull Sheet'!$C:$H,6,FALSE))),"DC")</f>
        <v>5.4644350000000003E-4</v>
      </c>
      <c r="O172" s="23" t="s">
        <v>1679</v>
      </c>
      <c r="P172" s="92" t="s">
        <v>632</v>
      </c>
      <c r="Q172" s="92" t="s">
        <v>637</v>
      </c>
      <c r="R172" s="372" t="str">
        <f t="shared" si="4"/>
        <v/>
      </c>
    </row>
    <row r="173" spans="1:18" ht="30" x14ac:dyDescent="0.25">
      <c r="A173" s="23" t="s">
        <v>353</v>
      </c>
      <c r="B173" s="18" t="str">
        <f>IF(ISNA(VLOOKUP($A173,'Data Pull Sheet'!$B$2:$C$1795,2,0)),"",(VLOOKUP($A173,'Data Pull Sheet'!$B$2:$C$1795,2,0)))</f>
        <v>KLXI</v>
      </c>
      <c r="C173" s="59" t="s">
        <v>603</v>
      </c>
      <c r="D173" s="356" t="s">
        <v>604</v>
      </c>
      <c r="E173" s="356" t="s">
        <v>605</v>
      </c>
      <c r="F173" s="23" t="s">
        <v>352</v>
      </c>
      <c r="G173" s="23" t="s">
        <v>417</v>
      </c>
      <c r="H173" s="353">
        <v>125114.42</v>
      </c>
      <c r="I173" s="59"/>
      <c r="J173" s="59" t="s">
        <v>2528</v>
      </c>
      <c r="K173" s="20"/>
      <c r="L173" s="20">
        <v>2</v>
      </c>
      <c r="M173" s="357">
        <f>SUM(H173:H174)</f>
        <v>310415.67</v>
      </c>
      <c r="N173" s="411">
        <f>IFERROR((M173/(VLOOKUP(B173,'Data Pull Sheet'!$C:$H,6,FALSE))),"DC")</f>
        <v>1.5520783499999998E-3</v>
      </c>
      <c r="O173" s="23" t="s">
        <v>2529</v>
      </c>
      <c r="P173" s="92" t="s">
        <v>632</v>
      </c>
      <c r="Q173" s="92" t="s">
        <v>640</v>
      </c>
      <c r="R173" s="372" t="str">
        <f t="shared" si="4"/>
        <v/>
      </c>
    </row>
    <row r="174" spans="1:18" ht="30" x14ac:dyDescent="0.25">
      <c r="A174" s="23" t="s">
        <v>353</v>
      </c>
      <c r="B174" s="18" t="str">
        <f>IF(ISNA(VLOOKUP($A174,'Data Pull Sheet'!$B$2:$C$1795,2,0)),"",(VLOOKUP($A174,'Data Pull Sheet'!$B$2:$C$1795,2,0)))</f>
        <v>KLXI</v>
      </c>
      <c r="C174" s="59" t="s">
        <v>603</v>
      </c>
      <c r="D174" s="356" t="s">
        <v>604</v>
      </c>
      <c r="E174" s="356" t="s">
        <v>605</v>
      </c>
      <c r="F174" s="23" t="s">
        <v>2530</v>
      </c>
      <c r="G174" s="23" t="s">
        <v>417</v>
      </c>
      <c r="H174" s="353">
        <v>185301.25</v>
      </c>
      <c r="I174" s="59"/>
      <c r="J174" s="59" t="s">
        <v>2531</v>
      </c>
      <c r="K174" s="20"/>
      <c r="L174" s="20"/>
      <c r="M174" s="357"/>
      <c r="N174" s="411"/>
      <c r="O174" s="23" t="s">
        <v>2529</v>
      </c>
      <c r="P174" s="92" t="s">
        <v>632</v>
      </c>
      <c r="Q174" s="92" t="s">
        <v>640</v>
      </c>
      <c r="R174" s="372" t="str">
        <f t="shared" si="4"/>
        <v/>
      </c>
    </row>
    <row r="175" spans="1:18" x14ac:dyDescent="0.25">
      <c r="A175" s="23" t="s">
        <v>353</v>
      </c>
      <c r="B175" s="18" t="str">
        <f>IF(ISNA(VLOOKUP($A175,'Data Pull Sheet'!$B$2:$C$1795,2,0)),"",(VLOOKUP($A175,'Data Pull Sheet'!$B$2:$C$1795,2,0)))</f>
        <v>KLXI</v>
      </c>
      <c r="C175" s="59" t="s">
        <v>603</v>
      </c>
      <c r="D175" s="356" t="s">
        <v>604</v>
      </c>
      <c r="E175" s="356" t="s">
        <v>605</v>
      </c>
      <c r="F175" s="23" t="s">
        <v>2532</v>
      </c>
      <c r="G175" s="23" t="s">
        <v>403</v>
      </c>
      <c r="H175" s="353">
        <v>24733.65</v>
      </c>
      <c r="I175" s="59"/>
      <c r="J175" s="59" t="s">
        <v>2533</v>
      </c>
      <c r="K175" s="20"/>
      <c r="L175" s="20">
        <v>1</v>
      </c>
      <c r="M175" s="357">
        <f>H175</f>
        <v>24733.65</v>
      </c>
      <c r="N175" s="411">
        <f>IFERROR((M175/(VLOOKUP(B175,'Data Pull Sheet'!$C:$H,6,FALSE))),"DC")</f>
        <v>1.2366825000000001E-4</v>
      </c>
      <c r="O175" s="23" t="s">
        <v>682</v>
      </c>
      <c r="P175" s="92" t="s">
        <v>632</v>
      </c>
      <c r="Q175" s="92" t="s">
        <v>637</v>
      </c>
      <c r="R175" s="372" t="str">
        <f t="shared" si="4"/>
        <v/>
      </c>
    </row>
    <row r="176" spans="1:18" x14ac:dyDescent="0.25">
      <c r="A176" s="23" t="s">
        <v>40</v>
      </c>
      <c r="B176" s="18" t="s">
        <v>10494</v>
      </c>
      <c r="C176" s="59" t="s">
        <v>418</v>
      </c>
      <c r="D176" s="356" t="s">
        <v>453</v>
      </c>
      <c r="E176" s="356" t="s">
        <v>454</v>
      </c>
      <c r="F176" s="23" t="s">
        <v>39</v>
      </c>
      <c r="G176" s="23" t="s">
        <v>417</v>
      </c>
      <c r="H176" s="353">
        <v>908180.74</v>
      </c>
      <c r="I176" s="59" t="s">
        <v>406</v>
      </c>
      <c r="J176" s="59" t="s">
        <v>10496</v>
      </c>
      <c r="K176" s="20">
        <v>5</v>
      </c>
      <c r="L176" s="20">
        <v>1</v>
      </c>
      <c r="M176" s="357">
        <f>H176</f>
        <v>908180.74</v>
      </c>
      <c r="N176" s="411">
        <f>IFERROR((M176/(VLOOKUP(B176,'Data Pull Sheet'!$C:$H,6,FALSE))),"DC")</f>
        <v>1.2109076533333334E-3</v>
      </c>
      <c r="O176" s="23" t="s">
        <v>1</v>
      </c>
      <c r="P176" s="92" t="s">
        <v>632</v>
      </c>
      <c r="Q176" s="92" t="s">
        <v>633</v>
      </c>
      <c r="R176" s="372" t="str">
        <f t="shared" si="4"/>
        <v>FF</v>
      </c>
    </row>
    <row r="177" spans="1:18" ht="30" x14ac:dyDescent="0.25">
      <c r="A177" s="23" t="s">
        <v>40</v>
      </c>
      <c r="B177" s="18" t="s">
        <v>10494</v>
      </c>
      <c r="C177" s="59" t="s">
        <v>418</v>
      </c>
      <c r="D177" s="356" t="s">
        <v>453</v>
      </c>
      <c r="E177" s="356" t="s">
        <v>454</v>
      </c>
      <c r="F177" s="23" t="s">
        <v>223</v>
      </c>
      <c r="G177" s="23" t="s">
        <v>417</v>
      </c>
      <c r="H177" s="353">
        <v>365183.24</v>
      </c>
      <c r="I177" s="59" t="s">
        <v>476</v>
      </c>
      <c r="J177" s="59" t="s">
        <v>10497</v>
      </c>
      <c r="K177" s="20"/>
      <c r="L177" s="20">
        <v>2</v>
      </c>
      <c r="M177" s="357">
        <f>SUM(H177:H178)</f>
        <v>1636287.96</v>
      </c>
      <c r="N177" s="411">
        <f>IFERROR((M177/(VLOOKUP(B177,'Data Pull Sheet'!$C:$H,6,FALSE))),"DC")</f>
        <v>2.1817172799999999E-3</v>
      </c>
      <c r="O177" s="23" t="s">
        <v>224</v>
      </c>
      <c r="P177" s="92" t="s">
        <v>632</v>
      </c>
      <c r="Q177" s="92" t="s">
        <v>640</v>
      </c>
      <c r="R177" s="372" t="str">
        <f t="shared" si="4"/>
        <v>FF</v>
      </c>
    </row>
    <row r="178" spans="1:18" ht="30" x14ac:dyDescent="0.25">
      <c r="A178" s="23" t="s">
        <v>40</v>
      </c>
      <c r="B178" s="18" t="s">
        <v>10494</v>
      </c>
      <c r="C178" s="59" t="s">
        <v>418</v>
      </c>
      <c r="D178" s="356" t="s">
        <v>453</v>
      </c>
      <c r="E178" s="356" t="s">
        <v>454</v>
      </c>
      <c r="F178" s="23" t="s">
        <v>303</v>
      </c>
      <c r="G178" s="23" t="s">
        <v>417</v>
      </c>
      <c r="H178" s="353">
        <v>1271104.72</v>
      </c>
      <c r="I178" s="59" t="s">
        <v>413</v>
      </c>
      <c r="J178" s="59" t="s">
        <v>10498</v>
      </c>
      <c r="K178" s="20"/>
      <c r="L178" s="20"/>
      <c r="M178" s="357"/>
      <c r="N178" s="411"/>
      <c r="O178" s="23" t="s">
        <v>224</v>
      </c>
      <c r="P178" s="92" t="s">
        <v>632</v>
      </c>
      <c r="Q178" s="92" t="s">
        <v>640</v>
      </c>
      <c r="R178" s="372" t="str">
        <f t="shared" si="4"/>
        <v>FF</v>
      </c>
    </row>
    <row r="179" spans="1:18" ht="30" x14ac:dyDescent="0.25">
      <c r="A179" s="23" t="s">
        <v>40</v>
      </c>
      <c r="B179" s="18" t="s">
        <v>10494</v>
      </c>
      <c r="C179" s="59" t="s">
        <v>418</v>
      </c>
      <c r="D179" s="356" t="s">
        <v>453</v>
      </c>
      <c r="E179" s="356" t="s">
        <v>454</v>
      </c>
      <c r="F179" s="23" t="s">
        <v>145</v>
      </c>
      <c r="G179" s="23" t="s">
        <v>417</v>
      </c>
      <c r="H179" s="353">
        <v>439206.99</v>
      </c>
      <c r="I179" s="59"/>
      <c r="J179" s="59" t="s">
        <v>10499</v>
      </c>
      <c r="K179" s="20"/>
      <c r="L179" s="20">
        <v>2</v>
      </c>
      <c r="M179" s="357">
        <f>SUM(H179:H180)</f>
        <v>2072857.83</v>
      </c>
      <c r="N179" s="411">
        <f>IFERROR((M179/(VLOOKUP(B179,'Data Pull Sheet'!$C:$H,6,FALSE))),"DC")</f>
        <v>2.7638104400000002E-3</v>
      </c>
      <c r="O179" s="23" t="s">
        <v>119</v>
      </c>
      <c r="P179" s="92" t="s">
        <v>632</v>
      </c>
      <c r="Q179" s="92" t="s">
        <v>640</v>
      </c>
      <c r="R179" s="372" t="str">
        <f t="shared" si="4"/>
        <v>FF</v>
      </c>
    </row>
    <row r="180" spans="1:18" x14ac:dyDescent="0.25">
      <c r="A180" s="23" t="s">
        <v>40</v>
      </c>
      <c r="B180" s="18" t="s">
        <v>10494</v>
      </c>
      <c r="C180" s="59" t="s">
        <v>418</v>
      </c>
      <c r="D180" s="356" t="s">
        <v>453</v>
      </c>
      <c r="E180" s="356" t="s">
        <v>454</v>
      </c>
      <c r="F180" s="23" t="s">
        <v>243</v>
      </c>
      <c r="G180" s="23" t="s">
        <v>417</v>
      </c>
      <c r="H180" s="353">
        <v>1633650.84</v>
      </c>
      <c r="I180" s="59"/>
      <c r="J180" s="59" t="s">
        <v>10500</v>
      </c>
      <c r="K180" s="20"/>
      <c r="L180" s="20"/>
      <c r="M180" s="357"/>
      <c r="N180" s="411"/>
      <c r="O180" s="23" t="s">
        <v>119</v>
      </c>
      <c r="P180" s="92" t="s">
        <v>632</v>
      </c>
      <c r="Q180" s="92" t="s">
        <v>640</v>
      </c>
      <c r="R180" s="372" t="str">
        <f t="shared" si="4"/>
        <v>FF</v>
      </c>
    </row>
    <row r="181" spans="1:18" x14ac:dyDescent="0.25">
      <c r="A181" s="23" t="s">
        <v>40</v>
      </c>
      <c r="B181" s="18" t="s">
        <v>10494</v>
      </c>
      <c r="C181" s="59" t="s">
        <v>418</v>
      </c>
      <c r="D181" s="356" t="s">
        <v>453</v>
      </c>
      <c r="E181" s="356" t="s">
        <v>454</v>
      </c>
      <c r="F181" s="23" t="s">
        <v>69</v>
      </c>
      <c r="G181" s="23" t="s">
        <v>417</v>
      </c>
      <c r="H181" s="353">
        <v>111523</v>
      </c>
      <c r="I181" s="59"/>
      <c r="J181" s="59" t="s">
        <v>10501</v>
      </c>
      <c r="K181" s="20"/>
      <c r="L181" s="20">
        <v>2</v>
      </c>
      <c r="M181" s="357">
        <f>SUM(H181:H182)</f>
        <v>379801</v>
      </c>
      <c r="N181" s="411">
        <f>IFERROR((M181/(VLOOKUP(B181,'Data Pull Sheet'!$C:$H,6,FALSE))),"DC")</f>
        <v>5.0640133333333334E-4</v>
      </c>
      <c r="O181" s="23" t="s">
        <v>79</v>
      </c>
      <c r="P181" s="92" t="s">
        <v>632</v>
      </c>
      <c r="Q181" s="92" t="s">
        <v>662</v>
      </c>
      <c r="R181" s="372" t="str">
        <f t="shared" si="4"/>
        <v>FF</v>
      </c>
    </row>
    <row r="182" spans="1:18" x14ac:dyDescent="0.25">
      <c r="A182" s="23" t="s">
        <v>40</v>
      </c>
      <c r="B182" s="18" t="s">
        <v>10494</v>
      </c>
      <c r="C182" s="59" t="s">
        <v>418</v>
      </c>
      <c r="D182" s="356" t="s">
        <v>453</v>
      </c>
      <c r="E182" s="356" t="s">
        <v>454</v>
      </c>
      <c r="F182" s="23" t="s">
        <v>1359</v>
      </c>
      <c r="G182" s="23" t="s">
        <v>403</v>
      </c>
      <c r="H182" s="353">
        <v>268278</v>
      </c>
      <c r="I182" s="59"/>
      <c r="J182" s="59" t="s">
        <v>10502</v>
      </c>
      <c r="K182" s="20"/>
      <c r="L182" s="20"/>
      <c r="M182" s="357"/>
      <c r="N182" s="411"/>
      <c r="O182" s="23" t="s">
        <v>79</v>
      </c>
      <c r="P182" s="92" t="s">
        <v>632</v>
      </c>
      <c r="Q182" s="92" t="s">
        <v>662</v>
      </c>
      <c r="R182" s="372" t="str">
        <f t="shared" si="4"/>
        <v/>
      </c>
    </row>
    <row r="183" spans="1:18" x14ac:dyDescent="0.25">
      <c r="A183" s="23" t="s">
        <v>40</v>
      </c>
      <c r="B183" s="18" t="s">
        <v>10494</v>
      </c>
      <c r="C183" s="59" t="s">
        <v>418</v>
      </c>
      <c r="D183" s="356" t="s">
        <v>453</v>
      </c>
      <c r="E183" s="356" t="s">
        <v>454</v>
      </c>
      <c r="F183" s="23" t="s">
        <v>1360</v>
      </c>
      <c r="G183" s="23" t="s">
        <v>403</v>
      </c>
      <c r="H183" s="353">
        <v>22414.33</v>
      </c>
      <c r="I183" s="59"/>
      <c r="J183" s="59" t="s">
        <v>10503</v>
      </c>
      <c r="K183" s="20"/>
      <c r="L183" s="20">
        <v>1</v>
      </c>
      <c r="M183" s="357">
        <f>H183</f>
        <v>22414.33</v>
      </c>
      <c r="N183" s="411">
        <f>IFERROR((M183/(VLOOKUP(B183,'Data Pull Sheet'!$C:$H,6,FALSE))),"DC")</f>
        <v>2.9885773333333337E-5</v>
      </c>
      <c r="O183" s="23" t="s">
        <v>682</v>
      </c>
      <c r="P183" s="92" t="s">
        <v>632</v>
      </c>
      <c r="Q183" s="92" t="s">
        <v>637</v>
      </c>
      <c r="R183" s="372" t="str">
        <f t="shared" si="4"/>
        <v/>
      </c>
    </row>
    <row r="184" spans="1:18" x14ac:dyDescent="0.25">
      <c r="A184" s="23" t="s">
        <v>101</v>
      </c>
      <c r="B184" s="18" t="s">
        <v>11318</v>
      </c>
      <c r="C184" s="59" t="s">
        <v>457</v>
      </c>
      <c r="D184" s="356" t="s">
        <v>423</v>
      </c>
      <c r="E184" s="356" t="s">
        <v>488</v>
      </c>
      <c r="F184" s="23" t="s">
        <v>1904</v>
      </c>
      <c r="G184" s="23" t="s">
        <v>403</v>
      </c>
      <c r="H184" s="353">
        <v>236558.66</v>
      </c>
      <c r="I184" s="59" t="s">
        <v>406</v>
      </c>
      <c r="J184" s="59" t="s">
        <v>11319</v>
      </c>
      <c r="K184" s="20">
        <v>5</v>
      </c>
      <c r="L184" s="20">
        <v>1</v>
      </c>
      <c r="M184" s="357">
        <f>H184</f>
        <v>236558.66</v>
      </c>
      <c r="N184" s="411">
        <f>IFERROR((M184/(VLOOKUP(B184,'Data Pull Sheet'!$C:$H,6,FALSE))),"DC")</f>
        <v>5.6323490476190476E-3</v>
      </c>
      <c r="O184" s="23" t="s">
        <v>407</v>
      </c>
      <c r="P184" s="92" t="s">
        <v>632</v>
      </c>
      <c r="Q184" s="92" t="s">
        <v>637</v>
      </c>
      <c r="R184" s="372" t="str">
        <f t="shared" si="4"/>
        <v/>
      </c>
    </row>
    <row r="185" spans="1:18" x14ac:dyDescent="0.25">
      <c r="A185" s="23" t="s">
        <v>101</v>
      </c>
      <c r="B185" s="18" t="s">
        <v>11318</v>
      </c>
      <c r="C185" s="59" t="s">
        <v>457</v>
      </c>
      <c r="D185" s="356" t="s">
        <v>423</v>
      </c>
      <c r="E185" s="356" t="s">
        <v>488</v>
      </c>
      <c r="F185" s="23" t="s">
        <v>1905</v>
      </c>
      <c r="G185" s="23" t="s">
        <v>403</v>
      </c>
      <c r="H185" s="353">
        <v>548661</v>
      </c>
      <c r="I185" s="59"/>
      <c r="J185" s="59" t="s">
        <v>11320</v>
      </c>
      <c r="K185" s="20"/>
      <c r="L185" s="20">
        <v>4</v>
      </c>
      <c r="M185" s="357">
        <f>SUM(H185:H188)</f>
        <v>3176023</v>
      </c>
      <c r="N185" s="411">
        <f>IFERROR((M185/(VLOOKUP(B185,'Data Pull Sheet'!$C:$H,6,FALSE))),"DC")</f>
        <v>7.5619595238095236E-2</v>
      </c>
      <c r="O185" s="23" t="s">
        <v>885</v>
      </c>
      <c r="P185" s="92" t="s">
        <v>632</v>
      </c>
      <c r="Q185" s="92" t="s">
        <v>646</v>
      </c>
      <c r="R185" s="372" t="str">
        <f t="shared" si="4"/>
        <v/>
      </c>
    </row>
    <row r="186" spans="1:18" x14ac:dyDescent="0.25">
      <c r="A186" s="23" t="s">
        <v>101</v>
      </c>
      <c r="B186" s="18" t="s">
        <v>11318</v>
      </c>
      <c r="C186" s="59" t="s">
        <v>457</v>
      </c>
      <c r="D186" s="356" t="s">
        <v>423</v>
      </c>
      <c r="E186" s="356" t="s">
        <v>488</v>
      </c>
      <c r="F186" s="23" t="s">
        <v>1906</v>
      </c>
      <c r="G186" s="23" t="s">
        <v>403</v>
      </c>
      <c r="H186" s="353">
        <v>718568</v>
      </c>
      <c r="I186" s="59"/>
      <c r="J186" s="59" t="s">
        <v>11321</v>
      </c>
      <c r="K186" s="20"/>
      <c r="L186" s="20"/>
      <c r="M186" s="357"/>
      <c r="N186" s="411"/>
      <c r="O186" s="23" t="s">
        <v>885</v>
      </c>
      <c r="P186" s="92" t="s">
        <v>632</v>
      </c>
      <c r="Q186" s="92" t="s">
        <v>646</v>
      </c>
      <c r="R186" s="372" t="str">
        <f t="shared" si="4"/>
        <v/>
      </c>
    </row>
    <row r="187" spans="1:18" x14ac:dyDescent="0.25">
      <c r="A187" s="23" t="s">
        <v>101</v>
      </c>
      <c r="B187" s="18" t="s">
        <v>11318</v>
      </c>
      <c r="C187" s="59" t="s">
        <v>457</v>
      </c>
      <c r="D187" s="356" t="s">
        <v>423</v>
      </c>
      <c r="E187" s="356" t="s">
        <v>488</v>
      </c>
      <c r="F187" s="23" t="s">
        <v>1907</v>
      </c>
      <c r="G187" s="23" t="s">
        <v>403</v>
      </c>
      <c r="H187" s="353">
        <v>791120</v>
      </c>
      <c r="I187" s="59"/>
      <c r="J187" s="59" t="s">
        <v>11322</v>
      </c>
      <c r="K187" s="20"/>
      <c r="L187" s="20"/>
      <c r="M187" s="357"/>
      <c r="N187" s="411"/>
      <c r="O187" s="23" t="s">
        <v>885</v>
      </c>
      <c r="P187" s="92" t="s">
        <v>632</v>
      </c>
      <c r="Q187" s="92" t="s">
        <v>646</v>
      </c>
      <c r="R187" s="372" t="str">
        <f t="shared" si="4"/>
        <v/>
      </c>
    </row>
    <row r="188" spans="1:18" x14ac:dyDescent="0.25">
      <c r="A188" s="23" t="s">
        <v>101</v>
      </c>
      <c r="B188" s="18" t="s">
        <v>11318</v>
      </c>
      <c r="C188" s="59" t="s">
        <v>457</v>
      </c>
      <c r="D188" s="356" t="s">
        <v>423</v>
      </c>
      <c r="E188" s="356" t="s">
        <v>488</v>
      </c>
      <c r="F188" s="23" t="s">
        <v>1908</v>
      </c>
      <c r="G188" s="23" t="s">
        <v>403</v>
      </c>
      <c r="H188" s="353">
        <v>1117674</v>
      </c>
      <c r="I188" s="59"/>
      <c r="J188" s="59" t="s">
        <v>11323</v>
      </c>
      <c r="K188" s="20"/>
      <c r="L188" s="20"/>
      <c r="M188" s="357"/>
      <c r="N188" s="411"/>
      <c r="O188" s="23" t="s">
        <v>885</v>
      </c>
      <c r="P188" s="92" t="s">
        <v>632</v>
      </c>
      <c r="Q188" s="92" t="s">
        <v>646</v>
      </c>
      <c r="R188" s="372" t="str">
        <f t="shared" si="4"/>
        <v/>
      </c>
    </row>
    <row r="189" spans="1:18" x14ac:dyDescent="0.25">
      <c r="A189" s="23" t="s">
        <v>101</v>
      </c>
      <c r="B189" s="18" t="s">
        <v>11318</v>
      </c>
      <c r="C189" s="59" t="s">
        <v>457</v>
      </c>
      <c r="D189" s="356" t="s">
        <v>423</v>
      </c>
      <c r="E189" s="356" t="s">
        <v>488</v>
      </c>
      <c r="F189" s="23" t="s">
        <v>10433</v>
      </c>
      <c r="G189" s="23" t="s">
        <v>417</v>
      </c>
      <c r="H189" s="353">
        <v>1036145</v>
      </c>
      <c r="I189" s="59"/>
      <c r="J189" s="59" t="s">
        <v>11324</v>
      </c>
      <c r="K189" s="20"/>
      <c r="L189" s="20">
        <v>1</v>
      </c>
      <c r="M189" s="357">
        <v>1036145</v>
      </c>
      <c r="N189" s="411">
        <f>IFERROR((M189/(VLOOKUP(B189,'Data Pull Sheet'!$C:$H,6,FALSE))),"DC")</f>
        <v>2.4670119047619048E-2</v>
      </c>
      <c r="O189" s="23" t="s">
        <v>309</v>
      </c>
      <c r="P189" s="92" t="s">
        <v>632</v>
      </c>
      <c r="Q189" s="92" t="s">
        <v>633</v>
      </c>
      <c r="R189" s="372" t="str">
        <f t="shared" si="4"/>
        <v/>
      </c>
    </row>
    <row r="190" spans="1:18" x14ac:dyDescent="0.25">
      <c r="A190" s="23" t="s">
        <v>101</v>
      </c>
      <c r="B190" s="18" t="s">
        <v>11318</v>
      </c>
      <c r="C190" s="59" t="s">
        <v>457</v>
      </c>
      <c r="D190" s="356" t="s">
        <v>423</v>
      </c>
      <c r="E190" s="356" t="s">
        <v>488</v>
      </c>
      <c r="F190" s="23" t="s">
        <v>94</v>
      </c>
      <c r="G190" s="23" t="s">
        <v>417</v>
      </c>
      <c r="H190" s="353">
        <v>252957.67</v>
      </c>
      <c r="I190" s="59"/>
      <c r="J190" s="59" t="s">
        <v>11325</v>
      </c>
      <c r="K190" s="20"/>
      <c r="L190" s="20">
        <v>3</v>
      </c>
      <c r="M190" s="357">
        <f>SUM(H190:H192)</f>
        <v>2042896.89</v>
      </c>
      <c r="N190" s="411">
        <f>IFERROR((M190/(VLOOKUP(B190,'Data Pull Sheet'!$C:$H,6,FALSE))),"DC")</f>
        <v>4.8640402142857142E-2</v>
      </c>
      <c r="O190" s="23" t="s">
        <v>10812</v>
      </c>
      <c r="P190" s="92" t="s">
        <v>632</v>
      </c>
      <c r="Q190" s="92" t="s">
        <v>640</v>
      </c>
      <c r="R190" s="372" t="str">
        <f t="shared" si="4"/>
        <v>FF</v>
      </c>
    </row>
    <row r="191" spans="1:18" x14ac:dyDescent="0.25">
      <c r="A191" s="23" t="s">
        <v>101</v>
      </c>
      <c r="B191" s="18" t="s">
        <v>11318</v>
      </c>
      <c r="C191" s="59" t="s">
        <v>457</v>
      </c>
      <c r="D191" s="356" t="s">
        <v>423</v>
      </c>
      <c r="E191" s="356" t="s">
        <v>488</v>
      </c>
      <c r="F191" s="23" t="s">
        <v>141</v>
      </c>
      <c r="G191" s="23" t="s">
        <v>417</v>
      </c>
      <c r="H191" s="353">
        <v>867154.76</v>
      </c>
      <c r="I191" s="59"/>
      <c r="J191" s="59" t="s">
        <v>11326</v>
      </c>
      <c r="K191" s="20"/>
      <c r="L191" s="20"/>
      <c r="M191" s="357"/>
      <c r="N191" s="411"/>
      <c r="O191" s="23" t="s">
        <v>10812</v>
      </c>
      <c r="P191" s="92" t="s">
        <v>632</v>
      </c>
      <c r="Q191" s="92" t="s">
        <v>640</v>
      </c>
      <c r="R191" s="372" t="str">
        <f t="shared" si="4"/>
        <v>FF</v>
      </c>
    </row>
    <row r="192" spans="1:18" x14ac:dyDescent="0.25">
      <c r="A192" s="23" t="s">
        <v>101</v>
      </c>
      <c r="B192" s="18" t="s">
        <v>11318</v>
      </c>
      <c r="C192" s="59" t="s">
        <v>457</v>
      </c>
      <c r="D192" s="356" t="s">
        <v>423</v>
      </c>
      <c r="E192" s="356" t="s">
        <v>488</v>
      </c>
      <c r="F192" s="23" t="s">
        <v>1911</v>
      </c>
      <c r="G192" s="23" t="s">
        <v>417</v>
      </c>
      <c r="H192" s="353">
        <v>922784.46</v>
      </c>
      <c r="I192" s="59"/>
      <c r="J192" s="59" t="s">
        <v>11327</v>
      </c>
      <c r="K192" s="20"/>
      <c r="L192" s="20"/>
      <c r="M192" s="357"/>
      <c r="N192" s="411"/>
      <c r="O192" s="23" t="s">
        <v>10812</v>
      </c>
      <c r="P192" s="92" t="s">
        <v>632</v>
      </c>
      <c r="Q192" s="92" t="s">
        <v>640</v>
      </c>
      <c r="R192" s="372" t="str">
        <f t="shared" si="4"/>
        <v/>
      </c>
    </row>
    <row r="193" spans="1:18" ht="30" x14ac:dyDescent="0.25">
      <c r="A193" s="23" t="s">
        <v>101</v>
      </c>
      <c r="B193" s="18" t="s">
        <v>11318</v>
      </c>
      <c r="C193" s="59" t="s">
        <v>457</v>
      </c>
      <c r="D193" s="356" t="s">
        <v>423</v>
      </c>
      <c r="E193" s="356" t="s">
        <v>488</v>
      </c>
      <c r="F193" s="23" t="s">
        <v>1912</v>
      </c>
      <c r="G193" s="23" t="s">
        <v>403</v>
      </c>
      <c r="H193" s="353">
        <v>144851.03</v>
      </c>
      <c r="I193" s="59"/>
      <c r="J193" s="59" t="s">
        <v>11328</v>
      </c>
      <c r="K193" s="20"/>
      <c r="L193" s="20">
        <v>1</v>
      </c>
      <c r="M193" s="357">
        <f>H193</f>
        <v>144851.03</v>
      </c>
      <c r="N193" s="411">
        <f>IFERROR((M193/(VLOOKUP(B193,'Data Pull Sheet'!$C:$H,6,FALSE))),"DC")</f>
        <v>3.4488340476190476E-3</v>
      </c>
      <c r="O193" s="23" t="s">
        <v>1913</v>
      </c>
      <c r="P193" s="92" t="s">
        <v>632</v>
      </c>
      <c r="Q193" s="92" t="s">
        <v>637</v>
      </c>
      <c r="R193" s="372" t="str">
        <f t="shared" si="4"/>
        <v/>
      </c>
    </row>
    <row r="194" spans="1:18" ht="30" x14ac:dyDescent="0.25">
      <c r="A194" s="23" t="s">
        <v>1786</v>
      </c>
      <c r="B194" s="18" t="s">
        <v>10529</v>
      </c>
      <c r="C194" s="59" t="s">
        <v>1632</v>
      </c>
      <c r="D194" s="356" t="s">
        <v>607</v>
      </c>
      <c r="E194" s="356" t="s">
        <v>469</v>
      </c>
      <c r="F194" s="23" t="s">
        <v>1787</v>
      </c>
      <c r="G194" s="23" t="s">
        <v>403</v>
      </c>
      <c r="H194" s="353">
        <v>161169.89000000001</v>
      </c>
      <c r="I194" s="59"/>
      <c r="J194" s="59" t="s">
        <v>1788</v>
      </c>
      <c r="K194" s="20">
        <v>5</v>
      </c>
      <c r="L194" s="20">
        <v>1</v>
      </c>
      <c r="M194" s="357">
        <f>H194</f>
        <v>161169.89000000001</v>
      </c>
      <c r="N194" s="411">
        <f>IFERROR((M194/(VLOOKUP(B194,'Data Pull Sheet'!$C:$H,6,FALSE))),"DC")</f>
        <v>1.0744659333333335E-3</v>
      </c>
      <c r="O194" s="23" t="s">
        <v>1789</v>
      </c>
      <c r="P194" s="92" t="s">
        <v>632</v>
      </c>
      <c r="Q194" s="92" t="s">
        <v>637</v>
      </c>
      <c r="R194" s="372" t="str">
        <f t="shared" ref="R194:R257" si="6">IF(COUNTIF(F:F,F194)&gt;=2,"FF","")</f>
        <v/>
      </c>
    </row>
    <row r="195" spans="1:18" ht="30" x14ac:dyDescent="0.25">
      <c r="A195" s="23" t="s">
        <v>1786</v>
      </c>
      <c r="B195" s="18" t="s">
        <v>10529</v>
      </c>
      <c r="C195" s="59" t="s">
        <v>1632</v>
      </c>
      <c r="D195" s="356" t="s">
        <v>607</v>
      </c>
      <c r="E195" s="356" t="s">
        <v>469</v>
      </c>
      <c r="F195" s="23" t="s">
        <v>1790</v>
      </c>
      <c r="G195" s="23" t="s">
        <v>403</v>
      </c>
      <c r="H195" s="353">
        <v>42248.08</v>
      </c>
      <c r="I195" s="59"/>
      <c r="J195" s="59" t="s">
        <v>1791</v>
      </c>
      <c r="K195" s="20"/>
      <c r="L195" s="20">
        <v>2</v>
      </c>
      <c r="M195" s="357">
        <f>SUM(H195:H196)</f>
        <v>223600.58000000002</v>
      </c>
      <c r="N195" s="411">
        <f>IFERROR((M195/(VLOOKUP(B195,'Data Pull Sheet'!$C:$H,6,FALSE))),"DC")</f>
        <v>1.4906705333333334E-3</v>
      </c>
      <c r="O195" s="23" t="s">
        <v>11172</v>
      </c>
      <c r="P195" s="92" t="s">
        <v>632</v>
      </c>
      <c r="Q195" s="92" t="s">
        <v>646</v>
      </c>
      <c r="R195" s="372" t="str">
        <f t="shared" si="6"/>
        <v/>
      </c>
    </row>
    <row r="196" spans="1:18" ht="30" x14ac:dyDescent="0.25">
      <c r="A196" s="23" t="s">
        <v>1786</v>
      </c>
      <c r="B196" s="18" t="s">
        <v>10529</v>
      </c>
      <c r="C196" s="59" t="s">
        <v>1632</v>
      </c>
      <c r="D196" s="356" t="s">
        <v>607</v>
      </c>
      <c r="E196" s="356" t="s">
        <v>469</v>
      </c>
      <c r="F196" s="23" t="s">
        <v>1793</v>
      </c>
      <c r="G196" s="23" t="s">
        <v>403</v>
      </c>
      <c r="H196" s="353">
        <v>181352.5</v>
      </c>
      <c r="I196" s="59"/>
      <c r="J196" s="59" t="s">
        <v>1794</v>
      </c>
      <c r="K196" s="20"/>
      <c r="L196" s="20"/>
      <c r="M196" s="357"/>
      <c r="N196" s="411"/>
      <c r="O196" s="23" t="s">
        <v>11172</v>
      </c>
      <c r="P196" s="92" t="s">
        <v>632</v>
      </c>
      <c r="Q196" s="92" t="s">
        <v>646</v>
      </c>
      <c r="R196" s="372" t="str">
        <f t="shared" si="6"/>
        <v/>
      </c>
    </row>
    <row r="197" spans="1:18" ht="30" x14ac:dyDescent="0.25">
      <c r="A197" s="23" t="s">
        <v>1786</v>
      </c>
      <c r="B197" s="18" t="s">
        <v>10529</v>
      </c>
      <c r="C197" s="59" t="s">
        <v>1632</v>
      </c>
      <c r="D197" s="356" t="s">
        <v>607</v>
      </c>
      <c r="E197" s="356" t="s">
        <v>469</v>
      </c>
      <c r="F197" s="23" t="s">
        <v>1795</v>
      </c>
      <c r="G197" s="23" t="s">
        <v>403</v>
      </c>
      <c r="H197" s="353">
        <v>67132.800000000003</v>
      </c>
      <c r="I197" s="59" t="s">
        <v>442</v>
      </c>
      <c r="J197" s="59" t="s">
        <v>1796</v>
      </c>
      <c r="K197" s="20"/>
      <c r="L197" s="20">
        <v>2</v>
      </c>
      <c r="M197" s="357">
        <f>SUM(H197:H198)</f>
        <v>191292</v>
      </c>
      <c r="N197" s="411">
        <f>IFERROR((M197/(VLOOKUP(B197,'Data Pull Sheet'!$C:$H,6,FALSE))),"DC")</f>
        <v>1.2752799999999999E-3</v>
      </c>
      <c r="O197" s="23" t="s">
        <v>11173</v>
      </c>
      <c r="P197" s="92" t="s">
        <v>632</v>
      </c>
      <c r="Q197" s="92" t="s">
        <v>646</v>
      </c>
      <c r="R197" s="372" t="str">
        <f t="shared" si="6"/>
        <v>FF</v>
      </c>
    </row>
    <row r="198" spans="1:18" ht="30" x14ac:dyDescent="0.25">
      <c r="A198" s="23" t="s">
        <v>1786</v>
      </c>
      <c r="B198" s="18" t="s">
        <v>10529</v>
      </c>
      <c r="C198" s="59" t="s">
        <v>1632</v>
      </c>
      <c r="D198" s="356" t="s">
        <v>607</v>
      </c>
      <c r="E198" s="356" t="s">
        <v>469</v>
      </c>
      <c r="F198" s="23" t="s">
        <v>1798</v>
      </c>
      <c r="G198" s="23" t="s">
        <v>403</v>
      </c>
      <c r="H198" s="353">
        <v>124159.2</v>
      </c>
      <c r="I198" s="59" t="s">
        <v>442</v>
      </c>
      <c r="J198" s="59" t="s">
        <v>1799</v>
      </c>
      <c r="K198" s="20"/>
      <c r="L198" s="20"/>
      <c r="M198" s="357"/>
      <c r="N198" s="411"/>
      <c r="O198" s="23" t="s">
        <v>11173</v>
      </c>
      <c r="P198" s="92" t="s">
        <v>632</v>
      </c>
      <c r="Q198" s="92" t="s">
        <v>646</v>
      </c>
      <c r="R198" s="372" t="str">
        <f t="shared" si="6"/>
        <v>FF</v>
      </c>
    </row>
    <row r="199" spans="1:18" x14ac:dyDescent="0.25">
      <c r="A199" s="23" t="s">
        <v>1786</v>
      </c>
      <c r="B199" s="18" t="s">
        <v>10529</v>
      </c>
      <c r="C199" s="59" t="s">
        <v>1632</v>
      </c>
      <c r="D199" s="356" t="s">
        <v>607</v>
      </c>
      <c r="E199" s="356" t="s">
        <v>469</v>
      </c>
      <c r="F199" s="23" t="s">
        <v>1800</v>
      </c>
      <c r="G199" s="23" t="s">
        <v>403</v>
      </c>
      <c r="H199" s="353">
        <v>29732.21</v>
      </c>
      <c r="I199" s="59"/>
      <c r="J199" s="59" t="s">
        <v>1801</v>
      </c>
      <c r="K199" s="20"/>
      <c r="L199" s="20">
        <v>1</v>
      </c>
      <c r="M199" s="357">
        <f>H199</f>
        <v>29732.21</v>
      </c>
      <c r="N199" s="411">
        <f>IFERROR((M199/(VLOOKUP(B199,'Data Pull Sheet'!$C:$H,6,FALSE))),"DC")</f>
        <v>1.9821473333333332E-4</v>
      </c>
      <c r="O199" s="23" t="s">
        <v>1802</v>
      </c>
      <c r="P199" s="92" t="s">
        <v>632</v>
      </c>
      <c r="Q199" s="92" t="s">
        <v>637</v>
      </c>
      <c r="R199" s="372" t="str">
        <f t="shared" si="6"/>
        <v/>
      </c>
    </row>
    <row r="200" spans="1:18" x14ac:dyDescent="0.25">
      <c r="A200" s="23" t="s">
        <v>1786</v>
      </c>
      <c r="B200" s="18" t="s">
        <v>10529</v>
      </c>
      <c r="C200" s="59" t="s">
        <v>1632</v>
      </c>
      <c r="D200" s="356" t="s">
        <v>607</v>
      </c>
      <c r="E200" s="356" t="s">
        <v>469</v>
      </c>
      <c r="F200" s="23" t="s">
        <v>1803</v>
      </c>
      <c r="G200" s="23" t="s">
        <v>403</v>
      </c>
      <c r="H200" s="353">
        <v>22020.28</v>
      </c>
      <c r="I200" s="59" t="s">
        <v>406</v>
      </c>
      <c r="J200" s="59" t="s">
        <v>1804</v>
      </c>
      <c r="K200" s="20"/>
      <c r="L200" s="20">
        <v>1</v>
      </c>
      <c r="M200" s="357">
        <f>H200</f>
        <v>22020.28</v>
      </c>
      <c r="N200" s="411">
        <f>IFERROR((M200/(VLOOKUP(B200,'Data Pull Sheet'!$C:$H,6,FALSE))),"DC")</f>
        <v>1.4680186666666666E-4</v>
      </c>
      <c r="O200" s="23" t="s">
        <v>8986</v>
      </c>
      <c r="P200" s="92" t="s">
        <v>632</v>
      </c>
      <c r="Q200" s="92" t="s">
        <v>637</v>
      </c>
      <c r="R200" s="372" t="str">
        <f t="shared" si="6"/>
        <v/>
      </c>
    </row>
    <row r="201" spans="1:18" ht="30" x14ac:dyDescent="0.25">
      <c r="A201" s="23" t="s">
        <v>61</v>
      </c>
      <c r="B201" s="18" t="s">
        <v>10533</v>
      </c>
      <c r="C201" s="59" t="s">
        <v>457</v>
      </c>
      <c r="D201" s="356" t="s">
        <v>468</v>
      </c>
      <c r="E201" s="356" t="s">
        <v>469</v>
      </c>
      <c r="F201" s="23" t="s">
        <v>2153</v>
      </c>
      <c r="G201" s="23" t="s">
        <v>403</v>
      </c>
      <c r="H201" s="353">
        <v>89093</v>
      </c>
      <c r="I201" s="59"/>
      <c r="J201" s="59" t="s">
        <v>10538</v>
      </c>
      <c r="K201" s="20">
        <v>8</v>
      </c>
      <c r="L201" s="20">
        <v>1</v>
      </c>
      <c r="M201" s="357">
        <f>SUM(H201)</f>
        <v>89093</v>
      </c>
      <c r="N201" s="411">
        <f>IFERROR((M201/(VLOOKUP(B201,'Data Pull Sheet'!$C:$H,6,FALSE))),"DC")</f>
        <v>2.5096619718309861E-4</v>
      </c>
      <c r="O201" s="23" t="s">
        <v>843</v>
      </c>
      <c r="P201" s="92" t="s">
        <v>632</v>
      </c>
      <c r="Q201" s="92" t="s">
        <v>637</v>
      </c>
      <c r="R201" s="372" t="str">
        <f t="shared" si="6"/>
        <v/>
      </c>
    </row>
    <row r="202" spans="1:18" ht="30" x14ac:dyDescent="0.25">
      <c r="A202" s="23" t="s">
        <v>61</v>
      </c>
      <c r="B202" s="18" t="s">
        <v>10533</v>
      </c>
      <c r="C202" s="59" t="s">
        <v>457</v>
      </c>
      <c r="D202" s="356" t="s">
        <v>468</v>
      </c>
      <c r="E202" s="356" t="s">
        <v>469</v>
      </c>
      <c r="F202" s="23" t="s">
        <v>2173</v>
      </c>
      <c r="G202" s="23" t="s">
        <v>403</v>
      </c>
      <c r="H202" s="353">
        <v>6259</v>
      </c>
      <c r="I202" s="59"/>
      <c r="J202" s="59" t="s">
        <v>10539</v>
      </c>
      <c r="K202" s="20"/>
      <c r="L202" s="20">
        <v>7</v>
      </c>
      <c r="M202" s="357">
        <f>SUM(H202:H208)</f>
        <v>1968589.4899999998</v>
      </c>
      <c r="N202" s="411">
        <f>IFERROR((M202/(VLOOKUP(B202,'Data Pull Sheet'!$C:$H,6,FALSE))),"DC")</f>
        <v>5.5453225070422529E-3</v>
      </c>
      <c r="O202" s="23" t="s">
        <v>2174</v>
      </c>
      <c r="P202" s="92" t="s">
        <v>632</v>
      </c>
      <c r="Q202" s="92" t="s">
        <v>646</v>
      </c>
      <c r="R202" s="372" t="str">
        <f t="shared" si="6"/>
        <v/>
      </c>
    </row>
    <row r="203" spans="1:18" ht="30" x14ac:dyDescent="0.25">
      <c r="A203" s="23" t="s">
        <v>61</v>
      </c>
      <c r="B203" s="18" t="s">
        <v>10533</v>
      </c>
      <c r="C203" s="59" t="s">
        <v>457</v>
      </c>
      <c r="D203" s="356" t="s">
        <v>468</v>
      </c>
      <c r="E203" s="356" t="s">
        <v>469</v>
      </c>
      <c r="F203" s="23" t="s">
        <v>2175</v>
      </c>
      <c r="G203" s="23" t="s">
        <v>403</v>
      </c>
      <c r="H203" s="353">
        <v>156754.38</v>
      </c>
      <c r="I203" s="59"/>
      <c r="J203" s="59" t="s">
        <v>10540</v>
      </c>
      <c r="K203" s="20"/>
      <c r="L203" s="20"/>
      <c r="M203" s="357"/>
      <c r="N203" s="411"/>
      <c r="O203" s="23" t="s">
        <v>2174</v>
      </c>
      <c r="P203" s="92" t="s">
        <v>632</v>
      </c>
      <c r="Q203" s="92" t="s">
        <v>646</v>
      </c>
      <c r="R203" s="372" t="str">
        <f t="shared" si="6"/>
        <v/>
      </c>
    </row>
    <row r="204" spans="1:18" ht="30" x14ac:dyDescent="0.25">
      <c r="A204" s="23" t="s">
        <v>61</v>
      </c>
      <c r="B204" s="18" t="s">
        <v>10533</v>
      </c>
      <c r="C204" s="59" t="s">
        <v>457</v>
      </c>
      <c r="D204" s="356" t="s">
        <v>468</v>
      </c>
      <c r="E204" s="356" t="s">
        <v>469</v>
      </c>
      <c r="F204" s="23" t="s">
        <v>2176</v>
      </c>
      <c r="G204" s="23" t="s">
        <v>403</v>
      </c>
      <c r="H204" s="353">
        <v>160552.54999999999</v>
      </c>
      <c r="I204" s="59"/>
      <c r="J204" s="59" t="s">
        <v>10541</v>
      </c>
      <c r="K204" s="20"/>
      <c r="L204" s="20"/>
      <c r="M204" s="357"/>
      <c r="N204" s="411"/>
      <c r="O204" s="23" t="s">
        <v>2174</v>
      </c>
      <c r="P204" s="92" t="s">
        <v>632</v>
      </c>
      <c r="Q204" s="92" t="s">
        <v>646</v>
      </c>
      <c r="R204" s="372" t="str">
        <f t="shared" si="6"/>
        <v/>
      </c>
    </row>
    <row r="205" spans="1:18" ht="30" x14ac:dyDescent="0.25">
      <c r="A205" s="23" t="s">
        <v>61</v>
      </c>
      <c r="B205" s="18" t="s">
        <v>10533</v>
      </c>
      <c r="C205" s="59" t="s">
        <v>457</v>
      </c>
      <c r="D205" s="356" t="s">
        <v>468</v>
      </c>
      <c r="E205" s="356" t="s">
        <v>469</v>
      </c>
      <c r="F205" s="23" t="s">
        <v>2177</v>
      </c>
      <c r="G205" s="23" t="s">
        <v>403</v>
      </c>
      <c r="H205" s="353">
        <v>196413</v>
      </c>
      <c r="I205" s="59"/>
      <c r="J205" s="59" t="s">
        <v>10542</v>
      </c>
      <c r="K205" s="20"/>
      <c r="L205" s="20"/>
      <c r="M205" s="357"/>
      <c r="N205" s="411"/>
      <c r="O205" s="23" t="s">
        <v>2174</v>
      </c>
      <c r="P205" s="92" t="s">
        <v>632</v>
      </c>
      <c r="Q205" s="92" t="s">
        <v>646</v>
      </c>
      <c r="R205" s="372" t="str">
        <f t="shared" si="6"/>
        <v/>
      </c>
    </row>
    <row r="206" spans="1:18" ht="30" x14ac:dyDescent="0.25">
      <c r="A206" s="23" t="s">
        <v>61</v>
      </c>
      <c r="B206" s="18" t="s">
        <v>10533</v>
      </c>
      <c r="C206" s="59" t="s">
        <v>457</v>
      </c>
      <c r="D206" s="356" t="s">
        <v>468</v>
      </c>
      <c r="E206" s="356" t="s">
        <v>469</v>
      </c>
      <c r="F206" s="23" t="s">
        <v>2178</v>
      </c>
      <c r="G206" s="23" t="s">
        <v>403</v>
      </c>
      <c r="H206" s="353">
        <v>249337.68</v>
      </c>
      <c r="I206" s="59"/>
      <c r="J206" s="59" t="s">
        <v>10543</v>
      </c>
      <c r="K206" s="20"/>
      <c r="L206" s="20"/>
      <c r="M206" s="357"/>
      <c r="N206" s="411"/>
      <c r="O206" s="23" t="s">
        <v>2174</v>
      </c>
      <c r="P206" s="92" t="s">
        <v>632</v>
      </c>
      <c r="Q206" s="92" t="s">
        <v>646</v>
      </c>
      <c r="R206" s="372" t="str">
        <f t="shared" si="6"/>
        <v/>
      </c>
    </row>
    <row r="207" spans="1:18" ht="30" x14ac:dyDescent="0.25">
      <c r="A207" s="23" t="s">
        <v>61</v>
      </c>
      <c r="B207" s="18" t="s">
        <v>10533</v>
      </c>
      <c r="C207" s="59" t="s">
        <v>457</v>
      </c>
      <c r="D207" s="356" t="s">
        <v>468</v>
      </c>
      <c r="E207" s="356" t="s">
        <v>469</v>
      </c>
      <c r="F207" s="23" t="s">
        <v>2179</v>
      </c>
      <c r="G207" s="23" t="s">
        <v>403</v>
      </c>
      <c r="H207" s="353">
        <v>507718.75</v>
      </c>
      <c r="I207" s="59"/>
      <c r="J207" s="59" t="s">
        <v>10544</v>
      </c>
      <c r="K207" s="20"/>
      <c r="L207" s="20"/>
      <c r="M207" s="357"/>
      <c r="N207" s="411"/>
      <c r="O207" s="23" t="s">
        <v>2174</v>
      </c>
      <c r="P207" s="92" t="s">
        <v>632</v>
      </c>
      <c r="Q207" s="92" t="s">
        <v>646</v>
      </c>
      <c r="R207" s="372" t="str">
        <f t="shared" si="6"/>
        <v/>
      </c>
    </row>
    <row r="208" spans="1:18" ht="30" x14ac:dyDescent="0.25">
      <c r="A208" s="23" t="s">
        <v>61</v>
      </c>
      <c r="B208" s="18" t="s">
        <v>10533</v>
      </c>
      <c r="C208" s="59" t="s">
        <v>457</v>
      </c>
      <c r="D208" s="356" t="s">
        <v>468</v>
      </c>
      <c r="E208" s="356" t="s">
        <v>469</v>
      </c>
      <c r="F208" s="23" t="s">
        <v>2180</v>
      </c>
      <c r="G208" s="23" t="s">
        <v>403</v>
      </c>
      <c r="H208" s="353">
        <v>691554.13</v>
      </c>
      <c r="I208" s="59"/>
      <c r="J208" s="59" t="s">
        <v>10545</v>
      </c>
      <c r="K208" s="20"/>
      <c r="L208" s="20"/>
      <c r="M208" s="357"/>
      <c r="N208" s="411"/>
      <c r="O208" s="23" t="s">
        <v>2174</v>
      </c>
      <c r="P208" s="92" t="s">
        <v>632</v>
      </c>
      <c r="Q208" s="92" t="s">
        <v>646</v>
      </c>
      <c r="R208" s="372" t="str">
        <f t="shared" si="6"/>
        <v/>
      </c>
    </row>
    <row r="209" spans="1:18" x14ac:dyDescent="0.25">
      <c r="A209" s="23" t="s">
        <v>61</v>
      </c>
      <c r="B209" s="18" t="s">
        <v>10533</v>
      </c>
      <c r="C209" s="59" t="s">
        <v>457</v>
      </c>
      <c r="D209" s="356" t="s">
        <v>468</v>
      </c>
      <c r="E209" s="356" t="s">
        <v>469</v>
      </c>
      <c r="F209" s="23" t="s">
        <v>2181</v>
      </c>
      <c r="G209" s="23" t="s">
        <v>403</v>
      </c>
      <c r="H209" s="353">
        <v>379202.22</v>
      </c>
      <c r="I209" s="59"/>
      <c r="J209" s="59" t="s">
        <v>10546</v>
      </c>
      <c r="K209" s="20"/>
      <c r="L209" s="20">
        <v>1</v>
      </c>
      <c r="M209" s="357">
        <f>H209</f>
        <v>379202.22</v>
      </c>
      <c r="N209" s="411">
        <f>IFERROR((M209/(VLOOKUP(B209,'Data Pull Sheet'!$C:$H,6,FALSE))),"DC")</f>
        <v>1.0681752676056338E-3</v>
      </c>
      <c r="O209" s="23" t="s">
        <v>192</v>
      </c>
      <c r="P209" s="92" t="s">
        <v>632</v>
      </c>
      <c r="Q209" s="92" t="s">
        <v>637</v>
      </c>
      <c r="R209" s="372" t="str">
        <f t="shared" si="6"/>
        <v/>
      </c>
    </row>
    <row r="210" spans="1:18" x14ac:dyDescent="0.25">
      <c r="A210" s="23" t="s">
        <v>61</v>
      </c>
      <c r="B210" s="18" t="s">
        <v>10533</v>
      </c>
      <c r="C210" s="59" t="s">
        <v>457</v>
      </c>
      <c r="D210" s="356" t="s">
        <v>468</v>
      </c>
      <c r="E210" s="356" t="s">
        <v>469</v>
      </c>
      <c r="F210" s="23" t="s">
        <v>2154</v>
      </c>
      <c r="G210" s="23" t="s">
        <v>403</v>
      </c>
      <c r="H210" s="353">
        <v>258092.98</v>
      </c>
      <c r="I210" s="59" t="s">
        <v>406</v>
      </c>
      <c r="J210" s="59" t="s">
        <v>10547</v>
      </c>
      <c r="K210" s="20"/>
      <c r="L210" s="20">
        <v>1</v>
      </c>
      <c r="M210" s="357">
        <f>H210</f>
        <v>258092.98</v>
      </c>
      <c r="N210" s="411">
        <f>IFERROR((M210/(VLOOKUP(B210,'Data Pull Sheet'!$C:$H,6,FALSE))),"DC")</f>
        <v>7.2702247887323948E-4</v>
      </c>
      <c r="O210" s="23" t="s">
        <v>407</v>
      </c>
      <c r="P210" s="92" t="s">
        <v>632</v>
      </c>
      <c r="Q210" s="92" t="s">
        <v>637</v>
      </c>
      <c r="R210" s="372" t="str">
        <f t="shared" si="6"/>
        <v/>
      </c>
    </row>
    <row r="211" spans="1:18" x14ac:dyDescent="0.25">
      <c r="A211" s="23" t="s">
        <v>61</v>
      </c>
      <c r="B211" s="18" t="s">
        <v>10533</v>
      </c>
      <c r="C211" s="59" t="s">
        <v>457</v>
      </c>
      <c r="D211" s="356" t="s">
        <v>468</v>
      </c>
      <c r="E211" s="356" t="s">
        <v>469</v>
      </c>
      <c r="F211" s="23" t="s">
        <v>2156</v>
      </c>
      <c r="G211" s="23" t="s">
        <v>403</v>
      </c>
      <c r="H211" s="353">
        <v>70326</v>
      </c>
      <c r="I211" s="59"/>
      <c r="J211" s="59" t="s">
        <v>10548</v>
      </c>
      <c r="K211" s="20"/>
      <c r="L211" s="20">
        <v>5</v>
      </c>
      <c r="M211" s="357">
        <f>SUM(H211:H215)</f>
        <v>518522.17</v>
      </c>
      <c r="N211" s="411">
        <f>IFERROR((M211/(VLOOKUP(B211,'Data Pull Sheet'!$C:$H,6,FALSE))),"DC")</f>
        <v>1.4606258309859154E-3</v>
      </c>
      <c r="O211" s="23" t="s">
        <v>2157</v>
      </c>
      <c r="P211" s="92" t="s">
        <v>632</v>
      </c>
      <c r="Q211" s="92" t="s">
        <v>646</v>
      </c>
      <c r="R211" s="372" t="str">
        <f t="shared" si="6"/>
        <v/>
      </c>
    </row>
    <row r="212" spans="1:18" x14ac:dyDescent="0.25">
      <c r="A212" s="23" t="s">
        <v>61</v>
      </c>
      <c r="B212" s="18" t="s">
        <v>10533</v>
      </c>
      <c r="C212" s="59" t="s">
        <v>457</v>
      </c>
      <c r="D212" s="356" t="s">
        <v>468</v>
      </c>
      <c r="E212" s="356" t="s">
        <v>469</v>
      </c>
      <c r="F212" s="23" t="s">
        <v>2158</v>
      </c>
      <c r="G212" s="23" t="s">
        <v>403</v>
      </c>
      <c r="H212" s="353">
        <v>79892.11</v>
      </c>
      <c r="I212" s="59"/>
      <c r="J212" s="59" t="s">
        <v>10549</v>
      </c>
      <c r="K212" s="20"/>
      <c r="L212" s="20"/>
      <c r="M212" s="357"/>
      <c r="N212" s="411"/>
      <c r="O212" s="23" t="s">
        <v>2157</v>
      </c>
      <c r="P212" s="92" t="s">
        <v>632</v>
      </c>
      <c r="Q212" s="92" t="s">
        <v>646</v>
      </c>
      <c r="R212" s="372" t="str">
        <f t="shared" si="6"/>
        <v/>
      </c>
    </row>
    <row r="213" spans="1:18" x14ac:dyDescent="0.25">
      <c r="A213" s="23" t="s">
        <v>61</v>
      </c>
      <c r="B213" s="18" t="s">
        <v>10533</v>
      </c>
      <c r="C213" s="59" t="s">
        <v>457</v>
      </c>
      <c r="D213" s="356" t="s">
        <v>468</v>
      </c>
      <c r="E213" s="356" t="s">
        <v>469</v>
      </c>
      <c r="F213" s="23" t="s">
        <v>2159</v>
      </c>
      <c r="G213" s="23" t="s">
        <v>403</v>
      </c>
      <c r="H213" s="353">
        <v>94408.08</v>
      </c>
      <c r="I213" s="59"/>
      <c r="J213" s="59" t="s">
        <v>10550</v>
      </c>
      <c r="K213" s="20"/>
      <c r="L213" s="20"/>
      <c r="M213" s="357"/>
      <c r="N213" s="411"/>
      <c r="O213" s="23" t="s">
        <v>2157</v>
      </c>
      <c r="P213" s="92" t="s">
        <v>632</v>
      </c>
      <c r="Q213" s="92" t="s">
        <v>646</v>
      </c>
      <c r="R213" s="372" t="str">
        <f t="shared" si="6"/>
        <v/>
      </c>
    </row>
    <row r="214" spans="1:18" x14ac:dyDescent="0.25">
      <c r="A214" s="23" t="s">
        <v>61</v>
      </c>
      <c r="B214" s="18" t="s">
        <v>10533</v>
      </c>
      <c r="C214" s="59" t="s">
        <v>457</v>
      </c>
      <c r="D214" s="356" t="s">
        <v>468</v>
      </c>
      <c r="E214" s="356" t="s">
        <v>469</v>
      </c>
      <c r="F214" s="23" t="s">
        <v>2160</v>
      </c>
      <c r="G214" s="23" t="s">
        <v>403</v>
      </c>
      <c r="H214" s="353">
        <v>121718.93</v>
      </c>
      <c r="I214" s="59"/>
      <c r="J214" s="59" t="s">
        <v>10551</v>
      </c>
      <c r="K214" s="20"/>
      <c r="L214" s="20"/>
      <c r="M214" s="357"/>
      <c r="N214" s="411"/>
      <c r="O214" s="23" t="s">
        <v>2157</v>
      </c>
      <c r="P214" s="92" t="s">
        <v>632</v>
      </c>
      <c r="Q214" s="92" t="s">
        <v>646</v>
      </c>
      <c r="R214" s="372" t="str">
        <f t="shared" si="6"/>
        <v/>
      </c>
    </row>
    <row r="215" spans="1:18" x14ac:dyDescent="0.25">
      <c r="A215" s="23" t="s">
        <v>61</v>
      </c>
      <c r="B215" s="18" t="s">
        <v>10533</v>
      </c>
      <c r="C215" s="59" t="s">
        <v>457</v>
      </c>
      <c r="D215" s="356" t="s">
        <v>468</v>
      </c>
      <c r="E215" s="356" t="s">
        <v>469</v>
      </c>
      <c r="F215" s="23" t="s">
        <v>2161</v>
      </c>
      <c r="G215" s="23" t="s">
        <v>403</v>
      </c>
      <c r="H215" s="353">
        <v>152177.04999999999</v>
      </c>
      <c r="I215" s="59"/>
      <c r="J215" s="59" t="s">
        <v>10552</v>
      </c>
      <c r="K215" s="20"/>
      <c r="L215" s="20"/>
      <c r="M215" s="357"/>
      <c r="N215" s="411"/>
      <c r="O215" s="23" t="s">
        <v>2157</v>
      </c>
      <c r="P215" s="92" t="s">
        <v>632</v>
      </c>
      <c r="Q215" s="92" t="s">
        <v>646</v>
      </c>
      <c r="R215" s="372" t="str">
        <f t="shared" si="6"/>
        <v/>
      </c>
    </row>
    <row r="216" spans="1:18" x14ac:dyDescent="0.25">
      <c r="A216" s="23" t="s">
        <v>61</v>
      </c>
      <c r="B216" s="18" t="s">
        <v>10533</v>
      </c>
      <c r="C216" s="59" t="s">
        <v>457</v>
      </c>
      <c r="D216" s="356" t="s">
        <v>468</v>
      </c>
      <c r="E216" s="356" t="s">
        <v>469</v>
      </c>
      <c r="F216" s="23" t="s">
        <v>2162</v>
      </c>
      <c r="G216" s="23" t="s">
        <v>403</v>
      </c>
      <c r="H216" s="353">
        <v>110110</v>
      </c>
      <c r="I216" s="59" t="s">
        <v>442</v>
      </c>
      <c r="J216" s="59" t="s">
        <v>10553</v>
      </c>
      <c r="K216" s="20"/>
      <c r="L216" s="20">
        <v>4</v>
      </c>
      <c r="M216" s="357">
        <f>SUM(H216:H219)</f>
        <v>1889086</v>
      </c>
      <c r="N216" s="411">
        <f>IFERROR((M216/(VLOOKUP(B216,'Data Pull Sheet'!$C:$H,6,FALSE))),"DC")</f>
        <v>5.3213690140845073E-3</v>
      </c>
      <c r="O216" s="23" t="s">
        <v>2163</v>
      </c>
      <c r="P216" s="92" t="s">
        <v>632</v>
      </c>
      <c r="Q216" s="92" t="s">
        <v>662</v>
      </c>
      <c r="R216" s="372" t="str">
        <f t="shared" si="6"/>
        <v/>
      </c>
    </row>
    <row r="217" spans="1:18" x14ac:dyDescent="0.25">
      <c r="A217" s="23" t="s">
        <v>61</v>
      </c>
      <c r="B217" s="18" t="s">
        <v>10533</v>
      </c>
      <c r="C217" s="59" t="s">
        <v>457</v>
      </c>
      <c r="D217" s="356" t="s">
        <v>468</v>
      </c>
      <c r="E217" s="356" t="s">
        <v>469</v>
      </c>
      <c r="F217" s="23" t="s">
        <v>2164</v>
      </c>
      <c r="G217" s="23" t="s">
        <v>403</v>
      </c>
      <c r="H217" s="353">
        <v>218443</v>
      </c>
      <c r="I217" s="59" t="s">
        <v>442</v>
      </c>
      <c r="J217" s="59" t="s">
        <v>10554</v>
      </c>
      <c r="K217" s="20"/>
      <c r="L217" s="20"/>
      <c r="M217" s="357"/>
      <c r="N217" s="411"/>
      <c r="O217" s="23" t="s">
        <v>2163</v>
      </c>
      <c r="P217" s="92" t="s">
        <v>632</v>
      </c>
      <c r="Q217" s="92" t="s">
        <v>662</v>
      </c>
      <c r="R217" s="372" t="str">
        <f t="shared" si="6"/>
        <v/>
      </c>
    </row>
    <row r="218" spans="1:18" x14ac:dyDescent="0.25">
      <c r="A218" s="23" t="s">
        <v>61</v>
      </c>
      <c r="B218" s="18" t="s">
        <v>10533</v>
      </c>
      <c r="C218" s="59" t="s">
        <v>457</v>
      </c>
      <c r="D218" s="356" t="s">
        <v>468</v>
      </c>
      <c r="E218" s="356" t="s">
        <v>469</v>
      </c>
      <c r="F218" s="23" t="s">
        <v>59</v>
      </c>
      <c r="G218" s="23" t="s">
        <v>417</v>
      </c>
      <c r="H218" s="353">
        <v>336128</v>
      </c>
      <c r="I218" s="59" t="s">
        <v>442</v>
      </c>
      <c r="J218" s="59" t="s">
        <v>10555</v>
      </c>
      <c r="K218" s="20"/>
      <c r="L218" s="20"/>
      <c r="M218" s="357"/>
      <c r="N218" s="411"/>
      <c r="O218" s="23" t="s">
        <v>2163</v>
      </c>
      <c r="P218" s="92" t="s">
        <v>632</v>
      </c>
      <c r="Q218" s="92" t="s">
        <v>662</v>
      </c>
      <c r="R218" s="372" t="str">
        <f t="shared" si="6"/>
        <v>FF</v>
      </c>
    </row>
    <row r="219" spans="1:18" x14ac:dyDescent="0.25">
      <c r="A219" s="23" t="s">
        <v>61</v>
      </c>
      <c r="B219" s="18" t="s">
        <v>10533</v>
      </c>
      <c r="C219" s="59" t="s">
        <v>457</v>
      </c>
      <c r="D219" s="356" t="s">
        <v>468</v>
      </c>
      <c r="E219" s="356" t="s">
        <v>469</v>
      </c>
      <c r="F219" s="23" t="s">
        <v>2165</v>
      </c>
      <c r="G219" s="23" t="s">
        <v>417</v>
      </c>
      <c r="H219" s="353">
        <v>1224405</v>
      </c>
      <c r="I219" s="59" t="s">
        <v>442</v>
      </c>
      <c r="J219" s="59" t="s">
        <v>10556</v>
      </c>
      <c r="K219" s="20"/>
      <c r="L219" s="20"/>
      <c r="M219" s="357"/>
      <c r="N219" s="411"/>
      <c r="O219" s="23" t="s">
        <v>2163</v>
      </c>
      <c r="P219" s="92" t="s">
        <v>632</v>
      </c>
      <c r="Q219" s="92" t="s">
        <v>662</v>
      </c>
      <c r="R219" s="372" t="str">
        <f t="shared" si="6"/>
        <v/>
      </c>
    </row>
    <row r="220" spans="1:18" x14ac:dyDescent="0.25">
      <c r="A220" s="23" t="s">
        <v>61</v>
      </c>
      <c r="B220" s="18" t="s">
        <v>10533</v>
      </c>
      <c r="C220" s="59" t="s">
        <v>457</v>
      </c>
      <c r="D220" s="356" t="s">
        <v>468</v>
      </c>
      <c r="E220" s="356" t="s">
        <v>469</v>
      </c>
      <c r="F220" s="23" t="s">
        <v>59</v>
      </c>
      <c r="G220" s="23" t="s">
        <v>417</v>
      </c>
      <c r="H220" s="353">
        <v>335125.94</v>
      </c>
      <c r="I220" s="59"/>
      <c r="J220" s="59" t="s">
        <v>10557</v>
      </c>
      <c r="K220" s="20"/>
      <c r="L220" s="20">
        <v>1</v>
      </c>
      <c r="M220" s="357">
        <f>H220</f>
        <v>335125.94</v>
      </c>
      <c r="N220" s="411">
        <f>IFERROR((M220/(VLOOKUP(B220,'Data Pull Sheet'!$C:$H,6,FALSE))),"DC")</f>
        <v>9.4401673239436618E-4</v>
      </c>
      <c r="O220" s="23" t="s">
        <v>63</v>
      </c>
      <c r="P220" s="92" t="s">
        <v>632</v>
      </c>
      <c r="Q220" s="92" t="s">
        <v>633</v>
      </c>
      <c r="R220" s="372" t="str">
        <f t="shared" si="6"/>
        <v>FF</v>
      </c>
    </row>
    <row r="221" spans="1:18" x14ac:dyDescent="0.25">
      <c r="A221" s="23" t="s">
        <v>61</v>
      </c>
      <c r="B221" s="18" t="s">
        <v>10533</v>
      </c>
      <c r="C221" s="59" t="s">
        <v>457</v>
      </c>
      <c r="D221" s="356" t="s">
        <v>468</v>
      </c>
      <c r="E221" s="356" t="s">
        <v>469</v>
      </c>
      <c r="F221" s="23" t="s">
        <v>85</v>
      </c>
      <c r="G221" s="23" t="s">
        <v>417</v>
      </c>
      <c r="H221" s="353">
        <v>904799.71</v>
      </c>
      <c r="I221" s="59"/>
      <c r="J221" s="59" t="s">
        <v>10558</v>
      </c>
      <c r="K221" s="20"/>
      <c r="L221" s="20">
        <v>1</v>
      </c>
      <c r="M221" s="357">
        <f>H221</f>
        <v>904799.71</v>
      </c>
      <c r="N221" s="411">
        <f>IFERROR((M221/(VLOOKUP(B221,'Data Pull Sheet'!$C:$H,6,FALSE))),"DC")</f>
        <v>2.5487315774647885E-3</v>
      </c>
      <c r="O221" s="23" t="s">
        <v>7</v>
      </c>
      <c r="P221" s="92" t="s">
        <v>632</v>
      </c>
      <c r="Q221" s="92" t="s">
        <v>633</v>
      </c>
      <c r="R221" s="372" t="str">
        <f t="shared" si="6"/>
        <v>FF</v>
      </c>
    </row>
    <row r="222" spans="1:18" x14ac:dyDescent="0.25">
      <c r="A222" s="23" t="s">
        <v>2770</v>
      </c>
      <c r="B222" s="18" t="str">
        <f>IF(ISNA(VLOOKUP($A222,'Data Pull Sheet'!$B$2:$C$1795,2,0)),"",(VLOOKUP($A222,'Data Pull Sheet'!$B$2:$C$1795,2,0)))</f>
        <v>NHTC</v>
      </c>
      <c r="C222" s="59" t="s">
        <v>446</v>
      </c>
      <c r="D222" s="356" t="s">
        <v>607</v>
      </c>
      <c r="E222" s="356" t="s">
        <v>469</v>
      </c>
      <c r="F222" s="23" t="s">
        <v>2771</v>
      </c>
      <c r="G222" s="23" t="s">
        <v>403</v>
      </c>
      <c r="H222" s="353">
        <v>234560.39</v>
      </c>
      <c r="I222" s="59"/>
      <c r="J222" s="59" t="s">
        <v>2772</v>
      </c>
      <c r="K222" s="20">
        <v>3</v>
      </c>
      <c r="L222" s="20">
        <v>1</v>
      </c>
      <c r="M222" s="357">
        <f>H222</f>
        <v>234560.39</v>
      </c>
      <c r="N222" s="411">
        <f>IFERROR((M222/(VLOOKUP(B222,'Data Pull Sheet'!$C:$H,6,FALSE))),"DC")</f>
        <v>6.7017254285714287E-3</v>
      </c>
      <c r="O222" s="23" t="s">
        <v>63</v>
      </c>
      <c r="P222" s="92" t="s">
        <v>632</v>
      </c>
      <c r="Q222" s="92" t="s">
        <v>637</v>
      </c>
      <c r="R222" s="372" t="str">
        <f t="shared" si="6"/>
        <v/>
      </c>
    </row>
    <row r="223" spans="1:18" x14ac:dyDescent="0.25">
      <c r="A223" s="23" t="s">
        <v>2770</v>
      </c>
      <c r="B223" s="18" t="str">
        <f>IF(ISNA(VLOOKUP($A223,'Data Pull Sheet'!$B$2:$C$1795,2,0)),"",(VLOOKUP($A223,'Data Pull Sheet'!$B$2:$C$1795,2,0)))</f>
        <v>NHTC</v>
      </c>
      <c r="C223" s="59" t="s">
        <v>446</v>
      </c>
      <c r="D223" s="356" t="s">
        <v>607</v>
      </c>
      <c r="E223" s="356" t="s">
        <v>469</v>
      </c>
      <c r="F223" s="23" t="s">
        <v>2773</v>
      </c>
      <c r="G223" s="23" t="s">
        <v>403</v>
      </c>
      <c r="H223" s="353">
        <v>11709</v>
      </c>
      <c r="I223" s="59"/>
      <c r="J223" s="59" t="s">
        <v>2774</v>
      </c>
      <c r="K223" s="20"/>
      <c r="L223" s="20">
        <v>4</v>
      </c>
      <c r="M223" s="357">
        <f>SUM(H223:H226)</f>
        <v>173894</v>
      </c>
      <c r="N223" s="411">
        <f>IFERROR((M223/(VLOOKUP(B223,'Data Pull Sheet'!$C:$H,6,FALSE))),"DC")</f>
        <v>4.9684000000000004E-3</v>
      </c>
      <c r="O223" s="23" t="s">
        <v>79</v>
      </c>
      <c r="P223" s="92" t="s">
        <v>632</v>
      </c>
      <c r="Q223" s="92" t="s">
        <v>646</v>
      </c>
      <c r="R223" s="372" t="str">
        <f t="shared" si="6"/>
        <v/>
      </c>
    </row>
    <row r="224" spans="1:18" x14ac:dyDescent="0.25">
      <c r="A224" s="23" t="s">
        <v>2770</v>
      </c>
      <c r="B224" s="18" t="str">
        <f>IF(ISNA(VLOOKUP($A224,'Data Pull Sheet'!$B$2:$C$1795,2,0)),"",(VLOOKUP($A224,'Data Pull Sheet'!$B$2:$C$1795,2,0)))</f>
        <v>NHTC</v>
      </c>
      <c r="C224" s="59" t="s">
        <v>446</v>
      </c>
      <c r="D224" s="356" t="s">
        <v>607</v>
      </c>
      <c r="E224" s="356" t="s">
        <v>469</v>
      </c>
      <c r="F224" s="23" t="s">
        <v>2775</v>
      </c>
      <c r="G224" s="23" t="s">
        <v>403</v>
      </c>
      <c r="H224" s="353">
        <v>24020</v>
      </c>
      <c r="I224" s="59"/>
      <c r="J224" s="59" t="s">
        <v>2776</v>
      </c>
      <c r="K224" s="20"/>
      <c r="L224" s="20"/>
      <c r="M224" s="357"/>
      <c r="N224" s="411"/>
      <c r="O224" s="23" t="s">
        <v>79</v>
      </c>
      <c r="P224" s="92" t="s">
        <v>632</v>
      </c>
      <c r="Q224" s="92" t="s">
        <v>646</v>
      </c>
      <c r="R224" s="372" t="str">
        <f t="shared" si="6"/>
        <v/>
      </c>
    </row>
    <row r="225" spans="1:18" x14ac:dyDescent="0.25">
      <c r="A225" s="23" t="s">
        <v>2770</v>
      </c>
      <c r="B225" s="18" t="str">
        <f>IF(ISNA(VLOOKUP($A225,'Data Pull Sheet'!$B$2:$C$1795,2,0)),"",(VLOOKUP($A225,'Data Pull Sheet'!$B$2:$C$1795,2,0)))</f>
        <v>NHTC</v>
      </c>
      <c r="C225" s="59" t="s">
        <v>446</v>
      </c>
      <c r="D225" s="356" t="s">
        <v>607</v>
      </c>
      <c r="E225" s="356" t="s">
        <v>469</v>
      </c>
      <c r="F225" s="23" t="s">
        <v>2777</v>
      </c>
      <c r="G225" s="23" t="s">
        <v>403</v>
      </c>
      <c r="H225" s="353">
        <v>51441</v>
      </c>
      <c r="I225" s="59"/>
      <c r="J225" s="59" t="s">
        <v>2778</v>
      </c>
      <c r="K225" s="20"/>
      <c r="L225" s="20"/>
      <c r="M225" s="357"/>
      <c r="N225" s="411"/>
      <c r="O225" s="23" t="s">
        <v>79</v>
      </c>
      <c r="P225" s="92" t="s">
        <v>632</v>
      </c>
      <c r="Q225" s="92" t="s">
        <v>646</v>
      </c>
      <c r="R225" s="372" t="str">
        <f t="shared" si="6"/>
        <v/>
      </c>
    </row>
    <row r="226" spans="1:18" x14ac:dyDescent="0.25">
      <c r="A226" s="23" t="s">
        <v>2770</v>
      </c>
      <c r="B226" s="18" t="str">
        <f>IF(ISNA(VLOOKUP($A226,'Data Pull Sheet'!$B$2:$C$1795,2,0)),"",(VLOOKUP($A226,'Data Pull Sheet'!$B$2:$C$1795,2,0)))</f>
        <v>NHTC</v>
      </c>
      <c r="C226" s="59" t="s">
        <v>446</v>
      </c>
      <c r="D226" s="356" t="s">
        <v>607</v>
      </c>
      <c r="E226" s="356" t="s">
        <v>469</v>
      </c>
      <c r="F226" s="23" t="s">
        <v>2779</v>
      </c>
      <c r="G226" s="23" t="s">
        <v>403</v>
      </c>
      <c r="H226" s="353">
        <v>86724</v>
      </c>
      <c r="I226" s="59"/>
      <c r="J226" s="59" t="s">
        <v>2780</v>
      </c>
      <c r="K226" s="20"/>
      <c r="L226" s="20"/>
      <c r="M226" s="357"/>
      <c r="N226" s="411"/>
      <c r="O226" s="23" t="s">
        <v>79</v>
      </c>
      <c r="P226" s="92" t="s">
        <v>632</v>
      </c>
      <c r="Q226" s="92" t="s">
        <v>646</v>
      </c>
      <c r="R226" s="372" t="str">
        <f t="shared" si="6"/>
        <v/>
      </c>
    </row>
    <row r="227" spans="1:18" x14ac:dyDescent="0.25">
      <c r="A227" s="23" t="s">
        <v>2770</v>
      </c>
      <c r="B227" s="18" t="str">
        <f>IF(ISNA(VLOOKUP($A227,'Data Pull Sheet'!$B$2:$C$1795,2,0)),"",(VLOOKUP($A227,'Data Pull Sheet'!$B$2:$C$1795,2,0)))</f>
        <v>NHTC</v>
      </c>
      <c r="C227" s="59" t="s">
        <v>446</v>
      </c>
      <c r="D227" s="356" t="s">
        <v>607</v>
      </c>
      <c r="E227" s="356" t="s">
        <v>469</v>
      </c>
      <c r="F227" s="23" t="s">
        <v>2781</v>
      </c>
      <c r="G227" s="23" t="s">
        <v>403</v>
      </c>
      <c r="H227" s="353">
        <v>203274.51</v>
      </c>
      <c r="I227" s="59"/>
      <c r="J227" s="59" t="s">
        <v>2782</v>
      </c>
      <c r="K227" s="20"/>
      <c r="L227" s="20">
        <v>1</v>
      </c>
      <c r="M227" s="357">
        <f>H227</f>
        <v>203274.51</v>
      </c>
      <c r="N227" s="411">
        <f>IFERROR((M227/(VLOOKUP(B227,'Data Pull Sheet'!$C:$H,6,FALSE))),"DC")</f>
        <v>5.8078431428571428E-3</v>
      </c>
      <c r="O227" s="23" t="s">
        <v>682</v>
      </c>
      <c r="P227" s="92" t="s">
        <v>632</v>
      </c>
      <c r="Q227" s="92" t="s">
        <v>637</v>
      </c>
      <c r="R227" s="372" t="str">
        <f t="shared" si="6"/>
        <v/>
      </c>
    </row>
    <row r="228" spans="1:18" x14ac:dyDescent="0.25">
      <c r="A228" s="23" t="s">
        <v>2654</v>
      </c>
      <c r="B228" s="18" t="s">
        <v>10619</v>
      </c>
      <c r="C228" s="59" t="s">
        <v>446</v>
      </c>
      <c r="D228" s="356" t="s">
        <v>453</v>
      </c>
      <c r="E228" s="356" t="s">
        <v>2655</v>
      </c>
      <c r="F228" s="23" t="s">
        <v>2656</v>
      </c>
      <c r="G228" s="23" t="s">
        <v>403</v>
      </c>
      <c r="H228" s="353">
        <v>80480</v>
      </c>
      <c r="I228" s="59" t="s">
        <v>476</v>
      </c>
      <c r="J228" s="59" t="s">
        <v>10621</v>
      </c>
      <c r="K228" s="20">
        <v>2</v>
      </c>
      <c r="L228" s="20">
        <v>1</v>
      </c>
      <c r="M228" s="357">
        <f>H228</f>
        <v>80480</v>
      </c>
      <c r="N228" s="411">
        <f>IFERROR((M228/(VLOOKUP(B228,'Data Pull Sheet'!$C:$H,6,FALSE))),"DC")</f>
        <v>1.1497142857142858E-3</v>
      </c>
      <c r="O228" s="23" t="s">
        <v>2657</v>
      </c>
      <c r="P228" s="92" t="s">
        <v>632</v>
      </c>
      <c r="Q228" s="92" t="s">
        <v>637</v>
      </c>
      <c r="R228" s="372" t="str">
        <f t="shared" si="6"/>
        <v/>
      </c>
    </row>
    <row r="229" spans="1:18" x14ac:dyDescent="0.25">
      <c r="A229" s="23" t="s">
        <v>2654</v>
      </c>
      <c r="B229" s="18" t="s">
        <v>10619</v>
      </c>
      <c r="C229" s="59" t="s">
        <v>446</v>
      </c>
      <c r="D229" s="356" t="s">
        <v>453</v>
      </c>
      <c r="E229" s="356" t="s">
        <v>2655</v>
      </c>
      <c r="F229" s="23" t="s">
        <v>2658</v>
      </c>
      <c r="G229" s="23" t="s">
        <v>403</v>
      </c>
      <c r="H229" s="353">
        <v>154709.20000000001</v>
      </c>
      <c r="I229" s="59"/>
      <c r="J229" s="59" t="s">
        <v>10622</v>
      </c>
      <c r="K229" s="20"/>
      <c r="L229" s="20">
        <v>1</v>
      </c>
      <c r="M229" s="357">
        <f>H229</f>
        <v>154709.20000000001</v>
      </c>
      <c r="N229" s="411">
        <f>IFERROR((M229/(VLOOKUP(B229,'Data Pull Sheet'!$C:$H,6,FALSE))),"DC")</f>
        <v>2.2101314285714289E-3</v>
      </c>
      <c r="O229" s="23" t="s">
        <v>682</v>
      </c>
      <c r="P229" s="92" t="s">
        <v>632</v>
      </c>
      <c r="Q229" s="92" t="s">
        <v>637</v>
      </c>
      <c r="R229" s="372" t="str">
        <f t="shared" si="6"/>
        <v/>
      </c>
    </row>
    <row r="230" spans="1:18" x14ac:dyDescent="0.25">
      <c r="A230" s="23" t="s">
        <v>1420</v>
      </c>
      <c r="B230" s="18" t="str">
        <f>IF(ISNA(VLOOKUP($A230,'Data Pull Sheet'!$B$2:$C$1795,2,0)),"",(VLOOKUP($A230,'Data Pull Sheet'!$B$2:$C$1795,2,0)))</f>
        <v>CNV</v>
      </c>
      <c r="C230" s="59" t="s">
        <v>418</v>
      </c>
      <c r="D230" s="356" t="s">
        <v>1421</v>
      </c>
      <c r="E230" s="356" t="s">
        <v>1028</v>
      </c>
      <c r="F230" s="23" t="s">
        <v>1422</v>
      </c>
      <c r="G230" s="23" t="s">
        <v>403</v>
      </c>
      <c r="H230" s="353">
        <v>562800.43999999994</v>
      </c>
      <c r="I230" s="59"/>
      <c r="J230" s="59" t="s">
        <v>1423</v>
      </c>
      <c r="K230" s="20">
        <v>4</v>
      </c>
      <c r="L230" s="20">
        <v>2</v>
      </c>
      <c r="M230" s="357">
        <f>SUM(H230:H231)</f>
        <v>1282556.8399999999</v>
      </c>
      <c r="N230" s="411">
        <f>IFERROR((M230/(VLOOKUP(B230,'Data Pull Sheet'!$C:$H,6,FALSE))),"DC")</f>
        <v>9.9423010852713167E-3</v>
      </c>
      <c r="O230" s="23" t="s">
        <v>1328</v>
      </c>
      <c r="P230" s="92" t="s">
        <v>632</v>
      </c>
      <c r="Q230" s="92" t="s">
        <v>646</v>
      </c>
      <c r="R230" s="372" t="str">
        <f t="shared" si="6"/>
        <v/>
      </c>
    </row>
    <row r="231" spans="1:18" x14ac:dyDescent="0.25">
      <c r="A231" s="23" t="s">
        <v>1420</v>
      </c>
      <c r="B231" s="18" t="str">
        <f>IF(ISNA(VLOOKUP($A231,'Data Pull Sheet'!$B$2:$C$1795,2,0)),"",(VLOOKUP($A231,'Data Pull Sheet'!$B$2:$C$1795,2,0)))</f>
        <v>CNV</v>
      </c>
      <c r="C231" s="59" t="s">
        <v>418</v>
      </c>
      <c r="D231" s="356" t="s">
        <v>1421</v>
      </c>
      <c r="E231" s="356" t="s">
        <v>1028</v>
      </c>
      <c r="F231" s="23" t="s">
        <v>1424</v>
      </c>
      <c r="G231" s="23" t="s">
        <v>403</v>
      </c>
      <c r="H231" s="353">
        <v>719756.4</v>
      </c>
      <c r="I231" s="59"/>
      <c r="J231" s="59" t="s">
        <v>1425</v>
      </c>
      <c r="K231" s="20"/>
      <c r="L231" s="20"/>
      <c r="M231" s="357"/>
      <c r="N231" s="411"/>
      <c r="O231" s="23" t="s">
        <v>1328</v>
      </c>
      <c r="P231" s="92" t="s">
        <v>632</v>
      </c>
      <c r="Q231" s="92" t="s">
        <v>646</v>
      </c>
      <c r="R231" s="372" t="str">
        <f t="shared" si="6"/>
        <v/>
      </c>
    </row>
    <row r="232" spans="1:18" x14ac:dyDescent="0.25">
      <c r="A232" s="23" t="s">
        <v>1420</v>
      </c>
      <c r="B232" s="18" t="str">
        <f>IF(ISNA(VLOOKUP($A232,'Data Pull Sheet'!$B$2:$C$1795,2,0)),"",(VLOOKUP($A232,'Data Pull Sheet'!$B$2:$C$1795,2,0)))</f>
        <v>CNV</v>
      </c>
      <c r="C232" s="59" t="s">
        <v>418</v>
      </c>
      <c r="D232" s="356" t="s">
        <v>1421</v>
      </c>
      <c r="E232" s="356" t="s">
        <v>1028</v>
      </c>
      <c r="F232" s="23" t="s">
        <v>1426</v>
      </c>
      <c r="G232" s="23" t="s">
        <v>403</v>
      </c>
      <c r="H232" s="353">
        <v>10250.719999999999</v>
      </c>
      <c r="I232" s="59"/>
      <c r="J232" s="59" t="s">
        <v>1427</v>
      </c>
      <c r="K232" s="20"/>
      <c r="L232" s="20">
        <v>1</v>
      </c>
      <c r="M232" s="357">
        <f>H232</f>
        <v>10250.719999999999</v>
      </c>
      <c r="N232" s="411">
        <f>IFERROR((M232/(VLOOKUP(B232,'Data Pull Sheet'!$C:$H,6,FALSE))),"DC")</f>
        <v>7.9462945736434105E-5</v>
      </c>
      <c r="O232" s="23" t="s">
        <v>597</v>
      </c>
      <c r="P232" s="92" t="s">
        <v>632</v>
      </c>
      <c r="Q232" s="92" t="s">
        <v>637</v>
      </c>
      <c r="R232" s="372" t="str">
        <f t="shared" si="6"/>
        <v/>
      </c>
    </row>
    <row r="233" spans="1:18" x14ac:dyDescent="0.25">
      <c r="A233" s="23" t="s">
        <v>1420</v>
      </c>
      <c r="B233" s="18" t="str">
        <f>IF(ISNA(VLOOKUP($A233,'Data Pull Sheet'!$B$2:$C$1795,2,0)),"",(VLOOKUP($A233,'Data Pull Sheet'!$B$2:$C$1795,2,0)))</f>
        <v>CNV</v>
      </c>
      <c r="C233" s="59" t="s">
        <v>418</v>
      </c>
      <c r="D233" s="356" t="s">
        <v>1421</v>
      </c>
      <c r="E233" s="356" t="s">
        <v>1028</v>
      </c>
      <c r="F233" s="23" t="s">
        <v>1428</v>
      </c>
      <c r="G233" s="23" t="s">
        <v>403</v>
      </c>
      <c r="H233" s="353">
        <v>126</v>
      </c>
      <c r="I233" s="59"/>
      <c r="J233" s="59" t="s">
        <v>1429</v>
      </c>
      <c r="K233" s="20"/>
      <c r="L233" s="20">
        <v>3</v>
      </c>
      <c r="M233" s="357">
        <f>SUM(H233:H235)</f>
        <v>2233</v>
      </c>
      <c r="N233" s="411">
        <f>IFERROR((M233/(VLOOKUP(B233,'Data Pull Sheet'!$C:$H,6,FALSE))),"DC")</f>
        <v>1.7310077519379843E-5</v>
      </c>
      <c r="O233" s="23" t="s">
        <v>79</v>
      </c>
      <c r="P233" s="92" t="s">
        <v>632</v>
      </c>
      <c r="Q233" s="92" t="s">
        <v>646</v>
      </c>
      <c r="R233" s="372" t="str">
        <f t="shared" si="6"/>
        <v/>
      </c>
    </row>
    <row r="234" spans="1:18" x14ac:dyDescent="0.25">
      <c r="A234" s="23" t="s">
        <v>1420</v>
      </c>
      <c r="B234" s="18" t="str">
        <f>IF(ISNA(VLOOKUP($A234,'Data Pull Sheet'!$B$2:$C$1795,2,0)),"",(VLOOKUP($A234,'Data Pull Sheet'!$B$2:$C$1795,2,0)))</f>
        <v>CNV</v>
      </c>
      <c r="C234" s="59" t="s">
        <v>418</v>
      </c>
      <c r="D234" s="356" t="s">
        <v>1421</v>
      </c>
      <c r="E234" s="356" t="s">
        <v>1028</v>
      </c>
      <c r="F234" s="23" t="s">
        <v>1430</v>
      </c>
      <c r="G234" s="23" t="s">
        <v>403</v>
      </c>
      <c r="H234" s="353">
        <v>885</v>
      </c>
      <c r="I234" s="59"/>
      <c r="J234" s="59" t="s">
        <v>1431</v>
      </c>
      <c r="K234" s="20"/>
      <c r="L234" s="20"/>
      <c r="M234" s="357"/>
      <c r="N234" s="411"/>
      <c r="O234" s="23" t="s">
        <v>79</v>
      </c>
      <c r="P234" s="92" t="s">
        <v>632</v>
      </c>
      <c r="Q234" s="92" t="s">
        <v>646</v>
      </c>
      <c r="R234" s="372" t="str">
        <f t="shared" si="6"/>
        <v/>
      </c>
    </row>
    <row r="235" spans="1:18" x14ac:dyDescent="0.25">
      <c r="A235" s="23" t="s">
        <v>1420</v>
      </c>
      <c r="B235" s="18" t="str">
        <f>IF(ISNA(VLOOKUP($A235,'Data Pull Sheet'!$B$2:$C$1795,2,0)),"",(VLOOKUP($A235,'Data Pull Sheet'!$B$2:$C$1795,2,0)))</f>
        <v>CNV</v>
      </c>
      <c r="C235" s="59" t="s">
        <v>418</v>
      </c>
      <c r="D235" s="356" t="s">
        <v>1421</v>
      </c>
      <c r="E235" s="356" t="s">
        <v>1028</v>
      </c>
      <c r="F235" s="23" t="s">
        <v>1432</v>
      </c>
      <c r="G235" s="23" t="s">
        <v>403</v>
      </c>
      <c r="H235" s="353">
        <v>1222</v>
      </c>
      <c r="I235" s="59"/>
      <c r="J235" s="59" t="s">
        <v>1433</v>
      </c>
      <c r="K235" s="20"/>
      <c r="L235" s="20"/>
      <c r="M235" s="357"/>
      <c r="N235" s="411"/>
      <c r="O235" s="23" t="s">
        <v>79</v>
      </c>
      <c r="P235" s="92" t="s">
        <v>632</v>
      </c>
      <c r="Q235" s="92" t="s">
        <v>646</v>
      </c>
      <c r="R235" s="372" t="str">
        <f t="shared" si="6"/>
        <v/>
      </c>
    </row>
    <row r="236" spans="1:18" x14ac:dyDescent="0.25">
      <c r="A236" s="23" t="s">
        <v>1420</v>
      </c>
      <c r="B236" s="18" t="str">
        <f>IF(ISNA(VLOOKUP($A236,'Data Pull Sheet'!$B$2:$C$1795,2,0)),"",(VLOOKUP($A236,'Data Pull Sheet'!$B$2:$C$1795,2,0)))</f>
        <v>CNV</v>
      </c>
      <c r="C236" s="59" t="s">
        <v>418</v>
      </c>
      <c r="D236" s="356" t="s">
        <v>1421</v>
      </c>
      <c r="E236" s="356" t="s">
        <v>1028</v>
      </c>
      <c r="F236" s="23" t="s">
        <v>1434</v>
      </c>
      <c r="G236" s="23" t="s">
        <v>403</v>
      </c>
      <c r="H236" s="353">
        <v>62643.93</v>
      </c>
      <c r="I236" s="59" t="s">
        <v>406</v>
      </c>
      <c r="J236" s="59" t="s">
        <v>1435</v>
      </c>
      <c r="K236" s="20"/>
      <c r="L236" s="20">
        <v>1</v>
      </c>
      <c r="M236" s="357">
        <f>H236</f>
        <v>62643.93</v>
      </c>
      <c r="N236" s="411">
        <f>IFERROR((M236/(VLOOKUP(B236,'Data Pull Sheet'!$C:$H,6,FALSE))),"DC")</f>
        <v>4.8561186046511626E-4</v>
      </c>
      <c r="O236" s="23" t="s">
        <v>8986</v>
      </c>
      <c r="P236" s="92" t="s">
        <v>632</v>
      </c>
      <c r="Q236" s="92" t="s">
        <v>637</v>
      </c>
      <c r="R236" s="372" t="str">
        <f t="shared" si="6"/>
        <v/>
      </c>
    </row>
    <row r="237" spans="1:18" ht="30" x14ac:dyDescent="0.25">
      <c r="A237" s="23" t="s">
        <v>2195</v>
      </c>
      <c r="B237" s="18" t="str">
        <f>IF(ISNA(VLOOKUP($A237,'Data Pull Sheet'!$B$2:$C$1795,2,0)),"",(VLOOKUP($A237,'Data Pull Sheet'!$B$2:$C$1795,2,0)))</f>
        <v>GWPH</v>
      </c>
      <c r="C237" s="59" t="s">
        <v>418</v>
      </c>
      <c r="D237" s="356" t="s">
        <v>2196</v>
      </c>
      <c r="E237" s="356" t="s">
        <v>1028</v>
      </c>
      <c r="F237" s="23" t="s">
        <v>2197</v>
      </c>
      <c r="G237" s="23" t="s">
        <v>403</v>
      </c>
      <c r="H237" s="353">
        <v>94687</v>
      </c>
      <c r="I237" s="59"/>
      <c r="J237" s="59" t="s">
        <v>6698</v>
      </c>
      <c r="K237" s="20">
        <v>4</v>
      </c>
      <c r="L237" s="20">
        <v>3</v>
      </c>
      <c r="M237" s="357">
        <f>SUM(H237:H239)</f>
        <v>364517</v>
      </c>
      <c r="N237" s="411">
        <f>IFERROR((M237/(VLOOKUP(B237,'Data Pull Sheet'!$C:$H,6,FALSE))),"DC")</f>
        <v>6.0752833333333331E-3</v>
      </c>
      <c r="O237" s="23" t="s">
        <v>2198</v>
      </c>
      <c r="P237" s="92" t="s">
        <v>632</v>
      </c>
      <c r="Q237" s="92" t="s">
        <v>646</v>
      </c>
      <c r="R237" s="372" t="str">
        <f t="shared" si="6"/>
        <v/>
      </c>
    </row>
    <row r="238" spans="1:18" ht="30" x14ac:dyDescent="0.25">
      <c r="A238" s="23" t="s">
        <v>2195</v>
      </c>
      <c r="B238" s="18" t="str">
        <f>IF(ISNA(VLOOKUP($A238,'Data Pull Sheet'!$B$2:$C$1795,2,0)),"",(VLOOKUP($A238,'Data Pull Sheet'!$B$2:$C$1795,2,0)))</f>
        <v>GWPH</v>
      </c>
      <c r="C238" s="59" t="s">
        <v>418</v>
      </c>
      <c r="D238" s="356" t="s">
        <v>2196</v>
      </c>
      <c r="E238" s="356" t="s">
        <v>1028</v>
      </c>
      <c r="F238" s="23" t="s">
        <v>2199</v>
      </c>
      <c r="G238" s="23" t="s">
        <v>403</v>
      </c>
      <c r="H238" s="353">
        <v>97416</v>
      </c>
      <c r="I238" s="59"/>
      <c r="J238" s="59" t="s">
        <v>6701</v>
      </c>
      <c r="K238" s="20"/>
      <c r="L238" s="20"/>
      <c r="M238" s="357"/>
      <c r="N238" s="411"/>
      <c r="O238" s="23" t="s">
        <v>2198</v>
      </c>
      <c r="P238" s="92" t="s">
        <v>632</v>
      </c>
      <c r="Q238" s="92" t="s">
        <v>646</v>
      </c>
      <c r="R238" s="372" t="str">
        <f t="shared" si="6"/>
        <v/>
      </c>
    </row>
    <row r="239" spans="1:18" ht="30" x14ac:dyDescent="0.25">
      <c r="A239" s="23" t="s">
        <v>2195</v>
      </c>
      <c r="B239" s="18" t="str">
        <f>IF(ISNA(VLOOKUP($A239,'Data Pull Sheet'!$B$2:$C$1795,2,0)),"",(VLOOKUP($A239,'Data Pull Sheet'!$B$2:$C$1795,2,0)))</f>
        <v>GWPH</v>
      </c>
      <c r="C239" s="59" t="s">
        <v>418</v>
      </c>
      <c r="D239" s="356" t="s">
        <v>2196</v>
      </c>
      <c r="E239" s="356" t="s">
        <v>1028</v>
      </c>
      <c r="F239" s="23" t="s">
        <v>2200</v>
      </c>
      <c r="G239" s="23" t="s">
        <v>403</v>
      </c>
      <c r="H239" s="353">
        <v>172414</v>
      </c>
      <c r="I239" s="59"/>
      <c r="J239" s="59" t="s">
        <v>6702</v>
      </c>
      <c r="K239" s="20"/>
      <c r="L239" s="20"/>
      <c r="M239" s="357"/>
      <c r="N239" s="411"/>
      <c r="O239" s="23" t="s">
        <v>2198</v>
      </c>
      <c r="P239" s="92" t="s">
        <v>632</v>
      </c>
      <c r="Q239" s="92" t="s">
        <v>646</v>
      </c>
      <c r="R239" s="372" t="str">
        <f t="shared" si="6"/>
        <v/>
      </c>
    </row>
    <row r="240" spans="1:18" x14ac:dyDescent="0.25">
      <c r="A240" s="23" t="s">
        <v>2195</v>
      </c>
      <c r="B240" s="18" t="str">
        <f>IF(ISNA(VLOOKUP($A240,'Data Pull Sheet'!$B$2:$C$1795,2,0)),"",(VLOOKUP($A240,'Data Pull Sheet'!$B$2:$C$1795,2,0)))</f>
        <v>GWPH</v>
      </c>
      <c r="C240" s="59" t="s">
        <v>418</v>
      </c>
      <c r="D240" s="356" t="s">
        <v>2196</v>
      </c>
      <c r="E240" s="356" t="s">
        <v>1028</v>
      </c>
      <c r="F240" s="23" t="s">
        <v>2201</v>
      </c>
      <c r="G240" s="23" t="s">
        <v>403</v>
      </c>
      <c r="H240" s="353">
        <v>40076.46</v>
      </c>
      <c r="I240" s="59"/>
      <c r="J240" s="59" t="s">
        <v>6703</v>
      </c>
      <c r="K240" s="20"/>
      <c r="L240" s="20">
        <v>1</v>
      </c>
      <c r="M240" s="357">
        <f>H240</f>
        <v>40076.46</v>
      </c>
      <c r="N240" s="411">
        <f>IFERROR((M240/(VLOOKUP(B240,'Data Pull Sheet'!$C:$H,6,FALSE))),"DC")</f>
        <v>6.6794100000000002E-4</v>
      </c>
      <c r="O240" s="23" t="s">
        <v>1002</v>
      </c>
      <c r="P240" s="92" t="s">
        <v>632</v>
      </c>
      <c r="Q240" s="92" t="s">
        <v>637</v>
      </c>
      <c r="R240" s="372" t="str">
        <f t="shared" si="6"/>
        <v/>
      </c>
    </row>
    <row r="241" spans="1:18" x14ac:dyDescent="0.25">
      <c r="A241" s="23" t="s">
        <v>2195</v>
      </c>
      <c r="B241" s="18" t="str">
        <f>IF(ISNA(VLOOKUP($A241,'Data Pull Sheet'!$B$2:$C$1795,2,0)),"",(VLOOKUP($A241,'Data Pull Sheet'!$B$2:$C$1795,2,0)))</f>
        <v>GWPH</v>
      </c>
      <c r="C241" s="59" t="s">
        <v>418</v>
      </c>
      <c r="D241" s="356" t="s">
        <v>2196</v>
      </c>
      <c r="E241" s="356" t="s">
        <v>1028</v>
      </c>
      <c r="F241" s="23" t="s">
        <v>2202</v>
      </c>
      <c r="G241" s="23" t="s">
        <v>403</v>
      </c>
      <c r="H241" s="353">
        <v>118039.13</v>
      </c>
      <c r="I241" s="59"/>
      <c r="J241" s="59" t="s">
        <v>6699</v>
      </c>
      <c r="K241" s="20"/>
      <c r="L241" s="20">
        <v>1</v>
      </c>
      <c r="M241" s="357">
        <f>H241</f>
        <v>118039.13</v>
      </c>
      <c r="N241" s="411">
        <f>IFERROR((M241/(VLOOKUP(B241,'Data Pull Sheet'!$C:$H,6,FALSE))),"DC")</f>
        <v>1.9673188333333333E-3</v>
      </c>
      <c r="O241" s="23" t="s">
        <v>63</v>
      </c>
      <c r="P241" s="92" t="s">
        <v>632</v>
      </c>
      <c r="Q241" s="92" t="s">
        <v>637</v>
      </c>
      <c r="R241" s="372" t="str">
        <f t="shared" si="6"/>
        <v/>
      </c>
    </row>
    <row r="242" spans="1:18" x14ac:dyDescent="0.25">
      <c r="A242" s="23" t="s">
        <v>2195</v>
      </c>
      <c r="B242" s="18" t="str">
        <f>IF(ISNA(VLOOKUP($A242,'Data Pull Sheet'!$B$2:$C$1795,2,0)),"",(VLOOKUP($A242,'Data Pull Sheet'!$B$2:$C$1795,2,0)))</f>
        <v>GWPH</v>
      </c>
      <c r="C242" s="59" t="s">
        <v>418</v>
      </c>
      <c r="D242" s="356" t="s">
        <v>2196</v>
      </c>
      <c r="E242" s="356" t="s">
        <v>1028</v>
      </c>
      <c r="F242" s="23" t="s">
        <v>2203</v>
      </c>
      <c r="G242" s="23" t="s">
        <v>403</v>
      </c>
      <c r="H242" s="353">
        <v>332209.39</v>
      </c>
      <c r="I242" s="59"/>
      <c r="J242" s="59" t="s">
        <v>6700</v>
      </c>
      <c r="K242" s="20"/>
      <c r="L242" s="20">
        <v>1</v>
      </c>
      <c r="M242" s="357">
        <f>H242</f>
        <v>332209.39</v>
      </c>
      <c r="N242" s="411">
        <f>IFERROR((M242/(VLOOKUP(B242,'Data Pull Sheet'!$C:$H,6,FALSE))),"DC")</f>
        <v>5.5368231666666672E-3</v>
      </c>
      <c r="O242" s="23" t="s">
        <v>682</v>
      </c>
      <c r="P242" s="92" t="s">
        <v>632</v>
      </c>
      <c r="Q242" s="92" t="s">
        <v>637</v>
      </c>
      <c r="R242" s="372" t="str">
        <f t="shared" si="6"/>
        <v/>
      </c>
    </row>
    <row r="243" spans="1:18" x14ac:dyDescent="0.25">
      <c r="A243" s="23" t="s">
        <v>2856</v>
      </c>
      <c r="B243" s="18" t="s">
        <v>11729</v>
      </c>
      <c r="C243" s="59" t="s">
        <v>421</v>
      </c>
      <c r="D243" s="356" t="s">
        <v>1389</v>
      </c>
      <c r="E243" s="356" t="s">
        <v>1028</v>
      </c>
      <c r="F243" s="23" t="s">
        <v>2857</v>
      </c>
      <c r="G243" s="23" t="s">
        <v>403</v>
      </c>
      <c r="H243" s="353">
        <v>4035</v>
      </c>
      <c r="I243" s="59"/>
      <c r="J243" s="59" t="s">
        <v>11730</v>
      </c>
      <c r="K243" s="20">
        <v>1</v>
      </c>
      <c r="L243" s="20">
        <v>1</v>
      </c>
      <c r="M243" s="357">
        <f>H243</f>
        <v>4035</v>
      </c>
      <c r="N243" s="411">
        <f>IFERROR((M243/(VLOOKUP(B243,'Data Pull Sheet'!$C:$H,6,FALSE))),"DC")</f>
        <v>5.0437499999999999E-5</v>
      </c>
      <c r="O243" s="23" t="s">
        <v>2858</v>
      </c>
      <c r="P243" s="92" t="s">
        <v>676</v>
      </c>
      <c r="Q243" s="92" t="s">
        <v>637</v>
      </c>
      <c r="R243" s="372" t="str">
        <f t="shared" si="6"/>
        <v/>
      </c>
    </row>
    <row r="244" spans="1:18" x14ac:dyDescent="0.25">
      <c r="A244" s="23" t="s">
        <v>344</v>
      </c>
      <c r="B244" s="18" t="str">
        <f>IF(ISNA(VLOOKUP($A244,'Data Pull Sheet'!$B$2:$C$1795,2,0)),"",(VLOOKUP($A244,'Data Pull Sheet'!$B$2:$C$1795,2,0)))</f>
        <v>HTWR</v>
      </c>
      <c r="C244" s="59" t="s">
        <v>418</v>
      </c>
      <c r="D244" s="356" t="s">
        <v>601</v>
      </c>
      <c r="E244" s="356" t="s">
        <v>602</v>
      </c>
      <c r="F244" s="23" t="s">
        <v>341</v>
      </c>
      <c r="G244" s="23" t="s">
        <v>417</v>
      </c>
      <c r="H244" s="353">
        <v>895774.83</v>
      </c>
      <c r="I244" s="59" t="s">
        <v>442</v>
      </c>
      <c r="J244" s="59" t="s">
        <v>2219</v>
      </c>
      <c r="K244" s="20">
        <v>1</v>
      </c>
      <c r="L244" s="20">
        <v>1</v>
      </c>
      <c r="M244" s="357">
        <f>H244</f>
        <v>895774.83</v>
      </c>
      <c r="N244" s="411">
        <f>IFERROR((M244/(VLOOKUP(B244,'Data Pull Sheet'!$C:$H,6,FALSE))),"DC")</f>
        <v>3.5830993199999998E-3</v>
      </c>
      <c r="O244" s="23" t="s">
        <v>1</v>
      </c>
      <c r="P244" s="92" t="s">
        <v>676</v>
      </c>
      <c r="Q244" s="92" t="s">
        <v>2220</v>
      </c>
      <c r="R244" s="372" t="str">
        <f t="shared" si="6"/>
        <v>FF</v>
      </c>
    </row>
    <row r="245" spans="1:18" x14ac:dyDescent="0.25">
      <c r="A245" s="23" t="s">
        <v>3861</v>
      </c>
      <c r="B245" s="18" t="str">
        <f>IF(ISNA(VLOOKUP($A245,'Data Pull Sheet'!$B$2:$C$1795,2,0)),"",(VLOOKUP($A245,'Data Pull Sheet'!$B$2:$C$1795,2,0)))</f>
        <v>TSEM</v>
      </c>
      <c r="C245" s="59" t="s">
        <v>446</v>
      </c>
      <c r="D245" s="356" t="s">
        <v>601</v>
      </c>
      <c r="E245" s="356" t="s">
        <v>602</v>
      </c>
      <c r="F245" s="23" t="s">
        <v>3862</v>
      </c>
      <c r="G245" s="23" t="s">
        <v>403</v>
      </c>
      <c r="H245" s="353">
        <v>1502</v>
      </c>
      <c r="I245" s="59"/>
      <c r="J245" s="59" t="s">
        <v>3863</v>
      </c>
      <c r="K245" s="20">
        <v>2</v>
      </c>
      <c r="L245" s="20">
        <v>2</v>
      </c>
      <c r="M245" s="357">
        <f>SUM(H245:H246)</f>
        <v>6123</v>
      </c>
      <c r="N245" s="411">
        <f>IFERROR((M245/(VLOOKUP(B245,'Data Pull Sheet'!$C:$H,6,FALSE))),"DC")</f>
        <v>1.1132727272727273E-4</v>
      </c>
      <c r="O245" s="23" t="s">
        <v>79</v>
      </c>
      <c r="P245" s="92" t="s">
        <v>632</v>
      </c>
      <c r="Q245" s="92" t="s">
        <v>646</v>
      </c>
      <c r="R245" s="372" t="str">
        <f t="shared" si="6"/>
        <v/>
      </c>
    </row>
    <row r="246" spans="1:18" x14ac:dyDescent="0.25">
      <c r="A246" s="23" t="s">
        <v>3861</v>
      </c>
      <c r="B246" s="18" t="str">
        <f>IF(ISNA(VLOOKUP($A246,'Data Pull Sheet'!$B$2:$C$1795,2,0)),"",(VLOOKUP($A246,'Data Pull Sheet'!$B$2:$C$1795,2,0)))</f>
        <v>TSEM</v>
      </c>
      <c r="C246" s="59" t="s">
        <v>446</v>
      </c>
      <c r="D246" s="356" t="s">
        <v>601</v>
      </c>
      <c r="E246" s="356" t="s">
        <v>602</v>
      </c>
      <c r="F246" s="23" t="s">
        <v>3864</v>
      </c>
      <c r="G246" s="23" t="s">
        <v>403</v>
      </c>
      <c r="H246" s="353">
        <v>4621</v>
      </c>
      <c r="I246" s="59"/>
      <c r="J246" s="59" t="s">
        <v>3865</v>
      </c>
      <c r="K246" s="20"/>
      <c r="L246" s="20"/>
      <c r="M246" s="357"/>
      <c r="N246" s="411"/>
      <c r="O246" s="23" t="s">
        <v>79</v>
      </c>
      <c r="P246" s="92" t="s">
        <v>632</v>
      </c>
      <c r="Q246" s="92" t="s">
        <v>646</v>
      </c>
      <c r="R246" s="372" t="str">
        <f t="shared" si="6"/>
        <v/>
      </c>
    </row>
    <row r="247" spans="1:18" x14ac:dyDescent="0.25">
      <c r="A247" s="23" t="s">
        <v>3861</v>
      </c>
      <c r="B247" s="18" t="str">
        <f>IF(ISNA(VLOOKUP($A247,'Data Pull Sheet'!$B$2:$C$1795,2,0)),"",(VLOOKUP($A247,'Data Pull Sheet'!$B$2:$C$1795,2,0)))</f>
        <v>TSEM</v>
      </c>
      <c r="C247" s="59" t="s">
        <v>446</v>
      </c>
      <c r="D247" s="356" t="s">
        <v>601</v>
      </c>
      <c r="E247" s="356" t="s">
        <v>602</v>
      </c>
      <c r="F247" s="23" t="s">
        <v>3866</v>
      </c>
      <c r="G247" s="23" t="s">
        <v>403</v>
      </c>
      <c r="H247" s="353">
        <v>47644.68</v>
      </c>
      <c r="I247" s="59"/>
      <c r="J247" s="59" t="s">
        <v>3867</v>
      </c>
      <c r="K247" s="20"/>
      <c r="L247" s="20">
        <v>1</v>
      </c>
      <c r="M247" s="357">
        <f>H247</f>
        <v>47644.68</v>
      </c>
      <c r="N247" s="411">
        <f>IFERROR((M247/(VLOOKUP(B247,'Data Pull Sheet'!$C:$H,6,FALSE))),"DC")</f>
        <v>8.6626690909090908E-4</v>
      </c>
      <c r="O247" s="23" t="s">
        <v>682</v>
      </c>
      <c r="P247" s="92" t="s">
        <v>632</v>
      </c>
      <c r="Q247" s="92" t="s">
        <v>637</v>
      </c>
      <c r="R247" s="372" t="str">
        <f t="shared" si="6"/>
        <v/>
      </c>
    </row>
    <row r="248" spans="1:18" x14ac:dyDescent="0.25">
      <c r="A248" s="23" t="s">
        <v>126</v>
      </c>
      <c r="B248" s="18" t="str">
        <f>IF(ISNA(VLOOKUP($A248,'Data Pull Sheet'!$B$2:$C$1795,2,0)),"",(VLOOKUP($A248,'Data Pull Sheet'!$B$2:$C$1795,2,0)))</f>
        <v>FCX</v>
      </c>
      <c r="C248" s="59" t="s">
        <v>399</v>
      </c>
      <c r="D248" s="356" t="s">
        <v>400</v>
      </c>
      <c r="E248" s="356" t="s">
        <v>401</v>
      </c>
      <c r="F248" s="23" t="s">
        <v>402</v>
      </c>
      <c r="G248" s="23" t="s">
        <v>403</v>
      </c>
      <c r="H248" s="353">
        <v>149542.54999999999</v>
      </c>
      <c r="I248" s="59" t="s">
        <v>406</v>
      </c>
      <c r="J248" s="59" t="s">
        <v>1966</v>
      </c>
      <c r="K248" s="20">
        <v>5</v>
      </c>
      <c r="L248" s="20">
        <v>1</v>
      </c>
      <c r="M248" s="357">
        <f>H248</f>
        <v>149542.54999999999</v>
      </c>
      <c r="N248" s="411">
        <f>IFERROR((M248/(VLOOKUP(B248,'Data Pull Sheet'!$C:$H,6,FALSE))),"DC")</f>
        <v>1.1963403999999999E-4</v>
      </c>
      <c r="O248" s="23" t="s">
        <v>1967</v>
      </c>
      <c r="P248" s="92" t="s">
        <v>632</v>
      </c>
      <c r="Q248" s="92" t="s">
        <v>637</v>
      </c>
      <c r="R248" s="372" t="str">
        <f t="shared" si="6"/>
        <v>FF</v>
      </c>
    </row>
    <row r="249" spans="1:18" x14ac:dyDescent="0.25">
      <c r="A249" s="23" t="s">
        <v>126</v>
      </c>
      <c r="B249" s="18" t="str">
        <f>IF(ISNA(VLOOKUP($A249,'Data Pull Sheet'!$B$2:$C$1795,2,0)),"",(VLOOKUP($A249,'Data Pull Sheet'!$B$2:$C$1795,2,0)))</f>
        <v>FCX</v>
      </c>
      <c r="C249" s="59" t="s">
        <v>399</v>
      </c>
      <c r="D249" s="356" t="s">
        <v>400</v>
      </c>
      <c r="E249" s="356" t="s">
        <v>401</v>
      </c>
      <c r="F249" s="23" t="s">
        <v>1968</v>
      </c>
      <c r="G249" s="23" t="s">
        <v>403</v>
      </c>
      <c r="H249" s="353">
        <v>455639.71</v>
      </c>
      <c r="I249" s="59" t="s">
        <v>413</v>
      </c>
      <c r="J249" s="59" t="s">
        <v>1969</v>
      </c>
      <c r="K249" s="20"/>
      <c r="L249" s="20">
        <v>3</v>
      </c>
      <c r="M249" s="357">
        <f>SUM(H249:H251)</f>
        <v>1825289.31</v>
      </c>
      <c r="N249" s="411">
        <f>IFERROR((M249/(VLOOKUP(B249,'Data Pull Sheet'!$C:$H,6,FALSE))),"DC")</f>
        <v>1.4602314480000001E-3</v>
      </c>
      <c r="O249" s="23" t="s">
        <v>910</v>
      </c>
      <c r="P249" s="92" t="s">
        <v>632</v>
      </c>
      <c r="Q249" s="92" t="s">
        <v>646</v>
      </c>
      <c r="R249" s="372" t="str">
        <f t="shared" si="6"/>
        <v/>
      </c>
    </row>
    <row r="250" spans="1:18" x14ac:dyDescent="0.25">
      <c r="A250" s="23" t="s">
        <v>126</v>
      </c>
      <c r="B250" s="18" t="str">
        <f>IF(ISNA(VLOOKUP($A250,'Data Pull Sheet'!$B$2:$C$1795,2,0)),"",(VLOOKUP($A250,'Data Pull Sheet'!$B$2:$C$1795,2,0)))</f>
        <v>FCX</v>
      </c>
      <c r="C250" s="59" t="s">
        <v>399</v>
      </c>
      <c r="D250" s="356" t="s">
        <v>400</v>
      </c>
      <c r="E250" s="356" t="s">
        <v>401</v>
      </c>
      <c r="F250" s="23" t="s">
        <v>595</v>
      </c>
      <c r="G250" s="23" t="s">
        <v>403</v>
      </c>
      <c r="H250" s="353">
        <v>456460.27</v>
      </c>
      <c r="I250" s="59" t="s">
        <v>413</v>
      </c>
      <c r="J250" s="59" t="s">
        <v>1970</v>
      </c>
      <c r="K250" s="20"/>
      <c r="L250" s="20"/>
      <c r="M250" s="357"/>
      <c r="N250" s="411"/>
      <c r="O250" s="23" t="s">
        <v>910</v>
      </c>
      <c r="P250" s="92" t="s">
        <v>632</v>
      </c>
      <c r="Q250" s="92" t="s">
        <v>646</v>
      </c>
      <c r="R250" s="372" t="str">
        <f t="shared" si="6"/>
        <v>FF</v>
      </c>
    </row>
    <row r="251" spans="1:18" x14ac:dyDescent="0.25">
      <c r="A251" s="23" t="s">
        <v>126</v>
      </c>
      <c r="B251" s="18" t="str">
        <f>IF(ISNA(VLOOKUP($A251,'Data Pull Sheet'!$B$2:$C$1795,2,0)),"",(VLOOKUP($A251,'Data Pull Sheet'!$B$2:$C$1795,2,0)))</f>
        <v>FCX</v>
      </c>
      <c r="C251" s="59" t="s">
        <v>399</v>
      </c>
      <c r="D251" s="356" t="s">
        <v>400</v>
      </c>
      <c r="E251" s="356" t="s">
        <v>401</v>
      </c>
      <c r="F251" s="23" t="s">
        <v>1971</v>
      </c>
      <c r="G251" s="23" t="s">
        <v>403</v>
      </c>
      <c r="H251" s="353">
        <v>913189.33</v>
      </c>
      <c r="I251" s="59" t="s">
        <v>413</v>
      </c>
      <c r="J251" s="59" t="s">
        <v>1972</v>
      </c>
      <c r="K251" s="20"/>
      <c r="L251" s="20"/>
      <c r="M251" s="357"/>
      <c r="N251" s="411"/>
      <c r="O251" s="23" t="s">
        <v>910</v>
      </c>
      <c r="P251" s="92" t="s">
        <v>632</v>
      </c>
      <c r="Q251" s="92" t="s">
        <v>646</v>
      </c>
      <c r="R251" s="372" t="str">
        <f t="shared" si="6"/>
        <v/>
      </c>
    </row>
    <row r="252" spans="1:18" ht="30" x14ac:dyDescent="0.25">
      <c r="A252" s="23" t="s">
        <v>126</v>
      </c>
      <c r="B252" s="18" t="str">
        <f>IF(ISNA(VLOOKUP($A252,'Data Pull Sheet'!$B$2:$C$1795,2,0)),"",(VLOOKUP($A252,'Data Pull Sheet'!$B$2:$C$1795,2,0)))</f>
        <v>FCX</v>
      </c>
      <c r="C252" s="59" t="s">
        <v>399</v>
      </c>
      <c r="D252" s="356" t="s">
        <v>400</v>
      </c>
      <c r="E252" s="356" t="s">
        <v>401</v>
      </c>
      <c r="F252" s="23" t="s">
        <v>1973</v>
      </c>
      <c r="G252" s="23" t="s">
        <v>417</v>
      </c>
      <c r="H252" s="353">
        <v>5153394.13</v>
      </c>
      <c r="I252" s="59"/>
      <c r="J252" s="59" t="s">
        <v>1974</v>
      </c>
      <c r="K252" s="20"/>
      <c r="L252" s="20">
        <v>1</v>
      </c>
      <c r="M252" s="357">
        <f>H252</f>
        <v>5153394.13</v>
      </c>
      <c r="N252" s="411">
        <f>IFERROR((M252/(VLOOKUP(B252,'Data Pull Sheet'!$C:$H,6,FALSE))),"DC")</f>
        <v>4.1227153039999995E-3</v>
      </c>
      <c r="O252" s="23" t="s">
        <v>1975</v>
      </c>
      <c r="P252" s="92" t="s">
        <v>632</v>
      </c>
      <c r="Q252" s="92" t="s">
        <v>633</v>
      </c>
      <c r="R252" s="372" t="str">
        <f t="shared" si="6"/>
        <v/>
      </c>
    </row>
    <row r="253" spans="1:18" ht="30" x14ac:dyDescent="0.25">
      <c r="A253" s="23" t="s">
        <v>126</v>
      </c>
      <c r="B253" s="18" t="str">
        <f>IF(ISNA(VLOOKUP($A253,'Data Pull Sheet'!$B$2:$C$1795,2,0)),"",(VLOOKUP($A253,'Data Pull Sheet'!$B$2:$C$1795,2,0)))</f>
        <v>FCX</v>
      </c>
      <c r="C253" s="59" t="s">
        <v>399</v>
      </c>
      <c r="D253" s="356" t="s">
        <v>400</v>
      </c>
      <c r="E253" s="356" t="s">
        <v>401</v>
      </c>
      <c r="F253" s="23" t="s">
        <v>1976</v>
      </c>
      <c r="G253" s="23" t="s">
        <v>403</v>
      </c>
      <c r="H253" s="353">
        <v>24011</v>
      </c>
      <c r="I253" s="59"/>
      <c r="J253" s="59" t="s">
        <v>1977</v>
      </c>
      <c r="K253" s="20"/>
      <c r="L253" s="20">
        <v>2</v>
      </c>
      <c r="M253" s="357">
        <f>SUM(H253:H255)</f>
        <v>207218</v>
      </c>
      <c r="N253" s="411">
        <f>IFERROR((M253/(VLOOKUP(B253,'Data Pull Sheet'!$C:$H,6,FALSE))),"DC")</f>
        <v>1.6577439999999999E-4</v>
      </c>
      <c r="O253" s="23" t="s">
        <v>11175</v>
      </c>
      <c r="P253" s="92" t="s">
        <v>632</v>
      </c>
      <c r="Q253" s="92" t="s">
        <v>646</v>
      </c>
      <c r="R253" s="372" t="str">
        <f t="shared" si="6"/>
        <v/>
      </c>
    </row>
    <row r="254" spans="1:18" ht="30" x14ac:dyDescent="0.25">
      <c r="A254" s="23" t="s">
        <v>126</v>
      </c>
      <c r="B254" s="18" t="str">
        <f>IF(ISNA(VLOOKUP($A254,'Data Pull Sheet'!$B$2:$C$1795,2,0)),"",(VLOOKUP($A254,'Data Pull Sheet'!$B$2:$C$1795,2,0)))</f>
        <v>FCX</v>
      </c>
      <c r="C254" s="59" t="s">
        <v>399</v>
      </c>
      <c r="D254" s="356" t="s">
        <v>400</v>
      </c>
      <c r="E254" s="356" t="s">
        <v>401</v>
      </c>
      <c r="F254" s="23" t="s">
        <v>1979</v>
      </c>
      <c r="G254" s="23" t="s">
        <v>403</v>
      </c>
      <c r="H254" s="353">
        <v>42640</v>
      </c>
      <c r="I254" s="59"/>
      <c r="J254" s="59" t="s">
        <v>1980</v>
      </c>
      <c r="K254" s="20"/>
      <c r="L254" s="20"/>
      <c r="M254" s="357"/>
      <c r="N254" s="411"/>
      <c r="O254" s="23" t="s">
        <v>11175</v>
      </c>
      <c r="P254" s="92" t="s">
        <v>632</v>
      </c>
      <c r="Q254" s="92" t="s">
        <v>646</v>
      </c>
      <c r="R254" s="372" t="str">
        <f t="shared" si="6"/>
        <v/>
      </c>
    </row>
    <row r="255" spans="1:18" ht="30" x14ac:dyDescent="0.25">
      <c r="A255" s="23" t="s">
        <v>126</v>
      </c>
      <c r="B255" s="18" t="str">
        <f>IF(ISNA(VLOOKUP($A255,'Data Pull Sheet'!$B$2:$C$1795,2,0)),"",(VLOOKUP($A255,'Data Pull Sheet'!$B$2:$C$1795,2,0)))</f>
        <v>FCX</v>
      </c>
      <c r="C255" s="59" t="s">
        <v>399</v>
      </c>
      <c r="D255" s="356" t="s">
        <v>400</v>
      </c>
      <c r="E255" s="356" t="s">
        <v>401</v>
      </c>
      <c r="F255" s="23" t="s">
        <v>1981</v>
      </c>
      <c r="G255" s="23" t="s">
        <v>403</v>
      </c>
      <c r="H255" s="353">
        <v>140567</v>
      </c>
      <c r="I255" s="59"/>
      <c r="J255" s="59" t="s">
        <v>1982</v>
      </c>
      <c r="K255" s="20"/>
      <c r="L255" s="20"/>
      <c r="M255" s="357"/>
      <c r="N255" s="411"/>
      <c r="O255" s="23" t="s">
        <v>11175</v>
      </c>
      <c r="P255" s="92" t="s">
        <v>632</v>
      </c>
      <c r="Q255" s="92" t="s">
        <v>646</v>
      </c>
      <c r="R255" s="372" t="str">
        <f t="shared" si="6"/>
        <v/>
      </c>
    </row>
    <row r="256" spans="1:18" ht="30" x14ac:dyDescent="0.25">
      <c r="A256" s="23" t="s">
        <v>126</v>
      </c>
      <c r="B256" s="18" t="str">
        <f>IF(ISNA(VLOOKUP($A256,'Data Pull Sheet'!$B$2:$C$1795,2,0)),"",(VLOOKUP($A256,'Data Pull Sheet'!$B$2:$C$1795,2,0)))</f>
        <v>FCX</v>
      </c>
      <c r="C256" s="59" t="s">
        <v>399</v>
      </c>
      <c r="D256" s="356" t="s">
        <v>400</v>
      </c>
      <c r="E256" s="356" t="s">
        <v>401</v>
      </c>
      <c r="F256" s="23" t="s">
        <v>118</v>
      </c>
      <c r="G256" s="23" t="s">
        <v>417</v>
      </c>
      <c r="H256" s="353">
        <v>302572.96000000002</v>
      </c>
      <c r="I256" s="59" t="s">
        <v>406</v>
      </c>
      <c r="J256" s="59" t="s">
        <v>1983</v>
      </c>
      <c r="K256" s="20"/>
      <c r="L256" s="20">
        <v>1</v>
      </c>
      <c r="M256" s="357">
        <f>H256</f>
        <v>302572.96000000002</v>
      </c>
      <c r="N256" s="411">
        <f>IFERROR((M256/(VLOOKUP(B256,'Data Pull Sheet'!$C:$H,6,FALSE))),"DC")</f>
        <v>2.4205836800000001E-4</v>
      </c>
      <c r="O256" s="23" t="s">
        <v>10820</v>
      </c>
      <c r="P256" s="92" t="s">
        <v>632</v>
      </c>
      <c r="Q256" s="92" t="s">
        <v>633</v>
      </c>
      <c r="R256" s="372" t="str">
        <f t="shared" si="6"/>
        <v>FF</v>
      </c>
    </row>
    <row r="257" spans="1:18" ht="30" x14ac:dyDescent="0.25">
      <c r="A257" s="23" t="s">
        <v>296</v>
      </c>
      <c r="B257" s="18" t="s">
        <v>10778</v>
      </c>
      <c r="C257" s="59" t="s">
        <v>409</v>
      </c>
      <c r="D257" s="356" t="s">
        <v>587</v>
      </c>
      <c r="E257" s="356" t="s">
        <v>401</v>
      </c>
      <c r="F257" s="23" t="s">
        <v>3745</v>
      </c>
      <c r="G257" s="23" t="s">
        <v>403</v>
      </c>
      <c r="H257" s="353">
        <v>166128.20000000001</v>
      </c>
      <c r="I257" s="59"/>
      <c r="J257" s="59" t="s">
        <v>10783</v>
      </c>
      <c r="K257" s="20">
        <v>5</v>
      </c>
      <c r="L257" s="20">
        <v>1</v>
      </c>
      <c r="M257" s="357">
        <f>H257</f>
        <v>166128.20000000001</v>
      </c>
      <c r="N257" s="411">
        <f>IFERROR((M257/(VLOOKUP(B257,'Data Pull Sheet'!$C:$H,6,FALSE))),"DC")</f>
        <v>2.1575090909090912E-4</v>
      </c>
      <c r="O257" s="23" t="s">
        <v>3746</v>
      </c>
      <c r="P257" s="92" t="s">
        <v>632</v>
      </c>
      <c r="Q257" s="92" t="s">
        <v>637</v>
      </c>
      <c r="R257" s="372" t="str">
        <f t="shared" si="6"/>
        <v/>
      </c>
    </row>
    <row r="258" spans="1:18" ht="30" x14ac:dyDescent="0.25">
      <c r="A258" s="23" t="s">
        <v>296</v>
      </c>
      <c r="B258" s="18" t="s">
        <v>10778</v>
      </c>
      <c r="C258" s="59" t="s">
        <v>409</v>
      </c>
      <c r="D258" s="356" t="s">
        <v>587</v>
      </c>
      <c r="E258" s="356" t="s">
        <v>401</v>
      </c>
      <c r="F258" s="23" t="s">
        <v>3747</v>
      </c>
      <c r="G258" s="23" t="s">
        <v>403</v>
      </c>
      <c r="H258" s="353">
        <v>198545</v>
      </c>
      <c r="I258" s="59"/>
      <c r="J258" s="59" t="s">
        <v>10784</v>
      </c>
      <c r="K258" s="20"/>
      <c r="L258" s="20">
        <v>2</v>
      </c>
      <c r="M258" s="357">
        <f>SUM(H258:H259)</f>
        <v>607372.78</v>
      </c>
      <c r="N258" s="411">
        <f>IFERROR((M258/(VLOOKUP(B258,'Data Pull Sheet'!$C:$H,6,FALSE))),"DC")</f>
        <v>7.8879581818181821E-4</v>
      </c>
      <c r="O258" s="23" t="s">
        <v>3748</v>
      </c>
      <c r="P258" s="92" t="s">
        <v>632</v>
      </c>
      <c r="Q258" s="92" t="s">
        <v>646</v>
      </c>
      <c r="R258" s="372" t="str">
        <f t="shared" ref="R258:R321" si="7">IF(COUNTIF(F:F,F258)&gt;=2,"FF","")</f>
        <v/>
      </c>
    </row>
    <row r="259" spans="1:18" ht="30" x14ac:dyDescent="0.25">
      <c r="A259" s="23" t="s">
        <v>296</v>
      </c>
      <c r="B259" s="18" t="s">
        <v>10778</v>
      </c>
      <c r="C259" s="59" t="s">
        <v>409</v>
      </c>
      <c r="D259" s="356" t="s">
        <v>587</v>
      </c>
      <c r="E259" s="356" t="s">
        <v>401</v>
      </c>
      <c r="F259" s="23" t="s">
        <v>3749</v>
      </c>
      <c r="G259" s="23" t="s">
        <v>403</v>
      </c>
      <c r="H259" s="353">
        <v>408827.78</v>
      </c>
      <c r="I259" s="59"/>
      <c r="J259" s="59" t="s">
        <v>10785</v>
      </c>
      <c r="K259" s="20"/>
      <c r="L259" s="20"/>
      <c r="M259" s="357"/>
      <c r="N259" s="411"/>
      <c r="O259" s="23" t="s">
        <v>3748</v>
      </c>
      <c r="P259" s="92" t="s">
        <v>632</v>
      </c>
      <c r="Q259" s="92" t="s">
        <v>646</v>
      </c>
      <c r="R259" s="372" t="str">
        <f t="shared" si="7"/>
        <v/>
      </c>
    </row>
    <row r="260" spans="1:18" x14ac:dyDescent="0.25">
      <c r="A260" s="23" t="s">
        <v>296</v>
      </c>
      <c r="B260" s="18" t="s">
        <v>10778</v>
      </c>
      <c r="C260" s="59" t="s">
        <v>409</v>
      </c>
      <c r="D260" s="356" t="s">
        <v>587</v>
      </c>
      <c r="E260" s="356" t="s">
        <v>401</v>
      </c>
      <c r="F260" s="23" t="s">
        <v>3750</v>
      </c>
      <c r="G260" s="23" t="s">
        <v>417</v>
      </c>
      <c r="H260" s="353">
        <v>1194554.3999999999</v>
      </c>
      <c r="I260" s="59"/>
      <c r="J260" s="59" t="s">
        <v>10786</v>
      </c>
      <c r="K260" s="20"/>
      <c r="L260" s="20">
        <v>1</v>
      </c>
      <c r="M260" s="357">
        <f>H260</f>
        <v>1194554.3999999999</v>
      </c>
      <c r="N260" s="411">
        <f>IFERROR((M260/(VLOOKUP(B260,'Data Pull Sheet'!$C:$H,6,FALSE))),"DC")</f>
        <v>1.5513693506493506E-3</v>
      </c>
      <c r="O260" s="23" t="s">
        <v>63</v>
      </c>
      <c r="P260" s="92" t="s">
        <v>632</v>
      </c>
      <c r="Q260" s="92" t="s">
        <v>633</v>
      </c>
      <c r="R260" s="372" t="str">
        <f t="shared" si="7"/>
        <v/>
      </c>
    </row>
    <row r="261" spans="1:18" ht="30" x14ac:dyDescent="0.25">
      <c r="A261" s="23" t="s">
        <v>296</v>
      </c>
      <c r="B261" s="18" t="s">
        <v>10778</v>
      </c>
      <c r="C261" s="59" t="s">
        <v>409</v>
      </c>
      <c r="D261" s="356" t="s">
        <v>587</v>
      </c>
      <c r="E261" s="356" t="s">
        <v>401</v>
      </c>
      <c r="F261" s="23" t="s">
        <v>3751</v>
      </c>
      <c r="G261" s="23" t="s">
        <v>417</v>
      </c>
      <c r="H261" s="353">
        <v>84305.62</v>
      </c>
      <c r="I261" s="59"/>
      <c r="J261" s="59" t="s">
        <v>10787</v>
      </c>
      <c r="K261" s="20"/>
      <c r="L261" s="20">
        <v>1</v>
      </c>
      <c r="M261" s="357">
        <f>H261</f>
        <v>84305.62</v>
      </c>
      <c r="N261" s="411">
        <f>IFERROR((M261/(VLOOKUP(B261,'Data Pull Sheet'!$C:$H,6,FALSE))),"DC")</f>
        <v>1.0948781818181817E-4</v>
      </c>
      <c r="O261" s="23" t="s">
        <v>3752</v>
      </c>
      <c r="P261" s="92" t="s">
        <v>632</v>
      </c>
      <c r="Q261" s="92" t="s">
        <v>633</v>
      </c>
      <c r="R261" s="372" t="str">
        <f t="shared" si="7"/>
        <v/>
      </c>
    </row>
    <row r="262" spans="1:18" x14ac:dyDescent="0.25">
      <c r="A262" s="23" t="s">
        <v>296</v>
      </c>
      <c r="B262" s="18" t="s">
        <v>10778</v>
      </c>
      <c r="C262" s="59" t="s">
        <v>409</v>
      </c>
      <c r="D262" s="356" t="s">
        <v>587</v>
      </c>
      <c r="E262" s="356" t="s">
        <v>401</v>
      </c>
      <c r="F262" s="23" t="s">
        <v>295</v>
      </c>
      <c r="G262" s="23" t="s">
        <v>417</v>
      </c>
      <c r="H262" s="353">
        <v>502683.95</v>
      </c>
      <c r="I262" s="59" t="s">
        <v>406</v>
      </c>
      <c r="J262" s="59" t="s">
        <v>10788</v>
      </c>
      <c r="K262" s="20"/>
      <c r="L262" s="20">
        <v>1</v>
      </c>
      <c r="M262" s="357">
        <f>H262</f>
        <v>502683.95</v>
      </c>
      <c r="N262" s="411">
        <f>IFERROR((M262/(VLOOKUP(B262,'Data Pull Sheet'!$C:$H,6,FALSE))),"DC")</f>
        <v>6.5283629870129868E-4</v>
      </c>
      <c r="O262" s="23" t="s">
        <v>8986</v>
      </c>
      <c r="P262" s="92" t="s">
        <v>632</v>
      </c>
      <c r="Q262" s="92" t="s">
        <v>633</v>
      </c>
      <c r="R262" s="372" t="str">
        <f t="shared" si="7"/>
        <v>FF</v>
      </c>
    </row>
    <row r="263" spans="1:18" x14ac:dyDescent="0.25">
      <c r="A263" s="23" t="s">
        <v>3841</v>
      </c>
      <c r="B263" s="18" t="str">
        <f>IF(ISNA(VLOOKUP($A263,'Data Pull Sheet'!$B$2:$C$1795,2,0)),"",(VLOOKUP($A263,'Data Pull Sheet'!$B$2:$C$1795,2,0)))</f>
        <v>TFCIX</v>
      </c>
      <c r="C263" s="59" t="s">
        <v>418</v>
      </c>
      <c r="D263" s="356" t="s">
        <v>587</v>
      </c>
      <c r="E263" s="356" t="s">
        <v>524</v>
      </c>
      <c r="F263" s="23" t="s">
        <v>3842</v>
      </c>
      <c r="G263" s="23" t="s">
        <v>403</v>
      </c>
      <c r="H263" s="353">
        <v>198000</v>
      </c>
      <c r="I263" s="59"/>
      <c r="J263" s="59" t="s">
        <v>11081</v>
      </c>
      <c r="K263" s="20">
        <v>5</v>
      </c>
      <c r="L263" s="20">
        <v>1</v>
      </c>
      <c r="M263" s="357">
        <f>H263</f>
        <v>198000</v>
      </c>
      <c r="N263" s="411">
        <f>IFERROR((M263/(VLOOKUP(B263,'Data Pull Sheet'!$C:$H,6,FALSE))),"DC")</f>
        <v>6.6E-4</v>
      </c>
      <c r="O263" s="23" t="s">
        <v>3843</v>
      </c>
      <c r="P263" s="92" t="s">
        <v>632</v>
      </c>
      <c r="Q263" s="92" t="s">
        <v>637</v>
      </c>
      <c r="R263" s="372" t="str">
        <f t="shared" si="7"/>
        <v/>
      </c>
    </row>
    <row r="264" spans="1:18" ht="30" x14ac:dyDescent="0.25">
      <c r="A264" s="23" t="s">
        <v>3841</v>
      </c>
      <c r="B264" s="18" t="str">
        <f>IF(ISNA(VLOOKUP($A264,'Data Pull Sheet'!$B$2:$C$1795,2,0)),"",(VLOOKUP($A264,'Data Pull Sheet'!$B$2:$C$1795,2,0)))</f>
        <v>TFCIX</v>
      </c>
      <c r="C264" s="59" t="s">
        <v>418</v>
      </c>
      <c r="D264" s="356" t="s">
        <v>587</v>
      </c>
      <c r="E264" s="356" t="s">
        <v>524</v>
      </c>
      <c r="F264" s="23" t="s">
        <v>3844</v>
      </c>
      <c r="G264" s="23" t="s">
        <v>403</v>
      </c>
      <c r="H264" s="353">
        <v>66096.5</v>
      </c>
      <c r="I264" s="59"/>
      <c r="J264" s="59" t="s">
        <v>11082</v>
      </c>
      <c r="K264" s="20"/>
      <c r="L264" s="20">
        <v>2</v>
      </c>
      <c r="M264" s="357">
        <f>SUM(H264:H265)</f>
        <v>135414.64000000001</v>
      </c>
      <c r="N264" s="411">
        <f>IFERROR((M264/(VLOOKUP(B264,'Data Pull Sheet'!$C:$H,6,FALSE))),"DC")</f>
        <v>4.5138213333333337E-4</v>
      </c>
      <c r="O264" s="23" t="s">
        <v>1691</v>
      </c>
      <c r="P264" s="92" t="s">
        <v>632</v>
      </c>
      <c r="Q264" s="92" t="s">
        <v>646</v>
      </c>
      <c r="R264" s="372" t="str">
        <f t="shared" si="7"/>
        <v/>
      </c>
    </row>
    <row r="265" spans="1:18" ht="30" x14ac:dyDescent="0.25">
      <c r="A265" s="23" t="s">
        <v>3841</v>
      </c>
      <c r="B265" s="18" t="str">
        <f>IF(ISNA(VLOOKUP($A265,'Data Pull Sheet'!$B$2:$C$1795,2,0)),"",(VLOOKUP($A265,'Data Pull Sheet'!$B$2:$C$1795,2,0)))</f>
        <v>TFCIX</v>
      </c>
      <c r="C265" s="59" t="s">
        <v>418</v>
      </c>
      <c r="D265" s="356" t="s">
        <v>587</v>
      </c>
      <c r="E265" s="356" t="s">
        <v>524</v>
      </c>
      <c r="F265" s="23" t="s">
        <v>3845</v>
      </c>
      <c r="G265" s="23" t="s">
        <v>403</v>
      </c>
      <c r="H265" s="353">
        <v>69318.14</v>
      </c>
      <c r="I265" s="59"/>
      <c r="J265" s="59" t="s">
        <v>11083</v>
      </c>
      <c r="K265" s="20"/>
      <c r="L265" s="20"/>
      <c r="M265" s="357"/>
      <c r="N265" s="411"/>
      <c r="O265" s="23" t="s">
        <v>1691</v>
      </c>
      <c r="P265" s="92" t="s">
        <v>632</v>
      </c>
      <c r="Q265" s="92" t="s">
        <v>646</v>
      </c>
      <c r="R265" s="372" t="str">
        <f t="shared" si="7"/>
        <v/>
      </c>
    </row>
    <row r="266" spans="1:18" x14ac:dyDescent="0.25">
      <c r="A266" s="23" t="s">
        <v>3841</v>
      </c>
      <c r="B266" s="18" t="str">
        <f>IF(ISNA(VLOOKUP($A266,'Data Pull Sheet'!$B$2:$C$1795,2,0)),"",(VLOOKUP($A266,'Data Pull Sheet'!$B$2:$C$1795,2,0)))</f>
        <v>TFCIX</v>
      </c>
      <c r="C266" s="59" t="s">
        <v>418</v>
      </c>
      <c r="D266" s="356" t="s">
        <v>587</v>
      </c>
      <c r="E266" s="356" t="s">
        <v>524</v>
      </c>
      <c r="F266" s="23" t="s">
        <v>3846</v>
      </c>
      <c r="G266" s="23" t="s">
        <v>403</v>
      </c>
      <c r="H266" s="353">
        <v>5968</v>
      </c>
      <c r="I266" s="59"/>
      <c r="J266" s="59" t="s">
        <v>11084</v>
      </c>
      <c r="K266" s="20"/>
      <c r="L266" s="20">
        <v>3</v>
      </c>
      <c r="M266" s="357">
        <f>SUM(H266:H268)</f>
        <v>26581</v>
      </c>
      <c r="N266" s="411">
        <f>IFERROR((M266/(VLOOKUP(B266,'Data Pull Sheet'!$C:$H,6,FALSE))),"DC")</f>
        <v>8.8603333333333339E-5</v>
      </c>
      <c r="O266" s="23" t="s">
        <v>79</v>
      </c>
      <c r="P266" s="92" t="s">
        <v>632</v>
      </c>
      <c r="Q266" s="92" t="s">
        <v>646</v>
      </c>
      <c r="R266" s="372" t="str">
        <f t="shared" si="7"/>
        <v/>
      </c>
    </row>
    <row r="267" spans="1:18" x14ac:dyDescent="0.25">
      <c r="A267" s="23" t="s">
        <v>3841</v>
      </c>
      <c r="B267" s="18" t="str">
        <f>IF(ISNA(VLOOKUP($A267,'Data Pull Sheet'!$B$2:$C$1795,2,0)),"",(VLOOKUP($A267,'Data Pull Sheet'!$B$2:$C$1795,2,0)))</f>
        <v>TFCIX</v>
      </c>
      <c r="C267" s="59" t="s">
        <v>418</v>
      </c>
      <c r="D267" s="356" t="s">
        <v>587</v>
      </c>
      <c r="E267" s="356" t="s">
        <v>524</v>
      </c>
      <c r="F267" s="23" t="s">
        <v>3847</v>
      </c>
      <c r="G267" s="23" t="s">
        <v>403</v>
      </c>
      <c r="H267" s="353">
        <v>7122</v>
      </c>
      <c r="I267" s="59"/>
      <c r="J267" s="59" t="s">
        <v>11085</v>
      </c>
      <c r="K267" s="20"/>
      <c r="L267" s="20"/>
      <c r="M267" s="357"/>
      <c r="N267" s="411"/>
      <c r="O267" s="23" t="s">
        <v>79</v>
      </c>
      <c r="P267" s="92" t="s">
        <v>632</v>
      </c>
      <c r="Q267" s="92" t="s">
        <v>646</v>
      </c>
      <c r="R267" s="372" t="str">
        <f t="shared" si="7"/>
        <v/>
      </c>
    </row>
    <row r="268" spans="1:18" x14ac:dyDescent="0.25">
      <c r="A268" s="23" t="s">
        <v>3841</v>
      </c>
      <c r="B268" s="18" t="str">
        <f>IF(ISNA(VLOOKUP($A268,'Data Pull Sheet'!$B$2:$C$1795,2,0)),"",(VLOOKUP($A268,'Data Pull Sheet'!$B$2:$C$1795,2,0)))</f>
        <v>TFCIX</v>
      </c>
      <c r="C268" s="59" t="s">
        <v>418</v>
      </c>
      <c r="D268" s="356" t="s">
        <v>587</v>
      </c>
      <c r="E268" s="356" t="s">
        <v>524</v>
      </c>
      <c r="F268" s="23" t="s">
        <v>3848</v>
      </c>
      <c r="G268" s="23" t="s">
        <v>403</v>
      </c>
      <c r="H268" s="353">
        <v>13491</v>
      </c>
      <c r="I268" s="59"/>
      <c r="J268" s="59" t="s">
        <v>11086</v>
      </c>
      <c r="K268" s="20"/>
      <c r="L268" s="20"/>
      <c r="M268" s="357"/>
      <c r="N268" s="411"/>
      <c r="O268" s="23" t="s">
        <v>79</v>
      </c>
      <c r="P268" s="92" t="s">
        <v>632</v>
      </c>
      <c r="Q268" s="92" t="s">
        <v>646</v>
      </c>
      <c r="R268" s="372" t="str">
        <f t="shared" si="7"/>
        <v/>
      </c>
    </row>
    <row r="269" spans="1:18" ht="30" x14ac:dyDescent="0.25">
      <c r="A269" s="23" t="s">
        <v>3841</v>
      </c>
      <c r="B269" s="18" t="str">
        <f>IF(ISNA(VLOOKUP($A269,'Data Pull Sheet'!$B$2:$C$1795,2,0)),"",(VLOOKUP($A269,'Data Pull Sheet'!$B$2:$C$1795,2,0)))</f>
        <v>TFCIX</v>
      </c>
      <c r="C269" s="59" t="s">
        <v>418</v>
      </c>
      <c r="D269" s="356" t="s">
        <v>587</v>
      </c>
      <c r="E269" s="356" t="s">
        <v>524</v>
      </c>
      <c r="F269" s="23" t="s">
        <v>3849</v>
      </c>
      <c r="G269" s="23" t="s">
        <v>417</v>
      </c>
      <c r="H269" s="353">
        <v>1306744.52</v>
      </c>
      <c r="I269" s="59"/>
      <c r="J269" s="59" t="s">
        <v>11087</v>
      </c>
      <c r="K269" s="20"/>
      <c r="L269" s="20">
        <v>1</v>
      </c>
      <c r="M269" s="357">
        <f>H269</f>
        <v>1306744.52</v>
      </c>
      <c r="N269" s="411">
        <f>IFERROR((M269/(VLOOKUP(B269,'Data Pull Sheet'!$C:$H,6,FALSE))),"DC")</f>
        <v>4.3558150666666668E-3</v>
      </c>
      <c r="O269" s="23" t="s">
        <v>3850</v>
      </c>
      <c r="P269" s="92" t="s">
        <v>632</v>
      </c>
      <c r="Q269" s="92" t="s">
        <v>633</v>
      </c>
      <c r="R269" s="372" t="str">
        <f t="shared" si="7"/>
        <v/>
      </c>
    </row>
    <row r="270" spans="1:18" x14ac:dyDescent="0.25">
      <c r="A270" s="23" t="s">
        <v>3841</v>
      </c>
      <c r="B270" s="18" t="str">
        <f>IF(ISNA(VLOOKUP($A270,'Data Pull Sheet'!$B$2:$C$1795,2,0)),"",(VLOOKUP($A270,'Data Pull Sheet'!$B$2:$C$1795,2,0)))</f>
        <v>TFCIX</v>
      </c>
      <c r="C270" s="59" t="s">
        <v>418</v>
      </c>
      <c r="D270" s="356" t="s">
        <v>587</v>
      </c>
      <c r="E270" s="356" t="s">
        <v>524</v>
      </c>
      <c r="F270" s="23" t="s">
        <v>3851</v>
      </c>
      <c r="G270" s="23" t="s">
        <v>403</v>
      </c>
      <c r="H270" s="353">
        <v>3383.28</v>
      </c>
      <c r="I270" s="59"/>
      <c r="J270" s="59" t="s">
        <v>11088</v>
      </c>
      <c r="K270" s="20"/>
      <c r="L270" s="20">
        <v>4</v>
      </c>
      <c r="M270" s="357">
        <f>SUM(H270:H273)</f>
        <v>140287.54</v>
      </c>
      <c r="N270" s="411">
        <f>IFERROR((M270/(VLOOKUP(B270,'Data Pull Sheet'!$C:$H,6,FALSE))),"DC")</f>
        <v>4.6762513333333336E-4</v>
      </c>
      <c r="O270" s="23" t="s">
        <v>682</v>
      </c>
      <c r="P270" s="92" t="s">
        <v>632</v>
      </c>
      <c r="Q270" s="92" t="s">
        <v>646</v>
      </c>
      <c r="R270" s="372" t="str">
        <f t="shared" si="7"/>
        <v/>
      </c>
    </row>
    <row r="271" spans="1:18" x14ac:dyDescent="0.25">
      <c r="A271" s="23" t="s">
        <v>3841</v>
      </c>
      <c r="B271" s="18" t="str">
        <f>IF(ISNA(VLOOKUP($A271,'Data Pull Sheet'!$B$2:$C$1795,2,0)),"",(VLOOKUP($A271,'Data Pull Sheet'!$B$2:$C$1795,2,0)))</f>
        <v>TFCIX</v>
      </c>
      <c r="C271" s="59" t="s">
        <v>418</v>
      </c>
      <c r="D271" s="356" t="s">
        <v>587</v>
      </c>
      <c r="E271" s="356" t="s">
        <v>524</v>
      </c>
      <c r="F271" s="23" t="s">
        <v>3852</v>
      </c>
      <c r="G271" s="23" t="s">
        <v>403</v>
      </c>
      <c r="H271" s="353">
        <v>20740.18</v>
      </c>
      <c r="I271" s="59"/>
      <c r="J271" s="59" t="s">
        <v>11089</v>
      </c>
      <c r="K271" s="20"/>
      <c r="L271" s="20"/>
      <c r="M271" s="357"/>
      <c r="N271" s="411"/>
      <c r="O271" s="23" t="s">
        <v>682</v>
      </c>
      <c r="P271" s="92" t="s">
        <v>632</v>
      </c>
      <c r="Q271" s="92" t="s">
        <v>646</v>
      </c>
      <c r="R271" s="372" t="str">
        <f t="shared" si="7"/>
        <v/>
      </c>
    </row>
    <row r="272" spans="1:18" x14ac:dyDescent="0.25">
      <c r="A272" s="23" t="s">
        <v>3841</v>
      </c>
      <c r="B272" s="18" t="str">
        <f>IF(ISNA(VLOOKUP($A272,'Data Pull Sheet'!$B$2:$C$1795,2,0)),"",(VLOOKUP($A272,'Data Pull Sheet'!$B$2:$C$1795,2,0)))</f>
        <v>TFCIX</v>
      </c>
      <c r="C272" s="59" t="s">
        <v>418</v>
      </c>
      <c r="D272" s="356" t="s">
        <v>587</v>
      </c>
      <c r="E272" s="356" t="s">
        <v>524</v>
      </c>
      <c r="F272" s="23" t="s">
        <v>3853</v>
      </c>
      <c r="G272" s="23" t="s">
        <v>403</v>
      </c>
      <c r="H272" s="353">
        <v>55373.61</v>
      </c>
      <c r="I272" s="59"/>
      <c r="J272" s="59" t="s">
        <v>11090</v>
      </c>
      <c r="K272" s="20"/>
      <c r="L272" s="20"/>
      <c r="M272" s="357"/>
      <c r="N272" s="411"/>
      <c r="O272" s="23" t="s">
        <v>682</v>
      </c>
      <c r="P272" s="92" t="s">
        <v>632</v>
      </c>
      <c r="Q272" s="92" t="s">
        <v>646</v>
      </c>
      <c r="R272" s="372" t="str">
        <f t="shared" si="7"/>
        <v/>
      </c>
    </row>
    <row r="273" spans="1:18" x14ac:dyDescent="0.25">
      <c r="A273" s="23" t="s">
        <v>3841</v>
      </c>
      <c r="B273" s="18" t="str">
        <f>IF(ISNA(VLOOKUP($A273,'Data Pull Sheet'!$B$2:$C$1795,2,0)),"",(VLOOKUP($A273,'Data Pull Sheet'!$B$2:$C$1795,2,0)))</f>
        <v>TFCIX</v>
      </c>
      <c r="C273" s="59" t="s">
        <v>418</v>
      </c>
      <c r="D273" s="356" t="s">
        <v>587</v>
      </c>
      <c r="E273" s="356" t="s">
        <v>524</v>
      </c>
      <c r="F273" s="23" t="s">
        <v>3854</v>
      </c>
      <c r="G273" s="23" t="s">
        <v>403</v>
      </c>
      <c r="H273" s="353">
        <v>60790.47</v>
      </c>
      <c r="I273" s="59"/>
      <c r="J273" s="59" t="s">
        <v>11091</v>
      </c>
      <c r="K273" s="20"/>
      <c r="L273" s="20"/>
      <c r="M273" s="357"/>
      <c r="N273" s="411"/>
      <c r="O273" s="23" t="s">
        <v>682</v>
      </c>
      <c r="P273" s="92" t="s">
        <v>632</v>
      </c>
      <c r="Q273" s="92" t="s">
        <v>646</v>
      </c>
      <c r="R273" s="372" t="str">
        <f t="shared" si="7"/>
        <v/>
      </c>
    </row>
    <row r="274" spans="1:18" ht="30" x14ac:dyDescent="0.25">
      <c r="A274" s="23" t="s">
        <v>1361</v>
      </c>
      <c r="B274" s="18" t="str">
        <f>IF(ISNA(VLOOKUP($A274,'Data Pull Sheet'!$B$2:$C$1795,2,0)),"",(VLOOKUP($A274,'Data Pull Sheet'!$B$2:$C$1795,2,0)))</f>
        <v>CI</v>
      </c>
      <c r="C274" s="59" t="s">
        <v>511</v>
      </c>
      <c r="D274" s="356" t="s">
        <v>1362</v>
      </c>
      <c r="E274" s="356" t="s">
        <v>1363</v>
      </c>
      <c r="F274" s="23" t="s">
        <v>1364</v>
      </c>
      <c r="G274" s="23" t="s">
        <v>403</v>
      </c>
      <c r="H274" s="353">
        <v>255988.21</v>
      </c>
      <c r="I274" s="59" t="s">
        <v>406</v>
      </c>
      <c r="J274" s="59" t="s">
        <v>1365</v>
      </c>
      <c r="K274" s="20">
        <v>2</v>
      </c>
      <c r="L274" s="20">
        <v>1</v>
      </c>
      <c r="M274" s="357">
        <f>H274</f>
        <v>255988.21</v>
      </c>
      <c r="N274" s="411">
        <f>IFERROR((M274/(VLOOKUP(B274,'Data Pull Sheet'!$C:$H,6,FALSE))),"DC")</f>
        <v>5.1197641999999998E-4</v>
      </c>
      <c r="O274" s="23" t="s">
        <v>1366</v>
      </c>
      <c r="P274" s="92" t="s">
        <v>632</v>
      </c>
      <c r="Q274" s="92" t="s">
        <v>637</v>
      </c>
      <c r="R274" s="372" t="str">
        <f t="shared" si="7"/>
        <v/>
      </c>
    </row>
    <row r="275" spans="1:18" x14ac:dyDescent="0.25">
      <c r="A275" s="23" t="s">
        <v>1361</v>
      </c>
      <c r="B275" s="18" t="str">
        <f>IF(ISNA(VLOOKUP($A275,'Data Pull Sheet'!$B$2:$C$1795,2,0)),"",(VLOOKUP($A275,'Data Pull Sheet'!$B$2:$C$1795,2,0)))</f>
        <v>CI</v>
      </c>
      <c r="C275" s="59" t="s">
        <v>511</v>
      </c>
      <c r="D275" s="356" t="s">
        <v>1362</v>
      </c>
      <c r="E275" s="356" t="s">
        <v>1363</v>
      </c>
      <c r="F275" s="23" t="s">
        <v>1367</v>
      </c>
      <c r="G275" s="23" t="s">
        <v>403</v>
      </c>
      <c r="H275" s="353">
        <v>21199</v>
      </c>
      <c r="I275" s="59"/>
      <c r="J275" s="59" t="s">
        <v>1368</v>
      </c>
      <c r="K275" s="20"/>
      <c r="L275" s="20">
        <v>2</v>
      </c>
      <c r="M275" s="357">
        <f>SUM(H275:H276)</f>
        <v>73647</v>
      </c>
      <c r="N275" s="411">
        <f>IFERROR((M275/(VLOOKUP(B275,'Data Pull Sheet'!$C:$H,6,FALSE))),"DC")</f>
        <v>1.4729399999999999E-4</v>
      </c>
      <c r="O275" s="23" t="s">
        <v>79</v>
      </c>
      <c r="P275" s="92" t="s">
        <v>632</v>
      </c>
      <c r="Q275" s="92" t="s">
        <v>646</v>
      </c>
      <c r="R275" s="372" t="str">
        <f t="shared" si="7"/>
        <v/>
      </c>
    </row>
    <row r="276" spans="1:18" x14ac:dyDescent="0.25">
      <c r="A276" s="23" t="s">
        <v>1361</v>
      </c>
      <c r="B276" s="18" t="str">
        <f>IF(ISNA(VLOOKUP($A276,'Data Pull Sheet'!$B$2:$C$1795,2,0)),"",(VLOOKUP($A276,'Data Pull Sheet'!$B$2:$C$1795,2,0)))</f>
        <v>CI</v>
      </c>
      <c r="C276" s="59" t="s">
        <v>511</v>
      </c>
      <c r="D276" s="356" t="s">
        <v>1362</v>
      </c>
      <c r="E276" s="356" t="s">
        <v>1363</v>
      </c>
      <c r="F276" s="23" t="s">
        <v>1369</v>
      </c>
      <c r="G276" s="23" t="s">
        <v>403</v>
      </c>
      <c r="H276" s="353">
        <v>52448</v>
      </c>
      <c r="I276" s="59"/>
      <c r="J276" s="59" t="s">
        <v>1370</v>
      </c>
      <c r="K276" s="20"/>
      <c r="L276" s="20"/>
      <c r="M276" s="357"/>
      <c r="N276" s="411"/>
      <c r="O276" s="23" t="s">
        <v>79</v>
      </c>
      <c r="P276" s="92" t="s">
        <v>632</v>
      </c>
      <c r="Q276" s="92" t="s">
        <v>646</v>
      </c>
      <c r="R276" s="372" t="str">
        <f t="shared" si="7"/>
        <v/>
      </c>
    </row>
    <row r="277" spans="1:18" x14ac:dyDescent="0.25">
      <c r="A277" s="23" t="s">
        <v>2320</v>
      </c>
      <c r="B277" s="18" t="str">
        <f>IF(ISNA(VLOOKUP($A277,'Data Pull Sheet'!$B$2:$C$1795,2,0)),"",(VLOOKUP($A277,'Data Pull Sheet'!$B$2:$C$1795,2,0)))</f>
        <v>IMPR</v>
      </c>
      <c r="C277" s="59" t="s">
        <v>409</v>
      </c>
      <c r="D277" s="356" t="s">
        <v>2321</v>
      </c>
      <c r="E277" s="356" t="s">
        <v>1363</v>
      </c>
      <c r="F277" s="23" t="s">
        <v>2322</v>
      </c>
      <c r="G277" s="23" t="s">
        <v>403</v>
      </c>
      <c r="H277" s="353">
        <v>6424</v>
      </c>
      <c r="I277" s="59"/>
      <c r="J277" s="59" t="s">
        <v>2323</v>
      </c>
      <c r="K277" s="20">
        <v>2</v>
      </c>
      <c r="L277" s="20">
        <v>1</v>
      </c>
      <c r="M277" s="357">
        <f t="shared" ref="M277:M282" si="8">H277</f>
        <v>6424</v>
      </c>
      <c r="N277" s="411">
        <f>IFERROR((M277/(VLOOKUP(B277,'Data Pull Sheet'!$C:$H,6,FALSE))),"DC")</f>
        <v>1.0706666666666666E-4</v>
      </c>
      <c r="O277" s="23" t="s">
        <v>63</v>
      </c>
      <c r="P277" s="92" t="s">
        <v>632</v>
      </c>
      <c r="Q277" s="92" t="s">
        <v>637</v>
      </c>
      <c r="R277" s="372" t="str">
        <f t="shared" si="7"/>
        <v/>
      </c>
    </row>
    <row r="278" spans="1:18" x14ac:dyDescent="0.25">
      <c r="A278" s="23" t="s">
        <v>2320</v>
      </c>
      <c r="B278" s="18" t="str">
        <f>IF(ISNA(VLOOKUP($A278,'Data Pull Sheet'!$B$2:$C$1795,2,0)),"",(VLOOKUP($A278,'Data Pull Sheet'!$B$2:$C$1795,2,0)))</f>
        <v>IMPR</v>
      </c>
      <c r="C278" s="59" t="s">
        <v>409</v>
      </c>
      <c r="D278" s="356" t="s">
        <v>2321</v>
      </c>
      <c r="E278" s="356" t="s">
        <v>1363</v>
      </c>
      <c r="F278" s="23" t="s">
        <v>2324</v>
      </c>
      <c r="G278" s="23" t="s">
        <v>403</v>
      </c>
      <c r="H278" s="353">
        <v>41573.86</v>
      </c>
      <c r="I278" s="59"/>
      <c r="J278" s="59" t="s">
        <v>2325</v>
      </c>
      <c r="K278" s="20"/>
      <c r="L278" s="20">
        <v>1</v>
      </c>
      <c r="M278" s="357">
        <f t="shared" si="8"/>
        <v>41573.86</v>
      </c>
      <c r="N278" s="411">
        <f>IFERROR((M278/(VLOOKUP(B278,'Data Pull Sheet'!$C:$H,6,FALSE))),"DC")</f>
        <v>6.9289766666666669E-4</v>
      </c>
      <c r="O278" s="23" t="s">
        <v>2326</v>
      </c>
      <c r="P278" s="92" t="s">
        <v>632</v>
      </c>
      <c r="Q278" s="92" t="s">
        <v>637</v>
      </c>
      <c r="R278" s="372" t="str">
        <f t="shared" si="7"/>
        <v/>
      </c>
    </row>
    <row r="279" spans="1:18" ht="30" x14ac:dyDescent="0.25">
      <c r="A279" s="23" t="s">
        <v>2370</v>
      </c>
      <c r="B279" s="18" t="s">
        <v>10737</v>
      </c>
      <c r="C279" s="59" t="s">
        <v>399</v>
      </c>
      <c r="D279" s="356" t="s">
        <v>2321</v>
      </c>
      <c r="E279" s="356" t="s">
        <v>1363</v>
      </c>
      <c r="F279" s="23" t="s">
        <v>2371</v>
      </c>
      <c r="G279" s="23" t="s">
        <v>403</v>
      </c>
      <c r="H279" s="353">
        <v>64511.17</v>
      </c>
      <c r="I279" s="59" t="s">
        <v>442</v>
      </c>
      <c r="J279" s="59" t="s">
        <v>10739</v>
      </c>
      <c r="K279" s="20">
        <v>3</v>
      </c>
      <c r="L279" s="20">
        <v>1</v>
      </c>
      <c r="M279" s="357">
        <f t="shared" si="8"/>
        <v>64511.17</v>
      </c>
      <c r="N279" s="411">
        <f>IFERROR((M279/(VLOOKUP(B279,'Data Pull Sheet'!$C:$H,6,FALSE))),"DC")</f>
        <v>8.0638962499999991E-3</v>
      </c>
      <c r="O279" s="23" t="s">
        <v>10814</v>
      </c>
      <c r="P279" s="92" t="s">
        <v>632</v>
      </c>
      <c r="Q279" s="92" t="s">
        <v>637</v>
      </c>
      <c r="R279" s="372" t="str">
        <f t="shared" si="7"/>
        <v/>
      </c>
    </row>
    <row r="280" spans="1:18" x14ac:dyDescent="0.25">
      <c r="A280" s="23" t="s">
        <v>2370</v>
      </c>
      <c r="B280" s="18" t="s">
        <v>10737</v>
      </c>
      <c r="C280" s="59" t="s">
        <v>399</v>
      </c>
      <c r="D280" s="356" t="s">
        <v>2321</v>
      </c>
      <c r="E280" s="356" t="s">
        <v>1363</v>
      </c>
      <c r="F280" s="23" t="s">
        <v>2373</v>
      </c>
      <c r="G280" s="23" t="s">
        <v>403</v>
      </c>
      <c r="H280" s="353">
        <v>12589.39</v>
      </c>
      <c r="I280" s="59"/>
      <c r="J280" s="59" t="s">
        <v>10740</v>
      </c>
      <c r="K280" s="20"/>
      <c r="L280" s="20">
        <v>1</v>
      </c>
      <c r="M280" s="357">
        <f t="shared" si="8"/>
        <v>12589.39</v>
      </c>
      <c r="N280" s="411">
        <f>IFERROR((M280/(VLOOKUP(B280,'Data Pull Sheet'!$C:$H,6,FALSE))),"DC")</f>
        <v>1.5736737499999999E-3</v>
      </c>
      <c r="O280" s="23" t="s">
        <v>1975</v>
      </c>
      <c r="P280" s="92" t="s">
        <v>632</v>
      </c>
      <c r="Q280" s="92" t="s">
        <v>637</v>
      </c>
      <c r="R280" s="372" t="str">
        <f t="shared" si="7"/>
        <v/>
      </c>
    </row>
    <row r="281" spans="1:18" x14ac:dyDescent="0.25">
      <c r="A281" s="23" t="s">
        <v>2370</v>
      </c>
      <c r="B281" s="18" t="s">
        <v>10737</v>
      </c>
      <c r="C281" s="59" t="s">
        <v>399</v>
      </c>
      <c r="D281" s="356" t="s">
        <v>2321</v>
      </c>
      <c r="E281" s="356" t="s">
        <v>1363</v>
      </c>
      <c r="F281" s="23" t="s">
        <v>2374</v>
      </c>
      <c r="G281" s="23" t="s">
        <v>403</v>
      </c>
      <c r="H281" s="353">
        <v>19681.75</v>
      </c>
      <c r="I281" s="59"/>
      <c r="J281" s="59" t="s">
        <v>10741</v>
      </c>
      <c r="K281" s="20"/>
      <c r="L281" s="20">
        <v>1</v>
      </c>
      <c r="M281" s="357">
        <f t="shared" si="8"/>
        <v>19681.75</v>
      </c>
      <c r="N281" s="411">
        <f>IFERROR((M281/(VLOOKUP(B281,'Data Pull Sheet'!$C:$H,6,FALSE))),"DC")</f>
        <v>2.4602187500000002E-3</v>
      </c>
      <c r="O281" s="23" t="s">
        <v>2375</v>
      </c>
      <c r="P281" s="92" t="s">
        <v>632</v>
      </c>
      <c r="Q281" s="92" t="s">
        <v>637</v>
      </c>
      <c r="R281" s="372" t="str">
        <f t="shared" si="7"/>
        <v/>
      </c>
    </row>
    <row r="282" spans="1:18" x14ac:dyDescent="0.25">
      <c r="A282" s="23" t="s">
        <v>679</v>
      </c>
      <c r="B282" s="18" t="str">
        <f>IF(ISNA(VLOOKUP($A282,'Data Pull Sheet'!$B$2:$C$1795,2,0)),"",(VLOOKUP($A282,'Data Pull Sheet'!$B$2:$C$1795,2,0)))</f>
        <v>AJRD</v>
      </c>
      <c r="C282" s="59" t="s">
        <v>446</v>
      </c>
      <c r="D282" s="356" t="s">
        <v>438</v>
      </c>
      <c r="E282" s="356" t="s">
        <v>439</v>
      </c>
      <c r="F282" s="23" t="s">
        <v>680</v>
      </c>
      <c r="G282" s="23" t="s">
        <v>403</v>
      </c>
      <c r="H282" s="353">
        <v>72.72</v>
      </c>
      <c r="I282" s="59"/>
      <c r="J282" s="59" t="s">
        <v>681</v>
      </c>
      <c r="K282" s="20">
        <v>1</v>
      </c>
      <c r="L282" s="20">
        <v>1</v>
      </c>
      <c r="M282" s="357">
        <f t="shared" si="8"/>
        <v>72.72</v>
      </c>
      <c r="N282" s="411">
        <f>IFERROR((M282/(VLOOKUP(B282,'Data Pull Sheet'!$C:$H,6,FALSE))),"DC")</f>
        <v>3.4628571428571428E-6</v>
      </c>
      <c r="O282" s="23" t="s">
        <v>682</v>
      </c>
      <c r="P282" s="92" t="s">
        <v>676</v>
      </c>
      <c r="Q282" s="92" t="s">
        <v>637</v>
      </c>
      <c r="R282" s="372" t="str">
        <f t="shared" si="7"/>
        <v/>
      </c>
    </row>
    <row r="283" spans="1:18" x14ac:dyDescent="0.25">
      <c r="A283" s="23" t="s">
        <v>86</v>
      </c>
      <c r="B283" s="18" t="str">
        <f>IF(ISNA(VLOOKUP($A283,'Data Pull Sheet'!$B$2:$C$1795,2,0)),"",(VLOOKUP($A283,'Data Pull Sheet'!$B$2:$C$1795,2,0)))</f>
        <v>CTIC</v>
      </c>
      <c r="C283" s="59" t="s">
        <v>480</v>
      </c>
      <c r="D283" s="356" t="s">
        <v>481</v>
      </c>
      <c r="E283" s="356" t="s">
        <v>439</v>
      </c>
      <c r="F283" s="23" t="s">
        <v>148</v>
      </c>
      <c r="G283" s="23" t="s">
        <v>417</v>
      </c>
      <c r="H283" s="353">
        <v>560622.32999999996</v>
      </c>
      <c r="I283" s="59"/>
      <c r="J283" s="59" t="s">
        <v>1554</v>
      </c>
      <c r="K283" s="20">
        <v>6</v>
      </c>
      <c r="L283" s="20">
        <v>2</v>
      </c>
      <c r="M283" s="357">
        <f>SUM(H283:H284)</f>
        <v>1391359.7</v>
      </c>
      <c r="N283" s="411">
        <f>IFERROR((M283/(VLOOKUP(B283,'Data Pull Sheet'!$C:$H,6,FALSE))),"DC")</f>
        <v>1.8551462666666668E-2</v>
      </c>
      <c r="O283" s="23" t="s">
        <v>1</v>
      </c>
      <c r="P283" s="92" t="s">
        <v>632</v>
      </c>
      <c r="Q283" s="92" t="s">
        <v>640</v>
      </c>
      <c r="R283" s="372" t="str">
        <f t="shared" si="7"/>
        <v/>
      </c>
    </row>
    <row r="284" spans="1:18" x14ac:dyDescent="0.25">
      <c r="A284" s="23" t="s">
        <v>86</v>
      </c>
      <c r="B284" s="18" t="str">
        <f>IF(ISNA(VLOOKUP($A284,'Data Pull Sheet'!$B$2:$C$1795,2,0)),"",(VLOOKUP($A284,'Data Pull Sheet'!$B$2:$C$1795,2,0)))</f>
        <v>CTIC</v>
      </c>
      <c r="C284" s="59" t="s">
        <v>480</v>
      </c>
      <c r="D284" s="356" t="s">
        <v>481</v>
      </c>
      <c r="E284" s="356" t="s">
        <v>439</v>
      </c>
      <c r="F284" s="23" t="s">
        <v>150</v>
      </c>
      <c r="G284" s="23" t="s">
        <v>417</v>
      </c>
      <c r="H284" s="353">
        <v>830737.37</v>
      </c>
      <c r="I284" s="59"/>
      <c r="J284" s="59" t="s">
        <v>1555</v>
      </c>
      <c r="K284" s="20"/>
      <c r="L284" s="20"/>
      <c r="M284" s="357"/>
      <c r="N284" s="411"/>
      <c r="O284" s="23" t="s">
        <v>1</v>
      </c>
      <c r="P284" s="92" t="s">
        <v>632</v>
      </c>
      <c r="Q284" s="92" t="s">
        <v>640</v>
      </c>
      <c r="R284" s="372" t="str">
        <f t="shared" si="7"/>
        <v/>
      </c>
    </row>
    <row r="285" spans="1:18" ht="30" x14ac:dyDescent="0.25">
      <c r="A285" s="23" t="s">
        <v>86</v>
      </c>
      <c r="B285" s="18" t="str">
        <f>IF(ISNA(VLOOKUP($A285,'Data Pull Sheet'!$B$2:$C$1795,2,0)),"",(VLOOKUP($A285,'Data Pull Sheet'!$B$2:$C$1795,2,0)))</f>
        <v>CTIC</v>
      </c>
      <c r="C285" s="59" t="s">
        <v>480</v>
      </c>
      <c r="D285" s="356" t="s">
        <v>481</v>
      </c>
      <c r="E285" s="356" t="s">
        <v>439</v>
      </c>
      <c r="F285" s="23" t="s">
        <v>1556</v>
      </c>
      <c r="G285" s="23" t="s">
        <v>417</v>
      </c>
      <c r="H285" s="353">
        <v>1078041.5</v>
      </c>
      <c r="I285" s="59"/>
      <c r="J285" s="59" t="s">
        <v>1557</v>
      </c>
      <c r="K285" s="20"/>
      <c r="L285" s="20">
        <v>1</v>
      </c>
      <c r="M285" s="357">
        <f>H285</f>
        <v>1078041.5</v>
      </c>
      <c r="N285" s="411">
        <f>IFERROR((M285/(VLOOKUP(B285,'Data Pull Sheet'!$C:$H,6,FALSE))),"DC")</f>
        <v>1.4373886666666667E-2</v>
      </c>
      <c r="O285" s="23" t="s">
        <v>1558</v>
      </c>
      <c r="P285" s="92" t="s">
        <v>632</v>
      </c>
      <c r="Q285" s="92" t="s">
        <v>633</v>
      </c>
      <c r="R285" s="372" t="str">
        <f t="shared" si="7"/>
        <v/>
      </c>
    </row>
    <row r="286" spans="1:18" x14ac:dyDescent="0.25">
      <c r="A286" s="23" t="s">
        <v>86</v>
      </c>
      <c r="B286" s="18" t="str">
        <f>IF(ISNA(VLOOKUP($A286,'Data Pull Sheet'!$B$2:$C$1795,2,0)),"",(VLOOKUP($A286,'Data Pull Sheet'!$B$2:$C$1795,2,0)))</f>
        <v>CTIC</v>
      </c>
      <c r="C286" s="59" t="s">
        <v>480</v>
      </c>
      <c r="D286" s="356" t="s">
        <v>481</v>
      </c>
      <c r="E286" s="356" t="s">
        <v>439</v>
      </c>
      <c r="F286" s="23" t="s">
        <v>1559</v>
      </c>
      <c r="G286" s="23" t="s">
        <v>403</v>
      </c>
      <c r="H286" s="353">
        <v>2194.87</v>
      </c>
      <c r="I286" s="59"/>
      <c r="J286" s="59" t="s">
        <v>1560</v>
      </c>
      <c r="K286" s="20"/>
      <c r="L286" s="20">
        <v>2</v>
      </c>
      <c r="M286" s="357">
        <f>SUM(H286:H287)</f>
        <v>38267.160000000003</v>
      </c>
      <c r="N286" s="411">
        <f>IFERROR((M286/(VLOOKUP(B286,'Data Pull Sheet'!$C:$H,6,FALSE))),"DC")</f>
        <v>5.102288E-4</v>
      </c>
      <c r="O286" s="23" t="s">
        <v>1561</v>
      </c>
      <c r="P286" s="92" t="s">
        <v>632</v>
      </c>
      <c r="Q286" s="92" t="s">
        <v>646</v>
      </c>
      <c r="R286" s="372" t="str">
        <f t="shared" si="7"/>
        <v/>
      </c>
    </row>
    <row r="287" spans="1:18" x14ac:dyDescent="0.25">
      <c r="A287" s="23" t="s">
        <v>86</v>
      </c>
      <c r="B287" s="18" t="str">
        <f>IF(ISNA(VLOOKUP($A287,'Data Pull Sheet'!$B$2:$C$1795,2,0)),"",(VLOOKUP($A287,'Data Pull Sheet'!$B$2:$C$1795,2,0)))</f>
        <v>CTIC</v>
      </c>
      <c r="C287" s="59" t="s">
        <v>480</v>
      </c>
      <c r="D287" s="356" t="s">
        <v>481</v>
      </c>
      <c r="E287" s="356" t="s">
        <v>439</v>
      </c>
      <c r="F287" s="23" t="s">
        <v>1562</v>
      </c>
      <c r="G287" s="23" t="s">
        <v>403</v>
      </c>
      <c r="H287" s="353">
        <v>36072.29</v>
      </c>
      <c r="I287" s="59"/>
      <c r="J287" s="59" t="s">
        <v>1563</v>
      </c>
      <c r="K287" s="20"/>
      <c r="L287" s="20"/>
      <c r="M287" s="357"/>
      <c r="N287" s="411"/>
      <c r="O287" s="23" t="s">
        <v>1561</v>
      </c>
      <c r="P287" s="92" t="s">
        <v>632</v>
      </c>
      <c r="Q287" s="92" t="s">
        <v>646</v>
      </c>
      <c r="R287" s="372" t="str">
        <f t="shared" si="7"/>
        <v/>
      </c>
    </row>
    <row r="288" spans="1:18" ht="30" x14ac:dyDescent="0.25">
      <c r="A288" s="23" t="s">
        <v>86</v>
      </c>
      <c r="B288" s="18" t="str">
        <f>IF(ISNA(VLOOKUP($A288,'Data Pull Sheet'!$B$2:$C$1795,2,0)),"",(VLOOKUP($A288,'Data Pull Sheet'!$B$2:$C$1795,2,0)))</f>
        <v>CTIC</v>
      </c>
      <c r="C288" s="59" t="s">
        <v>480</v>
      </c>
      <c r="D288" s="356" t="s">
        <v>481</v>
      </c>
      <c r="E288" s="356" t="s">
        <v>439</v>
      </c>
      <c r="F288" s="23" t="s">
        <v>1564</v>
      </c>
      <c r="G288" s="23" t="s">
        <v>403</v>
      </c>
      <c r="H288" s="353">
        <v>43882.22</v>
      </c>
      <c r="I288" s="59"/>
      <c r="J288" s="59" t="s">
        <v>1565</v>
      </c>
      <c r="K288" s="20"/>
      <c r="L288" s="20">
        <v>4</v>
      </c>
      <c r="M288" s="357">
        <f>SUM(H288:H291)</f>
        <v>346617.4</v>
      </c>
      <c r="N288" s="411">
        <f>IFERROR((M288/(VLOOKUP(B288,'Data Pull Sheet'!$C:$H,6,FALSE))),"DC")</f>
        <v>4.6215653333333334E-3</v>
      </c>
      <c r="O288" s="23" t="s">
        <v>1566</v>
      </c>
      <c r="P288" s="92" t="s">
        <v>632</v>
      </c>
      <c r="Q288" s="92" t="s">
        <v>646</v>
      </c>
      <c r="R288" s="372" t="str">
        <f t="shared" si="7"/>
        <v/>
      </c>
    </row>
    <row r="289" spans="1:18" ht="30" x14ac:dyDescent="0.25">
      <c r="A289" s="23" t="s">
        <v>86</v>
      </c>
      <c r="B289" s="18" t="str">
        <f>IF(ISNA(VLOOKUP($A289,'Data Pull Sheet'!$B$2:$C$1795,2,0)),"",(VLOOKUP($A289,'Data Pull Sheet'!$B$2:$C$1795,2,0)))</f>
        <v>CTIC</v>
      </c>
      <c r="C289" s="59" t="s">
        <v>480</v>
      </c>
      <c r="D289" s="356" t="s">
        <v>481</v>
      </c>
      <c r="E289" s="356" t="s">
        <v>439</v>
      </c>
      <c r="F289" s="23" t="s">
        <v>1567</v>
      </c>
      <c r="G289" s="23" t="s">
        <v>403</v>
      </c>
      <c r="H289" s="353">
        <v>68684.800000000003</v>
      </c>
      <c r="I289" s="59"/>
      <c r="J289" s="59" t="s">
        <v>1568</v>
      </c>
      <c r="K289" s="20"/>
      <c r="L289" s="20"/>
      <c r="M289" s="357"/>
      <c r="N289" s="411"/>
      <c r="O289" s="23" t="s">
        <v>1566</v>
      </c>
      <c r="P289" s="92" t="s">
        <v>632</v>
      </c>
      <c r="Q289" s="92" t="s">
        <v>646</v>
      </c>
      <c r="R289" s="372" t="str">
        <f t="shared" si="7"/>
        <v/>
      </c>
    </row>
    <row r="290" spans="1:18" ht="30" x14ac:dyDescent="0.25">
      <c r="A290" s="23" t="s">
        <v>86</v>
      </c>
      <c r="B290" s="18" t="str">
        <f>IF(ISNA(VLOOKUP($A290,'Data Pull Sheet'!$B$2:$C$1795,2,0)),"",(VLOOKUP($A290,'Data Pull Sheet'!$B$2:$C$1795,2,0)))</f>
        <v>CTIC</v>
      </c>
      <c r="C290" s="59" t="s">
        <v>480</v>
      </c>
      <c r="D290" s="356" t="s">
        <v>481</v>
      </c>
      <c r="E290" s="356" t="s">
        <v>439</v>
      </c>
      <c r="F290" s="23" t="s">
        <v>1569</v>
      </c>
      <c r="G290" s="23" t="s">
        <v>403</v>
      </c>
      <c r="H290" s="353">
        <v>110410.7</v>
      </c>
      <c r="I290" s="59"/>
      <c r="J290" s="59" t="s">
        <v>1570</v>
      </c>
      <c r="K290" s="20"/>
      <c r="L290" s="20"/>
      <c r="M290" s="357"/>
      <c r="N290" s="411"/>
      <c r="O290" s="23" t="s">
        <v>1566</v>
      </c>
      <c r="P290" s="92" t="s">
        <v>632</v>
      </c>
      <c r="Q290" s="92" t="s">
        <v>646</v>
      </c>
      <c r="R290" s="372" t="str">
        <f t="shared" si="7"/>
        <v/>
      </c>
    </row>
    <row r="291" spans="1:18" ht="30" x14ac:dyDescent="0.25">
      <c r="A291" s="23" t="s">
        <v>86</v>
      </c>
      <c r="B291" s="18" t="str">
        <f>IF(ISNA(VLOOKUP($A291,'Data Pull Sheet'!$B$2:$C$1795,2,0)),"",(VLOOKUP($A291,'Data Pull Sheet'!$B$2:$C$1795,2,0)))</f>
        <v>CTIC</v>
      </c>
      <c r="C291" s="59" t="s">
        <v>480</v>
      </c>
      <c r="D291" s="356" t="s">
        <v>481</v>
      </c>
      <c r="E291" s="356" t="s">
        <v>439</v>
      </c>
      <c r="F291" s="23" t="s">
        <v>1571</v>
      </c>
      <c r="G291" s="23" t="s">
        <v>403</v>
      </c>
      <c r="H291" s="353">
        <v>123639.67999999999</v>
      </c>
      <c r="I291" s="59"/>
      <c r="J291" s="59" t="s">
        <v>1572</v>
      </c>
      <c r="K291" s="20"/>
      <c r="L291" s="20"/>
      <c r="M291" s="357"/>
      <c r="N291" s="411"/>
      <c r="O291" s="23" t="s">
        <v>1566</v>
      </c>
      <c r="P291" s="92" t="s">
        <v>632</v>
      </c>
      <c r="Q291" s="92" t="s">
        <v>646</v>
      </c>
      <c r="R291" s="372" t="str">
        <f t="shared" si="7"/>
        <v/>
      </c>
    </row>
    <row r="292" spans="1:18" ht="30" x14ac:dyDescent="0.25">
      <c r="A292" s="23" t="s">
        <v>86</v>
      </c>
      <c r="B292" s="18" t="str">
        <f>IF(ISNA(VLOOKUP($A292,'Data Pull Sheet'!$B$2:$C$1795,2,0)),"",(VLOOKUP($A292,'Data Pull Sheet'!$B$2:$C$1795,2,0)))</f>
        <v>CTIC</v>
      </c>
      <c r="C292" s="59" t="s">
        <v>480</v>
      </c>
      <c r="D292" s="356" t="s">
        <v>481</v>
      </c>
      <c r="E292" s="356" t="s">
        <v>439</v>
      </c>
      <c r="F292" s="23" t="s">
        <v>1573</v>
      </c>
      <c r="G292" s="23" t="s">
        <v>403</v>
      </c>
      <c r="H292" s="353">
        <v>266109</v>
      </c>
      <c r="I292" s="59"/>
      <c r="J292" s="59" t="s">
        <v>1574</v>
      </c>
      <c r="K292" s="20"/>
      <c r="L292" s="20">
        <v>1</v>
      </c>
      <c r="M292" s="357">
        <f>SUM(H292:H293)</f>
        <v>1218210</v>
      </c>
      <c r="N292" s="411">
        <f>IFERROR((M292/(VLOOKUP(B292,'Data Pull Sheet'!$C:$H,6,FALSE))),"DC")</f>
        <v>1.6242800000000002E-2</v>
      </c>
      <c r="O292" s="23" t="s">
        <v>1575</v>
      </c>
      <c r="P292" s="92" t="s">
        <v>632</v>
      </c>
      <c r="Q292" s="92" t="s">
        <v>662</v>
      </c>
      <c r="R292" s="372" t="str">
        <f t="shared" si="7"/>
        <v/>
      </c>
    </row>
    <row r="293" spans="1:18" ht="30" x14ac:dyDescent="0.25">
      <c r="A293" s="23" t="s">
        <v>86</v>
      </c>
      <c r="B293" s="18" t="str">
        <f>IF(ISNA(VLOOKUP($A293,'Data Pull Sheet'!$B$2:$C$1795,2,0)),"",(VLOOKUP($A293,'Data Pull Sheet'!$B$2:$C$1795,2,0)))</f>
        <v>CTIC</v>
      </c>
      <c r="C293" s="59" t="s">
        <v>480</v>
      </c>
      <c r="D293" s="356" t="s">
        <v>481</v>
      </c>
      <c r="E293" s="356" t="s">
        <v>439</v>
      </c>
      <c r="F293" s="23" t="s">
        <v>85</v>
      </c>
      <c r="G293" s="23" t="s">
        <v>417</v>
      </c>
      <c r="H293" s="353">
        <v>952101</v>
      </c>
      <c r="I293" s="59"/>
      <c r="J293" s="59" t="s">
        <v>1576</v>
      </c>
      <c r="K293" s="20"/>
      <c r="L293" s="20"/>
      <c r="M293" s="357"/>
      <c r="N293" s="411"/>
      <c r="O293" s="23" t="s">
        <v>1575</v>
      </c>
      <c r="P293" s="92" t="s">
        <v>632</v>
      </c>
      <c r="Q293" s="92" t="s">
        <v>662</v>
      </c>
      <c r="R293" s="372" t="str">
        <f t="shared" si="7"/>
        <v>FF</v>
      </c>
    </row>
    <row r="294" spans="1:18" x14ac:dyDescent="0.25">
      <c r="A294" s="23" t="s">
        <v>86</v>
      </c>
      <c r="B294" s="18" t="str">
        <f>IF(ISNA(VLOOKUP($A294,'Data Pull Sheet'!$B$2:$C$1795,2,0)),"",(VLOOKUP($A294,'Data Pull Sheet'!$B$2:$C$1795,2,0)))</f>
        <v>CTIC</v>
      </c>
      <c r="C294" s="59" t="s">
        <v>480</v>
      </c>
      <c r="D294" s="356" t="s">
        <v>481</v>
      </c>
      <c r="E294" s="356" t="s">
        <v>439</v>
      </c>
      <c r="F294" s="23" t="s">
        <v>1577</v>
      </c>
      <c r="G294" s="23" t="s">
        <v>403</v>
      </c>
      <c r="H294" s="353">
        <v>33494.589999999997</v>
      </c>
      <c r="I294" s="59"/>
      <c r="J294" s="59" t="s">
        <v>1578</v>
      </c>
      <c r="K294" s="20"/>
      <c r="L294" s="20">
        <v>1</v>
      </c>
      <c r="M294" s="357">
        <f>H294</f>
        <v>33494.589999999997</v>
      </c>
      <c r="N294" s="411">
        <f>IFERROR((M294/(VLOOKUP(B294,'Data Pull Sheet'!$C:$H,6,FALSE))),"DC")</f>
        <v>4.4659453333333331E-4</v>
      </c>
      <c r="O294" s="23" t="s">
        <v>63</v>
      </c>
      <c r="P294" s="92" t="s">
        <v>632</v>
      </c>
      <c r="Q294" s="92" t="s">
        <v>637</v>
      </c>
      <c r="R294" s="372" t="str">
        <f t="shared" si="7"/>
        <v/>
      </c>
    </row>
    <row r="295" spans="1:18" ht="30" x14ac:dyDescent="0.25">
      <c r="A295" s="23" t="s">
        <v>13</v>
      </c>
      <c r="B295" s="18" t="s">
        <v>10624</v>
      </c>
      <c r="C295" s="59" t="s">
        <v>437</v>
      </c>
      <c r="D295" s="356" t="s">
        <v>438</v>
      </c>
      <c r="E295" s="356" t="s">
        <v>439</v>
      </c>
      <c r="F295" s="23" t="s">
        <v>298</v>
      </c>
      <c r="G295" s="23" t="s">
        <v>417</v>
      </c>
      <c r="H295" s="353">
        <v>577268.01</v>
      </c>
      <c r="I295" s="59" t="s">
        <v>406</v>
      </c>
      <c r="J295" s="59" t="s">
        <v>10627</v>
      </c>
      <c r="K295" s="20">
        <v>4</v>
      </c>
      <c r="L295" s="20">
        <v>3</v>
      </c>
      <c r="M295" s="357">
        <f>SUM(H295:H297)</f>
        <v>2392693.5299999998</v>
      </c>
      <c r="N295" s="411">
        <f>IFERROR((M295/(VLOOKUP(B295,'Data Pull Sheet'!$C:$H,6,FALSE))),"DC")</f>
        <v>4.3902633577981645E-3</v>
      </c>
      <c r="O295" s="23" t="s">
        <v>2788</v>
      </c>
      <c r="P295" s="92" t="s">
        <v>632</v>
      </c>
      <c r="Q295" s="92" t="s">
        <v>640</v>
      </c>
      <c r="R295" s="372" t="str">
        <f t="shared" si="7"/>
        <v>FF</v>
      </c>
    </row>
    <row r="296" spans="1:18" ht="30" x14ac:dyDescent="0.25">
      <c r="A296" s="23" t="s">
        <v>13</v>
      </c>
      <c r="B296" s="18" t="s">
        <v>10624</v>
      </c>
      <c r="C296" s="59" t="s">
        <v>437</v>
      </c>
      <c r="D296" s="356" t="s">
        <v>438</v>
      </c>
      <c r="E296" s="356" t="s">
        <v>439</v>
      </c>
      <c r="F296" s="23" t="s">
        <v>12</v>
      </c>
      <c r="G296" s="23" t="s">
        <v>417</v>
      </c>
      <c r="H296" s="353">
        <v>739889.89</v>
      </c>
      <c r="I296" s="59" t="s">
        <v>406</v>
      </c>
      <c r="J296" s="59" t="s">
        <v>10628</v>
      </c>
      <c r="K296" s="20"/>
      <c r="L296" s="20"/>
      <c r="M296" s="357"/>
      <c r="N296" s="411"/>
      <c r="O296" s="23" t="s">
        <v>2788</v>
      </c>
      <c r="P296" s="92" t="s">
        <v>632</v>
      </c>
      <c r="Q296" s="92" t="s">
        <v>640</v>
      </c>
      <c r="R296" s="372" t="str">
        <f t="shared" si="7"/>
        <v>FF</v>
      </c>
    </row>
    <row r="297" spans="1:18" ht="30" x14ac:dyDescent="0.25">
      <c r="A297" s="23" t="s">
        <v>13</v>
      </c>
      <c r="B297" s="18" t="s">
        <v>10624</v>
      </c>
      <c r="C297" s="59" t="s">
        <v>437</v>
      </c>
      <c r="D297" s="356" t="s">
        <v>438</v>
      </c>
      <c r="E297" s="356" t="s">
        <v>439</v>
      </c>
      <c r="F297" s="23" t="s">
        <v>32</v>
      </c>
      <c r="G297" s="23" t="s">
        <v>417</v>
      </c>
      <c r="H297" s="353">
        <v>1075535.6299999999</v>
      </c>
      <c r="I297" s="59" t="s">
        <v>406</v>
      </c>
      <c r="J297" s="59" t="s">
        <v>10629</v>
      </c>
      <c r="K297" s="20"/>
      <c r="L297" s="20"/>
      <c r="M297" s="357"/>
      <c r="N297" s="411"/>
      <c r="O297" s="23" t="s">
        <v>2788</v>
      </c>
      <c r="P297" s="92" t="s">
        <v>632</v>
      </c>
      <c r="Q297" s="92" t="s">
        <v>640</v>
      </c>
      <c r="R297" s="372" t="str">
        <f t="shared" si="7"/>
        <v>FF</v>
      </c>
    </row>
    <row r="298" spans="1:18" ht="30" x14ac:dyDescent="0.25">
      <c r="A298" s="23" t="s">
        <v>13</v>
      </c>
      <c r="B298" s="18" t="s">
        <v>10624</v>
      </c>
      <c r="C298" s="59" t="s">
        <v>437</v>
      </c>
      <c r="D298" s="356" t="s">
        <v>438</v>
      </c>
      <c r="E298" s="356" t="s">
        <v>439</v>
      </c>
      <c r="F298" s="23" t="s">
        <v>2789</v>
      </c>
      <c r="G298" s="23" t="s">
        <v>417</v>
      </c>
      <c r="H298" s="353">
        <v>84781.93</v>
      </c>
      <c r="I298" s="59" t="s">
        <v>476</v>
      </c>
      <c r="J298" s="59" t="s">
        <v>10630</v>
      </c>
      <c r="K298" s="20"/>
      <c r="L298" s="20">
        <v>4</v>
      </c>
      <c r="M298" s="357">
        <f>SUM(H298:H301)</f>
        <v>13654122.329999998</v>
      </c>
      <c r="N298" s="411">
        <f>IFERROR((M298/(VLOOKUP(B298,'Data Pull Sheet'!$C:$H,6,FALSE))),"DC")</f>
        <v>2.5053435467889906E-2</v>
      </c>
      <c r="O298" s="23" t="s">
        <v>2790</v>
      </c>
      <c r="P298" s="92" t="s">
        <v>632</v>
      </c>
      <c r="Q298" s="92" t="s">
        <v>640</v>
      </c>
      <c r="R298" s="372" t="str">
        <f t="shared" si="7"/>
        <v/>
      </c>
    </row>
    <row r="299" spans="1:18" ht="30" x14ac:dyDescent="0.25">
      <c r="A299" s="23" t="s">
        <v>13</v>
      </c>
      <c r="B299" s="18" t="s">
        <v>10624</v>
      </c>
      <c r="C299" s="59" t="s">
        <v>437</v>
      </c>
      <c r="D299" s="356" t="s">
        <v>438</v>
      </c>
      <c r="E299" s="356" t="s">
        <v>439</v>
      </c>
      <c r="F299" s="23" t="s">
        <v>2791</v>
      </c>
      <c r="G299" s="23" t="s">
        <v>417</v>
      </c>
      <c r="H299" s="353">
        <v>1125495.22</v>
      </c>
      <c r="I299" s="59" t="s">
        <v>476</v>
      </c>
      <c r="J299" s="59" t="s">
        <v>10631</v>
      </c>
      <c r="K299" s="20"/>
      <c r="L299" s="20"/>
      <c r="M299" s="357"/>
      <c r="N299" s="411"/>
      <c r="O299" s="23" t="s">
        <v>2790</v>
      </c>
      <c r="P299" s="92" t="s">
        <v>632</v>
      </c>
      <c r="Q299" s="92" t="s">
        <v>640</v>
      </c>
      <c r="R299" s="372" t="str">
        <f t="shared" si="7"/>
        <v/>
      </c>
    </row>
    <row r="300" spans="1:18" ht="30" x14ac:dyDescent="0.25">
      <c r="A300" s="23" t="s">
        <v>13</v>
      </c>
      <c r="B300" s="18" t="s">
        <v>10624</v>
      </c>
      <c r="C300" s="59" t="s">
        <v>437</v>
      </c>
      <c r="D300" s="356" t="s">
        <v>438</v>
      </c>
      <c r="E300" s="356" t="s">
        <v>439</v>
      </c>
      <c r="F300" s="23" t="s">
        <v>2792</v>
      </c>
      <c r="G300" s="23" t="s">
        <v>417</v>
      </c>
      <c r="H300" s="353">
        <v>1234786.31</v>
      </c>
      <c r="I300" s="59" t="s">
        <v>476</v>
      </c>
      <c r="J300" s="59" t="s">
        <v>10632</v>
      </c>
      <c r="K300" s="20"/>
      <c r="L300" s="20"/>
      <c r="M300" s="357"/>
      <c r="N300" s="411"/>
      <c r="O300" s="23" t="s">
        <v>2790</v>
      </c>
      <c r="P300" s="92" t="s">
        <v>632</v>
      </c>
      <c r="Q300" s="92" t="s">
        <v>640</v>
      </c>
      <c r="R300" s="372" t="str">
        <f t="shared" si="7"/>
        <v/>
      </c>
    </row>
    <row r="301" spans="1:18" ht="30" x14ac:dyDescent="0.25">
      <c r="A301" s="23" t="s">
        <v>13</v>
      </c>
      <c r="B301" s="18" t="s">
        <v>10624</v>
      </c>
      <c r="C301" s="59" t="s">
        <v>437</v>
      </c>
      <c r="D301" s="356" t="s">
        <v>438</v>
      </c>
      <c r="E301" s="356" t="s">
        <v>439</v>
      </c>
      <c r="F301" s="23" t="s">
        <v>2793</v>
      </c>
      <c r="G301" s="23" t="s">
        <v>417</v>
      </c>
      <c r="H301" s="353">
        <v>11209058.869999999</v>
      </c>
      <c r="I301" s="59" t="s">
        <v>476</v>
      </c>
      <c r="J301" s="59" t="s">
        <v>10633</v>
      </c>
      <c r="K301" s="20"/>
      <c r="L301" s="20"/>
      <c r="M301" s="357"/>
      <c r="N301" s="411"/>
      <c r="O301" s="23" t="s">
        <v>2790</v>
      </c>
      <c r="P301" s="92" t="s">
        <v>632</v>
      </c>
      <c r="Q301" s="92" t="s">
        <v>640</v>
      </c>
      <c r="R301" s="372" t="str">
        <f t="shared" si="7"/>
        <v/>
      </c>
    </row>
    <row r="302" spans="1:18" ht="30" x14ac:dyDescent="0.25">
      <c r="A302" s="23" t="s">
        <v>13</v>
      </c>
      <c r="B302" s="18" t="s">
        <v>10624</v>
      </c>
      <c r="C302" s="59" t="s">
        <v>437</v>
      </c>
      <c r="D302" s="356" t="s">
        <v>438</v>
      </c>
      <c r="E302" s="356" t="s">
        <v>439</v>
      </c>
      <c r="F302" s="23" t="s">
        <v>135</v>
      </c>
      <c r="G302" s="23" t="s">
        <v>417</v>
      </c>
      <c r="H302" s="353">
        <v>1177476.51</v>
      </c>
      <c r="I302" s="59"/>
      <c r="J302" s="59" t="s">
        <v>10634</v>
      </c>
      <c r="K302" s="20"/>
      <c r="L302" s="20">
        <v>1</v>
      </c>
      <c r="M302" s="357">
        <f>+H302</f>
        <v>1177476.51</v>
      </c>
      <c r="N302" s="411">
        <f>IFERROR((M302/(VLOOKUP(B302,'Data Pull Sheet'!$C:$H,6,FALSE))),"DC")</f>
        <v>2.1605073577981651E-3</v>
      </c>
      <c r="O302" s="23" t="s">
        <v>2794</v>
      </c>
      <c r="P302" s="92" t="s">
        <v>632</v>
      </c>
      <c r="Q302" s="92" t="s">
        <v>633</v>
      </c>
      <c r="R302" s="372" t="str">
        <f t="shared" si="7"/>
        <v>FF</v>
      </c>
    </row>
    <row r="303" spans="1:18" x14ac:dyDescent="0.25">
      <c r="A303" s="23" t="s">
        <v>13</v>
      </c>
      <c r="B303" s="18" t="s">
        <v>10624</v>
      </c>
      <c r="C303" s="59" t="s">
        <v>437</v>
      </c>
      <c r="D303" s="356" t="s">
        <v>438</v>
      </c>
      <c r="E303" s="356" t="s">
        <v>439</v>
      </c>
      <c r="F303" s="23" t="s">
        <v>65</v>
      </c>
      <c r="G303" s="23" t="s">
        <v>417</v>
      </c>
      <c r="H303" s="353">
        <v>1499854.51</v>
      </c>
      <c r="I303" s="59" t="s">
        <v>406</v>
      </c>
      <c r="J303" s="59" t="s">
        <v>10626</v>
      </c>
      <c r="K303" s="20"/>
      <c r="L303" s="20">
        <v>1</v>
      </c>
      <c r="M303" s="357">
        <f>H303</f>
        <v>1499854.51</v>
      </c>
      <c r="N303" s="411">
        <f>IFERROR((M303/(VLOOKUP(B303,'Data Pull Sheet'!$C:$H,6,FALSE))),"DC")</f>
        <v>2.7520266238532111E-3</v>
      </c>
      <c r="O303" s="23" t="s">
        <v>56</v>
      </c>
      <c r="P303" s="92" t="s">
        <v>632</v>
      </c>
      <c r="Q303" s="92" t="s">
        <v>633</v>
      </c>
      <c r="R303" s="372" t="str">
        <f t="shared" si="7"/>
        <v>FF</v>
      </c>
    </row>
    <row r="304" spans="1:18" ht="30" x14ac:dyDescent="0.25">
      <c r="A304" s="23" t="s">
        <v>136</v>
      </c>
      <c r="B304" s="18" t="str">
        <f>IF(ISNA(VLOOKUP($A304,'Data Pull Sheet'!$B$2:$C$1795,2,0)),"",(VLOOKUP($A304,'Data Pull Sheet'!$B$2:$C$1795,2,0)))</f>
        <v>CSII</v>
      </c>
      <c r="C304" s="59" t="s">
        <v>491</v>
      </c>
      <c r="D304" s="356" t="s">
        <v>501</v>
      </c>
      <c r="E304" s="356" t="s">
        <v>502</v>
      </c>
      <c r="F304" s="23" t="s">
        <v>135</v>
      </c>
      <c r="G304" s="23" t="s">
        <v>417</v>
      </c>
      <c r="H304" s="353">
        <v>268918.76</v>
      </c>
      <c r="I304" s="59"/>
      <c r="J304" s="59" t="s">
        <v>1104</v>
      </c>
      <c r="K304" s="20">
        <v>4</v>
      </c>
      <c r="L304" s="20">
        <v>1</v>
      </c>
      <c r="M304" s="357">
        <f>H304</f>
        <v>268918.76</v>
      </c>
      <c r="N304" s="411">
        <f>IFERROR((M304/(VLOOKUP(B304,'Data Pull Sheet'!$C:$H,6,FALSE))),"DC")</f>
        <v>1.7020174683544304E-3</v>
      </c>
      <c r="O304" s="23" t="s">
        <v>1</v>
      </c>
      <c r="P304" s="92" t="s">
        <v>632</v>
      </c>
      <c r="Q304" s="92" t="s">
        <v>633</v>
      </c>
      <c r="R304" s="372" t="str">
        <f t="shared" si="7"/>
        <v>FF</v>
      </c>
    </row>
    <row r="305" spans="1:18" ht="30" x14ac:dyDescent="0.25">
      <c r="A305" s="23" t="s">
        <v>136</v>
      </c>
      <c r="B305" s="18" t="str">
        <f>IF(ISNA(VLOOKUP($A305,'Data Pull Sheet'!$B$2:$C$1795,2,0)),"",(VLOOKUP($A305,'Data Pull Sheet'!$B$2:$C$1795,2,0)))</f>
        <v>CSII</v>
      </c>
      <c r="C305" s="59" t="s">
        <v>491</v>
      </c>
      <c r="D305" s="356" t="s">
        <v>501</v>
      </c>
      <c r="E305" s="356" t="s">
        <v>502</v>
      </c>
      <c r="F305" s="23" t="s">
        <v>1105</v>
      </c>
      <c r="G305" s="23" t="s">
        <v>417</v>
      </c>
      <c r="H305" s="353">
        <v>56365.54</v>
      </c>
      <c r="I305" s="59" t="s">
        <v>442</v>
      </c>
      <c r="J305" s="59" t="s">
        <v>1106</v>
      </c>
      <c r="K305" s="20"/>
      <c r="L305" s="20">
        <v>2</v>
      </c>
      <c r="M305" s="357">
        <f>SUM(H305:H306)</f>
        <v>156337.42000000001</v>
      </c>
      <c r="N305" s="411">
        <f>IFERROR((M305/(VLOOKUP(B305,'Data Pull Sheet'!$C:$H,6,FALSE))),"DC")</f>
        <v>9.8947734177215192E-4</v>
      </c>
      <c r="O305" s="23" t="s">
        <v>10815</v>
      </c>
      <c r="P305" s="92" t="s">
        <v>632</v>
      </c>
      <c r="Q305" s="92" t="s">
        <v>640</v>
      </c>
      <c r="R305" s="372" t="str">
        <f t="shared" si="7"/>
        <v/>
      </c>
    </row>
    <row r="306" spans="1:18" ht="30" x14ac:dyDescent="0.25">
      <c r="A306" s="23" t="s">
        <v>136</v>
      </c>
      <c r="B306" s="18" t="str">
        <f>IF(ISNA(VLOOKUP($A306,'Data Pull Sheet'!$B$2:$C$1795,2,0)),"",(VLOOKUP($A306,'Data Pull Sheet'!$B$2:$C$1795,2,0)))</f>
        <v>CSII</v>
      </c>
      <c r="C306" s="59" t="s">
        <v>491</v>
      </c>
      <c r="D306" s="356" t="s">
        <v>501</v>
      </c>
      <c r="E306" s="356" t="s">
        <v>502</v>
      </c>
      <c r="F306" s="23" t="s">
        <v>1107</v>
      </c>
      <c r="G306" s="23" t="s">
        <v>417</v>
      </c>
      <c r="H306" s="353">
        <v>99971.88</v>
      </c>
      <c r="I306" s="59" t="s">
        <v>442</v>
      </c>
      <c r="J306" s="59" t="s">
        <v>1108</v>
      </c>
      <c r="K306" s="20"/>
      <c r="L306" s="20"/>
      <c r="M306" s="357"/>
      <c r="N306" s="411"/>
      <c r="O306" s="23" t="s">
        <v>10815</v>
      </c>
      <c r="P306" s="92" t="s">
        <v>632</v>
      </c>
      <c r="Q306" s="92" t="s">
        <v>640</v>
      </c>
      <c r="R306" s="372" t="str">
        <f t="shared" si="7"/>
        <v/>
      </c>
    </row>
    <row r="307" spans="1:18" x14ac:dyDescent="0.25">
      <c r="A307" s="23" t="s">
        <v>136</v>
      </c>
      <c r="B307" s="18" t="str">
        <f>IF(ISNA(VLOOKUP($A307,'Data Pull Sheet'!$B$2:$C$1795,2,0)),"",(VLOOKUP($A307,'Data Pull Sheet'!$B$2:$C$1795,2,0)))</f>
        <v>CSII</v>
      </c>
      <c r="C307" s="59" t="s">
        <v>491</v>
      </c>
      <c r="D307" s="356" t="s">
        <v>501</v>
      </c>
      <c r="E307" s="356" t="s">
        <v>502</v>
      </c>
      <c r="F307" s="23" t="s">
        <v>1109</v>
      </c>
      <c r="G307" s="23" t="s">
        <v>417</v>
      </c>
      <c r="H307" s="353">
        <v>203588.48000000001</v>
      </c>
      <c r="I307" s="59" t="s">
        <v>406</v>
      </c>
      <c r="J307" s="59" t="s">
        <v>1110</v>
      </c>
      <c r="K307" s="20"/>
      <c r="L307" s="20">
        <v>2</v>
      </c>
      <c r="M307" s="357">
        <f>SUM(H307:H308)</f>
        <v>456106.33999999997</v>
      </c>
      <c r="N307" s="411">
        <f>IFERROR((M307/(VLOOKUP(B307,'Data Pull Sheet'!$C:$H,6,FALSE))),"DC")</f>
        <v>2.8867489873417719E-3</v>
      </c>
      <c r="O307" s="23" t="s">
        <v>1111</v>
      </c>
      <c r="P307" s="92" t="s">
        <v>632</v>
      </c>
      <c r="Q307" s="92" t="s">
        <v>640</v>
      </c>
      <c r="R307" s="372" t="str">
        <f t="shared" si="7"/>
        <v/>
      </c>
    </row>
    <row r="308" spans="1:18" x14ac:dyDescent="0.25">
      <c r="A308" s="23" t="s">
        <v>136</v>
      </c>
      <c r="B308" s="18" t="str">
        <f>IF(ISNA(VLOOKUP($A308,'Data Pull Sheet'!$B$2:$C$1795,2,0)),"",(VLOOKUP($A308,'Data Pull Sheet'!$B$2:$C$1795,2,0)))</f>
        <v>CSII</v>
      </c>
      <c r="C308" s="59" t="s">
        <v>491</v>
      </c>
      <c r="D308" s="356" t="s">
        <v>501</v>
      </c>
      <c r="E308" s="356" t="s">
        <v>502</v>
      </c>
      <c r="F308" s="23" t="s">
        <v>384</v>
      </c>
      <c r="G308" s="23" t="s">
        <v>417</v>
      </c>
      <c r="H308" s="353">
        <v>252517.86</v>
      </c>
      <c r="I308" s="59" t="s">
        <v>406</v>
      </c>
      <c r="J308" s="59" t="s">
        <v>1112</v>
      </c>
      <c r="K308" s="20"/>
      <c r="L308" s="20"/>
      <c r="M308" s="357"/>
      <c r="N308" s="411"/>
      <c r="O308" s="23" t="s">
        <v>1111</v>
      </c>
      <c r="P308" s="92" t="s">
        <v>632</v>
      </c>
      <c r="Q308" s="92" t="s">
        <v>640</v>
      </c>
      <c r="R308" s="372" t="str">
        <f t="shared" si="7"/>
        <v>FF</v>
      </c>
    </row>
    <row r="309" spans="1:18" x14ac:dyDescent="0.25">
      <c r="A309" s="23" t="s">
        <v>136</v>
      </c>
      <c r="B309" s="18" t="str">
        <f>IF(ISNA(VLOOKUP($A309,'Data Pull Sheet'!$B$2:$C$1795,2,0)),"",(VLOOKUP($A309,'Data Pull Sheet'!$B$2:$C$1795,2,0)))</f>
        <v>CSII</v>
      </c>
      <c r="C309" s="59" t="s">
        <v>491</v>
      </c>
      <c r="D309" s="356" t="s">
        <v>501</v>
      </c>
      <c r="E309" s="356" t="s">
        <v>502</v>
      </c>
      <c r="F309" s="23" t="s">
        <v>1113</v>
      </c>
      <c r="G309" s="23" t="s">
        <v>403</v>
      </c>
      <c r="H309" s="353">
        <v>24156.720000000001</v>
      </c>
      <c r="I309" s="59"/>
      <c r="J309" s="59" t="s">
        <v>1114</v>
      </c>
      <c r="K309" s="20"/>
      <c r="L309" s="20">
        <v>1</v>
      </c>
      <c r="M309" s="357">
        <f>SUM(H309)</f>
        <v>24156.720000000001</v>
      </c>
      <c r="N309" s="411">
        <f>IFERROR((M309/(VLOOKUP(B309,'Data Pull Sheet'!$C:$H,6,FALSE))),"DC")</f>
        <v>1.5289063291139241E-4</v>
      </c>
      <c r="O309" s="23" t="s">
        <v>682</v>
      </c>
      <c r="P309" s="92" t="s">
        <v>632</v>
      </c>
      <c r="Q309" s="92" t="s">
        <v>637</v>
      </c>
      <c r="R309" s="372" t="str">
        <f t="shared" si="7"/>
        <v/>
      </c>
    </row>
    <row r="310" spans="1:18" ht="30" x14ac:dyDescent="0.25">
      <c r="A310" s="23" t="s">
        <v>3429</v>
      </c>
      <c r="B310" s="18" t="str">
        <f>IF(ISNA(VLOOKUP($A310,'Data Pull Sheet'!$B$2:$C$1795,2,0)),"",(VLOOKUP($A310,'Data Pull Sheet'!$B$2:$C$1795,2,0)))</f>
        <v>USK</v>
      </c>
      <c r="C310" s="59" t="s">
        <v>536</v>
      </c>
      <c r="D310" s="356" t="s">
        <v>481</v>
      </c>
      <c r="E310" s="356" t="s">
        <v>502</v>
      </c>
      <c r="F310" s="23" t="s">
        <v>3430</v>
      </c>
      <c r="G310" s="23" t="s">
        <v>403</v>
      </c>
      <c r="H310" s="353">
        <v>53835</v>
      </c>
      <c r="I310" s="59" t="s">
        <v>442</v>
      </c>
      <c r="J310" s="59" t="s">
        <v>3431</v>
      </c>
      <c r="K310" s="20">
        <v>1</v>
      </c>
      <c r="L310" s="20">
        <v>2</v>
      </c>
      <c r="M310" s="357">
        <f>SUM(H310:H311)</f>
        <v>200604</v>
      </c>
      <c r="N310" s="411">
        <f>IFERROR((M310/(VLOOKUP(B310,'Data Pull Sheet'!$C:$H,6,FALSE))),"DC")</f>
        <v>5.7315428571428568E-3</v>
      </c>
      <c r="O310" s="23" t="s">
        <v>3432</v>
      </c>
      <c r="P310" s="92" t="s">
        <v>676</v>
      </c>
      <c r="Q310" s="92" t="s">
        <v>646</v>
      </c>
      <c r="R310" s="372" t="str">
        <f t="shared" si="7"/>
        <v/>
      </c>
    </row>
    <row r="311" spans="1:18" ht="30" x14ac:dyDescent="0.25">
      <c r="A311" s="23" t="s">
        <v>3429</v>
      </c>
      <c r="B311" s="18" t="str">
        <f>IF(ISNA(VLOOKUP($A311,'Data Pull Sheet'!$B$2:$C$1795,2,0)),"",(VLOOKUP($A311,'Data Pull Sheet'!$B$2:$C$1795,2,0)))</f>
        <v>USK</v>
      </c>
      <c r="C311" s="59" t="s">
        <v>536</v>
      </c>
      <c r="D311" s="356" t="s">
        <v>481</v>
      </c>
      <c r="E311" s="356" t="s">
        <v>502</v>
      </c>
      <c r="F311" s="23" t="s">
        <v>3433</v>
      </c>
      <c r="G311" s="23" t="s">
        <v>403</v>
      </c>
      <c r="H311" s="353">
        <v>146769</v>
      </c>
      <c r="I311" s="59" t="s">
        <v>442</v>
      </c>
      <c r="J311" s="59" t="s">
        <v>3434</v>
      </c>
      <c r="K311" s="20"/>
      <c r="L311" s="20"/>
      <c r="M311" s="357"/>
      <c r="N311" s="411"/>
      <c r="O311" s="23" t="s">
        <v>3432</v>
      </c>
      <c r="P311" s="92" t="s">
        <v>676</v>
      </c>
      <c r="Q311" s="92" t="s">
        <v>646</v>
      </c>
      <c r="R311" s="372" t="str">
        <f t="shared" si="7"/>
        <v/>
      </c>
    </row>
    <row r="312" spans="1:18" ht="30" x14ac:dyDescent="0.25">
      <c r="A312" s="23" t="s">
        <v>3166</v>
      </c>
      <c r="B312" s="18" t="str">
        <f>IF(ISNA(VLOOKUP($A312,'Data Pull Sheet'!$B$2:$C$1795,2,0)),"",(VLOOKUP($A312,'Data Pull Sheet'!$B$2:$C$1795,2,0)))</f>
        <v>PPP</v>
      </c>
      <c r="C312" s="59" t="s">
        <v>446</v>
      </c>
      <c r="D312" s="356" t="s">
        <v>3167</v>
      </c>
      <c r="E312" s="356" t="s">
        <v>3114</v>
      </c>
      <c r="F312" s="23" t="s">
        <v>3168</v>
      </c>
      <c r="G312" s="23" t="s">
        <v>403</v>
      </c>
      <c r="H312" s="353">
        <v>8389.44</v>
      </c>
      <c r="I312" s="59"/>
      <c r="J312" s="59" t="s">
        <v>3169</v>
      </c>
      <c r="K312" s="20">
        <v>5</v>
      </c>
      <c r="L312" s="20">
        <v>2</v>
      </c>
      <c r="M312" s="357">
        <f>SUM(H312:H313)</f>
        <v>126883.51000000001</v>
      </c>
      <c r="N312" s="411">
        <f>IFERROR((M312/(VLOOKUP(B312,'Data Pull Sheet'!$C:$H,6,FALSE))),"DC")</f>
        <v>2.8196335555555558E-3</v>
      </c>
      <c r="O312" s="23" t="s">
        <v>407</v>
      </c>
      <c r="P312" s="92" t="s">
        <v>632</v>
      </c>
      <c r="Q312" s="92" t="s">
        <v>662</v>
      </c>
      <c r="R312" s="372" t="str">
        <f t="shared" si="7"/>
        <v/>
      </c>
    </row>
    <row r="313" spans="1:18" x14ac:dyDescent="0.25">
      <c r="A313" s="23" t="s">
        <v>3166</v>
      </c>
      <c r="B313" s="18" t="str">
        <f>IF(ISNA(VLOOKUP($A313,'Data Pull Sheet'!$B$2:$C$1795,2,0)),"",(VLOOKUP($A313,'Data Pull Sheet'!$B$2:$C$1795,2,0)))</f>
        <v>PPP</v>
      </c>
      <c r="C313" s="59" t="s">
        <v>446</v>
      </c>
      <c r="D313" s="356" t="s">
        <v>3167</v>
      </c>
      <c r="E313" s="356" t="s">
        <v>3114</v>
      </c>
      <c r="F313" s="23" t="s">
        <v>3170</v>
      </c>
      <c r="G313" s="23" t="s">
        <v>417</v>
      </c>
      <c r="H313" s="353">
        <v>118494.07</v>
      </c>
      <c r="I313" s="59"/>
      <c r="J313" s="59" t="s">
        <v>3171</v>
      </c>
      <c r="K313" s="20"/>
      <c r="L313" s="20"/>
      <c r="M313" s="357"/>
      <c r="N313" s="411"/>
      <c r="O313" s="23" t="s">
        <v>407</v>
      </c>
      <c r="P313" s="92" t="s">
        <v>632</v>
      </c>
      <c r="Q313" s="92" t="s">
        <v>662</v>
      </c>
      <c r="R313" s="372" t="str">
        <f t="shared" si="7"/>
        <v/>
      </c>
    </row>
    <row r="314" spans="1:18" x14ac:dyDescent="0.25">
      <c r="A314" s="23" t="s">
        <v>3166</v>
      </c>
      <c r="B314" s="18" t="str">
        <f>IF(ISNA(VLOOKUP($A314,'Data Pull Sheet'!$B$2:$C$1795,2,0)),"",(VLOOKUP($A314,'Data Pull Sheet'!$B$2:$C$1795,2,0)))</f>
        <v>PPP</v>
      </c>
      <c r="C314" s="59" t="s">
        <v>446</v>
      </c>
      <c r="D314" s="356" t="s">
        <v>3167</v>
      </c>
      <c r="E314" s="356" t="s">
        <v>3114</v>
      </c>
      <c r="F314" s="23" t="s">
        <v>10858</v>
      </c>
      <c r="G314" s="23" t="s">
        <v>403</v>
      </c>
      <c r="H314" s="353">
        <v>146856.78</v>
      </c>
      <c r="I314" s="59"/>
      <c r="J314" s="59" t="s">
        <v>3173</v>
      </c>
      <c r="K314" s="20"/>
      <c r="L314" s="20">
        <v>1</v>
      </c>
      <c r="M314" s="357">
        <f>H314</f>
        <v>146856.78</v>
      </c>
      <c r="N314" s="411">
        <f>IFERROR((M314/(VLOOKUP(B314,'Data Pull Sheet'!$C:$H,6,FALSE))),"DC")</f>
        <v>3.2634840000000001E-3</v>
      </c>
      <c r="O314" s="23" t="s">
        <v>597</v>
      </c>
      <c r="P314" s="92" t="s">
        <v>632</v>
      </c>
      <c r="Q314" s="92" t="s">
        <v>637</v>
      </c>
      <c r="R314" s="372" t="str">
        <f t="shared" si="7"/>
        <v/>
      </c>
    </row>
    <row r="315" spans="1:18" x14ac:dyDescent="0.25">
      <c r="A315" s="23" t="s">
        <v>3166</v>
      </c>
      <c r="B315" s="18" t="str">
        <f>IF(ISNA(VLOOKUP($A315,'Data Pull Sheet'!$B$2:$C$1795,2,0)),"",(VLOOKUP($A315,'Data Pull Sheet'!$B$2:$C$1795,2,0)))</f>
        <v>PPP</v>
      </c>
      <c r="C315" s="59" t="s">
        <v>446</v>
      </c>
      <c r="D315" s="356" t="s">
        <v>3167</v>
      </c>
      <c r="E315" s="356" t="s">
        <v>3114</v>
      </c>
      <c r="F315" s="23" t="s">
        <v>3174</v>
      </c>
      <c r="G315" s="23" t="s">
        <v>403</v>
      </c>
      <c r="H315" s="353">
        <v>65308.160000000003</v>
      </c>
      <c r="I315" s="59"/>
      <c r="J315" s="59" t="s">
        <v>3175</v>
      </c>
      <c r="K315" s="20"/>
      <c r="L315" s="20">
        <v>1</v>
      </c>
      <c r="M315" s="357">
        <f>H315</f>
        <v>65308.160000000003</v>
      </c>
      <c r="N315" s="411">
        <f>IFERROR((M315/(VLOOKUP(B315,'Data Pull Sheet'!$C:$H,6,FALSE))),"DC")</f>
        <v>1.4512924444444444E-3</v>
      </c>
      <c r="O315" s="23" t="s">
        <v>63</v>
      </c>
      <c r="P315" s="92" t="s">
        <v>632</v>
      </c>
      <c r="Q315" s="92" t="s">
        <v>637</v>
      </c>
      <c r="R315" s="372" t="str">
        <f t="shared" si="7"/>
        <v/>
      </c>
    </row>
    <row r="316" spans="1:18" x14ac:dyDescent="0.25">
      <c r="A316" s="23" t="s">
        <v>3166</v>
      </c>
      <c r="B316" s="18" t="str">
        <f>IF(ISNA(VLOOKUP($A316,'Data Pull Sheet'!$B$2:$C$1795,2,0)),"",(VLOOKUP($A316,'Data Pull Sheet'!$B$2:$C$1795,2,0)))</f>
        <v>PPP</v>
      </c>
      <c r="C316" s="59" t="s">
        <v>446</v>
      </c>
      <c r="D316" s="356" t="s">
        <v>3167</v>
      </c>
      <c r="E316" s="356" t="s">
        <v>3114</v>
      </c>
      <c r="F316" s="23" t="s">
        <v>3176</v>
      </c>
      <c r="G316" s="23" t="s">
        <v>403</v>
      </c>
      <c r="H316" s="353">
        <v>23502</v>
      </c>
      <c r="I316" s="59"/>
      <c r="J316" s="59" t="s">
        <v>3177</v>
      </c>
      <c r="K316" s="20"/>
      <c r="L316" s="20">
        <v>2</v>
      </c>
      <c r="M316" s="357">
        <f>SUM(H316:H317)</f>
        <v>63665</v>
      </c>
      <c r="N316" s="411">
        <f>IFERROR((M316/(VLOOKUP(B316,'Data Pull Sheet'!$C:$H,6,FALSE))),"DC")</f>
        <v>1.4147777777777778E-3</v>
      </c>
      <c r="O316" s="23" t="s">
        <v>554</v>
      </c>
      <c r="P316" s="92" t="s">
        <v>632</v>
      </c>
      <c r="Q316" s="92" t="s">
        <v>646</v>
      </c>
      <c r="R316" s="372" t="str">
        <f t="shared" si="7"/>
        <v/>
      </c>
    </row>
    <row r="317" spans="1:18" x14ac:dyDescent="0.25">
      <c r="A317" s="23" t="s">
        <v>3166</v>
      </c>
      <c r="B317" s="18" t="str">
        <f>IF(ISNA(VLOOKUP($A317,'Data Pull Sheet'!$B$2:$C$1795,2,0)),"",(VLOOKUP($A317,'Data Pull Sheet'!$B$2:$C$1795,2,0)))</f>
        <v>PPP</v>
      </c>
      <c r="C317" s="59" t="s">
        <v>446</v>
      </c>
      <c r="D317" s="356" t="s">
        <v>3167</v>
      </c>
      <c r="E317" s="356" t="s">
        <v>3114</v>
      </c>
      <c r="F317" s="23" t="s">
        <v>3178</v>
      </c>
      <c r="G317" s="23" t="s">
        <v>403</v>
      </c>
      <c r="H317" s="353">
        <v>40163</v>
      </c>
      <c r="I317" s="59"/>
      <c r="J317" s="59" t="s">
        <v>3179</v>
      </c>
      <c r="K317" s="20"/>
      <c r="L317" s="20"/>
      <c r="M317" s="357"/>
      <c r="N317" s="411"/>
      <c r="O317" s="23" t="s">
        <v>554</v>
      </c>
      <c r="P317" s="92" t="s">
        <v>632</v>
      </c>
      <c r="Q317" s="92" t="s">
        <v>646</v>
      </c>
      <c r="R317" s="372" t="str">
        <f t="shared" si="7"/>
        <v/>
      </c>
    </row>
    <row r="318" spans="1:18" ht="30" x14ac:dyDescent="0.25">
      <c r="A318" s="23" t="s">
        <v>3166</v>
      </c>
      <c r="B318" s="18" t="str">
        <f>IF(ISNA(VLOOKUP($A318,'Data Pull Sheet'!$B$2:$C$1795,2,0)),"",(VLOOKUP($A318,'Data Pull Sheet'!$B$2:$C$1795,2,0)))</f>
        <v>PPP</v>
      </c>
      <c r="C318" s="59" t="s">
        <v>446</v>
      </c>
      <c r="D318" s="356" t="s">
        <v>3167</v>
      </c>
      <c r="E318" s="356" t="s">
        <v>3114</v>
      </c>
      <c r="F318" s="23" t="s">
        <v>3180</v>
      </c>
      <c r="G318" s="23" t="s">
        <v>403</v>
      </c>
      <c r="H318" s="353">
        <v>64313.49</v>
      </c>
      <c r="I318" s="59"/>
      <c r="J318" s="59" t="s">
        <v>3181</v>
      </c>
      <c r="K318" s="20"/>
      <c r="L318" s="20">
        <v>1</v>
      </c>
      <c r="M318" s="357">
        <f>H318</f>
        <v>64313.49</v>
      </c>
      <c r="N318" s="411">
        <f>IFERROR((M318/(VLOOKUP(B318,'Data Pull Sheet'!$C:$H,6,FALSE))),"DC")</f>
        <v>1.4291886666666666E-3</v>
      </c>
      <c r="O318" s="23" t="s">
        <v>3182</v>
      </c>
      <c r="P318" s="92" t="s">
        <v>632</v>
      </c>
      <c r="Q318" s="92" t="s">
        <v>637</v>
      </c>
      <c r="R318" s="372" t="str">
        <f t="shared" si="7"/>
        <v/>
      </c>
    </row>
    <row r="319" spans="1:18" x14ac:dyDescent="0.25">
      <c r="A319" s="23" t="s">
        <v>116</v>
      </c>
      <c r="B319" s="18" t="str">
        <f>IF(ISNA(VLOOKUP($A319,'Data Pull Sheet'!$B$2:$C$1795,2,0)),"",(VLOOKUP($A319,'Data Pull Sheet'!$B$2:$C$1795,2,0)))</f>
        <v>BHP</v>
      </c>
      <c r="C319" s="59" t="s">
        <v>418</v>
      </c>
      <c r="D319" s="356" t="s">
        <v>494</v>
      </c>
      <c r="E319" s="356" t="s">
        <v>495</v>
      </c>
      <c r="F319" s="23" t="s">
        <v>999</v>
      </c>
      <c r="G319" s="23" t="s">
        <v>403</v>
      </c>
      <c r="H319" s="353">
        <v>107051.15</v>
      </c>
      <c r="I319" s="59" t="s">
        <v>406</v>
      </c>
      <c r="J319" s="59" t="s">
        <v>10485</v>
      </c>
      <c r="K319" s="20">
        <v>7</v>
      </c>
      <c r="L319" s="20">
        <v>1</v>
      </c>
      <c r="M319" s="357">
        <f>H319</f>
        <v>107051.15</v>
      </c>
      <c r="N319" s="411">
        <f>IFERROR((M319/(VLOOKUP(B319,'Data Pull Sheet'!$C:$H,6,FALSE))),"DC")</f>
        <v>4.2820459999999998E-5</v>
      </c>
      <c r="O319" s="23" t="s">
        <v>407</v>
      </c>
      <c r="P319" s="92" t="s">
        <v>632</v>
      </c>
      <c r="Q319" s="92" t="s">
        <v>637</v>
      </c>
      <c r="R319" s="372" t="str">
        <f t="shared" si="7"/>
        <v/>
      </c>
    </row>
    <row r="320" spans="1:18" x14ac:dyDescent="0.25">
      <c r="A320" s="23" t="s">
        <v>116</v>
      </c>
      <c r="B320" s="18" t="str">
        <f>IF(ISNA(VLOOKUP($A320,'Data Pull Sheet'!$B$2:$C$1795,2,0)),"",(VLOOKUP($A320,'Data Pull Sheet'!$B$2:$C$1795,2,0)))</f>
        <v>BHP</v>
      </c>
      <c r="C320" s="59" t="s">
        <v>418</v>
      </c>
      <c r="D320" s="356" t="s">
        <v>494</v>
      </c>
      <c r="E320" s="356" t="s">
        <v>495</v>
      </c>
      <c r="F320" s="23" t="s">
        <v>1000</v>
      </c>
      <c r="G320" s="23" t="s">
        <v>403</v>
      </c>
      <c r="H320" s="353">
        <v>43618.8</v>
      </c>
      <c r="I320" s="59"/>
      <c r="J320" s="59" t="s">
        <v>10486</v>
      </c>
      <c r="K320" s="20"/>
      <c r="L320" s="20">
        <v>1</v>
      </c>
      <c r="M320" s="357">
        <f>H320</f>
        <v>43618.8</v>
      </c>
      <c r="N320" s="411">
        <f>IFERROR((M320/(VLOOKUP(B320,'Data Pull Sheet'!$C:$H,6,FALSE))),"DC")</f>
        <v>1.744752E-5</v>
      </c>
      <c r="O320" s="23" t="s">
        <v>597</v>
      </c>
      <c r="P320" s="92" t="s">
        <v>632</v>
      </c>
      <c r="Q320" s="92" t="s">
        <v>637</v>
      </c>
      <c r="R320" s="372" t="str">
        <f t="shared" si="7"/>
        <v/>
      </c>
    </row>
    <row r="321" spans="1:18" x14ac:dyDescent="0.25">
      <c r="A321" s="23" t="s">
        <v>116</v>
      </c>
      <c r="B321" s="18" t="str">
        <f>IF(ISNA(VLOOKUP($A321,'Data Pull Sheet'!$B$2:$C$1795,2,0)),"",(VLOOKUP($A321,'Data Pull Sheet'!$B$2:$C$1795,2,0)))</f>
        <v>BHP</v>
      </c>
      <c r="C321" s="59" t="s">
        <v>418</v>
      </c>
      <c r="D321" s="356" t="s">
        <v>494</v>
      </c>
      <c r="E321" s="356" t="s">
        <v>495</v>
      </c>
      <c r="F321" s="23" t="s">
        <v>1001</v>
      </c>
      <c r="G321" s="23" t="s">
        <v>403</v>
      </c>
      <c r="H321" s="353">
        <v>113565.32</v>
      </c>
      <c r="I321" s="59"/>
      <c r="J321" s="59" t="s">
        <v>10487</v>
      </c>
      <c r="K321" s="20"/>
      <c r="L321" s="20">
        <v>1</v>
      </c>
      <c r="M321" s="357">
        <f>H321</f>
        <v>113565.32</v>
      </c>
      <c r="N321" s="411">
        <f>IFERROR((M321/(VLOOKUP(B321,'Data Pull Sheet'!$C:$H,6,FALSE))),"DC")</f>
        <v>4.5426128000000005E-5</v>
      </c>
      <c r="O321" s="23" t="s">
        <v>1002</v>
      </c>
      <c r="P321" s="92" t="s">
        <v>632</v>
      </c>
      <c r="Q321" s="92" t="s">
        <v>637</v>
      </c>
      <c r="R321" s="372" t="str">
        <f t="shared" si="7"/>
        <v>FF</v>
      </c>
    </row>
    <row r="322" spans="1:18" x14ac:dyDescent="0.25">
      <c r="A322" s="23" t="s">
        <v>116</v>
      </c>
      <c r="B322" s="18" t="str">
        <f>IF(ISNA(VLOOKUP($A322,'Data Pull Sheet'!$B$2:$C$1795,2,0)),"",(VLOOKUP($A322,'Data Pull Sheet'!$B$2:$C$1795,2,0)))</f>
        <v>BHP</v>
      </c>
      <c r="C322" s="59" t="s">
        <v>418</v>
      </c>
      <c r="D322" s="356" t="s">
        <v>494</v>
      </c>
      <c r="E322" s="356" t="s">
        <v>495</v>
      </c>
      <c r="F322" s="23" t="s">
        <v>1003</v>
      </c>
      <c r="G322" s="23" t="s">
        <v>417</v>
      </c>
      <c r="H322" s="353">
        <v>80192.92</v>
      </c>
      <c r="I322" s="59" t="s">
        <v>406</v>
      </c>
      <c r="J322" s="59" t="s">
        <v>10488</v>
      </c>
      <c r="K322" s="20"/>
      <c r="L322" s="20">
        <v>1</v>
      </c>
      <c r="M322" s="357">
        <f>H322</f>
        <v>80192.92</v>
      </c>
      <c r="N322" s="411">
        <f>IFERROR((M322/(VLOOKUP(B322,'Data Pull Sheet'!$C:$H,6,FALSE))),"DC")</f>
        <v>3.2077167999999998E-5</v>
      </c>
      <c r="O322" s="23" t="s">
        <v>56</v>
      </c>
      <c r="P322" s="92" t="s">
        <v>632</v>
      </c>
      <c r="Q322" s="92" t="s">
        <v>633</v>
      </c>
      <c r="R322" s="372" t="str">
        <f t="shared" ref="R322:R385" si="9">IF(COUNTIF(F:F,F322)&gt;=2,"FF","")</f>
        <v/>
      </c>
    </row>
    <row r="323" spans="1:18" ht="30" x14ac:dyDescent="0.25">
      <c r="A323" s="23" t="s">
        <v>116</v>
      </c>
      <c r="B323" s="18" t="str">
        <f>IF(ISNA(VLOOKUP($A323,'Data Pull Sheet'!$B$2:$C$1795,2,0)),"",(VLOOKUP($A323,'Data Pull Sheet'!$B$2:$C$1795,2,0)))</f>
        <v>BHP</v>
      </c>
      <c r="C323" s="59" t="s">
        <v>418</v>
      </c>
      <c r="D323" s="356" t="s">
        <v>494</v>
      </c>
      <c r="E323" s="356" t="s">
        <v>495</v>
      </c>
      <c r="F323" s="23" t="s">
        <v>1004</v>
      </c>
      <c r="G323" s="23" t="s">
        <v>403</v>
      </c>
      <c r="H323" s="353">
        <v>32179</v>
      </c>
      <c r="I323" s="59"/>
      <c r="J323" s="59" t="s">
        <v>10489</v>
      </c>
      <c r="K323" s="20"/>
      <c r="L323" s="20">
        <v>2</v>
      </c>
      <c r="M323" s="357">
        <f>SUM(H323:H324)</f>
        <v>150638</v>
      </c>
      <c r="N323" s="411">
        <f>IFERROR((M323/(VLOOKUP(B323,'Data Pull Sheet'!$C:$H,6,FALSE))),"DC")</f>
        <v>6.0255199999999999E-5</v>
      </c>
      <c r="O323" s="23" t="s">
        <v>11174</v>
      </c>
      <c r="P323" s="92" t="s">
        <v>632</v>
      </c>
      <c r="Q323" s="92" t="s">
        <v>646</v>
      </c>
      <c r="R323" s="372" t="str">
        <f t="shared" si="9"/>
        <v/>
      </c>
    </row>
    <row r="324" spans="1:18" ht="30" x14ac:dyDescent="0.25">
      <c r="A324" s="23" t="s">
        <v>116</v>
      </c>
      <c r="B324" s="18" t="str">
        <f>IF(ISNA(VLOOKUP($A324,'Data Pull Sheet'!$B$2:$C$1795,2,0)),"",(VLOOKUP($A324,'Data Pull Sheet'!$B$2:$C$1795,2,0)))</f>
        <v>BHP</v>
      </c>
      <c r="C324" s="59" t="s">
        <v>418</v>
      </c>
      <c r="D324" s="356" t="s">
        <v>494</v>
      </c>
      <c r="E324" s="356" t="s">
        <v>495</v>
      </c>
      <c r="F324" s="23" t="s">
        <v>1001</v>
      </c>
      <c r="G324" s="23" t="s">
        <v>403</v>
      </c>
      <c r="H324" s="353">
        <v>118459</v>
      </c>
      <c r="I324" s="59"/>
      <c r="J324" s="59" t="s">
        <v>10490</v>
      </c>
      <c r="K324" s="20"/>
      <c r="L324" s="20"/>
      <c r="M324" s="357"/>
      <c r="N324" s="411"/>
      <c r="O324" s="23" t="s">
        <v>11174</v>
      </c>
      <c r="P324" s="92" t="s">
        <v>632</v>
      </c>
      <c r="Q324" s="92" t="s">
        <v>646</v>
      </c>
      <c r="R324" s="372" t="str">
        <f t="shared" si="9"/>
        <v>FF</v>
      </c>
    </row>
    <row r="325" spans="1:18" ht="30" x14ac:dyDescent="0.25">
      <c r="A325" s="23" t="s">
        <v>116</v>
      </c>
      <c r="B325" s="18" t="str">
        <f>IF(ISNA(VLOOKUP($A325,'Data Pull Sheet'!$B$2:$C$1795,2,0)),"",(VLOOKUP($A325,'Data Pull Sheet'!$B$2:$C$1795,2,0)))</f>
        <v>BHP</v>
      </c>
      <c r="C325" s="59" t="s">
        <v>418</v>
      </c>
      <c r="D325" s="356" t="s">
        <v>494</v>
      </c>
      <c r="E325" s="356" t="s">
        <v>495</v>
      </c>
      <c r="F325" s="23" t="s">
        <v>115</v>
      </c>
      <c r="G325" s="23" t="s">
        <v>417</v>
      </c>
      <c r="H325" s="353">
        <v>24956.68</v>
      </c>
      <c r="I325" s="59"/>
      <c r="J325" s="59" t="s">
        <v>10491</v>
      </c>
      <c r="K325" s="20"/>
      <c r="L325" s="20">
        <v>2</v>
      </c>
      <c r="M325" s="357">
        <f>SUM(H325:H326)</f>
        <v>473049.63</v>
      </c>
      <c r="N325" s="411">
        <f>IFERROR((M325/(VLOOKUP(B325,'Data Pull Sheet'!$C:$H,6,FALSE))),"DC")</f>
        <v>1.89219852E-4</v>
      </c>
      <c r="O325" s="23" t="s">
        <v>7</v>
      </c>
      <c r="P325" s="92" t="s">
        <v>632</v>
      </c>
      <c r="Q325" s="92" t="s">
        <v>640</v>
      </c>
      <c r="R325" s="372" t="str">
        <f t="shared" si="9"/>
        <v/>
      </c>
    </row>
    <row r="326" spans="1:18" x14ac:dyDescent="0.25">
      <c r="A326" s="23" t="s">
        <v>116</v>
      </c>
      <c r="B326" s="18" t="str">
        <f>IF(ISNA(VLOOKUP($A326,'Data Pull Sheet'!$B$2:$C$1795,2,0)),"",(VLOOKUP($A326,'Data Pull Sheet'!$B$2:$C$1795,2,0)))</f>
        <v>BHP</v>
      </c>
      <c r="C326" s="59" t="s">
        <v>418</v>
      </c>
      <c r="D326" s="356" t="s">
        <v>494</v>
      </c>
      <c r="E326" s="356" t="s">
        <v>495</v>
      </c>
      <c r="F326" s="23" t="s">
        <v>118</v>
      </c>
      <c r="G326" s="23" t="s">
        <v>417</v>
      </c>
      <c r="H326" s="353">
        <v>448092.95</v>
      </c>
      <c r="I326" s="59"/>
      <c r="J326" s="59" t="s">
        <v>10492</v>
      </c>
      <c r="K326" s="20"/>
      <c r="L326" s="20"/>
      <c r="M326" s="357"/>
      <c r="N326" s="411"/>
      <c r="O326" s="23" t="s">
        <v>7</v>
      </c>
      <c r="P326" s="92" t="s">
        <v>632</v>
      </c>
      <c r="Q326" s="92" t="s">
        <v>640</v>
      </c>
      <c r="R326" s="372" t="str">
        <f t="shared" si="9"/>
        <v>FF</v>
      </c>
    </row>
    <row r="327" spans="1:18" x14ac:dyDescent="0.25">
      <c r="A327" s="23" t="s">
        <v>116</v>
      </c>
      <c r="B327" s="18" t="str">
        <f>IF(ISNA(VLOOKUP($A327,'Data Pull Sheet'!$B$2:$C$1795,2,0)),"",(VLOOKUP($A327,'Data Pull Sheet'!$B$2:$C$1795,2,0)))</f>
        <v>BHP</v>
      </c>
      <c r="C327" s="59" t="s">
        <v>418</v>
      </c>
      <c r="D327" s="356" t="s">
        <v>494</v>
      </c>
      <c r="E327" s="356" t="s">
        <v>495</v>
      </c>
      <c r="F327" s="23" t="s">
        <v>1006</v>
      </c>
      <c r="G327" s="23" t="s">
        <v>403</v>
      </c>
      <c r="H327" s="353">
        <v>59773.440000000002</v>
      </c>
      <c r="I327" s="59"/>
      <c r="J327" s="59" t="s">
        <v>10493</v>
      </c>
      <c r="K327" s="20"/>
      <c r="L327" s="20">
        <v>1</v>
      </c>
      <c r="M327" s="357">
        <f>H327</f>
        <v>59773.440000000002</v>
      </c>
      <c r="N327" s="411">
        <f>IFERROR((M327/(VLOOKUP(B327,'Data Pull Sheet'!$C:$H,6,FALSE))),"DC")</f>
        <v>2.3909375999999999E-5</v>
      </c>
      <c r="O327" s="23" t="s">
        <v>682</v>
      </c>
      <c r="P327" s="92" t="s">
        <v>632</v>
      </c>
      <c r="Q327" s="92" t="s">
        <v>637</v>
      </c>
      <c r="R327" s="372" t="str">
        <f t="shared" si="9"/>
        <v/>
      </c>
    </row>
    <row r="328" spans="1:18" ht="30" x14ac:dyDescent="0.25">
      <c r="A328" s="23" t="s">
        <v>2665</v>
      </c>
      <c r="B328" s="18" t="str">
        <f>IF(ISNA(VLOOKUP($A328,'Data Pull Sheet'!$B$2:$C$1795,2,0)),"",(VLOOKUP($A328,'Data Pull Sheet'!$B$2:$C$1795,2,0)))</f>
        <v>MTCH</v>
      </c>
      <c r="C328" s="59" t="s">
        <v>1815</v>
      </c>
      <c r="D328" s="356" t="s">
        <v>2666</v>
      </c>
      <c r="E328" s="356" t="s">
        <v>2667</v>
      </c>
      <c r="F328" s="23" t="s">
        <v>2668</v>
      </c>
      <c r="G328" s="23" t="s">
        <v>403</v>
      </c>
      <c r="H328" s="353">
        <v>7382.55</v>
      </c>
      <c r="I328" s="59"/>
      <c r="J328" s="59" t="s">
        <v>2669</v>
      </c>
      <c r="K328" s="20">
        <v>4</v>
      </c>
      <c r="L328" s="20">
        <v>2</v>
      </c>
      <c r="M328" s="357">
        <f>SUM(H328:H329)</f>
        <v>21282.55</v>
      </c>
      <c r="N328" s="411">
        <f>IFERROR((M328/(VLOOKUP(B328,'Data Pull Sheet'!$C:$H,6,FALSE))),"DC")</f>
        <v>4.7294555555555556E-4</v>
      </c>
      <c r="O328" s="23" t="s">
        <v>2670</v>
      </c>
      <c r="P328" s="92" t="s">
        <v>632</v>
      </c>
      <c r="Q328" s="92" t="s">
        <v>646</v>
      </c>
      <c r="R328" s="372" t="str">
        <f t="shared" si="9"/>
        <v/>
      </c>
    </row>
    <row r="329" spans="1:18" ht="30" x14ac:dyDescent="0.25">
      <c r="A329" s="23" t="s">
        <v>2665</v>
      </c>
      <c r="B329" s="18" t="str">
        <f>IF(ISNA(VLOOKUP($A329,'Data Pull Sheet'!$B$2:$C$1795,2,0)),"",(VLOOKUP($A329,'Data Pull Sheet'!$B$2:$C$1795,2,0)))</f>
        <v>MTCH</v>
      </c>
      <c r="C329" s="59" t="s">
        <v>1815</v>
      </c>
      <c r="D329" s="356" t="s">
        <v>2666</v>
      </c>
      <c r="E329" s="356" t="s">
        <v>2667</v>
      </c>
      <c r="F329" s="23" t="s">
        <v>2671</v>
      </c>
      <c r="G329" s="23" t="s">
        <v>403</v>
      </c>
      <c r="H329" s="353">
        <v>13900</v>
      </c>
      <c r="I329" s="59"/>
      <c r="J329" s="59" t="s">
        <v>2672</v>
      </c>
      <c r="K329" s="20"/>
      <c r="L329" s="20"/>
      <c r="M329" s="357"/>
      <c r="N329" s="411"/>
      <c r="O329" s="23" t="s">
        <v>2670</v>
      </c>
      <c r="P329" s="92" t="s">
        <v>632</v>
      </c>
      <c r="Q329" s="92" t="s">
        <v>646</v>
      </c>
      <c r="R329" s="372" t="str">
        <f t="shared" si="9"/>
        <v/>
      </c>
    </row>
    <row r="330" spans="1:18" x14ac:dyDescent="0.25">
      <c r="A330" s="23" t="s">
        <v>2665</v>
      </c>
      <c r="B330" s="18" t="str">
        <f>IF(ISNA(VLOOKUP($A330,'Data Pull Sheet'!$B$2:$C$1795,2,0)),"",(VLOOKUP($A330,'Data Pull Sheet'!$B$2:$C$1795,2,0)))</f>
        <v>MTCH</v>
      </c>
      <c r="C330" s="59" t="s">
        <v>1815</v>
      </c>
      <c r="D330" s="356" t="s">
        <v>2666</v>
      </c>
      <c r="E330" s="356" t="s">
        <v>2667</v>
      </c>
      <c r="F330" s="23" t="s">
        <v>2673</v>
      </c>
      <c r="G330" s="23" t="s">
        <v>403</v>
      </c>
      <c r="H330" s="359">
        <f>M330/2</f>
        <v>2413.04</v>
      </c>
      <c r="I330" s="59"/>
      <c r="J330" s="59" t="s">
        <v>2675</v>
      </c>
      <c r="K330" s="20"/>
      <c r="L330" s="20">
        <v>2</v>
      </c>
      <c r="M330" s="357">
        <v>4826.08</v>
      </c>
      <c r="N330" s="411">
        <f>IFERROR((M330/(VLOOKUP(B330,'Data Pull Sheet'!$C:$H,6,FALSE))),"DC")</f>
        <v>1.0724622222222221E-4</v>
      </c>
      <c r="O330" s="23" t="s">
        <v>2676</v>
      </c>
      <c r="P330" s="92" t="s">
        <v>632</v>
      </c>
      <c r="Q330" s="92" t="s">
        <v>646</v>
      </c>
      <c r="R330" s="372" t="str">
        <f t="shared" si="9"/>
        <v/>
      </c>
    </row>
    <row r="331" spans="1:18" x14ac:dyDescent="0.25">
      <c r="A331" s="23" t="s">
        <v>2665</v>
      </c>
      <c r="B331" s="18" t="str">
        <f>IF(ISNA(VLOOKUP($A331,'Data Pull Sheet'!$B$2:$C$1795,2,0)),"",(VLOOKUP($A331,'Data Pull Sheet'!$B$2:$C$1795,2,0)))</f>
        <v>MTCH</v>
      </c>
      <c r="C331" s="59" t="s">
        <v>1815</v>
      </c>
      <c r="D331" s="356" t="s">
        <v>2666</v>
      </c>
      <c r="E331" s="356" t="s">
        <v>2667</v>
      </c>
      <c r="F331" s="23" t="s">
        <v>2677</v>
      </c>
      <c r="G331" s="23" t="s">
        <v>403</v>
      </c>
      <c r="H331" s="359">
        <f>M330/2</f>
        <v>2413.04</v>
      </c>
      <c r="I331" s="59"/>
      <c r="J331" s="59" t="s">
        <v>2678</v>
      </c>
      <c r="K331" s="20"/>
      <c r="L331" s="20"/>
      <c r="M331" s="357"/>
      <c r="N331" s="411"/>
      <c r="O331" s="23" t="s">
        <v>2676</v>
      </c>
      <c r="P331" s="92" t="s">
        <v>632</v>
      </c>
      <c r="Q331" s="92" t="s">
        <v>646</v>
      </c>
      <c r="R331" s="372" t="str">
        <f t="shared" si="9"/>
        <v/>
      </c>
    </row>
    <row r="332" spans="1:18" x14ac:dyDescent="0.25">
      <c r="A332" s="23" t="s">
        <v>2665</v>
      </c>
      <c r="B332" s="18" t="str">
        <f>IF(ISNA(VLOOKUP($A332,'Data Pull Sheet'!$B$2:$C$1795,2,0)),"",(VLOOKUP($A332,'Data Pull Sheet'!$B$2:$C$1795,2,0)))</f>
        <v>MTCH</v>
      </c>
      <c r="C332" s="59" t="s">
        <v>1815</v>
      </c>
      <c r="D332" s="356" t="s">
        <v>2666</v>
      </c>
      <c r="E332" s="356" t="s">
        <v>2667</v>
      </c>
      <c r="F332" s="23" t="s">
        <v>2679</v>
      </c>
      <c r="G332" s="23" t="s">
        <v>403</v>
      </c>
      <c r="H332" s="353">
        <v>2777</v>
      </c>
      <c r="I332" s="59"/>
      <c r="J332" s="59" t="s">
        <v>2680</v>
      </c>
      <c r="K332" s="20"/>
      <c r="L332" s="20">
        <v>4</v>
      </c>
      <c r="M332" s="357">
        <f>SUM(H332:H335)</f>
        <v>28695</v>
      </c>
      <c r="N332" s="411">
        <f>IFERROR((M332/(VLOOKUP(B332,'Data Pull Sheet'!$C:$H,6,FALSE))),"DC")</f>
        <v>6.376666666666667E-4</v>
      </c>
      <c r="O332" s="23" t="s">
        <v>584</v>
      </c>
      <c r="P332" s="92" t="s">
        <v>632</v>
      </c>
      <c r="Q332" s="92" t="s">
        <v>646</v>
      </c>
      <c r="R332" s="372" t="str">
        <f t="shared" si="9"/>
        <v/>
      </c>
    </row>
    <row r="333" spans="1:18" x14ac:dyDescent="0.25">
      <c r="A333" s="23" t="s">
        <v>2665</v>
      </c>
      <c r="B333" s="18" t="str">
        <f>IF(ISNA(VLOOKUP($A333,'Data Pull Sheet'!$B$2:$C$1795,2,0)),"",(VLOOKUP($A333,'Data Pull Sheet'!$B$2:$C$1795,2,0)))</f>
        <v>MTCH</v>
      </c>
      <c r="C333" s="59" t="s">
        <v>1815</v>
      </c>
      <c r="D333" s="356" t="s">
        <v>2666</v>
      </c>
      <c r="E333" s="356" t="s">
        <v>2667</v>
      </c>
      <c r="F333" s="23" t="s">
        <v>2681</v>
      </c>
      <c r="G333" s="23" t="s">
        <v>403</v>
      </c>
      <c r="H333" s="353">
        <v>2827</v>
      </c>
      <c r="I333" s="59"/>
      <c r="J333" s="59" t="s">
        <v>2682</v>
      </c>
      <c r="K333" s="20"/>
      <c r="L333" s="20"/>
      <c r="M333" s="357"/>
      <c r="N333" s="411"/>
      <c r="O333" s="23" t="s">
        <v>584</v>
      </c>
      <c r="P333" s="92" t="s">
        <v>632</v>
      </c>
      <c r="Q333" s="92" t="s">
        <v>646</v>
      </c>
      <c r="R333" s="372" t="str">
        <f t="shared" si="9"/>
        <v/>
      </c>
    </row>
    <row r="334" spans="1:18" x14ac:dyDescent="0.25">
      <c r="A334" s="23" t="s">
        <v>2665</v>
      </c>
      <c r="B334" s="18" t="str">
        <f>IF(ISNA(VLOOKUP($A334,'Data Pull Sheet'!$B$2:$C$1795,2,0)),"",(VLOOKUP($A334,'Data Pull Sheet'!$B$2:$C$1795,2,0)))</f>
        <v>MTCH</v>
      </c>
      <c r="C334" s="59" t="s">
        <v>1815</v>
      </c>
      <c r="D334" s="356" t="s">
        <v>2666</v>
      </c>
      <c r="E334" s="356" t="s">
        <v>2667</v>
      </c>
      <c r="F334" s="23" t="s">
        <v>2683</v>
      </c>
      <c r="G334" s="23" t="s">
        <v>403</v>
      </c>
      <c r="H334" s="353">
        <v>9082</v>
      </c>
      <c r="I334" s="59"/>
      <c r="J334" s="59" t="s">
        <v>2684</v>
      </c>
      <c r="K334" s="20"/>
      <c r="L334" s="20"/>
      <c r="M334" s="357"/>
      <c r="N334" s="411"/>
      <c r="O334" s="23" t="s">
        <v>584</v>
      </c>
      <c r="P334" s="92" t="s">
        <v>632</v>
      </c>
      <c r="Q334" s="92" t="s">
        <v>646</v>
      </c>
      <c r="R334" s="372" t="str">
        <f t="shared" si="9"/>
        <v/>
      </c>
    </row>
    <row r="335" spans="1:18" x14ac:dyDescent="0.25">
      <c r="A335" s="23" t="s">
        <v>2665</v>
      </c>
      <c r="B335" s="18" t="str">
        <f>IF(ISNA(VLOOKUP($A335,'Data Pull Sheet'!$B$2:$C$1795,2,0)),"",(VLOOKUP($A335,'Data Pull Sheet'!$B$2:$C$1795,2,0)))</f>
        <v>MTCH</v>
      </c>
      <c r="C335" s="59" t="s">
        <v>1815</v>
      </c>
      <c r="D335" s="356" t="s">
        <v>2666</v>
      </c>
      <c r="E335" s="356" t="s">
        <v>2667</v>
      </c>
      <c r="F335" s="23" t="s">
        <v>2685</v>
      </c>
      <c r="G335" s="23" t="s">
        <v>403</v>
      </c>
      <c r="H335" s="353">
        <v>14009</v>
      </c>
      <c r="I335" s="59"/>
      <c r="J335" s="59" t="s">
        <v>2686</v>
      </c>
      <c r="K335" s="20"/>
      <c r="L335" s="20"/>
      <c r="M335" s="357"/>
      <c r="N335" s="411"/>
      <c r="O335" s="23" t="s">
        <v>584</v>
      </c>
      <c r="P335" s="92" t="s">
        <v>632</v>
      </c>
      <c r="Q335" s="92" t="s">
        <v>646</v>
      </c>
      <c r="R335" s="372" t="str">
        <f t="shared" si="9"/>
        <v/>
      </c>
    </row>
    <row r="336" spans="1:18" x14ac:dyDescent="0.25">
      <c r="A336" s="23" t="s">
        <v>2665</v>
      </c>
      <c r="B336" s="18" t="str">
        <f>IF(ISNA(VLOOKUP($A336,'Data Pull Sheet'!$B$2:$C$1795,2,0)),"",(VLOOKUP($A336,'Data Pull Sheet'!$B$2:$C$1795,2,0)))</f>
        <v>MTCH</v>
      </c>
      <c r="C336" s="59" t="s">
        <v>1815</v>
      </c>
      <c r="D336" s="356" t="s">
        <v>2666</v>
      </c>
      <c r="E336" s="356" t="s">
        <v>2667</v>
      </c>
      <c r="F336" s="23" t="s">
        <v>2687</v>
      </c>
      <c r="G336" s="23" t="s">
        <v>403</v>
      </c>
      <c r="H336" s="353">
        <v>1529</v>
      </c>
      <c r="I336" s="59"/>
      <c r="J336" s="59" t="s">
        <v>2688</v>
      </c>
      <c r="K336" s="20"/>
      <c r="L336" s="20">
        <v>1</v>
      </c>
      <c r="M336" s="357">
        <f t="shared" ref="M336:M341" si="10">H336</f>
        <v>1529</v>
      </c>
      <c r="N336" s="411">
        <f>IFERROR((M336/(VLOOKUP(B336,'Data Pull Sheet'!$C:$H,6,FALSE))),"DC")</f>
        <v>3.3977777777777781E-5</v>
      </c>
      <c r="O336" s="23" t="s">
        <v>2689</v>
      </c>
      <c r="P336" s="92" t="s">
        <v>632</v>
      </c>
      <c r="Q336" s="92" t="s">
        <v>637</v>
      </c>
      <c r="R336" s="372" t="str">
        <f t="shared" si="9"/>
        <v>FF</v>
      </c>
    </row>
    <row r="337" spans="1:18" x14ac:dyDescent="0.25">
      <c r="A337" s="23" t="s">
        <v>2260</v>
      </c>
      <c r="B337" s="18" t="str">
        <f>IF(ISNA(VLOOKUP($A337,'Data Pull Sheet'!$B$2:$C$1795,2,0)),"",(VLOOKUP($A337,'Data Pull Sheet'!$B$2:$C$1795,2,0)))</f>
        <v>HDP</v>
      </c>
      <c r="C337" s="59" t="s">
        <v>457</v>
      </c>
      <c r="D337" s="356" t="s">
        <v>882</v>
      </c>
      <c r="E337" s="356" t="s">
        <v>1546</v>
      </c>
      <c r="F337" s="23" t="s">
        <v>2261</v>
      </c>
      <c r="G337" s="23" t="s">
        <v>403</v>
      </c>
      <c r="H337" s="353">
        <v>99550</v>
      </c>
      <c r="I337" s="59"/>
      <c r="J337" s="59" t="s">
        <v>2262</v>
      </c>
      <c r="K337" s="20">
        <v>2</v>
      </c>
      <c r="L337" s="20">
        <v>1</v>
      </c>
      <c r="M337" s="357">
        <f t="shared" si="10"/>
        <v>99550</v>
      </c>
      <c r="N337" s="411">
        <f>IFERROR((M337/(VLOOKUP(B337,'Data Pull Sheet'!$C:$H,6,FALSE))),"DC")</f>
        <v>1.9910000000000001E-3</v>
      </c>
      <c r="O337" s="23" t="s">
        <v>79</v>
      </c>
      <c r="P337" s="92" t="s">
        <v>632</v>
      </c>
      <c r="Q337" s="92" t="s">
        <v>637</v>
      </c>
      <c r="R337" s="372" t="str">
        <f t="shared" si="9"/>
        <v/>
      </c>
    </row>
    <row r="338" spans="1:18" x14ac:dyDescent="0.25">
      <c r="A338" s="23" t="s">
        <v>2260</v>
      </c>
      <c r="B338" s="18" t="str">
        <f>IF(ISNA(VLOOKUP($A338,'Data Pull Sheet'!$B$2:$C$1795,2,0)),"",(VLOOKUP($A338,'Data Pull Sheet'!$B$2:$C$1795,2,0)))</f>
        <v>HDP</v>
      </c>
      <c r="C338" s="59" t="s">
        <v>457</v>
      </c>
      <c r="D338" s="356" t="s">
        <v>882</v>
      </c>
      <c r="E338" s="356" t="s">
        <v>1546</v>
      </c>
      <c r="F338" s="23" t="s">
        <v>2263</v>
      </c>
      <c r="G338" s="23" t="s">
        <v>403</v>
      </c>
      <c r="H338" s="353">
        <v>12536.13</v>
      </c>
      <c r="I338" s="59"/>
      <c r="J338" s="59" t="s">
        <v>2264</v>
      </c>
      <c r="K338" s="20"/>
      <c r="L338" s="20">
        <v>1</v>
      </c>
      <c r="M338" s="357">
        <f t="shared" si="10"/>
        <v>12536.13</v>
      </c>
      <c r="N338" s="411">
        <f>IFERROR((M338/(VLOOKUP(B338,'Data Pull Sheet'!$C:$H,6,FALSE))),"DC")</f>
        <v>2.5072259999999998E-4</v>
      </c>
      <c r="O338" s="23" t="s">
        <v>682</v>
      </c>
      <c r="P338" s="92" t="s">
        <v>632</v>
      </c>
      <c r="Q338" s="92" t="s">
        <v>637</v>
      </c>
      <c r="R338" s="372" t="str">
        <f t="shared" si="9"/>
        <v/>
      </c>
    </row>
    <row r="339" spans="1:18" x14ac:dyDescent="0.25">
      <c r="A339" s="23" t="s">
        <v>2032</v>
      </c>
      <c r="B339" s="18" t="str">
        <f>IF(ISNA(VLOOKUP($A339,'Data Pull Sheet'!$B$2:$C$1795,2,0)),"",(VLOOKUP($A339,'Data Pull Sheet'!$B$2:$C$1795,2,0)))</f>
        <v>WILC</v>
      </c>
      <c r="C339" s="59" t="s">
        <v>418</v>
      </c>
      <c r="D339" s="356" t="s">
        <v>882</v>
      </c>
      <c r="E339" s="356" t="s">
        <v>1546</v>
      </c>
      <c r="F339" s="23" t="s">
        <v>2033</v>
      </c>
      <c r="G339" s="23" t="s">
        <v>403</v>
      </c>
      <c r="H339" s="353">
        <v>660</v>
      </c>
      <c r="I339" s="59" t="s">
        <v>476</v>
      </c>
      <c r="J339" s="59" t="s">
        <v>2034</v>
      </c>
      <c r="K339" s="20">
        <v>3</v>
      </c>
      <c r="L339" s="20">
        <v>1</v>
      </c>
      <c r="M339" s="357">
        <f t="shared" si="10"/>
        <v>660</v>
      </c>
      <c r="N339" s="411">
        <f>IFERROR((M339/(VLOOKUP(B339,'Data Pull Sheet'!$C:$H,6,FALSE))),"DC")</f>
        <v>4.3999999999999999E-5</v>
      </c>
      <c r="O339" s="23" t="s">
        <v>597</v>
      </c>
      <c r="P339" s="92" t="s">
        <v>632</v>
      </c>
      <c r="Q339" s="92" t="s">
        <v>637</v>
      </c>
      <c r="R339" s="372" t="str">
        <f t="shared" si="9"/>
        <v/>
      </c>
    </row>
    <row r="340" spans="1:18" x14ac:dyDescent="0.25">
      <c r="A340" s="23" t="s">
        <v>2032</v>
      </c>
      <c r="B340" s="18" t="str">
        <f>IF(ISNA(VLOOKUP($A340,'Data Pull Sheet'!$B$2:$C$1795,2,0)),"",(VLOOKUP($A340,'Data Pull Sheet'!$B$2:$C$1795,2,0)))</f>
        <v>WILC</v>
      </c>
      <c r="C340" s="59" t="s">
        <v>418</v>
      </c>
      <c r="D340" s="356" t="s">
        <v>882</v>
      </c>
      <c r="E340" s="356" t="s">
        <v>1546</v>
      </c>
      <c r="F340" s="23" t="s">
        <v>2035</v>
      </c>
      <c r="G340" s="23" t="s">
        <v>403</v>
      </c>
      <c r="H340" s="353">
        <v>10108</v>
      </c>
      <c r="I340" s="59"/>
      <c r="J340" s="59" t="s">
        <v>2036</v>
      </c>
      <c r="K340" s="20"/>
      <c r="L340" s="20">
        <v>1</v>
      </c>
      <c r="M340" s="357">
        <f t="shared" si="10"/>
        <v>10108</v>
      </c>
      <c r="N340" s="411">
        <f>IFERROR((M340/(VLOOKUP(B340,'Data Pull Sheet'!$C:$H,6,FALSE))),"DC")</f>
        <v>6.7386666666666671E-4</v>
      </c>
      <c r="O340" s="23" t="s">
        <v>584</v>
      </c>
      <c r="P340" s="92" t="s">
        <v>632</v>
      </c>
      <c r="Q340" s="92" t="s">
        <v>637</v>
      </c>
      <c r="R340" s="372" t="str">
        <f t="shared" si="9"/>
        <v/>
      </c>
    </row>
    <row r="341" spans="1:18" x14ac:dyDescent="0.25">
      <c r="A341" s="23" t="s">
        <v>2032</v>
      </c>
      <c r="B341" s="18" t="str">
        <f>IF(ISNA(VLOOKUP($A341,'Data Pull Sheet'!$B$2:$C$1795,2,0)),"",(VLOOKUP($A341,'Data Pull Sheet'!$B$2:$C$1795,2,0)))</f>
        <v>WILC</v>
      </c>
      <c r="C341" s="59" t="s">
        <v>418</v>
      </c>
      <c r="D341" s="356" t="s">
        <v>882</v>
      </c>
      <c r="E341" s="356" t="s">
        <v>1546</v>
      </c>
      <c r="F341" s="23" t="s">
        <v>2037</v>
      </c>
      <c r="G341" s="23" t="s">
        <v>417</v>
      </c>
      <c r="H341" s="353">
        <v>5145.4399999999996</v>
      </c>
      <c r="I341" s="59"/>
      <c r="J341" s="59" t="s">
        <v>2038</v>
      </c>
      <c r="K341" s="20"/>
      <c r="L341" s="20">
        <v>1</v>
      </c>
      <c r="M341" s="357">
        <f t="shared" si="10"/>
        <v>5145.4399999999996</v>
      </c>
      <c r="N341" s="411">
        <f>IFERROR((M341/(VLOOKUP(B341,'Data Pull Sheet'!$C:$H,6,FALSE))),"DC")</f>
        <v>3.4302933333333333E-4</v>
      </c>
      <c r="O341" s="23" t="s">
        <v>682</v>
      </c>
      <c r="P341" s="92" t="s">
        <v>632</v>
      </c>
      <c r="Q341" s="92" t="s">
        <v>633</v>
      </c>
      <c r="R341" s="372" t="str">
        <f t="shared" si="9"/>
        <v/>
      </c>
    </row>
    <row r="342" spans="1:18" ht="30" x14ac:dyDescent="0.25">
      <c r="A342" s="23" t="s">
        <v>77</v>
      </c>
      <c r="B342" s="18" t="str">
        <f>IF(ISNA(VLOOKUP($A342,'Data Pull Sheet'!$B$2:$C$1795,2,0)),"",(VLOOKUP($A342,'Data Pull Sheet'!$B$2:$C$1795,2,0)))</f>
        <v>PTCT</v>
      </c>
      <c r="C342" s="59" t="s">
        <v>424</v>
      </c>
      <c r="D342" s="356" t="s">
        <v>477</v>
      </c>
      <c r="E342" s="356" t="s">
        <v>478</v>
      </c>
      <c r="F342" s="23" t="s">
        <v>3207</v>
      </c>
      <c r="G342" s="23" t="s">
        <v>403</v>
      </c>
      <c r="H342" s="353">
        <v>48682.559999999998</v>
      </c>
      <c r="I342" s="59"/>
      <c r="J342" s="59" t="s">
        <v>3208</v>
      </c>
      <c r="K342" s="20">
        <v>7</v>
      </c>
      <c r="L342" s="20">
        <v>3</v>
      </c>
      <c r="M342" s="357">
        <f>SUM(H342:H344)</f>
        <v>162192.35</v>
      </c>
      <c r="N342" s="411">
        <f>IFERROR((M342/(VLOOKUP(B342,'Data Pull Sheet'!$C:$H,6,FALSE))),"DC")</f>
        <v>2.9489518181818181E-4</v>
      </c>
      <c r="O342" s="23" t="s">
        <v>2310</v>
      </c>
      <c r="P342" s="92" t="s">
        <v>632</v>
      </c>
      <c r="Q342" s="92" t="s">
        <v>646</v>
      </c>
      <c r="R342" s="372" t="str">
        <f t="shared" si="9"/>
        <v/>
      </c>
    </row>
    <row r="343" spans="1:18" ht="30" x14ac:dyDescent="0.25">
      <c r="A343" s="23" t="s">
        <v>77</v>
      </c>
      <c r="B343" s="18" t="str">
        <f>IF(ISNA(VLOOKUP($A343,'Data Pull Sheet'!$B$2:$C$1795,2,0)),"",(VLOOKUP($A343,'Data Pull Sheet'!$B$2:$C$1795,2,0)))</f>
        <v>PTCT</v>
      </c>
      <c r="C343" s="59" t="s">
        <v>424</v>
      </c>
      <c r="D343" s="356" t="s">
        <v>477</v>
      </c>
      <c r="E343" s="356" t="s">
        <v>478</v>
      </c>
      <c r="F343" s="23" t="s">
        <v>3209</v>
      </c>
      <c r="G343" s="23" t="s">
        <v>403</v>
      </c>
      <c r="H343" s="353">
        <v>52349.53</v>
      </c>
      <c r="I343" s="59"/>
      <c r="J343" s="59" t="s">
        <v>3210</v>
      </c>
      <c r="K343" s="20"/>
      <c r="L343" s="20"/>
      <c r="M343" s="357"/>
      <c r="N343" s="411"/>
      <c r="O343" s="23" t="s">
        <v>2310</v>
      </c>
      <c r="P343" s="92" t="s">
        <v>632</v>
      </c>
      <c r="Q343" s="92" t="s">
        <v>646</v>
      </c>
      <c r="R343" s="372" t="str">
        <f t="shared" si="9"/>
        <v/>
      </c>
    </row>
    <row r="344" spans="1:18" ht="30" x14ac:dyDescent="0.25">
      <c r="A344" s="23" t="s">
        <v>77</v>
      </c>
      <c r="B344" s="18" t="str">
        <f>IF(ISNA(VLOOKUP($A344,'Data Pull Sheet'!$B$2:$C$1795,2,0)),"",(VLOOKUP($A344,'Data Pull Sheet'!$B$2:$C$1795,2,0)))</f>
        <v>PTCT</v>
      </c>
      <c r="C344" s="59" t="s">
        <v>424</v>
      </c>
      <c r="D344" s="356" t="s">
        <v>477</v>
      </c>
      <c r="E344" s="356" t="s">
        <v>478</v>
      </c>
      <c r="F344" s="23" t="s">
        <v>3211</v>
      </c>
      <c r="G344" s="23" t="s">
        <v>403</v>
      </c>
      <c r="H344" s="353">
        <v>61160.26</v>
      </c>
      <c r="I344" s="59"/>
      <c r="J344" s="59" t="s">
        <v>3212</v>
      </c>
      <c r="K344" s="20"/>
      <c r="L344" s="20"/>
      <c r="M344" s="357"/>
      <c r="N344" s="411"/>
      <c r="O344" s="23" t="s">
        <v>2310</v>
      </c>
      <c r="P344" s="92" t="s">
        <v>632</v>
      </c>
      <c r="Q344" s="92" t="s">
        <v>646</v>
      </c>
      <c r="R344" s="372" t="str">
        <f t="shared" si="9"/>
        <v/>
      </c>
    </row>
    <row r="345" spans="1:18" ht="30" x14ac:dyDescent="0.25">
      <c r="A345" s="23" t="s">
        <v>77</v>
      </c>
      <c r="B345" s="18" t="str">
        <f>IF(ISNA(VLOOKUP($A345,'Data Pull Sheet'!$B$2:$C$1795,2,0)),"",(VLOOKUP($A345,'Data Pull Sheet'!$B$2:$C$1795,2,0)))</f>
        <v>PTCT</v>
      </c>
      <c r="C345" s="59" t="s">
        <v>424</v>
      </c>
      <c r="D345" s="356" t="s">
        <v>477</v>
      </c>
      <c r="E345" s="356" t="s">
        <v>478</v>
      </c>
      <c r="F345" s="23" t="s">
        <v>308</v>
      </c>
      <c r="G345" s="23" t="s">
        <v>417</v>
      </c>
      <c r="H345" s="353">
        <v>931119</v>
      </c>
      <c r="I345" s="59" t="s">
        <v>406</v>
      </c>
      <c r="J345" s="59" t="s">
        <v>3213</v>
      </c>
      <c r="K345" s="20"/>
      <c r="L345" s="20">
        <v>1</v>
      </c>
      <c r="M345" s="357">
        <f>H345</f>
        <v>931119</v>
      </c>
      <c r="N345" s="411">
        <f>IFERROR((M345/(VLOOKUP(B345,'Data Pull Sheet'!$C:$H,6,FALSE))),"DC")</f>
        <v>1.6929436363636364E-3</v>
      </c>
      <c r="O345" s="23" t="s">
        <v>309</v>
      </c>
      <c r="P345" s="92" t="s">
        <v>632</v>
      </c>
      <c r="Q345" s="92" t="s">
        <v>633</v>
      </c>
      <c r="R345" s="372" t="str">
        <f t="shared" si="9"/>
        <v>FF</v>
      </c>
    </row>
    <row r="346" spans="1:18" ht="30" x14ac:dyDescent="0.25">
      <c r="A346" s="23" t="s">
        <v>77</v>
      </c>
      <c r="B346" s="18" t="str">
        <f>IF(ISNA(VLOOKUP($A346,'Data Pull Sheet'!$B$2:$C$1795,2,0)),"",(VLOOKUP($A346,'Data Pull Sheet'!$B$2:$C$1795,2,0)))</f>
        <v>PTCT</v>
      </c>
      <c r="C346" s="59" t="s">
        <v>424</v>
      </c>
      <c r="D346" s="356" t="s">
        <v>477</v>
      </c>
      <c r="E346" s="356" t="s">
        <v>478</v>
      </c>
      <c r="F346" s="23" t="s">
        <v>69</v>
      </c>
      <c r="G346" s="23" t="s">
        <v>417</v>
      </c>
      <c r="H346" s="353">
        <v>1355286.87</v>
      </c>
      <c r="I346" s="59" t="s">
        <v>406</v>
      </c>
      <c r="J346" s="59" t="s">
        <v>3214</v>
      </c>
      <c r="K346" s="20"/>
      <c r="L346" s="20">
        <v>1</v>
      </c>
      <c r="M346" s="357">
        <f>H346</f>
        <v>1355286.87</v>
      </c>
      <c r="N346" s="411">
        <f>IFERROR((M346/(VLOOKUP(B346,'Data Pull Sheet'!$C:$H,6,FALSE))),"DC")</f>
        <v>2.4641579454545456E-3</v>
      </c>
      <c r="O346" s="23" t="s">
        <v>3215</v>
      </c>
      <c r="P346" s="92" t="s">
        <v>632</v>
      </c>
      <c r="Q346" s="92" t="s">
        <v>633</v>
      </c>
      <c r="R346" s="372" t="str">
        <f t="shared" si="9"/>
        <v>FF</v>
      </c>
    </row>
    <row r="347" spans="1:18" x14ac:dyDescent="0.25">
      <c r="A347" s="23" t="s">
        <v>77</v>
      </c>
      <c r="B347" s="18" t="str">
        <f>IF(ISNA(VLOOKUP($A347,'Data Pull Sheet'!$B$2:$C$1795,2,0)),"",(VLOOKUP($A347,'Data Pull Sheet'!$B$2:$C$1795,2,0)))</f>
        <v>PTCT</v>
      </c>
      <c r="C347" s="59" t="s">
        <v>424</v>
      </c>
      <c r="D347" s="356" t="s">
        <v>477</v>
      </c>
      <c r="E347" s="356" t="s">
        <v>478</v>
      </c>
      <c r="F347" s="23" t="s">
        <v>3216</v>
      </c>
      <c r="G347" s="23" t="s">
        <v>403</v>
      </c>
      <c r="H347" s="353">
        <v>4691.6000000000004</v>
      </c>
      <c r="I347" s="59"/>
      <c r="J347" s="59" t="s">
        <v>3217</v>
      </c>
      <c r="K347" s="20"/>
      <c r="L347" s="20">
        <v>4</v>
      </c>
      <c r="M347" s="357">
        <f>SUM(H347:H350)</f>
        <v>1285865.56</v>
      </c>
      <c r="N347" s="411">
        <f>IFERROR((M347/(VLOOKUP(B347,'Data Pull Sheet'!$C:$H,6,FALSE))),"DC")</f>
        <v>2.3379373818181821E-3</v>
      </c>
      <c r="O347" s="23" t="s">
        <v>63</v>
      </c>
      <c r="P347" s="92" t="s">
        <v>632</v>
      </c>
      <c r="Q347" s="92" t="s">
        <v>646</v>
      </c>
      <c r="R347" s="372" t="str">
        <f t="shared" si="9"/>
        <v/>
      </c>
    </row>
    <row r="348" spans="1:18" x14ac:dyDescent="0.25">
      <c r="A348" s="23" t="s">
        <v>77</v>
      </c>
      <c r="B348" s="18" t="str">
        <f>IF(ISNA(VLOOKUP($A348,'Data Pull Sheet'!$B$2:$C$1795,2,0)),"",(VLOOKUP($A348,'Data Pull Sheet'!$B$2:$C$1795,2,0)))</f>
        <v>PTCT</v>
      </c>
      <c r="C348" s="59" t="s">
        <v>424</v>
      </c>
      <c r="D348" s="356" t="s">
        <v>477</v>
      </c>
      <c r="E348" s="356" t="s">
        <v>478</v>
      </c>
      <c r="F348" s="23" t="s">
        <v>3218</v>
      </c>
      <c r="G348" s="23" t="s">
        <v>403</v>
      </c>
      <c r="H348" s="353">
        <v>100566.8</v>
      </c>
      <c r="I348" s="59" t="s">
        <v>406</v>
      </c>
      <c r="J348" s="59" t="s">
        <v>3219</v>
      </c>
      <c r="K348" s="20"/>
      <c r="L348" s="20"/>
      <c r="M348" s="357"/>
      <c r="N348" s="411"/>
      <c r="O348" s="23" t="s">
        <v>63</v>
      </c>
      <c r="P348" s="92" t="s">
        <v>632</v>
      </c>
      <c r="Q348" s="92" t="s">
        <v>646</v>
      </c>
      <c r="R348" s="372" t="str">
        <f t="shared" si="9"/>
        <v/>
      </c>
    </row>
    <row r="349" spans="1:18" x14ac:dyDescent="0.25">
      <c r="A349" s="23" t="s">
        <v>77</v>
      </c>
      <c r="B349" s="18" t="str">
        <f>IF(ISNA(VLOOKUP($A349,'Data Pull Sheet'!$B$2:$C$1795,2,0)),"",(VLOOKUP($A349,'Data Pull Sheet'!$B$2:$C$1795,2,0)))</f>
        <v>PTCT</v>
      </c>
      <c r="C349" s="59" t="s">
        <v>424</v>
      </c>
      <c r="D349" s="356" t="s">
        <v>477</v>
      </c>
      <c r="E349" s="356" t="s">
        <v>478</v>
      </c>
      <c r="F349" s="23" t="s">
        <v>3220</v>
      </c>
      <c r="G349" s="23" t="s">
        <v>403</v>
      </c>
      <c r="H349" s="353">
        <v>502023.69</v>
      </c>
      <c r="I349" s="59"/>
      <c r="J349" s="59" t="s">
        <v>3221</v>
      </c>
      <c r="K349" s="20"/>
      <c r="L349" s="20"/>
      <c r="M349" s="357"/>
      <c r="N349" s="411"/>
      <c r="O349" s="23" t="s">
        <v>63</v>
      </c>
      <c r="P349" s="92" t="s">
        <v>632</v>
      </c>
      <c r="Q349" s="92" t="s">
        <v>646</v>
      </c>
      <c r="R349" s="372" t="str">
        <f t="shared" si="9"/>
        <v/>
      </c>
    </row>
    <row r="350" spans="1:18" x14ac:dyDescent="0.25">
      <c r="A350" s="23" t="s">
        <v>77</v>
      </c>
      <c r="B350" s="18" t="str">
        <f>IF(ISNA(VLOOKUP($A350,'Data Pull Sheet'!$B$2:$C$1795,2,0)),"",(VLOOKUP($A350,'Data Pull Sheet'!$B$2:$C$1795,2,0)))</f>
        <v>PTCT</v>
      </c>
      <c r="C350" s="59" t="s">
        <v>424</v>
      </c>
      <c r="D350" s="356" t="s">
        <v>477</v>
      </c>
      <c r="E350" s="356" t="s">
        <v>478</v>
      </c>
      <c r="F350" s="23" t="s">
        <v>3222</v>
      </c>
      <c r="G350" s="23" t="s">
        <v>403</v>
      </c>
      <c r="H350" s="353">
        <v>678583.47</v>
      </c>
      <c r="I350" s="59"/>
      <c r="J350" s="59" t="s">
        <v>3223</v>
      </c>
      <c r="K350" s="20"/>
      <c r="L350" s="20"/>
      <c r="M350" s="357"/>
      <c r="N350" s="411"/>
      <c r="O350" s="23" t="s">
        <v>63</v>
      </c>
      <c r="P350" s="92" t="s">
        <v>632</v>
      </c>
      <c r="Q350" s="92" t="s">
        <v>646</v>
      </c>
      <c r="R350" s="372" t="str">
        <f t="shared" si="9"/>
        <v/>
      </c>
    </row>
    <row r="351" spans="1:18" x14ac:dyDescent="0.25">
      <c r="A351" s="23" t="s">
        <v>77</v>
      </c>
      <c r="B351" s="18" t="str">
        <f>IF(ISNA(VLOOKUP($A351,'Data Pull Sheet'!$B$2:$C$1795,2,0)),"",(VLOOKUP($A351,'Data Pull Sheet'!$B$2:$C$1795,2,0)))</f>
        <v>PTCT</v>
      </c>
      <c r="C351" s="59" t="s">
        <v>424</v>
      </c>
      <c r="D351" s="356" t="s">
        <v>477</v>
      </c>
      <c r="E351" s="356" t="s">
        <v>478</v>
      </c>
      <c r="F351" s="23" t="s">
        <v>175</v>
      </c>
      <c r="G351" s="23" t="s">
        <v>417</v>
      </c>
      <c r="H351" s="353">
        <v>382312</v>
      </c>
      <c r="I351" s="59" t="s">
        <v>413</v>
      </c>
      <c r="J351" s="59" t="s">
        <v>3224</v>
      </c>
      <c r="K351" s="20"/>
      <c r="L351" s="20">
        <v>2</v>
      </c>
      <c r="M351" s="357">
        <f>SUM(H351:H352)</f>
        <v>1032727</v>
      </c>
      <c r="N351" s="411">
        <f>IFERROR((M351/(VLOOKUP(B351,'Data Pull Sheet'!$C:$H,6,FALSE))),"DC")</f>
        <v>1.8776854545454545E-3</v>
      </c>
      <c r="O351" s="23" t="s">
        <v>3225</v>
      </c>
      <c r="P351" s="92" t="s">
        <v>632</v>
      </c>
      <c r="Q351" s="92" t="s">
        <v>3074</v>
      </c>
      <c r="R351" s="372" t="str">
        <f t="shared" si="9"/>
        <v>FF</v>
      </c>
    </row>
    <row r="352" spans="1:18" x14ac:dyDescent="0.25">
      <c r="A352" s="23" t="s">
        <v>77</v>
      </c>
      <c r="B352" s="18" t="str">
        <f>IF(ISNA(VLOOKUP($A352,'Data Pull Sheet'!$B$2:$C$1795,2,0)),"",(VLOOKUP($A352,'Data Pull Sheet'!$B$2:$C$1795,2,0)))</f>
        <v>PTCT</v>
      </c>
      <c r="C352" s="59" t="s">
        <v>424</v>
      </c>
      <c r="D352" s="356" t="s">
        <v>477</v>
      </c>
      <c r="E352" s="356" t="s">
        <v>478</v>
      </c>
      <c r="F352" s="23" t="s">
        <v>3226</v>
      </c>
      <c r="G352" s="23" t="s">
        <v>417</v>
      </c>
      <c r="H352" s="353">
        <v>650415</v>
      </c>
      <c r="I352" s="59" t="s">
        <v>413</v>
      </c>
      <c r="J352" s="59" t="s">
        <v>3227</v>
      </c>
      <c r="K352" s="20"/>
      <c r="L352" s="20"/>
      <c r="M352" s="357"/>
      <c r="N352" s="411"/>
      <c r="O352" s="23" t="s">
        <v>3225</v>
      </c>
      <c r="P352" s="92" t="s">
        <v>632</v>
      </c>
      <c r="Q352" s="92" t="s">
        <v>3074</v>
      </c>
      <c r="R352" s="372" t="str">
        <f t="shared" si="9"/>
        <v>FF</v>
      </c>
    </row>
    <row r="353" spans="1:18" x14ac:dyDescent="0.25">
      <c r="A353" s="23" t="s">
        <v>77</v>
      </c>
      <c r="B353" s="18" t="str">
        <f>IF(ISNA(VLOOKUP($A353,'Data Pull Sheet'!$B$2:$C$1795,2,0)),"",(VLOOKUP($A353,'Data Pull Sheet'!$B$2:$C$1795,2,0)))</f>
        <v>PTCT</v>
      </c>
      <c r="C353" s="59" t="s">
        <v>424</v>
      </c>
      <c r="D353" s="356" t="s">
        <v>477</v>
      </c>
      <c r="E353" s="356" t="s">
        <v>478</v>
      </c>
      <c r="F353" s="23" t="s">
        <v>3228</v>
      </c>
      <c r="G353" s="23" t="s">
        <v>403</v>
      </c>
      <c r="H353" s="353">
        <v>264115</v>
      </c>
      <c r="I353" s="59"/>
      <c r="J353" s="59" t="s">
        <v>3229</v>
      </c>
      <c r="K353" s="20"/>
      <c r="L353" s="20">
        <v>1</v>
      </c>
      <c r="M353" s="357">
        <f t="shared" ref="M353:M358" si="11">H353</f>
        <v>264115</v>
      </c>
      <c r="N353" s="411">
        <f>IFERROR((M353/(VLOOKUP(B353,'Data Pull Sheet'!$C:$H,6,FALSE))),"DC")</f>
        <v>4.8020909090909091E-4</v>
      </c>
      <c r="O353" s="23" t="s">
        <v>2897</v>
      </c>
      <c r="P353" s="92" t="s">
        <v>632</v>
      </c>
      <c r="Q353" s="92" t="s">
        <v>637</v>
      </c>
      <c r="R353" s="372" t="str">
        <f t="shared" si="9"/>
        <v/>
      </c>
    </row>
    <row r="354" spans="1:18" x14ac:dyDescent="0.25">
      <c r="A354" s="23" t="s">
        <v>77</v>
      </c>
      <c r="B354" s="18" t="str">
        <f>IF(ISNA(VLOOKUP($A354,'Data Pull Sheet'!$B$2:$C$1795,2,0)),"",(VLOOKUP($A354,'Data Pull Sheet'!$B$2:$C$1795,2,0)))</f>
        <v>PTCT</v>
      </c>
      <c r="C354" s="59" t="s">
        <v>424</v>
      </c>
      <c r="D354" s="356" t="s">
        <v>477</v>
      </c>
      <c r="E354" s="356" t="s">
        <v>478</v>
      </c>
      <c r="F354" s="23" t="s">
        <v>3230</v>
      </c>
      <c r="G354" s="23" t="s">
        <v>403</v>
      </c>
      <c r="H354" s="353">
        <v>82725.7</v>
      </c>
      <c r="I354" s="59"/>
      <c r="J354" s="59" t="s">
        <v>3231</v>
      </c>
      <c r="K354" s="20"/>
      <c r="L354" s="20">
        <v>1</v>
      </c>
      <c r="M354" s="357">
        <f t="shared" si="11"/>
        <v>82725.7</v>
      </c>
      <c r="N354" s="411">
        <f>IFERROR((M354/(VLOOKUP(B354,'Data Pull Sheet'!$C:$H,6,FALSE))),"DC")</f>
        <v>1.5041036363636363E-4</v>
      </c>
      <c r="O354" s="23" t="s">
        <v>682</v>
      </c>
      <c r="P354" s="92" t="s">
        <v>632</v>
      </c>
      <c r="Q354" s="92" t="s">
        <v>637</v>
      </c>
      <c r="R354" s="372" t="str">
        <f t="shared" si="9"/>
        <v/>
      </c>
    </row>
    <row r="355" spans="1:18" x14ac:dyDescent="0.25">
      <c r="A355" s="23" t="s">
        <v>3386</v>
      </c>
      <c r="B355" s="18" t="str">
        <f>IF(ISNA(VLOOKUP($A355,'Data Pull Sheet'!$B$2:$C$1795,2,0)),"",(VLOOKUP($A355,'Data Pull Sheet'!$B$2:$C$1795,2,0)))</f>
        <v>SRE</v>
      </c>
      <c r="C355" s="59" t="s">
        <v>557</v>
      </c>
      <c r="D355" s="356" t="s">
        <v>882</v>
      </c>
      <c r="E355" s="356" t="s">
        <v>478</v>
      </c>
      <c r="F355" s="23" t="s">
        <v>3387</v>
      </c>
      <c r="G355" s="23" t="s">
        <v>403</v>
      </c>
      <c r="H355" s="353">
        <v>2419.3000000000002</v>
      </c>
      <c r="I355" s="59"/>
      <c r="J355" s="59" t="s">
        <v>3388</v>
      </c>
      <c r="K355" s="20">
        <v>2</v>
      </c>
      <c r="L355" s="20">
        <v>1</v>
      </c>
      <c r="M355" s="357">
        <f t="shared" si="11"/>
        <v>2419.3000000000002</v>
      </c>
      <c r="N355" s="411">
        <f>IFERROR((M355/(VLOOKUP(B355,'Data Pull Sheet'!$C:$H,6,FALSE))),"DC")</f>
        <v>2.764914285714286E-6</v>
      </c>
      <c r="O355" s="23" t="s">
        <v>63</v>
      </c>
      <c r="P355" s="92" t="s">
        <v>632</v>
      </c>
      <c r="Q355" s="92" t="s">
        <v>637</v>
      </c>
      <c r="R355" s="372" t="str">
        <f t="shared" si="9"/>
        <v/>
      </c>
    </row>
    <row r="356" spans="1:18" x14ac:dyDescent="0.25">
      <c r="A356" s="23" t="s">
        <v>3386</v>
      </c>
      <c r="B356" s="18" t="str">
        <f>IF(ISNA(VLOOKUP($A356,'Data Pull Sheet'!$B$2:$C$1795,2,0)),"",(VLOOKUP($A356,'Data Pull Sheet'!$B$2:$C$1795,2,0)))</f>
        <v>SRE</v>
      </c>
      <c r="C356" s="59" t="s">
        <v>557</v>
      </c>
      <c r="D356" s="356" t="s">
        <v>882</v>
      </c>
      <c r="E356" s="356" t="s">
        <v>478</v>
      </c>
      <c r="F356" s="23" t="s">
        <v>3389</v>
      </c>
      <c r="G356" s="23" t="s">
        <v>403</v>
      </c>
      <c r="H356" s="353">
        <v>1792</v>
      </c>
      <c r="I356" s="59"/>
      <c r="J356" s="59" t="s">
        <v>6710</v>
      </c>
      <c r="K356" s="20"/>
      <c r="L356" s="20">
        <v>1</v>
      </c>
      <c r="M356" s="357">
        <f t="shared" si="11"/>
        <v>1792</v>
      </c>
      <c r="N356" s="411">
        <f>IFERROR((M356/(VLOOKUP(B356,'Data Pull Sheet'!$C:$H,6,FALSE))),"DC")</f>
        <v>2.0480000000000001E-6</v>
      </c>
      <c r="O356" s="23" t="s">
        <v>675</v>
      </c>
      <c r="P356" s="92" t="s">
        <v>632</v>
      </c>
      <c r="Q356" s="92" t="s">
        <v>637</v>
      </c>
      <c r="R356" s="372" t="str">
        <f t="shared" si="9"/>
        <v/>
      </c>
    </row>
    <row r="357" spans="1:18" ht="30" x14ac:dyDescent="0.25">
      <c r="A357" s="23" t="s">
        <v>3696</v>
      </c>
      <c r="B357" s="18" t="str">
        <f>IF(ISNA(VLOOKUP($A357,'Data Pull Sheet'!$B$2:$C$1795,2,0)),"",(VLOOKUP($A357,'Data Pull Sheet'!$B$2:$C$1795,2,0)))</f>
        <v>TK</v>
      </c>
      <c r="C357" s="59" t="s">
        <v>480</v>
      </c>
      <c r="D357" s="356" t="s">
        <v>3697</v>
      </c>
      <c r="E357" s="356" t="s">
        <v>478</v>
      </c>
      <c r="F357" s="23" t="s">
        <v>3698</v>
      </c>
      <c r="G357" s="23" t="s">
        <v>403</v>
      </c>
      <c r="H357" s="353">
        <v>204539.73</v>
      </c>
      <c r="I357" s="59"/>
      <c r="J357" s="59" t="s">
        <v>3699</v>
      </c>
      <c r="K357" s="20">
        <v>3</v>
      </c>
      <c r="L357" s="20">
        <v>1</v>
      </c>
      <c r="M357" s="357">
        <f t="shared" si="11"/>
        <v>204539.73</v>
      </c>
      <c r="N357" s="411">
        <f>IFERROR((M357/(VLOOKUP(B357,'Data Pull Sheet'!$C:$H,6,FALSE))),"DC")</f>
        <v>8.1815892000000005E-4</v>
      </c>
      <c r="O357" s="23" t="s">
        <v>3700</v>
      </c>
      <c r="P357" s="92" t="s">
        <v>632</v>
      </c>
      <c r="Q357" s="92" t="s">
        <v>637</v>
      </c>
      <c r="R357" s="372" t="str">
        <f t="shared" si="9"/>
        <v/>
      </c>
    </row>
    <row r="358" spans="1:18" x14ac:dyDescent="0.25">
      <c r="A358" s="23" t="s">
        <v>3696</v>
      </c>
      <c r="B358" s="18" t="str">
        <f>IF(ISNA(VLOOKUP($A358,'Data Pull Sheet'!$B$2:$C$1795,2,0)),"",(VLOOKUP($A358,'Data Pull Sheet'!$B$2:$C$1795,2,0)))</f>
        <v>TK</v>
      </c>
      <c r="C358" s="59" t="s">
        <v>480</v>
      </c>
      <c r="D358" s="356" t="s">
        <v>3697</v>
      </c>
      <c r="E358" s="356" t="s">
        <v>478</v>
      </c>
      <c r="F358" s="23" t="s">
        <v>3701</v>
      </c>
      <c r="G358" s="23" t="s">
        <v>417</v>
      </c>
      <c r="H358" s="353">
        <v>506482.14</v>
      </c>
      <c r="I358" s="59" t="s">
        <v>442</v>
      </c>
      <c r="J358" s="59" t="s">
        <v>3702</v>
      </c>
      <c r="K358" s="20"/>
      <c r="L358" s="20">
        <v>1</v>
      </c>
      <c r="M358" s="357">
        <f t="shared" si="11"/>
        <v>506482.14</v>
      </c>
      <c r="N358" s="411">
        <f>IFERROR((M358/(VLOOKUP(B358,'Data Pull Sheet'!$C:$H,6,FALSE))),"DC")</f>
        <v>2.0259285600000001E-3</v>
      </c>
      <c r="O358" s="23" t="s">
        <v>10816</v>
      </c>
      <c r="P358" s="92" t="s">
        <v>632</v>
      </c>
      <c r="Q358" s="92" t="s">
        <v>633</v>
      </c>
      <c r="R358" s="372" t="str">
        <f t="shared" si="9"/>
        <v/>
      </c>
    </row>
    <row r="359" spans="1:18" x14ac:dyDescent="0.25">
      <c r="A359" s="23" t="s">
        <v>3696</v>
      </c>
      <c r="B359" s="18" t="str">
        <f>IF(ISNA(VLOOKUP($A359,'Data Pull Sheet'!$B$2:$C$1795,2,0)),"",(VLOOKUP($A359,'Data Pull Sheet'!$B$2:$C$1795,2,0)))</f>
        <v>TK</v>
      </c>
      <c r="C359" s="59" t="s">
        <v>480</v>
      </c>
      <c r="D359" s="356" t="s">
        <v>3697</v>
      </c>
      <c r="E359" s="356" t="s">
        <v>478</v>
      </c>
      <c r="F359" s="23" t="s">
        <v>3704</v>
      </c>
      <c r="G359" s="23" t="s">
        <v>403</v>
      </c>
      <c r="H359" s="353">
        <v>25222.38</v>
      </c>
      <c r="I359" s="59" t="s">
        <v>406</v>
      </c>
      <c r="J359" s="59" t="s">
        <v>3705</v>
      </c>
      <c r="K359" s="20"/>
      <c r="L359" s="20">
        <v>2</v>
      </c>
      <c r="M359" s="357">
        <f>SUM(H359:H360)</f>
        <v>76678.559999999998</v>
      </c>
      <c r="N359" s="411">
        <f>IFERROR((M359/(VLOOKUP(B359,'Data Pull Sheet'!$C:$H,6,FALSE))),"DC")</f>
        <v>3.0671423999999999E-4</v>
      </c>
      <c r="O359" s="23" t="s">
        <v>8986</v>
      </c>
      <c r="P359" s="92" t="s">
        <v>632</v>
      </c>
      <c r="Q359" s="92" t="s">
        <v>646</v>
      </c>
      <c r="R359" s="372" t="str">
        <f t="shared" si="9"/>
        <v/>
      </c>
    </row>
    <row r="360" spans="1:18" x14ac:dyDescent="0.25">
      <c r="A360" s="23" t="s">
        <v>3696</v>
      </c>
      <c r="B360" s="18" t="str">
        <f>IF(ISNA(VLOOKUP($A360,'Data Pull Sheet'!$B$2:$C$1795,2,0)),"",(VLOOKUP($A360,'Data Pull Sheet'!$B$2:$C$1795,2,0)))</f>
        <v>TK</v>
      </c>
      <c r="C360" s="59" t="s">
        <v>480</v>
      </c>
      <c r="D360" s="356" t="s">
        <v>3697</v>
      </c>
      <c r="E360" s="356" t="s">
        <v>478</v>
      </c>
      <c r="F360" s="23" t="s">
        <v>3706</v>
      </c>
      <c r="G360" s="23" t="s">
        <v>403</v>
      </c>
      <c r="H360" s="353">
        <v>51456.18</v>
      </c>
      <c r="I360" s="59" t="s">
        <v>406</v>
      </c>
      <c r="J360" s="59" t="s">
        <v>3707</v>
      </c>
      <c r="K360" s="20"/>
      <c r="L360" s="20"/>
      <c r="M360" s="357"/>
      <c r="N360" s="411"/>
      <c r="O360" s="23" t="s">
        <v>8986</v>
      </c>
      <c r="P360" s="92" t="s">
        <v>632</v>
      </c>
      <c r="Q360" s="92" t="s">
        <v>646</v>
      </c>
      <c r="R360" s="372" t="str">
        <f t="shared" si="9"/>
        <v/>
      </c>
    </row>
    <row r="361" spans="1:18" x14ac:dyDescent="0.25">
      <c r="A361" s="23" t="s">
        <v>3351</v>
      </c>
      <c r="B361" s="18" t="s">
        <v>10679</v>
      </c>
      <c r="C361" s="59" t="s">
        <v>418</v>
      </c>
      <c r="D361" s="356" t="s">
        <v>501</v>
      </c>
      <c r="E361" s="356" t="s">
        <v>2390</v>
      </c>
      <c r="F361" s="23" t="s">
        <v>3352</v>
      </c>
      <c r="G361" s="23" t="s">
        <v>403</v>
      </c>
      <c r="H361" s="353">
        <v>64669.23</v>
      </c>
      <c r="I361" s="59"/>
      <c r="J361" s="59" t="s">
        <v>10685</v>
      </c>
      <c r="K361" s="20">
        <v>2</v>
      </c>
      <c r="L361" s="20">
        <v>1</v>
      </c>
      <c r="M361" s="357">
        <f>H361</f>
        <v>64669.23</v>
      </c>
      <c r="N361" s="411">
        <f>IFERROR((M361/(VLOOKUP(B361,'Data Pull Sheet'!$C:$H,6,FALSE))),"DC")</f>
        <v>1.4370940000000001E-3</v>
      </c>
      <c r="O361" s="23" t="s">
        <v>597</v>
      </c>
      <c r="P361" s="92" t="s">
        <v>632</v>
      </c>
      <c r="Q361" s="92" t="s">
        <v>637</v>
      </c>
      <c r="R361" s="372" t="str">
        <f t="shared" si="9"/>
        <v/>
      </c>
    </row>
    <row r="362" spans="1:18" x14ac:dyDescent="0.25">
      <c r="A362" s="23" t="s">
        <v>3351</v>
      </c>
      <c r="B362" s="18" t="s">
        <v>10679</v>
      </c>
      <c r="C362" s="59" t="s">
        <v>418</v>
      </c>
      <c r="D362" s="356" t="s">
        <v>501</v>
      </c>
      <c r="E362" s="356" t="s">
        <v>2390</v>
      </c>
      <c r="F362" s="23" t="s">
        <v>3353</v>
      </c>
      <c r="G362" s="23" t="s">
        <v>403</v>
      </c>
      <c r="H362" s="353">
        <v>39438</v>
      </c>
      <c r="I362" s="59"/>
      <c r="J362" s="59" t="s">
        <v>10686</v>
      </c>
      <c r="K362" s="20"/>
      <c r="L362" s="20">
        <v>2</v>
      </c>
      <c r="M362" s="357">
        <f>SUM(H362:H363)</f>
        <v>86238</v>
      </c>
      <c r="N362" s="411">
        <f>IFERROR((M362/(VLOOKUP(B362,'Data Pull Sheet'!$C:$H,6,FALSE))),"DC")</f>
        <v>1.9164E-3</v>
      </c>
      <c r="O362" s="23" t="s">
        <v>682</v>
      </c>
      <c r="P362" s="92" t="s">
        <v>632</v>
      </c>
      <c r="Q362" s="92" t="s">
        <v>646</v>
      </c>
      <c r="R362" s="372" t="str">
        <f t="shared" si="9"/>
        <v/>
      </c>
    </row>
    <row r="363" spans="1:18" x14ac:dyDescent="0.25">
      <c r="A363" s="23" t="s">
        <v>3351</v>
      </c>
      <c r="B363" s="18" t="s">
        <v>10679</v>
      </c>
      <c r="C363" s="59" t="s">
        <v>418</v>
      </c>
      <c r="D363" s="356" t="s">
        <v>501</v>
      </c>
      <c r="E363" s="356" t="s">
        <v>2390</v>
      </c>
      <c r="F363" s="23" t="s">
        <v>3354</v>
      </c>
      <c r="G363" s="23" t="s">
        <v>403</v>
      </c>
      <c r="H363" s="353">
        <v>46800</v>
      </c>
      <c r="I363" s="59"/>
      <c r="J363" s="59" t="s">
        <v>10687</v>
      </c>
      <c r="K363" s="20"/>
      <c r="L363" s="20"/>
      <c r="M363" s="357"/>
      <c r="N363" s="411"/>
      <c r="O363" s="23" t="s">
        <v>682</v>
      </c>
      <c r="P363" s="92" t="s">
        <v>632</v>
      </c>
      <c r="Q363" s="92" t="s">
        <v>646</v>
      </c>
      <c r="R363" s="372" t="str">
        <f t="shared" si="9"/>
        <v/>
      </c>
    </row>
    <row r="364" spans="1:18" x14ac:dyDescent="0.25">
      <c r="A364" s="23" t="s">
        <v>3203</v>
      </c>
      <c r="B364" s="18" t="str">
        <f>IF(ISNA(VLOOKUP($A364,'Data Pull Sheet'!$B$2:$C$1795,2,0)),"",(VLOOKUP($A364,'Data Pull Sheet'!$B$2:$C$1795,2,0)))</f>
        <v>PTC</v>
      </c>
      <c r="C364" s="59" t="s">
        <v>409</v>
      </c>
      <c r="D364" s="356" t="s">
        <v>605</v>
      </c>
      <c r="E364" s="356" t="s">
        <v>3204</v>
      </c>
      <c r="F364" s="23" t="s">
        <v>3205</v>
      </c>
      <c r="G364" s="23" t="s">
        <v>403</v>
      </c>
      <c r="H364" s="353">
        <v>160.53</v>
      </c>
      <c r="I364" s="59"/>
      <c r="J364" s="59" t="s">
        <v>3206</v>
      </c>
      <c r="K364" s="20">
        <v>1</v>
      </c>
      <c r="L364" s="20">
        <v>1</v>
      </c>
      <c r="M364" s="357">
        <f>H364</f>
        <v>160.53</v>
      </c>
      <c r="N364" s="411">
        <f>IFERROR((M364/(VLOOKUP(B364,'Data Pull Sheet'!$C:$H,6,FALSE))),"DC")</f>
        <v>1.6053000000000001E-6</v>
      </c>
      <c r="O364" s="23" t="s">
        <v>2326</v>
      </c>
      <c r="P364" s="92" t="s">
        <v>676</v>
      </c>
      <c r="Q364" s="92" t="s">
        <v>637</v>
      </c>
      <c r="R364" s="372" t="str">
        <f t="shared" si="9"/>
        <v/>
      </c>
    </row>
    <row r="365" spans="1:18" x14ac:dyDescent="0.25">
      <c r="A365" s="23" t="s">
        <v>4137</v>
      </c>
      <c r="B365" s="18" t="str">
        <f>IF(ISNA(VLOOKUP($A365,'Data Pull Sheet'!$B$2:$C$1795,2,0)),"",(VLOOKUP($A365,'Data Pull Sheet'!$B$2:$C$1795,2,0)))</f>
        <v>WPZ</v>
      </c>
      <c r="C365" s="59" t="s">
        <v>4138</v>
      </c>
      <c r="D365" s="356" t="s">
        <v>605</v>
      </c>
      <c r="E365" s="356" t="s">
        <v>3204</v>
      </c>
      <c r="F365" s="23" t="s">
        <v>4139</v>
      </c>
      <c r="G365" s="23" t="s">
        <v>403</v>
      </c>
      <c r="H365" s="353">
        <v>6783.94</v>
      </c>
      <c r="I365" s="59"/>
      <c r="J365" s="59" t="s">
        <v>4140</v>
      </c>
      <c r="K365" s="20">
        <v>3</v>
      </c>
      <c r="L365" s="20">
        <v>1</v>
      </c>
      <c r="M365" s="357">
        <f>H365</f>
        <v>6783.94</v>
      </c>
      <c r="N365" s="411">
        <f>IFERROR((M365/(VLOOKUP(B365,'Data Pull Sheet'!$C:$H,6,FALSE))),"DC")</f>
        <v>1.695985E-5</v>
      </c>
      <c r="O365" s="23" t="s">
        <v>4141</v>
      </c>
      <c r="P365" s="92" t="s">
        <v>632</v>
      </c>
      <c r="Q365" s="92" t="s">
        <v>637</v>
      </c>
      <c r="R365" s="372" t="str">
        <f t="shared" si="9"/>
        <v/>
      </c>
    </row>
    <row r="366" spans="1:18" x14ac:dyDescent="0.25">
      <c r="A366" s="23" t="s">
        <v>4137</v>
      </c>
      <c r="B366" s="18" t="str">
        <f>IF(ISNA(VLOOKUP($A366,'Data Pull Sheet'!$B$2:$C$1795,2,0)),"",(VLOOKUP($A366,'Data Pull Sheet'!$B$2:$C$1795,2,0)))</f>
        <v>WPZ</v>
      </c>
      <c r="C366" s="59" t="s">
        <v>4138</v>
      </c>
      <c r="D366" s="356" t="s">
        <v>605</v>
      </c>
      <c r="E366" s="356" t="s">
        <v>3204</v>
      </c>
      <c r="F366" s="23" t="s">
        <v>4142</v>
      </c>
      <c r="G366" s="23" t="s">
        <v>403</v>
      </c>
      <c r="H366" s="353">
        <v>9760</v>
      </c>
      <c r="I366" s="59"/>
      <c r="J366" s="59" t="s">
        <v>4143</v>
      </c>
      <c r="K366" s="20"/>
      <c r="L366" s="20">
        <v>2</v>
      </c>
      <c r="M366" s="357">
        <f>SUM(H366:H367)</f>
        <v>24942.5</v>
      </c>
      <c r="N366" s="411">
        <f>IFERROR((M366/(VLOOKUP(B366,'Data Pull Sheet'!$C:$H,6,FALSE))),"DC")</f>
        <v>6.2356250000000001E-5</v>
      </c>
      <c r="O366" s="23" t="s">
        <v>561</v>
      </c>
      <c r="P366" s="92" t="s">
        <v>632</v>
      </c>
      <c r="Q366" s="92" t="s">
        <v>646</v>
      </c>
      <c r="R366" s="372" t="str">
        <f t="shared" si="9"/>
        <v/>
      </c>
    </row>
    <row r="367" spans="1:18" x14ac:dyDescent="0.25">
      <c r="A367" s="23" t="s">
        <v>4137</v>
      </c>
      <c r="B367" s="18" t="str">
        <f>IF(ISNA(VLOOKUP($A367,'Data Pull Sheet'!$B$2:$C$1795,2,0)),"",(VLOOKUP($A367,'Data Pull Sheet'!$B$2:$C$1795,2,0)))</f>
        <v>WPZ</v>
      </c>
      <c r="C367" s="59" t="s">
        <v>4138</v>
      </c>
      <c r="D367" s="356" t="s">
        <v>605</v>
      </c>
      <c r="E367" s="356" t="s">
        <v>3204</v>
      </c>
      <c r="F367" s="23" t="s">
        <v>4144</v>
      </c>
      <c r="G367" s="23" t="s">
        <v>403</v>
      </c>
      <c r="H367" s="353">
        <v>15182.5</v>
      </c>
      <c r="I367" s="59"/>
      <c r="J367" s="59" t="s">
        <v>4145</v>
      </c>
      <c r="K367" s="20"/>
      <c r="L367" s="20"/>
      <c r="M367" s="357"/>
      <c r="N367" s="411"/>
      <c r="O367" s="23" t="s">
        <v>561</v>
      </c>
      <c r="P367" s="92" t="s">
        <v>632</v>
      </c>
      <c r="Q367" s="92" t="s">
        <v>646</v>
      </c>
      <c r="R367" s="372" t="str">
        <f t="shared" si="9"/>
        <v/>
      </c>
    </row>
    <row r="368" spans="1:18" ht="30" x14ac:dyDescent="0.25">
      <c r="A368" s="23" t="s">
        <v>4137</v>
      </c>
      <c r="B368" s="18" t="str">
        <f>IF(ISNA(VLOOKUP($A368,'Data Pull Sheet'!$B$2:$C$1795,2,0)),"",(VLOOKUP($A368,'Data Pull Sheet'!$B$2:$C$1795,2,0)))</f>
        <v>WPZ</v>
      </c>
      <c r="C368" s="59" t="s">
        <v>4138</v>
      </c>
      <c r="D368" s="356" t="s">
        <v>605</v>
      </c>
      <c r="E368" s="356" t="s">
        <v>3204</v>
      </c>
      <c r="F368" s="23" t="s">
        <v>4146</v>
      </c>
      <c r="G368" s="23" t="s">
        <v>417</v>
      </c>
      <c r="H368" s="353">
        <v>111358.31</v>
      </c>
      <c r="I368" s="59" t="s">
        <v>406</v>
      </c>
      <c r="J368" s="59" t="s">
        <v>4147</v>
      </c>
      <c r="K368" s="20"/>
      <c r="L368" s="20">
        <v>1</v>
      </c>
      <c r="M368" s="357">
        <f>H368</f>
        <v>111358.31</v>
      </c>
      <c r="N368" s="411">
        <f>IFERROR((M368/(VLOOKUP(B368,'Data Pull Sheet'!$C:$H,6,FALSE))),"DC")</f>
        <v>2.7839577500000001E-4</v>
      </c>
      <c r="O368" s="23" t="s">
        <v>4148</v>
      </c>
      <c r="P368" s="92" t="s">
        <v>632</v>
      </c>
      <c r="Q368" s="92" t="s">
        <v>633</v>
      </c>
      <c r="R368" s="372" t="str">
        <f t="shared" si="9"/>
        <v>FF</v>
      </c>
    </row>
    <row r="369" spans="1:18" x14ac:dyDescent="0.25">
      <c r="A369" s="23" t="s">
        <v>90</v>
      </c>
      <c r="B369" s="18" t="str">
        <f>IF(ISNA(VLOOKUP($A369,'Data Pull Sheet'!$B$2:$C$1795,2,0)),"",(VLOOKUP($A369,'Data Pull Sheet'!$B$2:$C$1795,2,0)))</f>
        <v>HZNP</v>
      </c>
      <c r="C369" s="59" t="s">
        <v>418</v>
      </c>
      <c r="D369" s="356" t="s">
        <v>454</v>
      </c>
      <c r="E369" s="356" t="s">
        <v>482</v>
      </c>
      <c r="F369" s="23" t="s">
        <v>2224</v>
      </c>
      <c r="G369" s="23" t="s">
        <v>417</v>
      </c>
      <c r="H369" s="353">
        <v>250261.52</v>
      </c>
      <c r="I369" s="59"/>
      <c r="J369" s="59" t="s">
        <v>2225</v>
      </c>
      <c r="K369" s="20">
        <v>6</v>
      </c>
      <c r="L369" s="20">
        <v>1</v>
      </c>
      <c r="M369" s="357">
        <f>H369</f>
        <v>250261.52</v>
      </c>
      <c r="N369" s="411">
        <f>IFERROR((M369/(VLOOKUP(B369,'Data Pull Sheet'!$C:$H,6,FALSE))),"DC")</f>
        <v>1.1122734222222222E-3</v>
      </c>
      <c r="O369" s="23" t="s">
        <v>1</v>
      </c>
      <c r="P369" s="92" t="s">
        <v>632</v>
      </c>
      <c r="Q369" s="92" t="s">
        <v>633</v>
      </c>
      <c r="R369" s="372" t="str">
        <f t="shared" si="9"/>
        <v>FF</v>
      </c>
    </row>
    <row r="370" spans="1:18" ht="45" x14ac:dyDescent="0.25">
      <c r="A370" s="23" t="s">
        <v>90</v>
      </c>
      <c r="B370" s="18" t="str">
        <f>IF(ISNA(VLOOKUP($A370,'Data Pull Sheet'!$B$2:$C$1795,2,0)),"",(VLOOKUP($A370,'Data Pull Sheet'!$B$2:$C$1795,2,0)))</f>
        <v>HZNP</v>
      </c>
      <c r="C370" s="59" t="s">
        <v>418</v>
      </c>
      <c r="D370" s="356" t="s">
        <v>454</v>
      </c>
      <c r="E370" s="356" t="s">
        <v>482</v>
      </c>
      <c r="F370" s="23" t="s">
        <v>227</v>
      </c>
      <c r="G370" s="23" t="s">
        <v>417</v>
      </c>
      <c r="H370" s="353">
        <v>231937.55</v>
      </c>
      <c r="I370" s="59" t="s">
        <v>406</v>
      </c>
      <c r="J370" s="59" t="s">
        <v>2226</v>
      </c>
      <c r="K370" s="20"/>
      <c r="L370" s="20">
        <v>2</v>
      </c>
      <c r="M370" s="357">
        <f>SUM(H370:H371)</f>
        <v>524529.23</v>
      </c>
      <c r="N370" s="411">
        <f>IFERROR((M370/(VLOOKUP(B370,'Data Pull Sheet'!$C:$H,6,FALSE))),"DC")</f>
        <v>2.3312410222222223E-3</v>
      </c>
      <c r="O370" s="23" t="s">
        <v>56</v>
      </c>
      <c r="P370" s="92" t="s">
        <v>632</v>
      </c>
      <c r="Q370" s="92" t="s">
        <v>640</v>
      </c>
      <c r="R370" s="372" t="str">
        <f t="shared" si="9"/>
        <v>FF</v>
      </c>
    </row>
    <row r="371" spans="1:18" x14ac:dyDescent="0.25">
      <c r="A371" s="23" t="s">
        <v>90</v>
      </c>
      <c r="B371" s="18" t="str">
        <f>IF(ISNA(VLOOKUP($A371,'Data Pull Sheet'!$B$2:$C$1795,2,0)),"",(VLOOKUP($A371,'Data Pull Sheet'!$B$2:$C$1795,2,0)))</f>
        <v>HZNP</v>
      </c>
      <c r="C371" s="59" t="s">
        <v>418</v>
      </c>
      <c r="D371" s="356" t="s">
        <v>454</v>
      </c>
      <c r="E371" s="356" t="s">
        <v>482</v>
      </c>
      <c r="F371" s="23" t="s">
        <v>89</v>
      </c>
      <c r="G371" s="23" t="s">
        <v>417</v>
      </c>
      <c r="H371" s="353">
        <v>292591.68</v>
      </c>
      <c r="I371" s="59" t="s">
        <v>406</v>
      </c>
      <c r="J371" s="59" t="s">
        <v>2227</v>
      </c>
      <c r="K371" s="20"/>
      <c r="L371" s="20"/>
      <c r="M371" s="357"/>
      <c r="N371" s="411"/>
      <c r="O371" s="23" t="s">
        <v>56</v>
      </c>
      <c r="P371" s="92" t="s">
        <v>632</v>
      </c>
      <c r="Q371" s="92" t="s">
        <v>640</v>
      </c>
      <c r="R371" s="372" t="str">
        <f t="shared" si="9"/>
        <v>FF</v>
      </c>
    </row>
    <row r="372" spans="1:18" x14ac:dyDescent="0.25">
      <c r="A372" s="23" t="s">
        <v>90</v>
      </c>
      <c r="B372" s="18" t="str">
        <f>IF(ISNA(VLOOKUP($A372,'Data Pull Sheet'!$B$2:$C$1795,2,0)),"",(VLOOKUP($A372,'Data Pull Sheet'!$B$2:$C$1795,2,0)))</f>
        <v>HZNP</v>
      </c>
      <c r="C372" s="59" t="s">
        <v>418</v>
      </c>
      <c r="D372" s="356" t="s">
        <v>454</v>
      </c>
      <c r="E372" s="356" t="s">
        <v>482</v>
      </c>
      <c r="F372" s="23" t="s">
        <v>2228</v>
      </c>
      <c r="G372" s="23" t="s">
        <v>403</v>
      </c>
      <c r="H372" s="353">
        <v>33995.43</v>
      </c>
      <c r="I372" s="59"/>
      <c r="J372" s="59" t="s">
        <v>2229</v>
      </c>
      <c r="K372" s="20"/>
      <c r="L372" s="20">
        <v>1</v>
      </c>
      <c r="M372" s="357">
        <f>H372</f>
        <v>33995.43</v>
      </c>
      <c r="N372" s="411">
        <f>IFERROR((M372/(VLOOKUP(B372,'Data Pull Sheet'!$C:$H,6,FALSE))),"DC")</f>
        <v>1.5109079999999999E-4</v>
      </c>
      <c r="O372" s="23" t="s">
        <v>63</v>
      </c>
      <c r="P372" s="92" t="s">
        <v>632</v>
      </c>
      <c r="Q372" s="92" t="s">
        <v>637</v>
      </c>
      <c r="R372" s="372" t="str">
        <f t="shared" si="9"/>
        <v/>
      </c>
    </row>
    <row r="373" spans="1:18" ht="30" x14ac:dyDescent="0.25">
      <c r="A373" s="23" t="s">
        <v>90</v>
      </c>
      <c r="B373" s="18" t="str">
        <f>IF(ISNA(VLOOKUP($A373,'Data Pull Sheet'!$B$2:$C$1795,2,0)),"",(VLOOKUP($A373,'Data Pull Sheet'!$B$2:$C$1795,2,0)))</f>
        <v>HZNP</v>
      </c>
      <c r="C373" s="59" t="s">
        <v>418</v>
      </c>
      <c r="D373" s="356" t="s">
        <v>454</v>
      </c>
      <c r="E373" s="356" t="s">
        <v>482</v>
      </c>
      <c r="F373" s="23" t="s">
        <v>2230</v>
      </c>
      <c r="G373" s="23" t="s">
        <v>403</v>
      </c>
      <c r="H373" s="353">
        <v>74370</v>
      </c>
      <c r="I373" s="59"/>
      <c r="J373" s="59" t="s">
        <v>2231</v>
      </c>
      <c r="K373" s="20"/>
      <c r="L373" s="20">
        <v>2</v>
      </c>
      <c r="M373" s="357">
        <f>SUM(H373:H374)</f>
        <v>167687</v>
      </c>
      <c r="N373" s="411">
        <f>IFERROR((M373/(VLOOKUP(B373,'Data Pull Sheet'!$C:$H,6,FALSE))),"DC")</f>
        <v>7.4527555555555555E-4</v>
      </c>
      <c r="O373" s="23" t="s">
        <v>1169</v>
      </c>
      <c r="P373" s="92" t="s">
        <v>632</v>
      </c>
      <c r="Q373" s="92" t="s">
        <v>646</v>
      </c>
      <c r="R373" s="372" t="str">
        <f t="shared" si="9"/>
        <v/>
      </c>
    </row>
    <row r="374" spans="1:18" ht="30" x14ac:dyDescent="0.25">
      <c r="A374" s="23" t="s">
        <v>90</v>
      </c>
      <c r="B374" s="18" t="str">
        <f>IF(ISNA(VLOOKUP($A374,'Data Pull Sheet'!$B$2:$C$1795,2,0)),"",(VLOOKUP($A374,'Data Pull Sheet'!$B$2:$C$1795,2,0)))</f>
        <v>HZNP</v>
      </c>
      <c r="C374" s="59" t="s">
        <v>418</v>
      </c>
      <c r="D374" s="356" t="s">
        <v>454</v>
      </c>
      <c r="E374" s="356" t="s">
        <v>482</v>
      </c>
      <c r="F374" s="23" t="s">
        <v>2232</v>
      </c>
      <c r="G374" s="23" t="s">
        <v>403</v>
      </c>
      <c r="H374" s="353">
        <v>93317</v>
      </c>
      <c r="I374" s="59"/>
      <c r="J374" s="59" t="s">
        <v>2233</v>
      </c>
      <c r="K374" s="20"/>
      <c r="L374" s="20"/>
      <c r="M374" s="357"/>
      <c r="N374" s="411"/>
      <c r="O374" s="23" t="s">
        <v>1169</v>
      </c>
      <c r="P374" s="92" t="s">
        <v>632</v>
      </c>
      <c r="Q374" s="92" t="s">
        <v>646</v>
      </c>
      <c r="R374" s="372" t="str">
        <f t="shared" si="9"/>
        <v/>
      </c>
    </row>
    <row r="375" spans="1:18" x14ac:dyDescent="0.25">
      <c r="A375" s="23" t="s">
        <v>90</v>
      </c>
      <c r="B375" s="18" t="str">
        <f>IF(ISNA(VLOOKUP($A375,'Data Pull Sheet'!$B$2:$C$1795,2,0)),"",(VLOOKUP($A375,'Data Pull Sheet'!$B$2:$C$1795,2,0)))</f>
        <v>HZNP</v>
      </c>
      <c r="C375" s="59" t="s">
        <v>418</v>
      </c>
      <c r="D375" s="356" t="s">
        <v>454</v>
      </c>
      <c r="E375" s="356" t="s">
        <v>482</v>
      </c>
      <c r="F375" s="23" t="s">
        <v>10860</v>
      </c>
      <c r="G375" s="23" t="s">
        <v>417</v>
      </c>
      <c r="H375" s="353">
        <v>164423</v>
      </c>
      <c r="I375" s="59" t="s">
        <v>442</v>
      </c>
      <c r="J375" s="59" t="s">
        <v>2234</v>
      </c>
      <c r="K375" s="20"/>
      <c r="L375" s="20">
        <v>1</v>
      </c>
      <c r="M375" s="357">
        <f>H375</f>
        <v>164423</v>
      </c>
      <c r="N375" s="411">
        <f>IFERROR((M375/(VLOOKUP(B375,'Data Pull Sheet'!$C:$H,6,FALSE))),"DC")</f>
        <v>7.3076888888888884E-4</v>
      </c>
      <c r="O375" s="23" t="s">
        <v>1057</v>
      </c>
      <c r="P375" s="92" t="s">
        <v>632</v>
      </c>
      <c r="Q375" s="92" t="s">
        <v>633</v>
      </c>
      <c r="R375" s="372" t="str">
        <f t="shared" si="9"/>
        <v>FF</v>
      </c>
    </row>
    <row r="376" spans="1:18" ht="30" x14ac:dyDescent="0.25">
      <c r="A376" s="23" t="s">
        <v>90</v>
      </c>
      <c r="B376" s="18" t="str">
        <f>IF(ISNA(VLOOKUP($A376,'Data Pull Sheet'!$B$2:$C$1795,2,0)),"",(VLOOKUP($A376,'Data Pull Sheet'!$B$2:$C$1795,2,0)))</f>
        <v>HZNP</v>
      </c>
      <c r="C376" s="59" t="s">
        <v>418</v>
      </c>
      <c r="D376" s="356" t="s">
        <v>454</v>
      </c>
      <c r="E376" s="356" t="s">
        <v>482</v>
      </c>
      <c r="F376" s="23" t="s">
        <v>165</v>
      </c>
      <c r="G376" s="23" t="s">
        <v>417</v>
      </c>
      <c r="H376" s="353">
        <v>312009</v>
      </c>
      <c r="I376" s="59"/>
      <c r="J376" s="59" t="s">
        <v>2235</v>
      </c>
      <c r="K376" s="20"/>
      <c r="L376" s="20">
        <v>1</v>
      </c>
      <c r="M376" s="357">
        <f>H376</f>
        <v>312009</v>
      </c>
      <c r="N376" s="411">
        <f>IFERROR((M376/(VLOOKUP(B376,'Data Pull Sheet'!$C:$H,6,FALSE))),"DC")</f>
        <v>1.3867066666666667E-3</v>
      </c>
      <c r="O376" s="23" t="s">
        <v>168</v>
      </c>
      <c r="P376" s="92" t="s">
        <v>632</v>
      </c>
      <c r="Q376" s="92" t="s">
        <v>633</v>
      </c>
      <c r="R376" s="372" t="str">
        <f t="shared" si="9"/>
        <v>FF</v>
      </c>
    </row>
    <row r="377" spans="1:18" ht="30" x14ac:dyDescent="0.25">
      <c r="A377" s="23" t="s">
        <v>187</v>
      </c>
      <c r="B377" s="18" t="str">
        <f>IF(ISNA(VLOOKUP($A377,'Data Pull Sheet'!$B$2:$C$1795,2,0)),"",(VLOOKUP($A377,'Data Pull Sheet'!$B$2:$C$1795,2,0)))</f>
        <v>SCOR</v>
      </c>
      <c r="C377" s="59" t="s">
        <v>418</v>
      </c>
      <c r="D377" s="356" t="s">
        <v>534</v>
      </c>
      <c r="E377" s="356" t="s">
        <v>482</v>
      </c>
      <c r="F377" s="23" t="s">
        <v>10859</v>
      </c>
      <c r="G377" s="23" t="s">
        <v>417</v>
      </c>
      <c r="H377" s="353">
        <v>171030.67</v>
      </c>
      <c r="I377" s="59" t="s">
        <v>413</v>
      </c>
      <c r="J377" s="59" t="s">
        <v>1476</v>
      </c>
      <c r="K377" s="20">
        <v>6</v>
      </c>
      <c r="L377" s="20">
        <v>2</v>
      </c>
      <c r="M377" s="357">
        <f>SUM(H377:H378)</f>
        <v>642559.84</v>
      </c>
      <c r="N377" s="411">
        <f>IFERROR((M377/(VLOOKUP(B377,'Data Pull Sheet'!$C:$H,6,FALSE))),"DC")</f>
        <v>1.8358852571428571E-3</v>
      </c>
      <c r="O377" s="23" t="s">
        <v>1</v>
      </c>
      <c r="P377" s="92" t="s">
        <v>632</v>
      </c>
      <c r="Q377" s="92" t="s">
        <v>640</v>
      </c>
      <c r="R377" s="372" t="str">
        <f t="shared" si="9"/>
        <v>FF</v>
      </c>
    </row>
    <row r="378" spans="1:18" x14ac:dyDescent="0.25">
      <c r="A378" s="23" t="s">
        <v>187</v>
      </c>
      <c r="B378" s="18" t="str">
        <f>IF(ISNA(VLOOKUP($A378,'Data Pull Sheet'!$B$2:$C$1795,2,0)),"",(VLOOKUP($A378,'Data Pull Sheet'!$B$2:$C$1795,2,0)))</f>
        <v>SCOR</v>
      </c>
      <c r="C378" s="59" t="s">
        <v>418</v>
      </c>
      <c r="D378" s="356" t="s">
        <v>534</v>
      </c>
      <c r="E378" s="356" t="s">
        <v>482</v>
      </c>
      <c r="F378" s="23" t="s">
        <v>184</v>
      </c>
      <c r="G378" s="23" t="s">
        <v>417</v>
      </c>
      <c r="H378" s="353">
        <v>471529.17</v>
      </c>
      <c r="I378" s="59" t="s">
        <v>442</v>
      </c>
      <c r="J378" s="59" t="s">
        <v>1477</v>
      </c>
      <c r="K378" s="20"/>
      <c r="L378" s="20"/>
      <c r="M378" s="357"/>
      <c r="N378" s="411"/>
      <c r="O378" s="23" t="s">
        <v>1</v>
      </c>
      <c r="P378" s="92" t="s">
        <v>632</v>
      </c>
      <c r="Q378" s="92" t="s">
        <v>640</v>
      </c>
      <c r="R378" s="372" t="str">
        <f t="shared" si="9"/>
        <v>FF</v>
      </c>
    </row>
    <row r="379" spans="1:18" x14ac:dyDescent="0.25">
      <c r="A379" s="23" t="s">
        <v>187</v>
      </c>
      <c r="B379" s="18" t="str">
        <f>IF(ISNA(VLOOKUP($A379,'Data Pull Sheet'!$B$2:$C$1795,2,0)),"",(VLOOKUP($A379,'Data Pull Sheet'!$B$2:$C$1795,2,0)))</f>
        <v>SCOR</v>
      </c>
      <c r="C379" s="59" t="s">
        <v>418</v>
      </c>
      <c r="D379" s="356" t="s">
        <v>534</v>
      </c>
      <c r="E379" s="356" t="s">
        <v>482</v>
      </c>
      <c r="F379" s="23" t="s">
        <v>1478</v>
      </c>
      <c r="G379" s="23" t="s">
        <v>403</v>
      </c>
      <c r="H379" s="353">
        <v>30722.959999999999</v>
      </c>
      <c r="I379" s="59"/>
      <c r="J379" s="59" t="s">
        <v>1480</v>
      </c>
      <c r="K379" s="20"/>
      <c r="L379" s="20">
        <v>1</v>
      </c>
      <c r="M379" s="357">
        <f>+H379</f>
        <v>30722.959999999999</v>
      </c>
      <c r="N379" s="411">
        <f>IFERROR((M379/(VLOOKUP(B379,'Data Pull Sheet'!$C:$H,6,FALSE))),"DC")</f>
        <v>8.7779885714285715E-5</v>
      </c>
      <c r="O379" s="23" t="s">
        <v>561</v>
      </c>
      <c r="P379" s="92" t="s">
        <v>632</v>
      </c>
      <c r="Q379" s="92" t="s">
        <v>637</v>
      </c>
      <c r="R379" s="372" t="str">
        <f t="shared" si="9"/>
        <v/>
      </c>
    </row>
    <row r="380" spans="1:18" x14ac:dyDescent="0.25">
      <c r="A380" s="23" t="s">
        <v>187</v>
      </c>
      <c r="B380" s="18" t="str">
        <f>IF(ISNA(VLOOKUP($A380,'Data Pull Sheet'!$B$2:$C$1795,2,0)),"",(VLOOKUP($A380,'Data Pull Sheet'!$B$2:$C$1795,2,0)))</f>
        <v>SCOR</v>
      </c>
      <c r="C380" s="59" t="s">
        <v>418</v>
      </c>
      <c r="D380" s="356" t="s">
        <v>534</v>
      </c>
      <c r="E380" s="356" t="s">
        <v>482</v>
      </c>
      <c r="F380" s="23" t="s">
        <v>1479</v>
      </c>
      <c r="G380" s="23" t="s">
        <v>403</v>
      </c>
      <c r="H380" s="353">
        <v>60107.13</v>
      </c>
      <c r="I380" s="59"/>
      <c r="J380" s="59" t="s">
        <v>1482</v>
      </c>
      <c r="K380" s="20"/>
      <c r="L380" s="20">
        <v>1</v>
      </c>
      <c r="M380" s="357">
        <f t="shared" ref="M380:M386" si="12">H380</f>
        <v>60107.13</v>
      </c>
      <c r="N380" s="411">
        <f>IFERROR((M380/(VLOOKUP(B380,'Data Pull Sheet'!$C:$H,6,FALSE))),"DC")</f>
        <v>1.7173465714285713E-4</v>
      </c>
      <c r="O380" s="23" t="s">
        <v>597</v>
      </c>
      <c r="P380" s="92" t="s">
        <v>632</v>
      </c>
      <c r="Q380" s="92" t="s">
        <v>637</v>
      </c>
      <c r="R380" s="372" t="str">
        <f t="shared" si="9"/>
        <v/>
      </c>
    </row>
    <row r="381" spans="1:18" x14ac:dyDescent="0.25">
      <c r="A381" s="23" t="s">
        <v>187</v>
      </c>
      <c r="B381" s="18" t="str">
        <f>IF(ISNA(VLOOKUP($A381,'Data Pull Sheet'!$B$2:$C$1795,2,0)),"",(VLOOKUP($A381,'Data Pull Sheet'!$B$2:$C$1795,2,0)))</f>
        <v>SCOR</v>
      </c>
      <c r="C381" s="59" t="s">
        <v>418</v>
      </c>
      <c r="D381" s="356" t="s">
        <v>534</v>
      </c>
      <c r="E381" s="356" t="s">
        <v>482</v>
      </c>
      <c r="F381" s="23" t="s">
        <v>1481</v>
      </c>
      <c r="G381" s="23" t="s">
        <v>403</v>
      </c>
      <c r="H381" s="353">
        <v>298963.78999999998</v>
      </c>
      <c r="I381" s="59" t="s">
        <v>442</v>
      </c>
      <c r="J381" s="59" t="s">
        <v>1483</v>
      </c>
      <c r="K381" s="20"/>
      <c r="L381" s="20">
        <v>1</v>
      </c>
      <c r="M381" s="357">
        <f t="shared" si="12"/>
        <v>298963.78999999998</v>
      </c>
      <c r="N381" s="411">
        <f>IFERROR((M381/(VLOOKUP(B381,'Data Pull Sheet'!$C:$H,6,FALSE))),"DC")</f>
        <v>8.5418225714285713E-4</v>
      </c>
      <c r="O381" s="23" t="s">
        <v>4392</v>
      </c>
      <c r="P381" s="92" t="s">
        <v>632</v>
      </c>
      <c r="Q381" s="92" t="s">
        <v>637</v>
      </c>
      <c r="R381" s="372" t="str">
        <f t="shared" si="9"/>
        <v/>
      </c>
    </row>
    <row r="382" spans="1:18" ht="30" x14ac:dyDescent="0.25">
      <c r="A382" s="23" t="s">
        <v>187</v>
      </c>
      <c r="B382" s="18" t="str">
        <f>IF(ISNA(VLOOKUP($A382,'Data Pull Sheet'!$B$2:$C$1795,2,0)),"",(VLOOKUP($A382,'Data Pull Sheet'!$B$2:$C$1795,2,0)))</f>
        <v>SCOR</v>
      </c>
      <c r="C382" s="59" t="s">
        <v>418</v>
      </c>
      <c r="D382" s="356" t="s">
        <v>534</v>
      </c>
      <c r="E382" s="356" t="s">
        <v>482</v>
      </c>
      <c r="F382" s="23" t="s">
        <v>210</v>
      </c>
      <c r="G382" s="23" t="s">
        <v>417</v>
      </c>
      <c r="H382" s="353">
        <v>72196.53</v>
      </c>
      <c r="I382" s="59"/>
      <c r="J382" s="59" t="s">
        <v>1485</v>
      </c>
      <c r="K382" s="20"/>
      <c r="L382" s="20">
        <v>1</v>
      </c>
      <c r="M382" s="357">
        <f t="shared" si="12"/>
        <v>72196.53</v>
      </c>
      <c r="N382" s="411">
        <f>IFERROR((M382/(VLOOKUP(B382,'Data Pull Sheet'!$C:$H,6,FALSE))),"DC")</f>
        <v>2.0627579999999999E-4</v>
      </c>
      <c r="O382" s="23" t="s">
        <v>993</v>
      </c>
      <c r="P382" s="92" t="s">
        <v>632</v>
      </c>
      <c r="Q382" s="92" t="s">
        <v>633</v>
      </c>
      <c r="R382" s="372" t="str">
        <f t="shared" si="9"/>
        <v>FF</v>
      </c>
    </row>
    <row r="383" spans="1:18" x14ac:dyDescent="0.25">
      <c r="A383" s="23" t="s">
        <v>187</v>
      </c>
      <c r="B383" s="18" t="str">
        <f>IF(ISNA(VLOOKUP($A383,'Data Pull Sheet'!$B$2:$C$1795,2,0)),"",(VLOOKUP($A383,'Data Pull Sheet'!$B$2:$C$1795,2,0)))</f>
        <v>SCOR</v>
      </c>
      <c r="C383" s="59" t="s">
        <v>418</v>
      </c>
      <c r="D383" s="356" t="s">
        <v>534</v>
      </c>
      <c r="E383" s="356" t="s">
        <v>482</v>
      </c>
      <c r="F383" s="23" t="s">
        <v>1484</v>
      </c>
      <c r="G383" s="23" t="s">
        <v>403</v>
      </c>
      <c r="H383" s="353">
        <v>22621.65</v>
      </c>
      <c r="I383" s="59"/>
      <c r="J383" s="59" t="s">
        <v>11906</v>
      </c>
      <c r="K383" s="20"/>
      <c r="L383" s="20">
        <v>1</v>
      </c>
      <c r="M383" s="357">
        <f t="shared" si="12"/>
        <v>22621.65</v>
      </c>
      <c r="N383" s="411">
        <f>IFERROR((M383/(VLOOKUP(B383,'Data Pull Sheet'!$C:$H,6,FALSE))),"DC")</f>
        <v>6.4633285714285716E-5</v>
      </c>
      <c r="O383" s="23" t="s">
        <v>682</v>
      </c>
      <c r="P383" s="92" t="s">
        <v>632</v>
      </c>
      <c r="Q383" s="92" t="s">
        <v>637</v>
      </c>
      <c r="R383" s="372" t="str">
        <f t="shared" si="9"/>
        <v/>
      </c>
    </row>
    <row r="384" spans="1:18" ht="30" x14ac:dyDescent="0.25">
      <c r="A384" s="23" t="s">
        <v>202</v>
      </c>
      <c r="B384" s="18" t="str">
        <f>IF(ISNA(VLOOKUP($A384,'Data Pull Sheet'!$B$2:$C$1795,2,0)),"",(VLOOKUP($A384,'Data Pull Sheet'!$B$2:$C$1795,2,0)))</f>
        <v>APOL</v>
      </c>
      <c r="C384" s="59" t="s">
        <v>399</v>
      </c>
      <c r="D384" s="356" t="s">
        <v>469</v>
      </c>
      <c r="E384" s="356" t="s">
        <v>541</v>
      </c>
      <c r="F384" s="23" t="s">
        <v>905</v>
      </c>
      <c r="G384" s="23" t="s">
        <v>417</v>
      </c>
      <c r="H384" s="353">
        <v>545742.94999999995</v>
      </c>
      <c r="I384" s="59"/>
      <c r="J384" s="59" t="s">
        <v>906</v>
      </c>
      <c r="K384" s="20">
        <v>5</v>
      </c>
      <c r="L384" s="20">
        <v>1</v>
      </c>
      <c r="M384" s="357">
        <f t="shared" si="12"/>
        <v>545742.94999999995</v>
      </c>
      <c r="N384" s="411">
        <f>IFERROR((M384/(VLOOKUP(B384,'Data Pull Sheet'!$C:$H,6,FALSE))),"DC")</f>
        <v>4.1980226923076921E-3</v>
      </c>
      <c r="O384" s="23" t="s">
        <v>907</v>
      </c>
      <c r="P384" s="92" t="s">
        <v>632</v>
      </c>
      <c r="Q384" s="92" t="s">
        <v>633</v>
      </c>
      <c r="R384" s="372" t="str">
        <f t="shared" si="9"/>
        <v/>
      </c>
    </row>
    <row r="385" spans="1:18" x14ac:dyDescent="0.25">
      <c r="A385" s="23" t="s">
        <v>202</v>
      </c>
      <c r="B385" s="18" t="str">
        <f>IF(ISNA(VLOOKUP($A385,'Data Pull Sheet'!$B$2:$C$1795,2,0)),"",(VLOOKUP($A385,'Data Pull Sheet'!$B$2:$C$1795,2,0)))</f>
        <v>APOL</v>
      </c>
      <c r="C385" s="59" t="s">
        <v>399</v>
      </c>
      <c r="D385" s="356" t="s">
        <v>469</v>
      </c>
      <c r="E385" s="356" t="s">
        <v>541</v>
      </c>
      <c r="F385" s="23" t="s">
        <v>908</v>
      </c>
      <c r="G385" s="23" t="s">
        <v>403</v>
      </c>
      <c r="H385" s="353">
        <v>2527.4</v>
      </c>
      <c r="I385" s="59"/>
      <c r="J385" s="59" t="s">
        <v>909</v>
      </c>
      <c r="K385" s="20"/>
      <c r="L385" s="20">
        <v>2</v>
      </c>
      <c r="M385" s="357">
        <f t="shared" si="12"/>
        <v>2527.4</v>
      </c>
      <c r="N385" s="411">
        <f>IFERROR((M385/(VLOOKUP(B385,'Data Pull Sheet'!$C:$H,6,FALSE))),"DC")</f>
        <v>1.9441538461538462E-5</v>
      </c>
      <c r="O385" s="23" t="s">
        <v>910</v>
      </c>
      <c r="P385" s="92" t="s">
        <v>632</v>
      </c>
      <c r="Q385" s="92" t="s">
        <v>637</v>
      </c>
      <c r="R385" s="372" t="str">
        <f t="shared" si="9"/>
        <v/>
      </c>
    </row>
    <row r="386" spans="1:18" ht="30" x14ac:dyDescent="0.25">
      <c r="A386" s="23" t="s">
        <v>202</v>
      </c>
      <c r="B386" s="18" t="str">
        <f>IF(ISNA(VLOOKUP($A386,'Data Pull Sheet'!$B$2:$C$1795,2,0)),"",(VLOOKUP($A386,'Data Pull Sheet'!$B$2:$C$1795,2,0)))</f>
        <v>APOL</v>
      </c>
      <c r="C386" s="59" t="s">
        <v>399</v>
      </c>
      <c r="D386" s="356" t="s">
        <v>469</v>
      </c>
      <c r="E386" s="356" t="s">
        <v>541</v>
      </c>
      <c r="F386" s="23" t="s">
        <v>201</v>
      </c>
      <c r="G386" s="23" t="s">
        <v>417</v>
      </c>
      <c r="H386" s="353">
        <v>335053.02</v>
      </c>
      <c r="I386" s="59" t="s">
        <v>442</v>
      </c>
      <c r="J386" s="59" t="s">
        <v>911</v>
      </c>
      <c r="K386" s="20"/>
      <c r="L386" s="20">
        <v>3</v>
      </c>
      <c r="M386" s="357">
        <f t="shared" si="12"/>
        <v>335053.02</v>
      </c>
      <c r="N386" s="411">
        <f>IFERROR((M386/(VLOOKUP(B386,'Data Pull Sheet'!$C:$H,6,FALSE))),"DC")</f>
        <v>2.5773309230769231E-3</v>
      </c>
      <c r="O386" s="23" t="s">
        <v>10833</v>
      </c>
      <c r="P386" s="92" t="s">
        <v>632</v>
      </c>
      <c r="Q386" s="92" t="s">
        <v>633</v>
      </c>
      <c r="R386" s="372" t="str">
        <f t="shared" ref="R386:R449" si="13">IF(COUNTIF(F:F,F386)&gt;=2,"FF","")</f>
        <v>FF</v>
      </c>
    </row>
    <row r="387" spans="1:18" x14ac:dyDescent="0.25">
      <c r="A387" s="23" t="s">
        <v>202</v>
      </c>
      <c r="B387" s="18" t="str">
        <f>IF(ISNA(VLOOKUP($A387,'Data Pull Sheet'!$B$2:$C$1795,2,0)),"",(VLOOKUP($A387,'Data Pull Sheet'!$B$2:$C$1795,2,0)))</f>
        <v>APOL</v>
      </c>
      <c r="C387" s="59" t="s">
        <v>399</v>
      </c>
      <c r="D387" s="356" t="s">
        <v>469</v>
      </c>
      <c r="E387" s="356" t="s">
        <v>541</v>
      </c>
      <c r="F387" s="23" t="s">
        <v>913</v>
      </c>
      <c r="G387" s="23" t="s">
        <v>403</v>
      </c>
      <c r="H387" s="353">
        <v>4777</v>
      </c>
      <c r="I387" s="59"/>
      <c r="J387" s="59" t="s">
        <v>914</v>
      </c>
      <c r="K387" s="20"/>
      <c r="L387" s="20">
        <v>2</v>
      </c>
      <c r="M387" s="357">
        <f>SUM(H387:H388)</f>
        <v>18679</v>
      </c>
      <c r="N387" s="411">
        <f>IFERROR((M387/(VLOOKUP(B387,'Data Pull Sheet'!$C:$H,6,FALSE))),"DC")</f>
        <v>1.4368461538461538E-4</v>
      </c>
      <c r="O387" s="23" t="s">
        <v>915</v>
      </c>
      <c r="P387" s="92" t="s">
        <v>632</v>
      </c>
      <c r="Q387" s="92" t="s">
        <v>646</v>
      </c>
      <c r="R387" s="372" t="str">
        <f t="shared" si="13"/>
        <v/>
      </c>
    </row>
    <row r="388" spans="1:18" x14ac:dyDescent="0.25">
      <c r="A388" s="23" t="s">
        <v>202</v>
      </c>
      <c r="B388" s="18" t="str">
        <f>IF(ISNA(VLOOKUP($A388,'Data Pull Sheet'!$B$2:$C$1795,2,0)),"",(VLOOKUP($A388,'Data Pull Sheet'!$B$2:$C$1795,2,0)))</f>
        <v>APOL</v>
      </c>
      <c r="C388" s="59" t="s">
        <v>399</v>
      </c>
      <c r="D388" s="356" t="s">
        <v>469</v>
      </c>
      <c r="E388" s="356" t="s">
        <v>541</v>
      </c>
      <c r="F388" s="23" t="s">
        <v>916</v>
      </c>
      <c r="G388" s="23" t="s">
        <v>403</v>
      </c>
      <c r="H388" s="353">
        <v>13902</v>
      </c>
      <c r="I388" s="59"/>
      <c r="J388" s="59" t="s">
        <v>917</v>
      </c>
      <c r="K388" s="20"/>
      <c r="L388" s="20"/>
      <c r="M388" s="357"/>
      <c r="N388" s="411"/>
      <c r="O388" s="23" t="s">
        <v>915</v>
      </c>
      <c r="P388" s="92" t="s">
        <v>632</v>
      </c>
      <c r="Q388" s="92" t="s">
        <v>646</v>
      </c>
      <c r="R388" s="372" t="str">
        <f t="shared" si="13"/>
        <v/>
      </c>
    </row>
    <row r="389" spans="1:18" x14ac:dyDescent="0.25">
      <c r="A389" s="23" t="s">
        <v>202</v>
      </c>
      <c r="B389" s="18" t="str">
        <f>IF(ISNA(VLOOKUP($A389,'Data Pull Sheet'!$B$2:$C$1795,2,0)),"",(VLOOKUP($A389,'Data Pull Sheet'!$B$2:$C$1795,2,0)))</f>
        <v>APOL</v>
      </c>
      <c r="C389" s="59" t="s">
        <v>399</v>
      </c>
      <c r="D389" s="356" t="s">
        <v>469</v>
      </c>
      <c r="E389" s="356" t="s">
        <v>541</v>
      </c>
      <c r="F389" s="23" t="s">
        <v>918</v>
      </c>
      <c r="G389" s="23" t="s">
        <v>417</v>
      </c>
      <c r="H389" s="353">
        <v>506283.54</v>
      </c>
      <c r="I389" s="59"/>
      <c r="J389" s="59" t="s">
        <v>919</v>
      </c>
      <c r="K389" s="20"/>
      <c r="L389" s="20">
        <f>5</f>
        <v>5</v>
      </c>
      <c r="M389" s="357">
        <f>H389</f>
        <v>506283.54</v>
      </c>
      <c r="N389" s="411">
        <f>IFERROR((M389/(VLOOKUP(B389,'Data Pull Sheet'!$C:$H,6,FALSE))),"DC")</f>
        <v>3.8944887692307691E-3</v>
      </c>
      <c r="O389" s="23" t="s">
        <v>7</v>
      </c>
      <c r="P389" s="92" t="s">
        <v>632</v>
      </c>
      <c r="Q389" s="92" t="s">
        <v>633</v>
      </c>
      <c r="R389" s="372" t="str">
        <f t="shared" si="13"/>
        <v>FF</v>
      </c>
    </row>
    <row r="390" spans="1:18" x14ac:dyDescent="0.25">
      <c r="A390" s="23" t="s">
        <v>2634</v>
      </c>
      <c r="B390" s="18" t="str">
        <f>IF(ISNA(VLOOKUP($A390,'Data Pull Sheet'!$B$2:$C$1795,2,0)),"",(VLOOKUP($A390,'Data Pull Sheet'!$B$2:$C$1795,2,0)))</f>
        <v>CALL</v>
      </c>
      <c r="C390" s="59" t="s">
        <v>418</v>
      </c>
      <c r="D390" s="356" t="s">
        <v>488</v>
      </c>
      <c r="E390" s="356" t="s">
        <v>541</v>
      </c>
      <c r="F390" s="23" t="s">
        <v>2635</v>
      </c>
      <c r="G390" s="23" t="s">
        <v>403</v>
      </c>
      <c r="H390" s="353">
        <v>77075.12</v>
      </c>
      <c r="I390" s="59"/>
      <c r="J390" s="59" t="s">
        <v>2636</v>
      </c>
      <c r="K390" s="20">
        <v>1</v>
      </c>
      <c r="L390" s="20">
        <v>1</v>
      </c>
      <c r="M390" s="357">
        <f>H390</f>
        <v>77075.12</v>
      </c>
      <c r="N390" s="411">
        <f>IFERROR((M390/(VLOOKUP(B390,'Data Pull Sheet'!$C:$H,6,FALSE))),"DC")</f>
        <v>2.5691706666666667E-3</v>
      </c>
      <c r="O390" s="23" t="s">
        <v>63</v>
      </c>
      <c r="P390" s="92" t="s">
        <v>676</v>
      </c>
      <c r="Q390" s="92" t="s">
        <v>637</v>
      </c>
      <c r="R390" s="372" t="str">
        <f t="shared" si="13"/>
        <v/>
      </c>
    </row>
    <row r="391" spans="1:18" ht="30" x14ac:dyDescent="0.25">
      <c r="A391" s="23" t="s">
        <v>1339</v>
      </c>
      <c r="B391" s="18" t="str">
        <f>IF(ISNA(VLOOKUP($A391,'Data Pull Sheet'!$B$2:$C$1795,2,0)),"",(VLOOKUP($A391,'Data Pull Sheet'!$B$2:$C$1795,2,0)))</f>
        <v>CMGE</v>
      </c>
      <c r="C391" s="59" t="s">
        <v>418</v>
      </c>
      <c r="D391" s="356" t="s">
        <v>1340</v>
      </c>
      <c r="E391" s="356" t="s">
        <v>472</v>
      </c>
      <c r="F391" s="23" t="s">
        <v>1341</v>
      </c>
      <c r="G391" s="23" t="s">
        <v>417</v>
      </c>
      <c r="H391" s="353">
        <v>84834.13</v>
      </c>
      <c r="I391" s="59" t="s">
        <v>406</v>
      </c>
      <c r="J391" s="59" t="s">
        <v>11997</v>
      </c>
      <c r="K391" s="20">
        <v>5</v>
      </c>
      <c r="L391" s="20">
        <v>1</v>
      </c>
      <c r="M391" s="357">
        <f>H391</f>
        <v>84834.13</v>
      </c>
      <c r="N391" s="411">
        <f>IFERROR((M391/(VLOOKUP(B391,'Data Pull Sheet'!$C:$H,6,FALSE))),"DC")</f>
        <v>2.2324771052631581E-3</v>
      </c>
      <c r="O391" s="23" t="s">
        <v>407</v>
      </c>
      <c r="P391" s="92" t="s">
        <v>632</v>
      </c>
      <c r="Q391" s="92" t="s">
        <v>633</v>
      </c>
      <c r="R391" s="372" t="str">
        <f t="shared" si="13"/>
        <v/>
      </c>
    </row>
    <row r="392" spans="1:18" x14ac:dyDescent="0.25">
      <c r="A392" s="23" t="s">
        <v>1339</v>
      </c>
      <c r="B392" s="18" t="str">
        <f>IF(ISNA(VLOOKUP($A392,'Data Pull Sheet'!$B$2:$C$1795,2,0)),"",(VLOOKUP($A392,'Data Pull Sheet'!$B$2:$C$1795,2,0)))</f>
        <v>CMGE</v>
      </c>
      <c r="C392" s="59" t="s">
        <v>418</v>
      </c>
      <c r="D392" s="356" t="s">
        <v>1340</v>
      </c>
      <c r="E392" s="356" t="s">
        <v>472</v>
      </c>
      <c r="F392" s="23" t="s">
        <v>1343</v>
      </c>
      <c r="G392" s="23" t="s">
        <v>403</v>
      </c>
      <c r="H392" s="353">
        <v>33303.61</v>
      </c>
      <c r="I392" s="59"/>
      <c r="J392" s="59" t="s">
        <v>1344</v>
      </c>
      <c r="K392" s="20"/>
      <c r="L392" s="20">
        <v>1</v>
      </c>
      <c r="M392" s="357">
        <f>H392</f>
        <v>33303.61</v>
      </c>
      <c r="N392" s="411">
        <f>IFERROR((M392/(VLOOKUP(B392,'Data Pull Sheet'!$C:$H,6,FALSE))),"DC")</f>
        <v>8.7641078947368423E-4</v>
      </c>
      <c r="O392" s="23" t="s">
        <v>597</v>
      </c>
      <c r="P392" s="92" t="s">
        <v>632</v>
      </c>
      <c r="Q392" s="92" t="s">
        <v>637</v>
      </c>
      <c r="R392" s="372" t="str">
        <f t="shared" si="13"/>
        <v/>
      </c>
    </row>
    <row r="393" spans="1:18" x14ac:dyDescent="0.25">
      <c r="A393" s="23" t="s">
        <v>1339</v>
      </c>
      <c r="B393" s="18" t="str">
        <f>IF(ISNA(VLOOKUP($A393,'Data Pull Sheet'!$B$2:$C$1795,2,0)),"",(VLOOKUP($A393,'Data Pull Sheet'!$B$2:$C$1795,2,0)))</f>
        <v>CMGE</v>
      </c>
      <c r="C393" s="59" t="s">
        <v>418</v>
      </c>
      <c r="D393" s="356" t="s">
        <v>1340</v>
      </c>
      <c r="E393" s="356" t="s">
        <v>472</v>
      </c>
      <c r="F393" s="23" t="s">
        <v>1345</v>
      </c>
      <c r="G393" s="23" t="s">
        <v>403</v>
      </c>
      <c r="H393" s="353">
        <v>176197</v>
      </c>
      <c r="I393" s="59"/>
      <c r="J393" s="59" t="s">
        <v>1346</v>
      </c>
      <c r="K393" s="20"/>
      <c r="L393" s="20">
        <v>4</v>
      </c>
      <c r="M393" s="357">
        <f>SUM(H393:H396)</f>
        <v>935273</v>
      </c>
      <c r="N393" s="411">
        <f>IFERROR((M393/(VLOOKUP(B393,'Data Pull Sheet'!$C:$H,6,FALSE))),"DC")</f>
        <v>2.4612447368421053E-2</v>
      </c>
      <c r="O393" s="23" t="s">
        <v>79</v>
      </c>
      <c r="P393" s="92" t="s">
        <v>632</v>
      </c>
      <c r="Q393" s="92" t="s">
        <v>646</v>
      </c>
      <c r="R393" s="372" t="str">
        <f t="shared" si="13"/>
        <v/>
      </c>
    </row>
    <row r="394" spans="1:18" x14ac:dyDescent="0.25">
      <c r="A394" s="23" t="s">
        <v>1339</v>
      </c>
      <c r="B394" s="18" t="str">
        <f>IF(ISNA(VLOOKUP($A394,'Data Pull Sheet'!$B$2:$C$1795,2,0)),"",(VLOOKUP($A394,'Data Pull Sheet'!$B$2:$C$1795,2,0)))</f>
        <v>CMGE</v>
      </c>
      <c r="C394" s="59" t="s">
        <v>418</v>
      </c>
      <c r="D394" s="356" t="s">
        <v>1340</v>
      </c>
      <c r="E394" s="356" t="s">
        <v>472</v>
      </c>
      <c r="F394" s="23" t="s">
        <v>1347</v>
      </c>
      <c r="G394" s="23" t="s">
        <v>403</v>
      </c>
      <c r="H394" s="353">
        <v>185199</v>
      </c>
      <c r="I394" s="59"/>
      <c r="J394" s="59" t="s">
        <v>1348</v>
      </c>
      <c r="K394" s="20"/>
      <c r="L394" s="20"/>
      <c r="M394" s="357"/>
      <c r="N394" s="411"/>
      <c r="O394" s="23" t="s">
        <v>79</v>
      </c>
      <c r="P394" s="92" t="s">
        <v>632</v>
      </c>
      <c r="Q394" s="92" t="s">
        <v>646</v>
      </c>
      <c r="R394" s="372" t="str">
        <f t="shared" si="13"/>
        <v/>
      </c>
    </row>
    <row r="395" spans="1:18" x14ac:dyDescent="0.25">
      <c r="A395" s="23" t="s">
        <v>1339</v>
      </c>
      <c r="B395" s="18" t="str">
        <f>IF(ISNA(VLOOKUP($A395,'Data Pull Sheet'!$B$2:$C$1795,2,0)),"",(VLOOKUP($A395,'Data Pull Sheet'!$B$2:$C$1795,2,0)))</f>
        <v>CMGE</v>
      </c>
      <c r="C395" s="59" t="s">
        <v>418</v>
      </c>
      <c r="D395" s="356" t="s">
        <v>1340</v>
      </c>
      <c r="E395" s="356" t="s">
        <v>472</v>
      </c>
      <c r="F395" s="23" t="s">
        <v>1349</v>
      </c>
      <c r="G395" s="23" t="s">
        <v>403</v>
      </c>
      <c r="H395" s="353">
        <v>235230</v>
      </c>
      <c r="I395" s="59"/>
      <c r="J395" s="59" t="s">
        <v>1350</v>
      </c>
      <c r="K395" s="20"/>
      <c r="L395" s="20"/>
      <c r="M395" s="357"/>
      <c r="N395" s="411"/>
      <c r="O395" s="23" t="s">
        <v>79</v>
      </c>
      <c r="P395" s="92" t="s">
        <v>632</v>
      </c>
      <c r="Q395" s="92" t="s">
        <v>646</v>
      </c>
      <c r="R395" s="372" t="str">
        <f t="shared" si="13"/>
        <v/>
      </c>
    </row>
    <row r="396" spans="1:18" x14ac:dyDescent="0.25">
      <c r="A396" s="23" t="s">
        <v>1339</v>
      </c>
      <c r="B396" s="18" t="str">
        <f>IF(ISNA(VLOOKUP($A396,'Data Pull Sheet'!$B$2:$C$1795,2,0)),"",(VLOOKUP($A396,'Data Pull Sheet'!$B$2:$C$1795,2,0)))</f>
        <v>CMGE</v>
      </c>
      <c r="C396" s="59" t="s">
        <v>418</v>
      </c>
      <c r="D396" s="356" t="s">
        <v>1340</v>
      </c>
      <c r="E396" s="356" t="s">
        <v>472</v>
      </c>
      <c r="F396" s="23" t="s">
        <v>1351</v>
      </c>
      <c r="G396" s="23" t="s">
        <v>403</v>
      </c>
      <c r="H396" s="353">
        <v>338647</v>
      </c>
      <c r="I396" s="59"/>
      <c r="J396" s="59" t="s">
        <v>1352</v>
      </c>
      <c r="K396" s="20"/>
      <c r="L396" s="20"/>
      <c r="M396" s="357"/>
      <c r="N396" s="411"/>
      <c r="O396" s="23" t="s">
        <v>79</v>
      </c>
      <c r="P396" s="92" t="s">
        <v>632</v>
      </c>
      <c r="Q396" s="92" t="s">
        <v>646</v>
      </c>
      <c r="R396" s="372" t="str">
        <f t="shared" si="13"/>
        <v/>
      </c>
    </row>
    <row r="397" spans="1:18" x14ac:dyDescent="0.25">
      <c r="A397" s="23" t="s">
        <v>1339</v>
      </c>
      <c r="B397" s="18" t="str">
        <f>IF(ISNA(VLOOKUP($A397,'Data Pull Sheet'!$B$2:$C$1795,2,0)),"",(VLOOKUP($A397,'Data Pull Sheet'!$B$2:$C$1795,2,0)))</f>
        <v>CMGE</v>
      </c>
      <c r="C397" s="59" t="s">
        <v>418</v>
      </c>
      <c r="D397" s="356" t="s">
        <v>1340</v>
      </c>
      <c r="E397" s="356" t="s">
        <v>472</v>
      </c>
      <c r="F397" s="23" t="s">
        <v>1353</v>
      </c>
      <c r="G397" s="23" t="s">
        <v>403</v>
      </c>
      <c r="H397" s="353">
        <v>307.60000000000002</v>
      </c>
      <c r="I397" s="59"/>
      <c r="J397" s="59" t="s">
        <v>1354</v>
      </c>
      <c r="K397" s="20"/>
      <c r="L397" s="20">
        <v>3</v>
      </c>
      <c r="M397" s="357">
        <f>SUM(H397:H399)</f>
        <v>95930.63</v>
      </c>
      <c r="N397" s="411">
        <f>IFERROR((M397/(VLOOKUP(B397,'Data Pull Sheet'!$C:$H,6,FALSE))),"DC")</f>
        <v>2.5244902631578947E-3</v>
      </c>
      <c r="O397" s="23" t="s">
        <v>682</v>
      </c>
      <c r="P397" s="92" t="s">
        <v>632</v>
      </c>
      <c r="Q397" s="92" t="s">
        <v>662</v>
      </c>
      <c r="R397" s="372" t="str">
        <f t="shared" si="13"/>
        <v/>
      </c>
    </row>
    <row r="398" spans="1:18" x14ac:dyDescent="0.25">
      <c r="A398" s="23" t="s">
        <v>1339</v>
      </c>
      <c r="B398" s="18" t="str">
        <f>IF(ISNA(VLOOKUP($A398,'Data Pull Sheet'!$B$2:$C$1795,2,0)),"",(VLOOKUP($A398,'Data Pull Sheet'!$B$2:$C$1795,2,0)))</f>
        <v>CMGE</v>
      </c>
      <c r="C398" s="59" t="s">
        <v>418</v>
      </c>
      <c r="D398" s="356" t="s">
        <v>1340</v>
      </c>
      <c r="E398" s="356" t="s">
        <v>472</v>
      </c>
      <c r="F398" s="23" t="s">
        <v>1355</v>
      </c>
      <c r="G398" s="23" t="s">
        <v>403</v>
      </c>
      <c r="H398" s="353">
        <v>10788.9</v>
      </c>
      <c r="I398" s="59"/>
      <c r="J398" s="59" t="s">
        <v>1356</v>
      </c>
      <c r="K398" s="20"/>
      <c r="L398" s="20"/>
      <c r="M398" s="357"/>
      <c r="N398" s="411"/>
      <c r="O398" s="23" t="s">
        <v>682</v>
      </c>
      <c r="P398" s="92" t="s">
        <v>632</v>
      </c>
      <c r="Q398" s="92" t="s">
        <v>662</v>
      </c>
      <c r="R398" s="372" t="str">
        <f t="shared" si="13"/>
        <v/>
      </c>
    </row>
    <row r="399" spans="1:18" x14ac:dyDescent="0.25">
      <c r="A399" s="23" t="s">
        <v>1339</v>
      </c>
      <c r="B399" s="18" t="str">
        <f>IF(ISNA(VLOOKUP($A399,'Data Pull Sheet'!$B$2:$C$1795,2,0)),"",(VLOOKUP($A399,'Data Pull Sheet'!$B$2:$C$1795,2,0)))</f>
        <v>CMGE</v>
      </c>
      <c r="C399" s="59" t="s">
        <v>418</v>
      </c>
      <c r="D399" s="356" t="s">
        <v>1340</v>
      </c>
      <c r="E399" s="356" t="s">
        <v>472</v>
      </c>
      <c r="F399" s="23" t="s">
        <v>1357</v>
      </c>
      <c r="G399" s="23" t="s">
        <v>417</v>
      </c>
      <c r="H399" s="353">
        <v>84834.13</v>
      </c>
      <c r="I399" s="59"/>
      <c r="J399" s="59" t="s">
        <v>1358</v>
      </c>
      <c r="K399" s="20"/>
      <c r="L399" s="20"/>
      <c r="M399" s="357"/>
      <c r="N399" s="411"/>
      <c r="O399" s="23" t="s">
        <v>682</v>
      </c>
      <c r="P399" s="92" t="s">
        <v>632</v>
      </c>
      <c r="Q399" s="92" t="s">
        <v>662</v>
      </c>
      <c r="R399" s="372" t="str">
        <f t="shared" si="13"/>
        <v/>
      </c>
    </row>
    <row r="400" spans="1:18" x14ac:dyDescent="0.25">
      <c r="A400" s="23" t="s">
        <v>1339</v>
      </c>
      <c r="B400" s="18" t="str">
        <f>IF(ISNA(VLOOKUP($A400,'Data Pull Sheet'!$B$2:$C$1795,2,0)),"",(VLOOKUP($A400,'Data Pull Sheet'!$B$2:$C$1795,2,0)))</f>
        <v>CMGE</v>
      </c>
      <c r="C400" s="59" t="s">
        <v>418</v>
      </c>
      <c r="D400" s="356" t="s">
        <v>1340</v>
      </c>
      <c r="E400" s="356" t="s">
        <v>472</v>
      </c>
      <c r="F400" s="23" t="s">
        <v>1342</v>
      </c>
      <c r="G400" s="23" t="s">
        <v>403</v>
      </c>
      <c r="H400" s="353">
        <v>9742</v>
      </c>
      <c r="I400" s="59"/>
      <c r="J400" s="59" t="s">
        <v>11996</v>
      </c>
      <c r="K400" s="20"/>
      <c r="L400" s="20">
        <v>1</v>
      </c>
      <c r="M400" s="357">
        <f t="shared" ref="M400:M407" si="14">H400</f>
        <v>9742</v>
      </c>
      <c r="N400" s="411">
        <f>IFERROR((M400/(VLOOKUP(B400,'Data Pull Sheet'!$C:$H,6,FALSE))),"DC")</f>
        <v>2.563684210526316E-4</v>
      </c>
      <c r="O400" s="23" t="s">
        <v>60</v>
      </c>
      <c r="P400" s="92" t="s">
        <v>632</v>
      </c>
      <c r="Q400" s="92" t="s">
        <v>637</v>
      </c>
      <c r="R400" s="372" t="str">
        <f t="shared" si="13"/>
        <v/>
      </c>
    </row>
    <row r="401" spans="1:18" ht="30" x14ac:dyDescent="0.25">
      <c r="A401" s="23" t="s">
        <v>2690</v>
      </c>
      <c r="B401" s="18" t="str">
        <f>IF(ISNA(VLOOKUP($A401,'Data Pull Sheet'!$B$2:$C$1795,2,0)),"",(VLOOKUP($A401,'Data Pull Sheet'!$B$2:$C$1795,2,0)))</f>
        <v>MENT</v>
      </c>
      <c r="C401" s="59" t="s">
        <v>443</v>
      </c>
      <c r="D401" s="356" t="s">
        <v>2691</v>
      </c>
      <c r="E401" s="356" t="s">
        <v>586</v>
      </c>
      <c r="F401" s="23" t="s">
        <v>2692</v>
      </c>
      <c r="G401" s="23" t="s">
        <v>403</v>
      </c>
      <c r="H401" s="353">
        <v>3678</v>
      </c>
      <c r="I401" s="59"/>
      <c r="J401" s="59" t="s">
        <v>2693</v>
      </c>
      <c r="K401" s="20">
        <v>2</v>
      </c>
      <c r="L401" s="20">
        <v>1</v>
      </c>
      <c r="M401" s="357">
        <f t="shared" si="14"/>
        <v>3678</v>
      </c>
      <c r="N401" s="411">
        <f>IFERROR((M401/(VLOOKUP(B401,'Data Pull Sheet'!$C:$H,6,FALSE))),"DC")</f>
        <v>7.6624999999999999E-6</v>
      </c>
      <c r="O401" s="23" t="s">
        <v>2694</v>
      </c>
      <c r="P401" s="92" t="s">
        <v>632</v>
      </c>
      <c r="Q401" s="92" t="s">
        <v>637</v>
      </c>
      <c r="R401" s="372" t="str">
        <f t="shared" si="13"/>
        <v/>
      </c>
    </row>
    <row r="402" spans="1:18" ht="30" x14ac:dyDescent="0.25">
      <c r="A402" s="23" t="s">
        <v>2690</v>
      </c>
      <c r="B402" s="18" t="str">
        <f>IF(ISNA(VLOOKUP($A402,'Data Pull Sheet'!$B$2:$C$1795,2,0)),"",(VLOOKUP($A402,'Data Pull Sheet'!$B$2:$C$1795,2,0)))</f>
        <v>MENT</v>
      </c>
      <c r="C402" s="59" t="s">
        <v>443</v>
      </c>
      <c r="D402" s="356" t="s">
        <v>2691</v>
      </c>
      <c r="E402" s="356" t="s">
        <v>586</v>
      </c>
      <c r="F402" s="23" t="s">
        <v>2695</v>
      </c>
      <c r="G402" s="23" t="s">
        <v>417</v>
      </c>
      <c r="H402" s="353">
        <v>43798.74</v>
      </c>
      <c r="I402" s="59"/>
      <c r="J402" s="59" t="s">
        <v>2696</v>
      </c>
      <c r="K402" s="20"/>
      <c r="L402" s="20">
        <v>1</v>
      </c>
      <c r="M402" s="357">
        <f t="shared" si="14"/>
        <v>43798.74</v>
      </c>
      <c r="N402" s="411">
        <f>IFERROR((M402/(VLOOKUP(B402,'Data Pull Sheet'!$C:$H,6,FALSE))),"DC")</f>
        <v>9.1247374999999995E-5</v>
      </c>
      <c r="O402" s="23" t="s">
        <v>2697</v>
      </c>
      <c r="P402" s="92" t="s">
        <v>632</v>
      </c>
      <c r="Q402" s="92" t="s">
        <v>633</v>
      </c>
      <c r="R402" s="372" t="str">
        <f t="shared" si="13"/>
        <v/>
      </c>
    </row>
    <row r="403" spans="1:18" x14ac:dyDescent="0.25">
      <c r="A403" s="23" t="s">
        <v>292</v>
      </c>
      <c r="B403" s="18" t="str">
        <f>IF(ISNA(VLOOKUP($A403,'Data Pull Sheet'!$B$2:$C$1795,2,0)),"",(VLOOKUP($A403,'Data Pull Sheet'!$B$2:$C$1795,2,0)))</f>
        <v>PSG</v>
      </c>
      <c r="C403" s="59" t="s">
        <v>418</v>
      </c>
      <c r="D403" s="356" t="s">
        <v>541</v>
      </c>
      <c r="E403" s="356" t="s">
        <v>586</v>
      </c>
      <c r="F403" s="23" t="s">
        <v>3068</v>
      </c>
      <c r="G403" s="23" t="s">
        <v>403</v>
      </c>
      <c r="H403" s="353">
        <v>39750</v>
      </c>
      <c r="I403" s="59"/>
      <c r="J403" s="59" t="s">
        <v>3069</v>
      </c>
      <c r="K403" s="20">
        <v>2</v>
      </c>
      <c r="L403" s="20">
        <v>1</v>
      </c>
      <c r="M403" s="357">
        <f t="shared" si="14"/>
        <v>39750</v>
      </c>
      <c r="N403" s="411">
        <f>IFERROR((M403/(VLOOKUP(B403,'Data Pull Sheet'!$C:$H,6,FALSE))),"DC")</f>
        <v>2.7604166666666668E-4</v>
      </c>
      <c r="O403" s="23" t="s">
        <v>1617</v>
      </c>
      <c r="P403" s="92" t="s">
        <v>632</v>
      </c>
      <c r="Q403" s="92" t="s">
        <v>637</v>
      </c>
      <c r="R403" s="372" t="str">
        <f t="shared" si="13"/>
        <v/>
      </c>
    </row>
    <row r="404" spans="1:18" ht="30" x14ac:dyDescent="0.25">
      <c r="A404" s="23" t="s">
        <v>292</v>
      </c>
      <c r="B404" s="18" t="str">
        <f>IF(ISNA(VLOOKUP($A404,'Data Pull Sheet'!$B$2:$C$1795,2,0)),"",(VLOOKUP($A404,'Data Pull Sheet'!$B$2:$C$1795,2,0)))</f>
        <v>PSG</v>
      </c>
      <c r="C404" s="59" t="s">
        <v>418</v>
      </c>
      <c r="D404" s="356" t="s">
        <v>541</v>
      </c>
      <c r="E404" s="356" t="s">
        <v>586</v>
      </c>
      <c r="F404" s="23" t="s">
        <v>291</v>
      </c>
      <c r="G404" s="23" t="s">
        <v>417</v>
      </c>
      <c r="H404" s="353">
        <v>928077.31</v>
      </c>
      <c r="I404" s="59"/>
      <c r="J404" s="59" t="s">
        <v>3070</v>
      </c>
      <c r="K404" s="20"/>
      <c r="L404" s="20">
        <v>1</v>
      </c>
      <c r="M404" s="357">
        <f t="shared" si="14"/>
        <v>928077.31</v>
      </c>
      <c r="N404" s="411">
        <f>IFERROR((M404/(VLOOKUP(B404,'Data Pull Sheet'!$C:$H,6,FALSE))),"DC")</f>
        <v>6.4449813194444447E-3</v>
      </c>
      <c r="O404" s="23" t="s">
        <v>3071</v>
      </c>
      <c r="P404" s="92" t="s">
        <v>632</v>
      </c>
      <c r="Q404" s="92" t="s">
        <v>633</v>
      </c>
      <c r="R404" s="372" t="str">
        <f t="shared" si="13"/>
        <v>FF</v>
      </c>
    </row>
    <row r="405" spans="1:18" x14ac:dyDescent="0.25">
      <c r="A405" s="23" t="s">
        <v>3372</v>
      </c>
      <c r="B405" s="18" t="str">
        <f>IF(ISNA(VLOOKUP($A405,'Data Pull Sheet'!$B$2:$C$1795,2,0)),"",(VLOOKUP($A405,'Data Pull Sheet'!$B$2:$C$1795,2,0)))</f>
        <v>SC</v>
      </c>
      <c r="C405" s="59" t="s">
        <v>1815</v>
      </c>
      <c r="D405" s="356" t="s">
        <v>2691</v>
      </c>
      <c r="E405" s="356" t="s">
        <v>586</v>
      </c>
      <c r="F405" s="23" t="s">
        <v>3373</v>
      </c>
      <c r="G405" s="23" t="s">
        <v>403</v>
      </c>
      <c r="H405" s="353">
        <v>8558.18</v>
      </c>
      <c r="I405" s="59"/>
      <c r="J405" s="59" t="s">
        <v>3374</v>
      </c>
      <c r="K405" s="20">
        <v>2</v>
      </c>
      <c r="L405" s="20">
        <v>1</v>
      </c>
      <c r="M405" s="357">
        <f t="shared" si="14"/>
        <v>8558.18</v>
      </c>
      <c r="N405" s="411">
        <f>IFERROR((M405/(VLOOKUP(B405,'Data Pull Sheet'!$C:$H,6,FALSE))),"DC")</f>
        <v>7.191747899159664E-5</v>
      </c>
      <c r="O405" s="23" t="s">
        <v>3375</v>
      </c>
      <c r="P405" s="92" t="s">
        <v>632</v>
      </c>
      <c r="Q405" s="92" t="s">
        <v>637</v>
      </c>
      <c r="R405" s="372" t="str">
        <f t="shared" si="13"/>
        <v/>
      </c>
    </row>
    <row r="406" spans="1:18" x14ac:dyDescent="0.25">
      <c r="A406" s="23" t="s">
        <v>3372</v>
      </c>
      <c r="B406" s="18" t="str">
        <f>IF(ISNA(VLOOKUP($A406,'Data Pull Sheet'!$B$2:$C$1795,2,0)),"",(VLOOKUP($A406,'Data Pull Sheet'!$B$2:$C$1795,2,0)))</f>
        <v>SC</v>
      </c>
      <c r="C406" s="59" t="s">
        <v>1815</v>
      </c>
      <c r="D406" s="356" t="s">
        <v>2691</v>
      </c>
      <c r="E406" s="356" t="s">
        <v>586</v>
      </c>
      <c r="F406" s="23" t="s">
        <v>3376</v>
      </c>
      <c r="G406" s="23" t="s">
        <v>403</v>
      </c>
      <c r="H406" s="353">
        <v>12148.02</v>
      </c>
      <c r="I406" s="59"/>
      <c r="J406" s="59" t="s">
        <v>3377</v>
      </c>
      <c r="K406" s="20"/>
      <c r="L406" s="20">
        <v>1</v>
      </c>
      <c r="M406" s="357">
        <f t="shared" si="14"/>
        <v>12148.02</v>
      </c>
      <c r="N406" s="411">
        <f>IFERROR((M406/(VLOOKUP(B406,'Data Pull Sheet'!$C:$H,6,FALSE))),"DC")</f>
        <v>1.0208420168067228E-4</v>
      </c>
      <c r="O406" s="23" t="s">
        <v>3378</v>
      </c>
      <c r="P406" s="92" t="s">
        <v>632</v>
      </c>
      <c r="Q406" s="92" t="s">
        <v>637</v>
      </c>
      <c r="R406" s="372" t="str">
        <f t="shared" si="13"/>
        <v/>
      </c>
    </row>
    <row r="407" spans="1:18" ht="30" x14ac:dyDescent="0.25">
      <c r="A407" s="23" t="s">
        <v>2630</v>
      </c>
      <c r="B407" s="18" t="str">
        <f>IF(ISNA(VLOOKUP($A407,'Data Pull Sheet'!$B$2:$C$1795,2,0)),"",(VLOOKUP($A407,'Data Pull Sheet'!$B$2:$C$1795,2,0)))</f>
        <v>LPLA</v>
      </c>
      <c r="C407" s="59" t="s">
        <v>557</v>
      </c>
      <c r="D407" s="356" t="s">
        <v>602</v>
      </c>
      <c r="E407" s="356" t="s">
        <v>2631</v>
      </c>
      <c r="F407" s="23" t="s">
        <v>2632</v>
      </c>
      <c r="G407" s="23" t="s">
        <v>417</v>
      </c>
      <c r="H407" s="353">
        <v>78902.179999999993</v>
      </c>
      <c r="I407" s="59"/>
      <c r="J407" s="59" t="s">
        <v>2633</v>
      </c>
      <c r="K407" s="20">
        <v>1</v>
      </c>
      <c r="L407" s="20">
        <v>1</v>
      </c>
      <c r="M407" s="357">
        <f t="shared" si="14"/>
        <v>78902.179999999993</v>
      </c>
      <c r="N407" s="411">
        <f>IFERROR((M407/(VLOOKUP(B407,'Data Pull Sheet'!$C:$H,6,FALSE))),"DC")</f>
        <v>5.8446059259259259E-4</v>
      </c>
      <c r="O407" s="23" t="s">
        <v>7</v>
      </c>
      <c r="P407" s="92" t="s">
        <v>676</v>
      </c>
      <c r="Q407" s="92" t="s">
        <v>633</v>
      </c>
      <c r="R407" s="372" t="str">
        <f t="shared" si="13"/>
        <v/>
      </c>
    </row>
    <row r="408" spans="1:18" ht="30" x14ac:dyDescent="0.25">
      <c r="A408" s="23" t="s">
        <v>2762</v>
      </c>
      <c r="B408" s="18" t="str">
        <f>IF(ISNA(VLOOKUP($A408,'Data Pull Sheet'!$B$2:$C$1795,2,0)),"",(VLOOKUP($A408,'Data Pull Sheet'!$B$2:$C$1795,2,0)))</f>
        <v>NK</v>
      </c>
      <c r="C408" s="59" t="s">
        <v>446</v>
      </c>
      <c r="D408" s="356" t="s">
        <v>602</v>
      </c>
      <c r="E408" s="356" t="s">
        <v>2631</v>
      </c>
      <c r="F408" s="23" t="s">
        <v>2763</v>
      </c>
      <c r="G408" s="23" t="s">
        <v>403</v>
      </c>
      <c r="H408" s="353">
        <v>58670.1</v>
      </c>
      <c r="I408" s="59"/>
      <c r="J408" s="59" t="s">
        <v>2764</v>
      </c>
      <c r="K408" s="20">
        <v>1</v>
      </c>
      <c r="L408" s="20">
        <v>2</v>
      </c>
      <c r="M408" s="357">
        <f>SUM(H408:H409)</f>
        <v>236015.78</v>
      </c>
      <c r="N408" s="411">
        <f>IFERROR((M408/(VLOOKUP(B408,'Data Pull Sheet'!$C:$H,6,FALSE))),"DC")</f>
        <v>1.9667981666666667E-2</v>
      </c>
      <c r="O408" s="23" t="s">
        <v>2765</v>
      </c>
      <c r="P408" s="92" t="s">
        <v>676</v>
      </c>
      <c r="Q408" s="92" t="s">
        <v>646</v>
      </c>
      <c r="R408" s="372" t="str">
        <f t="shared" si="13"/>
        <v/>
      </c>
    </row>
    <row r="409" spans="1:18" ht="30" x14ac:dyDescent="0.25">
      <c r="A409" s="23" t="s">
        <v>2762</v>
      </c>
      <c r="B409" s="18" t="str">
        <f>IF(ISNA(VLOOKUP($A409,'Data Pull Sheet'!$B$2:$C$1795,2,0)),"",(VLOOKUP($A409,'Data Pull Sheet'!$B$2:$C$1795,2,0)))</f>
        <v>NK</v>
      </c>
      <c r="C409" s="59" t="s">
        <v>446</v>
      </c>
      <c r="D409" s="356" t="s">
        <v>602</v>
      </c>
      <c r="E409" s="356" t="s">
        <v>2631</v>
      </c>
      <c r="F409" s="23" t="s">
        <v>2766</v>
      </c>
      <c r="G409" s="23" t="s">
        <v>403</v>
      </c>
      <c r="H409" s="353">
        <v>177345.68</v>
      </c>
      <c r="I409" s="59"/>
      <c r="J409" s="59" t="s">
        <v>2767</v>
      </c>
      <c r="K409" s="20"/>
      <c r="L409" s="20"/>
      <c r="M409" s="357"/>
      <c r="N409" s="411"/>
      <c r="O409" s="23" t="s">
        <v>2765</v>
      </c>
      <c r="P409" s="92" t="s">
        <v>676</v>
      </c>
      <c r="Q409" s="92" t="s">
        <v>646</v>
      </c>
      <c r="R409" s="372" t="str">
        <f t="shared" si="13"/>
        <v/>
      </c>
    </row>
    <row r="410" spans="1:18" ht="30" x14ac:dyDescent="0.25">
      <c r="A410" s="23" t="s">
        <v>791</v>
      </c>
      <c r="B410" s="18" t="str">
        <f>IF(ISNA(VLOOKUP($A410,'Data Pull Sheet'!$B$2:$C$1795,2,0)),"",(VLOOKUP($A410,'Data Pull Sheet'!$B$2:$C$1795,2,0)))</f>
        <v>AYA</v>
      </c>
      <c r="C410" s="59" t="s">
        <v>424</v>
      </c>
      <c r="D410" s="356" t="s">
        <v>792</v>
      </c>
      <c r="E410" s="356" t="s">
        <v>594</v>
      </c>
      <c r="F410" s="23" t="s">
        <v>793</v>
      </c>
      <c r="G410" s="23" t="s">
        <v>403</v>
      </c>
      <c r="H410" s="353">
        <v>5134.5</v>
      </c>
      <c r="I410" s="59"/>
      <c r="J410" s="59" t="s">
        <v>794</v>
      </c>
      <c r="K410" s="20">
        <v>2</v>
      </c>
      <c r="L410" s="20">
        <v>1</v>
      </c>
      <c r="M410" s="357">
        <f>H410</f>
        <v>5134.5</v>
      </c>
      <c r="N410" s="411">
        <f>IFERROR((M410/(VLOOKUP(B410,'Data Pull Sheet'!$C:$H,6,FALSE))),"DC")</f>
        <v>2.0537999999999999E-4</v>
      </c>
      <c r="O410" s="23" t="s">
        <v>687</v>
      </c>
      <c r="P410" s="92" t="s">
        <v>632</v>
      </c>
      <c r="Q410" s="92" t="s">
        <v>637</v>
      </c>
      <c r="R410" s="372" t="str">
        <f t="shared" si="13"/>
        <v/>
      </c>
    </row>
    <row r="411" spans="1:18" x14ac:dyDescent="0.25">
      <c r="A411" s="23" t="s">
        <v>791</v>
      </c>
      <c r="B411" s="18" t="str">
        <f>IF(ISNA(VLOOKUP($A411,'Data Pull Sheet'!$B$2:$C$1795,2,0)),"",(VLOOKUP($A411,'Data Pull Sheet'!$B$2:$C$1795,2,0)))</f>
        <v>AYA</v>
      </c>
      <c r="C411" s="59" t="s">
        <v>424</v>
      </c>
      <c r="D411" s="356" t="s">
        <v>792</v>
      </c>
      <c r="E411" s="356" t="s">
        <v>594</v>
      </c>
      <c r="F411" s="23" t="s">
        <v>795</v>
      </c>
      <c r="G411" s="23" t="s">
        <v>403</v>
      </c>
      <c r="H411" s="353">
        <v>9172</v>
      </c>
      <c r="I411" s="59"/>
      <c r="J411" s="59" t="s">
        <v>796</v>
      </c>
      <c r="K411" s="20"/>
      <c r="L411" s="20">
        <v>4</v>
      </c>
      <c r="M411" s="357">
        <f>SUM(H411:H414)</f>
        <v>65659.67</v>
      </c>
      <c r="N411" s="411">
        <f>IFERROR((M411/(VLOOKUP(B411,'Data Pull Sheet'!$C:$H,6,FALSE))),"DC")</f>
        <v>2.6263867999999999E-3</v>
      </c>
      <c r="O411" s="23" t="s">
        <v>797</v>
      </c>
      <c r="P411" s="92" t="s">
        <v>632</v>
      </c>
      <c r="Q411" s="92" t="s">
        <v>646</v>
      </c>
      <c r="R411" s="372" t="str">
        <f t="shared" si="13"/>
        <v/>
      </c>
    </row>
    <row r="412" spans="1:18" x14ac:dyDescent="0.25">
      <c r="A412" s="23" t="s">
        <v>791</v>
      </c>
      <c r="B412" s="18" t="str">
        <f>IF(ISNA(VLOOKUP($A412,'Data Pull Sheet'!$B$2:$C$1795,2,0)),"",(VLOOKUP($A412,'Data Pull Sheet'!$B$2:$C$1795,2,0)))</f>
        <v>AYA</v>
      </c>
      <c r="C412" s="59" t="s">
        <v>424</v>
      </c>
      <c r="D412" s="356" t="s">
        <v>792</v>
      </c>
      <c r="E412" s="356" t="s">
        <v>594</v>
      </c>
      <c r="F412" s="23" t="s">
        <v>798</v>
      </c>
      <c r="G412" s="23" t="s">
        <v>403</v>
      </c>
      <c r="H412" s="353">
        <v>10270.85</v>
      </c>
      <c r="I412" s="59"/>
      <c r="J412" s="59" t="s">
        <v>799</v>
      </c>
      <c r="K412" s="20"/>
      <c r="L412" s="20"/>
      <c r="M412" s="357"/>
      <c r="N412" s="411"/>
      <c r="O412" s="23" t="s">
        <v>797</v>
      </c>
      <c r="P412" s="92" t="s">
        <v>632</v>
      </c>
      <c r="Q412" s="92" t="s">
        <v>646</v>
      </c>
      <c r="R412" s="372" t="str">
        <f t="shared" si="13"/>
        <v/>
      </c>
    </row>
    <row r="413" spans="1:18" x14ac:dyDescent="0.25">
      <c r="A413" s="23" t="s">
        <v>791</v>
      </c>
      <c r="B413" s="18" t="str">
        <f>IF(ISNA(VLOOKUP($A413,'Data Pull Sheet'!$B$2:$C$1795,2,0)),"",(VLOOKUP($A413,'Data Pull Sheet'!$B$2:$C$1795,2,0)))</f>
        <v>AYA</v>
      </c>
      <c r="C413" s="59" t="s">
        <v>424</v>
      </c>
      <c r="D413" s="356" t="s">
        <v>792</v>
      </c>
      <c r="E413" s="356" t="s">
        <v>594</v>
      </c>
      <c r="F413" s="23" t="s">
        <v>800</v>
      </c>
      <c r="G413" s="23" t="s">
        <v>403</v>
      </c>
      <c r="H413" s="353">
        <v>14780.47</v>
      </c>
      <c r="I413" s="59"/>
      <c r="J413" s="59" t="s">
        <v>801</v>
      </c>
      <c r="K413" s="20"/>
      <c r="L413" s="20"/>
      <c r="M413" s="357"/>
      <c r="N413" s="411"/>
      <c r="O413" s="23" t="s">
        <v>797</v>
      </c>
      <c r="P413" s="92" t="s">
        <v>632</v>
      </c>
      <c r="Q413" s="92" t="s">
        <v>646</v>
      </c>
      <c r="R413" s="372" t="str">
        <f t="shared" si="13"/>
        <v/>
      </c>
    </row>
    <row r="414" spans="1:18" x14ac:dyDescent="0.25">
      <c r="A414" s="23" t="s">
        <v>791</v>
      </c>
      <c r="B414" s="18" t="str">
        <f>IF(ISNA(VLOOKUP($A414,'Data Pull Sheet'!$B$2:$C$1795,2,0)),"",(VLOOKUP($A414,'Data Pull Sheet'!$B$2:$C$1795,2,0)))</f>
        <v>AYA</v>
      </c>
      <c r="C414" s="59" t="s">
        <v>424</v>
      </c>
      <c r="D414" s="356" t="s">
        <v>792</v>
      </c>
      <c r="E414" s="356" t="s">
        <v>594</v>
      </c>
      <c r="F414" s="23" t="s">
        <v>802</v>
      </c>
      <c r="G414" s="23" t="s">
        <v>403</v>
      </c>
      <c r="H414" s="353">
        <v>31436.35</v>
      </c>
      <c r="I414" s="59"/>
      <c r="J414" s="59" t="s">
        <v>803</v>
      </c>
      <c r="K414" s="20"/>
      <c r="L414" s="20"/>
      <c r="M414" s="357"/>
      <c r="N414" s="411"/>
      <c r="O414" s="23" t="s">
        <v>797</v>
      </c>
      <c r="P414" s="92" t="s">
        <v>632</v>
      </c>
      <c r="Q414" s="92" t="s">
        <v>646</v>
      </c>
      <c r="R414" s="372" t="str">
        <f t="shared" si="13"/>
        <v/>
      </c>
    </row>
    <row r="415" spans="1:18" x14ac:dyDescent="0.25">
      <c r="A415" s="23" t="s">
        <v>1957</v>
      </c>
      <c r="B415" s="18" t="str">
        <f>IF(ISNA(VLOOKUP($A415,'Data Pull Sheet'!$B$2:$C$1795,2,0)),"",(VLOOKUP($A415,'Data Pull Sheet'!$B$2:$C$1795,2,0)))</f>
        <v>FLY</v>
      </c>
      <c r="C415" s="59" t="s">
        <v>418</v>
      </c>
      <c r="D415" s="356" t="s">
        <v>444</v>
      </c>
      <c r="E415" s="356" t="s">
        <v>594</v>
      </c>
      <c r="F415" s="23" t="s">
        <v>1958</v>
      </c>
      <c r="G415" s="23" t="s">
        <v>403</v>
      </c>
      <c r="H415" s="353">
        <v>17347.27</v>
      </c>
      <c r="I415" s="59"/>
      <c r="J415" s="59" t="s">
        <v>1959</v>
      </c>
      <c r="K415" s="20">
        <v>2</v>
      </c>
      <c r="L415" s="20">
        <v>1</v>
      </c>
      <c r="M415" s="357">
        <f>H415</f>
        <v>17347.27</v>
      </c>
      <c r="N415" s="411">
        <f>IFERROR((M415/(VLOOKUP(B415,'Data Pull Sheet'!$C:$H,6,FALSE))),"DC")</f>
        <v>4.8186861111111114E-4</v>
      </c>
      <c r="O415" s="23" t="s">
        <v>63</v>
      </c>
      <c r="P415" s="92" t="s">
        <v>632</v>
      </c>
      <c r="Q415" s="92" t="s">
        <v>637</v>
      </c>
      <c r="R415" s="372" t="str">
        <f t="shared" si="13"/>
        <v/>
      </c>
    </row>
    <row r="416" spans="1:18" x14ac:dyDescent="0.25">
      <c r="A416" s="23" t="s">
        <v>1957</v>
      </c>
      <c r="B416" s="18" t="str">
        <f>IF(ISNA(VLOOKUP($A416,'Data Pull Sheet'!$B$2:$C$1795,2,0)),"",(VLOOKUP($A416,'Data Pull Sheet'!$B$2:$C$1795,2,0)))</f>
        <v>FLY</v>
      </c>
      <c r="C416" s="59" t="s">
        <v>418</v>
      </c>
      <c r="D416" s="356" t="s">
        <v>444</v>
      </c>
      <c r="E416" s="356" t="s">
        <v>594</v>
      </c>
      <c r="F416" s="23" t="s">
        <v>1960</v>
      </c>
      <c r="G416" s="23" t="s">
        <v>403</v>
      </c>
      <c r="H416" s="353">
        <v>1236</v>
      </c>
      <c r="I416" s="59"/>
      <c r="J416" s="59" t="s">
        <v>1961</v>
      </c>
      <c r="K416" s="20"/>
      <c r="L416" s="20">
        <v>3</v>
      </c>
      <c r="M416" s="357">
        <f>SUM(H416:H418)</f>
        <v>6344</v>
      </c>
      <c r="N416" s="411">
        <f>IFERROR((M416/(VLOOKUP(B416,'Data Pull Sheet'!$C:$H,6,FALSE))),"DC")</f>
        <v>1.7622222222222223E-4</v>
      </c>
      <c r="O416" s="23" t="s">
        <v>554</v>
      </c>
      <c r="P416" s="92" t="s">
        <v>632</v>
      </c>
      <c r="Q416" s="92" t="s">
        <v>646</v>
      </c>
      <c r="R416" s="372" t="str">
        <f t="shared" si="13"/>
        <v/>
      </c>
    </row>
    <row r="417" spans="1:18" x14ac:dyDescent="0.25">
      <c r="A417" s="23" t="s">
        <v>1957</v>
      </c>
      <c r="B417" s="18" t="str">
        <f>IF(ISNA(VLOOKUP($A417,'Data Pull Sheet'!$B$2:$C$1795,2,0)),"",(VLOOKUP($A417,'Data Pull Sheet'!$B$2:$C$1795,2,0)))</f>
        <v>FLY</v>
      </c>
      <c r="C417" s="59" t="s">
        <v>418</v>
      </c>
      <c r="D417" s="356" t="s">
        <v>444</v>
      </c>
      <c r="E417" s="356" t="s">
        <v>594</v>
      </c>
      <c r="F417" s="23" t="s">
        <v>1962</v>
      </c>
      <c r="G417" s="23" t="s">
        <v>403</v>
      </c>
      <c r="H417" s="353">
        <v>1591</v>
      </c>
      <c r="I417" s="59"/>
      <c r="J417" s="59" t="s">
        <v>1963</v>
      </c>
      <c r="K417" s="20"/>
      <c r="L417" s="20"/>
      <c r="M417" s="357"/>
      <c r="N417" s="411"/>
      <c r="O417" s="23" t="s">
        <v>554</v>
      </c>
      <c r="P417" s="92" t="s">
        <v>632</v>
      </c>
      <c r="Q417" s="92" t="s">
        <v>646</v>
      </c>
      <c r="R417" s="372" t="str">
        <f t="shared" si="13"/>
        <v/>
      </c>
    </row>
    <row r="418" spans="1:18" x14ac:dyDescent="0.25">
      <c r="A418" s="23" t="s">
        <v>1957</v>
      </c>
      <c r="B418" s="18" t="str">
        <f>IF(ISNA(VLOOKUP($A418,'Data Pull Sheet'!$B$2:$C$1795,2,0)),"",(VLOOKUP($A418,'Data Pull Sheet'!$B$2:$C$1795,2,0)))</f>
        <v>FLY</v>
      </c>
      <c r="C418" s="59" t="s">
        <v>418</v>
      </c>
      <c r="D418" s="356" t="s">
        <v>444</v>
      </c>
      <c r="E418" s="356" t="s">
        <v>594</v>
      </c>
      <c r="F418" s="23" t="s">
        <v>1964</v>
      </c>
      <c r="G418" s="23" t="s">
        <v>403</v>
      </c>
      <c r="H418" s="353">
        <v>3517</v>
      </c>
      <c r="I418" s="59"/>
      <c r="J418" s="59" t="s">
        <v>1965</v>
      </c>
      <c r="K418" s="20"/>
      <c r="L418" s="20"/>
      <c r="M418" s="357"/>
      <c r="N418" s="411"/>
      <c r="O418" s="23" t="s">
        <v>554</v>
      </c>
      <c r="P418" s="92" t="s">
        <v>632</v>
      </c>
      <c r="Q418" s="92" t="s">
        <v>646</v>
      </c>
      <c r="R418" s="372" t="str">
        <f t="shared" si="13"/>
        <v/>
      </c>
    </row>
    <row r="419" spans="1:18" ht="30" x14ac:dyDescent="0.25">
      <c r="A419" s="23" t="s">
        <v>30</v>
      </c>
      <c r="B419" s="18" t="str">
        <f>IF(ISNA(VLOOKUP($A419,'Data Pull Sheet'!$B$2:$C$1795,2,0)),"",(VLOOKUP($A419,'Data Pull Sheet'!$B$2:$C$1795,2,0)))</f>
        <v>PCP</v>
      </c>
      <c r="C419" s="59" t="s">
        <v>443</v>
      </c>
      <c r="D419" s="356" t="s">
        <v>444</v>
      </c>
      <c r="E419" s="356" t="s">
        <v>445</v>
      </c>
      <c r="F419" s="23" t="s">
        <v>274</v>
      </c>
      <c r="G419" s="23" t="s">
        <v>417</v>
      </c>
      <c r="H419" s="353">
        <v>479279.77</v>
      </c>
      <c r="I419" s="59" t="s">
        <v>406</v>
      </c>
      <c r="J419" s="59" t="s">
        <v>3161</v>
      </c>
      <c r="K419" s="20">
        <v>2</v>
      </c>
      <c r="L419" s="20">
        <v>2</v>
      </c>
      <c r="M419" s="357">
        <f>SUM(H419:H420)</f>
        <v>3108874.39</v>
      </c>
      <c r="N419" s="411">
        <f>IFERROR((M419/(VLOOKUP(B419,'Data Pull Sheet'!$C:$H,6,FALSE))),"DC")</f>
        <v>1.0362914633333335E-3</v>
      </c>
      <c r="O419" s="23" t="s">
        <v>10808</v>
      </c>
      <c r="P419" s="92" t="s">
        <v>632</v>
      </c>
      <c r="Q419" s="92" t="s">
        <v>640</v>
      </c>
      <c r="R419" s="372" t="str">
        <f t="shared" si="13"/>
        <v>FF</v>
      </c>
    </row>
    <row r="420" spans="1:18" ht="30" x14ac:dyDescent="0.25">
      <c r="A420" s="23" t="s">
        <v>30</v>
      </c>
      <c r="B420" s="18" t="str">
        <f>IF(ISNA(VLOOKUP($A420,'Data Pull Sheet'!$B$2:$C$1795,2,0)),"",(VLOOKUP($A420,'Data Pull Sheet'!$B$2:$C$1795,2,0)))</f>
        <v>PCP</v>
      </c>
      <c r="C420" s="59" t="s">
        <v>443</v>
      </c>
      <c r="D420" s="356" t="s">
        <v>444</v>
      </c>
      <c r="E420" s="356" t="s">
        <v>445</v>
      </c>
      <c r="F420" s="23" t="s">
        <v>26</v>
      </c>
      <c r="G420" s="23" t="s">
        <v>417</v>
      </c>
      <c r="H420" s="353">
        <v>2629594.62</v>
      </c>
      <c r="I420" s="59" t="s">
        <v>406</v>
      </c>
      <c r="J420" s="59" t="s">
        <v>3163</v>
      </c>
      <c r="K420" s="20"/>
      <c r="L420" s="20"/>
      <c r="M420" s="357"/>
      <c r="N420" s="411"/>
      <c r="O420" s="23" t="s">
        <v>10808</v>
      </c>
      <c r="P420" s="92" t="s">
        <v>632</v>
      </c>
      <c r="Q420" s="92" t="s">
        <v>640</v>
      </c>
      <c r="R420" s="372" t="str">
        <f t="shared" si="13"/>
        <v>FF</v>
      </c>
    </row>
    <row r="421" spans="1:18" x14ac:dyDescent="0.25">
      <c r="A421" s="23" t="s">
        <v>30</v>
      </c>
      <c r="B421" s="18" t="str">
        <f>IF(ISNA(VLOOKUP($A421,'Data Pull Sheet'!$B$2:$C$1795,2,0)),"",(VLOOKUP($A421,'Data Pull Sheet'!$B$2:$C$1795,2,0)))</f>
        <v>PCP</v>
      </c>
      <c r="C421" s="59" t="s">
        <v>443</v>
      </c>
      <c r="D421" s="356" t="s">
        <v>444</v>
      </c>
      <c r="E421" s="356" t="s">
        <v>445</v>
      </c>
      <c r="F421" s="23" t="s">
        <v>218</v>
      </c>
      <c r="G421" s="23" t="s">
        <v>417</v>
      </c>
      <c r="H421" s="353">
        <v>1248176.04</v>
      </c>
      <c r="I421" s="59" t="s">
        <v>406</v>
      </c>
      <c r="J421" s="59" t="s">
        <v>3164</v>
      </c>
      <c r="K421" s="20"/>
      <c r="L421" s="20">
        <v>1</v>
      </c>
      <c r="M421" s="357">
        <f>H421</f>
        <v>1248176.04</v>
      </c>
      <c r="N421" s="411">
        <f>IFERROR((M421/(VLOOKUP(B421,'Data Pull Sheet'!$C:$H,6,FALSE))),"DC")</f>
        <v>4.1605868000000001E-4</v>
      </c>
      <c r="O421" s="23" t="s">
        <v>3165</v>
      </c>
      <c r="P421" s="92" t="s">
        <v>632</v>
      </c>
      <c r="Q421" s="92" t="s">
        <v>633</v>
      </c>
      <c r="R421" s="372" t="str">
        <f t="shared" si="13"/>
        <v>FF</v>
      </c>
    </row>
    <row r="422" spans="1:18" x14ac:dyDescent="0.25">
      <c r="A422" s="23" t="s">
        <v>96</v>
      </c>
      <c r="B422" s="18" t="str">
        <f>IF(ISNA(VLOOKUP($A422,'Data Pull Sheet'!$B$2:$C$1795,2,0)),"",(VLOOKUP($A422,'Data Pull Sheet'!$B$2:$C$1795,2,0)))</f>
        <v>BRX</v>
      </c>
      <c r="C422" s="59" t="s">
        <v>418</v>
      </c>
      <c r="D422" s="356" t="s">
        <v>485</v>
      </c>
      <c r="E422" s="356" t="s">
        <v>486</v>
      </c>
      <c r="F422" s="23" t="s">
        <v>341</v>
      </c>
      <c r="G422" s="23" t="s">
        <v>417</v>
      </c>
      <c r="H422" s="353">
        <v>63636.12</v>
      </c>
      <c r="I422" s="59" t="s">
        <v>406</v>
      </c>
      <c r="J422" s="59" t="s">
        <v>1053</v>
      </c>
      <c r="K422" s="20">
        <v>2</v>
      </c>
      <c r="L422" s="20">
        <v>2</v>
      </c>
      <c r="M422" s="357">
        <f>SUM(H422:H423)</f>
        <v>133491.97</v>
      </c>
      <c r="N422" s="411">
        <f>IFERROR((M422/(VLOOKUP(B422,'Data Pull Sheet'!$C:$H,6,FALSE))),"DC")</f>
        <v>2.9664882222222222E-4</v>
      </c>
      <c r="O422" s="23" t="s">
        <v>95</v>
      </c>
      <c r="P422" s="92" t="s">
        <v>632</v>
      </c>
      <c r="Q422" s="92" t="s">
        <v>640</v>
      </c>
      <c r="R422" s="372" t="str">
        <f t="shared" si="13"/>
        <v>FF</v>
      </c>
    </row>
    <row r="423" spans="1:18" x14ac:dyDescent="0.25">
      <c r="A423" s="23" t="s">
        <v>96</v>
      </c>
      <c r="B423" s="18" t="str">
        <f>IF(ISNA(VLOOKUP($A423,'Data Pull Sheet'!$B$2:$C$1795,2,0)),"",(VLOOKUP($A423,'Data Pull Sheet'!$B$2:$C$1795,2,0)))</f>
        <v>BRX</v>
      </c>
      <c r="C423" s="59" t="s">
        <v>418</v>
      </c>
      <c r="D423" s="356" t="s">
        <v>485</v>
      </c>
      <c r="E423" s="356" t="s">
        <v>486</v>
      </c>
      <c r="F423" s="23" t="s">
        <v>94</v>
      </c>
      <c r="G423" s="23" t="s">
        <v>417</v>
      </c>
      <c r="H423" s="353">
        <v>69855.850000000006</v>
      </c>
      <c r="I423" s="59" t="s">
        <v>406</v>
      </c>
      <c r="J423" s="59" t="s">
        <v>1054</v>
      </c>
      <c r="K423" s="20"/>
      <c r="L423" s="20"/>
      <c r="M423" s="357"/>
      <c r="N423" s="411"/>
      <c r="O423" s="23" t="s">
        <v>95</v>
      </c>
      <c r="P423" s="92" t="s">
        <v>632</v>
      </c>
      <c r="Q423" s="92" t="s">
        <v>640</v>
      </c>
      <c r="R423" s="372" t="str">
        <f t="shared" si="13"/>
        <v>FF</v>
      </c>
    </row>
    <row r="424" spans="1:18" ht="30" x14ac:dyDescent="0.25">
      <c r="A424" s="23" t="s">
        <v>96</v>
      </c>
      <c r="B424" s="18" t="str">
        <f>IF(ISNA(VLOOKUP($A424,'Data Pull Sheet'!$B$2:$C$1795,2,0)),"",(VLOOKUP($A424,'Data Pull Sheet'!$B$2:$C$1795,2,0)))</f>
        <v>BRX</v>
      </c>
      <c r="C424" s="59" t="s">
        <v>418</v>
      </c>
      <c r="D424" s="356" t="s">
        <v>485</v>
      </c>
      <c r="E424" s="356" t="s">
        <v>486</v>
      </c>
      <c r="F424" s="23" t="s">
        <v>1055</v>
      </c>
      <c r="G424" s="23" t="s">
        <v>417</v>
      </c>
      <c r="H424" s="353">
        <v>32033</v>
      </c>
      <c r="I424" s="59" t="s">
        <v>442</v>
      </c>
      <c r="J424" s="59" t="s">
        <v>1056</v>
      </c>
      <c r="K424" s="20"/>
      <c r="L424" s="20">
        <v>3</v>
      </c>
      <c r="M424" s="357">
        <f>SUM(H424:H426)</f>
        <v>117721</v>
      </c>
      <c r="N424" s="411">
        <f>IFERROR((M424/(VLOOKUP(B424,'Data Pull Sheet'!$C:$H,6,FALSE))),"DC")</f>
        <v>2.6160222222222223E-4</v>
      </c>
      <c r="O424" s="23" t="s">
        <v>1057</v>
      </c>
      <c r="P424" s="92" t="s">
        <v>632</v>
      </c>
      <c r="Q424" s="92" t="s">
        <v>640</v>
      </c>
      <c r="R424" s="372" t="str">
        <f t="shared" si="13"/>
        <v>FF</v>
      </c>
    </row>
    <row r="425" spans="1:18" x14ac:dyDescent="0.25">
      <c r="A425" s="23" t="s">
        <v>96</v>
      </c>
      <c r="B425" s="18" t="str">
        <f>IF(ISNA(VLOOKUP($A425,'Data Pull Sheet'!$B$2:$C$1795,2,0)),"",(VLOOKUP($A425,'Data Pull Sheet'!$B$2:$C$1795,2,0)))</f>
        <v>BRX</v>
      </c>
      <c r="C425" s="59" t="s">
        <v>418</v>
      </c>
      <c r="D425" s="356" t="s">
        <v>485</v>
      </c>
      <c r="E425" s="356" t="s">
        <v>486</v>
      </c>
      <c r="F425" s="23" t="s">
        <v>359</v>
      </c>
      <c r="G425" s="23" t="s">
        <v>417</v>
      </c>
      <c r="H425" s="353">
        <v>33927</v>
      </c>
      <c r="I425" s="59" t="s">
        <v>413</v>
      </c>
      <c r="J425" s="59" t="s">
        <v>1058</v>
      </c>
      <c r="K425" s="20"/>
      <c r="L425" s="20"/>
      <c r="M425" s="357"/>
      <c r="N425" s="411"/>
      <c r="O425" s="23" t="s">
        <v>1057</v>
      </c>
      <c r="P425" s="92" t="s">
        <v>632</v>
      </c>
      <c r="Q425" s="92" t="s">
        <v>640</v>
      </c>
      <c r="R425" s="372" t="str">
        <f t="shared" si="13"/>
        <v>FF</v>
      </c>
    </row>
    <row r="426" spans="1:18" x14ac:dyDescent="0.25">
      <c r="A426" s="23" t="s">
        <v>96</v>
      </c>
      <c r="B426" s="18" t="str">
        <f>IF(ISNA(VLOOKUP($A426,'Data Pull Sheet'!$B$2:$C$1795,2,0)),"",(VLOOKUP($A426,'Data Pull Sheet'!$B$2:$C$1795,2,0)))</f>
        <v>BRX</v>
      </c>
      <c r="C426" s="59" t="s">
        <v>418</v>
      </c>
      <c r="D426" s="356" t="s">
        <v>485</v>
      </c>
      <c r="E426" s="356" t="s">
        <v>486</v>
      </c>
      <c r="F426" s="23" t="s">
        <v>118</v>
      </c>
      <c r="G426" s="23" t="s">
        <v>417</v>
      </c>
      <c r="H426" s="353">
        <v>51761</v>
      </c>
      <c r="I426" s="59" t="s">
        <v>406</v>
      </c>
      <c r="J426" s="59" t="s">
        <v>1059</v>
      </c>
      <c r="K426" s="20"/>
      <c r="L426" s="20"/>
      <c r="M426" s="357"/>
      <c r="N426" s="411"/>
      <c r="O426" s="23" t="s">
        <v>1057</v>
      </c>
      <c r="P426" s="92" t="s">
        <v>632</v>
      </c>
      <c r="Q426" s="92" t="s">
        <v>640</v>
      </c>
      <c r="R426" s="372" t="str">
        <f t="shared" si="13"/>
        <v>FF</v>
      </c>
    </row>
    <row r="427" spans="1:18" ht="30" x14ac:dyDescent="0.25">
      <c r="A427" s="23" t="s">
        <v>1669</v>
      </c>
      <c r="B427" s="18" t="str">
        <f>IF(ISNA(VLOOKUP($A427,'Data Pull Sheet'!$B$2:$C$1795,2,0)),"",(VLOOKUP($A427,'Data Pull Sheet'!$B$2:$C$1795,2,0)))</f>
        <v>DSKX</v>
      </c>
      <c r="C427" s="59" t="s">
        <v>603</v>
      </c>
      <c r="D427" s="356" t="s">
        <v>524</v>
      </c>
      <c r="E427" s="356" t="s">
        <v>486</v>
      </c>
      <c r="F427" s="23" t="s">
        <v>1670</v>
      </c>
      <c r="G427" s="23" t="s">
        <v>403</v>
      </c>
      <c r="H427" s="353">
        <v>7960</v>
      </c>
      <c r="I427" s="59"/>
      <c r="J427" s="59" t="s">
        <v>1671</v>
      </c>
      <c r="K427" s="20">
        <v>4</v>
      </c>
      <c r="L427" s="20">
        <v>2</v>
      </c>
      <c r="M427" s="357">
        <f>SUM(H427:H428)</f>
        <v>31154</v>
      </c>
      <c r="N427" s="411">
        <f>IFERROR((M427/(VLOOKUP(B427,'Data Pull Sheet'!$C:$H,6,FALSE))),"DC")</f>
        <v>6.9231111111111108E-3</v>
      </c>
      <c r="O427" s="23" t="s">
        <v>1672</v>
      </c>
      <c r="P427" s="92" t="s">
        <v>632</v>
      </c>
      <c r="Q427" s="92" t="s">
        <v>646</v>
      </c>
      <c r="R427" s="372" t="str">
        <f t="shared" si="13"/>
        <v/>
      </c>
    </row>
    <row r="428" spans="1:18" ht="30" x14ac:dyDescent="0.25">
      <c r="A428" s="23" t="s">
        <v>1669</v>
      </c>
      <c r="B428" s="18" t="str">
        <f>IF(ISNA(VLOOKUP($A428,'Data Pull Sheet'!$B$2:$C$1795,2,0)),"",(VLOOKUP($A428,'Data Pull Sheet'!$B$2:$C$1795,2,0)))</f>
        <v>DSKX</v>
      </c>
      <c r="C428" s="59" t="s">
        <v>603</v>
      </c>
      <c r="D428" s="356" t="s">
        <v>524</v>
      </c>
      <c r="E428" s="356" t="s">
        <v>486</v>
      </c>
      <c r="F428" s="23" t="s">
        <v>1673</v>
      </c>
      <c r="G428" s="23" t="s">
        <v>403</v>
      </c>
      <c r="H428" s="353">
        <v>23194</v>
      </c>
      <c r="I428" s="59"/>
      <c r="J428" s="59" t="s">
        <v>1674</v>
      </c>
      <c r="K428" s="20"/>
      <c r="L428" s="20"/>
      <c r="M428" s="357"/>
      <c r="N428" s="411"/>
      <c r="O428" s="23" t="s">
        <v>1672</v>
      </c>
      <c r="P428" s="92" t="s">
        <v>632</v>
      </c>
      <c r="Q428" s="92" t="s">
        <v>646</v>
      </c>
      <c r="R428" s="372" t="str">
        <f t="shared" si="13"/>
        <v/>
      </c>
    </row>
    <row r="429" spans="1:18" x14ac:dyDescent="0.25">
      <c r="A429" s="23" t="s">
        <v>1669</v>
      </c>
      <c r="B429" s="18" t="str">
        <f>IF(ISNA(VLOOKUP($A429,'Data Pull Sheet'!$B$2:$C$1795,2,0)),"",(VLOOKUP($A429,'Data Pull Sheet'!$B$2:$C$1795,2,0)))</f>
        <v>DSKX</v>
      </c>
      <c r="C429" s="59" t="s">
        <v>603</v>
      </c>
      <c r="D429" s="356" t="s">
        <v>524</v>
      </c>
      <c r="E429" s="356" t="s">
        <v>486</v>
      </c>
      <c r="F429" s="23" t="s">
        <v>1675</v>
      </c>
      <c r="G429" s="23" t="s">
        <v>403</v>
      </c>
      <c r="H429" s="353">
        <v>159654</v>
      </c>
      <c r="I429" s="59"/>
      <c r="J429" s="59" t="s">
        <v>1676</v>
      </c>
      <c r="K429" s="20"/>
      <c r="L429" s="20">
        <v>1</v>
      </c>
      <c r="M429" s="357">
        <f>H429</f>
        <v>159654</v>
      </c>
      <c r="N429" s="411">
        <f>IFERROR((M429/(VLOOKUP(B429,'Data Pull Sheet'!$C:$H,6,FALSE))),"DC")</f>
        <v>3.5478666666666665E-2</v>
      </c>
      <c r="O429" s="23" t="s">
        <v>584</v>
      </c>
      <c r="P429" s="92" t="s">
        <v>632</v>
      </c>
      <c r="Q429" s="92" t="s">
        <v>637</v>
      </c>
      <c r="R429" s="372" t="str">
        <f t="shared" si="13"/>
        <v/>
      </c>
    </row>
    <row r="430" spans="1:18" x14ac:dyDescent="0.25">
      <c r="A430" s="23" t="s">
        <v>1669</v>
      </c>
      <c r="B430" s="18" t="str">
        <f>IF(ISNA(VLOOKUP($A430,'Data Pull Sheet'!$B$2:$C$1795,2,0)),"",(VLOOKUP($A430,'Data Pull Sheet'!$B$2:$C$1795,2,0)))</f>
        <v>DSKX</v>
      </c>
      <c r="C430" s="59" t="s">
        <v>603</v>
      </c>
      <c r="D430" s="356" t="s">
        <v>524</v>
      </c>
      <c r="E430" s="356" t="s">
        <v>486</v>
      </c>
      <c r="F430" s="23" t="s">
        <v>1677</v>
      </c>
      <c r="G430" s="23" t="s">
        <v>403</v>
      </c>
      <c r="H430" s="353">
        <v>69137.2</v>
      </c>
      <c r="I430" s="59"/>
      <c r="J430" s="59" t="s">
        <v>1678</v>
      </c>
      <c r="K430" s="20"/>
      <c r="L430" s="20">
        <v>1</v>
      </c>
      <c r="M430" s="357">
        <f>H430</f>
        <v>69137.2</v>
      </c>
      <c r="N430" s="411">
        <f>IFERROR((M430/(VLOOKUP(B430,'Data Pull Sheet'!$C:$H,6,FALSE))),"DC")</f>
        <v>1.5363822222222221E-2</v>
      </c>
      <c r="O430" s="23" t="s">
        <v>1679</v>
      </c>
      <c r="P430" s="92" t="s">
        <v>632</v>
      </c>
      <c r="Q430" s="92" t="s">
        <v>637</v>
      </c>
      <c r="R430" s="372" t="str">
        <f t="shared" si="13"/>
        <v/>
      </c>
    </row>
    <row r="431" spans="1:18" x14ac:dyDescent="0.25">
      <c r="A431" s="23" t="s">
        <v>1669</v>
      </c>
      <c r="B431" s="18" t="str">
        <f>IF(ISNA(VLOOKUP($A431,'Data Pull Sheet'!$B$2:$C$1795,2,0)),"",(VLOOKUP($A431,'Data Pull Sheet'!$B$2:$C$1795,2,0)))</f>
        <v>DSKX</v>
      </c>
      <c r="C431" s="59" t="s">
        <v>603</v>
      </c>
      <c r="D431" s="356" t="s">
        <v>524</v>
      </c>
      <c r="E431" s="356" t="s">
        <v>486</v>
      </c>
      <c r="F431" s="23" t="s">
        <v>1680</v>
      </c>
      <c r="G431" s="23" t="s">
        <v>403</v>
      </c>
      <c r="H431" s="353">
        <v>71854.740000000005</v>
      </c>
      <c r="I431" s="59"/>
      <c r="J431" s="59" t="s">
        <v>1681</v>
      </c>
      <c r="K431" s="20"/>
      <c r="L431" s="20">
        <v>2</v>
      </c>
      <c r="M431" s="357">
        <f>SUM(H431:H432)</f>
        <v>305834.07</v>
      </c>
      <c r="N431" s="411">
        <f>IFERROR((M431/(VLOOKUP(B431,'Data Pull Sheet'!$C:$H,6,FALSE))),"DC")</f>
        <v>6.7963126666666665E-2</v>
      </c>
      <c r="O431" s="23" t="s">
        <v>682</v>
      </c>
      <c r="P431" s="92" t="s">
        <v>632</v>
      </c>
      <c r="Q431" s="92" t="s">
        <v>646</v>
      </c>
      <c r="R431" s="372" t="str">
        <f t="shared" si="13"/>
        <v/>
      </c>
    </row>
    <row r="432" spans="1:18" x14ac:dyDescent="0.25">
      <c r="A432" s="23" t="s">
        <v>1669</v>
      </c>
      <c r="B432" s="18" t="str">
        <f>IF(ISNA(VLOOKUP($A432,'Data Pull Sheet'!$B$2:$C$1795,2,0)),"",(VLOOKUP($A432,'Data Pull Sheet'!$B$2:$C$1795,2,0)))</f>
        <v>DSKX</v>
      </c>
      <c r="C432" s="59" t="s">
        <v>603</v>
      </c>
      <c r="D432" s="356" t="s">
        <v>524</v>
      </c>
      <c r="E432" s="356" t="s">
        <v>486</v>
      </c>
      <c r="F432" s="23" t="s">
        <v>1682</v>
      </c>
      <c r="G432" s="23" t="s">
        <v>403</v>
      </c>
      <c r="H432" s="353">
        <v>233979.33</v>
      </c>
      <c r="I432" s="59"/>
      <c r="J432" s="59" t="s">
        <v>1683</v>
      </c>
      <c r="K432" s="20"/>
      <c r="L432" s="20"/>
      <c r="M432" s="357"/>
      <c r="N432" s="411"/>
      <c r="O432" s="23" t="s">
        <v>682</v>
      </c>
      <c r="P432" s="92" t="s">
        <v>632</v>
      </c>
      <c r="Q432" s="92" t="s">
        <v>646</v>
      </c>
      <c r="R432" s="372" t="str">
        <f t="shared" si="13"/>
        <v/>
      </c>
    </row>
    <row r="433" spans="1:18" x14ac:dyDescent="0.25">
      <c r="A433" s="23" t="s">
        <v>3118</v>
      </c>
      <c r="B433" s="18" t="str">
        <f>IF(ISNA(VLOOKUP($A433,'Data Pull Sheet'!$B$2:$C$1795,2,0)),"",(VLOOKUP($A433,'Data Pull Sheet'!$B$2:$C$1795,2,0)))</f>
        <v>PAH</v>
      </c>
      <c r="C433" s="59" t="s">
        <v>603</v>
      </c>
      <c r="D433" s="356" t="s">
        <v>3119</v>
      </c>
      <c r="E433" s="356" t="s">
        <v>486</v>
      </c>
      <c r="F433" s="23" t="s">
        <v>3120</v>
      </c>
      <c r="G433" s="23" t="s">
        <v>403</v>
      </c>
      <c r="H433" s="353">
        <v>8625</v>
      </c>
      <c r="I433" s="59"/>
      <c r="J433" s="59" t="s">
        <v>3121</v>
      </c>
      <c r="K433" s="20">
        <v>2</v>
      </c>
      <c r="L433" s="20">
        <v>1</v>
      </c>
      <c r="M433" s="357">
        <f>H433</f>
        <v>8625</v>
      </c>
      <c r="N433" s="411">
        <f>IFERROR((M433/(VLOOKUP(B433,'Data Pull Sheet'!$C:$H,6,FALSE))),"DC")</f>
        <v>8.6249999999999996E-5</v>
      </c>
      <c r="O433" s="23" t="s">
        <v>584</v>
      </c>
      <c r="P433" s="92" t="s">
        <v>632</v>
      </c>
      <c r="Q433" s="92" t="s">
        <v>637</v>
      </c>
      <c r="R433" s="372" t="str">
        <f t="shared" si="13"/>
        <v/>
      </c>
    </row>
    <row r="434" spans="1:18" x14ac:dyDescent="0.25">
      <c r="A434" s="23" t="s">
        <v>3118</v>
      </c>
      <c r="B434" s="18" t="str">
        <f>IF(ISNA(VLOOKUP($A434,'Data Pull Sheet'!$B$2:$C$1795,2,0)),"",(VLOOKUP($A434,'Data Pull Sheet'!$B$2:$C$1795,2,0)))</f>
        <v>PAH</v>
      </c>
      <c r="C434" s="59" t="s">
        <v>603</v>
      </c>
      <c r="D434" s="356" t="s">
        <v>3119</v>
      </c>
      <c r="E434" s="356" t="s">
        <v>486</v>
      </c>
      <c r="F434" s="23" t="s">
        <v>3122</v>
      </c>
      <c r="G434" s="23" t="s">
        <v>403</v>
      </c>
      <c r="H434" s="353">
        <v>20447.599999999999</v>
      </c>
      <c r="I434" s="59"/>
      <c r="J434" s="59" t="s">
        <v>3123</v>
      </c>
      <c r="K434" s="20"/>
      <c r="L434" s="20">
        <v>1</v>
      </c>
      <c r="M434" s="357">
        <f>H434</f>
        <v>20447.599999999999</v>
      </c>
      <c r="N434" s="411">
        <f>IFERROR((M434/(VLOOKUP(B434,'Data Pull Sheet'!$C:$H,6,FALSE))),"DC")</f>
        <v>2.0447599999999999E-4</v>
      </c>
      <c r="O434" s="23" t="s">
        <v>1679</v>
      </c>
      <c r="P434" s="92" t="s">
        <v>632</v>
      </c>
      <c r="Q434" s="92" t="s">
        <v>637</v>
      </c>
      <c r="R434" s="372" t="str">
        <f t="shared" si="13"/>
        <v/>
      </c>
    </row>
    <row r="435" spans="1:18" x14ac:dyDescent="0.25">
      <c r="A435" s="23" t="s">
        <v>170</v>
      </c>
      <c r="B435" s="18" t="str">
        <f>IF(ISNA(VLOOKUP($A435,'Data Pull Sheet'!$B$2:$C$1795,2,0)),"",(VLOOKUP($A435,'Data Pull Sheet'!$B$2:$C$1795,2,0)))</f>
        <v>TLRD</v>
      </c>
      <c r="C435" s="59" t="s">
        <v>421</v>
      </c>
      <c r="D435" s="356" t="s">
        <v>524</v>
      </c>
      <c r="E435" s="356" t="s">
        <v>486</v>
      </c>
      <c r="F435" s="23" t="s">
        <v>280</v>
      </c>
      <c r="G435" s="23" t="s">
        <v>417</v>
      </c>
      <c r="H435" s="353">
        <v>1166502.24</v>
      </c>
      <c r="I435" s="59" t="s">
        <v>413</v>
      </c>
      <c r="J435" s="59" t="s">
        <v>3657</v>
      </c>
      <c r="K435" s="20">
        <v>4</v>
      </c>
      <c r="L435" s="20">
        <v>2</v>
      </c>
      <c r="M435" s="357">
        <f>SUM(H435:H436)</f>
        <v>3110095.69</v>
      </c>
      <c r="N435" s="411">
        <f>IFERROR((M435/(VLOOKUP(B435,'Data Pull Sheet'!$C:$H,6,FALSE))),"DC")</f>
        <v>3.7698129575757574E-3</v>
      </c>
      <c r="O435" s="23" t="s">
        <v>281</v>
      </c>
      <c r="P435" s="92" t="s">
        <v>632</v>
      </c>
      <c r="Q435" s="92" t="s">
        <v>640</v>
      </c>
      <c r="R435" s="372" t="str">
        <f t="shared" si="13"/>
        <v>FF</v>
      </c>
    </row>
    <row r="436" spans="1:18" x14ac:dyDescent="0.25">
      <c r="A436" s="23" t="s">
        <v>170</v>
      </c>
      <c r="B436" s="18" t="str">
        <f>IF(ISNA(VLOOKUP($A436,'Data Pull Sheet'!$B$2:$C$1795,2,0)),"",(VLOOKUP($A436,'Data Pull Sheet'!$B$2:$C$1795,2,0)))</f>
        <v>TLRD</v>
      </c>
      <c r="C436" s="59" t="s">
        <v>421</v>
      </c>
      <c r="D436" s="356" t="s">
        <v>524</v>
      </c>
      <c r="E436" s="356" t="s">
        <v>486</v>
      </c>
      <c r="F436" s="23" t="s">
        <v>214</v>
      </c>
      <c r="G436" s="23" t="s">
        <v>417</v>
      </c>
      <c r="H436" s="353">
        <v>1943593.45</v>
      </c>
      <c r="I436" s="59" t="s">
        <v>442</v>
      </c>
      <c r="J436" s="59" t="s">
        <v>3658</v>
      </c>
      <c r="K436" s="20"/>
      <c r="L436" s="20"/>
      <c r="M436" s="357"/>
      <c r="N436" s="411"/>
      <c r="O436" s="23" t="s">
        <v>281</v>
      </c>
      <c r="P436" s="92" t="s">
        <v>632</v>
      </c>
      <c r="Q436" s="92" t="s">
        <v>640</v>
      </c>
      <c r="R436" s="372" t="str">
        <f t="shared" si="13"/>
        <v>FF</v>
      </c>
    </row>
    <row r="437" spans="1:18" ht="30" x14ac:dyDescent="0.25">
      <c r="A437" s="23" t="s">
        <v>170</v>
      </c>
      <c r="B437" s="18" t="str">
        <f>IF(ISNA(VLOOKUP($A437,'Data Pull Sheet'!$B$2:$C$1795,2,0)),"",(VLOOKUP($A437,'Data Pull Sheet'!$B$2:$C$1795,2,0)))</f>
        <v>TLRD</v>
      </c>
      <c r="C437" s="59" t="s">
        <v>421</v>
      </c>
      <c r="D437" s="356" t="s">
        <v>524</v>
      </c>
      <c r="E437" s="356" t="s">
        <v>486</v>
      </c>
      <c r="F437" s="23" t="s">
        <v>355</v>
      </c>
      <c r="G437" s="23" t="s">
        <v>417</v>
      </c>
      <c r="H437" s="353">
        <v>2096045.22</v>
      </c>
      <c r="I437" s="59"/>
      <c r="J437" s="59" t="s">
        <v>3659</v>
      </c>
      <c r="K437" s="20"/>
      <c r="L437" s="20">
        <v>1</v>
      </c>
      <c r="M437" s="357">
        <f>H437</f>
        <v>2096045.22</v>
      </c>
      <c r="N437" s="411">
        <f>IFERROR((M437/(VLOOKUP(B437,'Data Pull Sheet'!$C:$H,6,FALSE))),"DC")</f>
        <v>2.5406608727272725E-3</v>
      </c>
      <c r="O437" s="23" t="s">
        <v>3660</v>
      </c>
      <c r="P437" s="92" t="s">
        <v>632</v>
      </c>
      <c r="Q437" s="92" t="s">
        <v>640</v>
      </c>
      <c r="R437" s="372" t="str">
        <f t="shared" si="13"/>
        <v>FF</v>
      </c>
    </row>
    <row r="438" spans="1:18" ht="30" x14ac:dyDescent="0.25">
      <c r="A438" s="23" t="s">
        <v>170</v>
      </c>
      <c r="B438" s="18" t="str">
        <f>IF(ISNA(VLOOKUP($A438,'Data Pull Sheet'!$B$2:$C$1795,2,0)),"",(VLOOKUP($A438,'Data Pull Sheet'!$B$2:$C$1795,2,0)))</f>
        <v>TLRD</v>
      </c>
      <c r="C438" s="59" t="s">
        <v>421</v>
      </c>
      <c r="D438" s="356" t="s">
        <v>524</v>
      </c>
      <c r="E438" s="356" t="s">
        <v>486</v>
      </c>
      <c r="F438" s="23" t="s">
        <v>582</v>
      </c>
      <c r="G438" s="23" t="s">
        <v>403</v>
      </c>
      <c r="H438" s="353">
        <v>86900</v>
      </c>
      <c r="I438" s="59"/>
      <c r="J438" s="59" t="s">
        <v>3661</v>
      </c>
      <c r="K438" s="20"/>
      <c r="L438" s="20">
        <v>2</v>
      </c>
      <c r="M438" s="357">
        <f>SUM(H438:H439)</f>
        <v>192991.32</v>
      </c>
      <c r="N438" s="411">
        <f>IFERROR((M438/(VLOOKUP(B438,'Data Pull Sheet'!$C:$H,6,FALSE))),"DC")</f>
        <v>2.3392887272727275E-4</v>
      </c>
      <c r="O438" s="23" t="s">
        <v>3662</v>
      </c>
      <c r="P438" s="92" t="s">
        <v>632</v>
      </c>
      <c r="Q438" s="92" t="s">
        <v>637</v>
      </c>
      <c r="R438" s="372" t="str">
        <f t="shared" si="13"/>
        <v>FF</v>
      </c>
    </row>
    <row r="439" spans="1:18" ht="30" x14ac:dyDescent="0.25">
      <c r="A439" s="23" t="s">
        <v>170</v>
      </c>
      <c r="B439" s="18" t="str">
        <f>IF(ISNA(VLOOKUP($A439,'Data Pull Sheet'!$B$2:$C$1795,2,0)),"",(VLOOKUP($A439,'Data Pull Sheet'!$B$2:$C$1795,2,0)))</f>
        <v>TLRD</v>
      </c>
      <c r="C439" s="59" t="s">
        <v>421</v>
      </c>
      <c r="D439" s="356" t="s">
        <v>524</v>
      </c>
      <c r="E439" s="356" t="s">
        <v>486</v>
      </c>
      <c r="F439" s="23" t="s">
        <v>268</v>
      </c>
      <c r="G439" s="23" t="s">
        <v>417</v>
      </c>
      <c r="H439" s="353">
        <v>106091.32</v>
      </c>
      <c r="I439" s="59"/>
      <c r="J439" s="59" t="s">
        <v>3663</v>
      </c>
      <c r="K439" s="20"/>
      <c r="L439" s="20"/>
      <c r="M439" s="357"/>
      <c r="N439" s="411"/>
      <c r="O439" s="23" t="s">
        <v>3662</v>
      </c>
      <c r="P439" s="92" t="s">
        <v>632</v>
      </c>
      <c r="Q439" s="92" t="s">
        <v>633</v>
      </c>
      <c r="R439" s="372" t="str">
        <f t="shared" si="13"/>
        <v>FF</v>
      </c>
    </row>
    <row r="440" spans="1:18" ht="30" x14ac:dyDescent="0.25">
      <c r="A440" s="23" t="s">
        <v>170</v>
      </c>
      <c r="B440" s="18" t="str">
        <f>IF(ISNA(VLOOKUP($A440,'Data Pull Sheet'!$B$2:$C$1795,2,0)),"",(VLOOKUP($A440,'Data Pull Sheet'!$B$2:$C$1795,2,0)))</f>
        <v>TLRD</v>
      </c>
      <c r="C440" s="59" t="s">
        <v>421</v>
      </c>
      <c r="D440" s="356" t="s">
        <v>524</v>
      </c>
      <c r="E440" s="356" t="s">
        <v>486</v>
      </c>
      <c r="F440" s="23" t="s">
        <v>165</v>
      </c>
      <c r="G440" s="23" t="s">
        <v>417</v>
      </c>
      <c r="H440" s="353">
        <v>486994</v>
      </c>
      <c r="I440" s="59"/>
      <c r="J440" s="59" t="s">
        <v>3664</v>
      </c>
      <c r="K440" s="20"/>
      <c r="L440" s="20">
        <v>1</v>
      </c>
      <c r="M440" s="357">
        <f>H440</f>
        <v>486994</v>
      </c>
      <c r="N440" s="411">
        <f>IFERROR((M440/(VLOOKUP(B440,'Data Pull Sheet'!$C:$H,6,FALSE))),"DC")</f>
        <v>5.9029575757575756E-4</v>
      </c>
      <c r="O440" s="23" t="s">
        <v>168</v>
      </c>
      <c r="P440" s="92" t="s">
        <v>632</v>
      </c>
      <c r="Q440" s="92" t="s">
        <v>633</v>
      </c>
      <c r="R440" s="372" t="str">
        <f t="shared" si="13"/>
        <v>FF</v>
      </c>
    </row>
    <row r="441" spans="1:18" x14ac:dyDescent="0.25">
      <c r="A441" s="23" t="s">
        <v>3727</v>
      </c>
      <c r="B441" s="18" t="str">
        <f>IF(ISNA(VLOOKUP($A441,'Data Pull Sheet'!$B$2:$C$1795,2,0)),"",(VLOOKUP($A441,'Data Pull Sheet'!$B$2:$C$1795,2,0)))</f>
        <v>TERP</v>
      </c>
      <c r="C441" s="59" t="s">
        <v>817</v>
      </c>
      <c r="D441" s="356" t="s">
        <v>1363</v>
      </c>
      <c r="E441" s="356" t="s">
        <v>569</v>
      </c>
      <c r="F441" s="23" t="s">
        <v>3728</v>
      </c>
      <c r="G441" s="23" t="s">
        <v>403</v>
      </c>
      <c r="H441" s="353">
        <v>21302</v>
      </c>
      <c r="I441" s="59"/>
      <c r="J441" s="59" t="s">
        <v>3729</v>
      </c>
      <c r="K441" s="20">
        <v>1</v>
      </c>
      <c r="L441" s="20">
        <v>2</v>
      </c>
      <c r="M441" s="357">
        <f>SUM(H441:H442)</f>
        <v>63148</v>
      </c>
      <c r="N441" s="411">
        <f>IFERROR((M441/(VLOOKUP(B441,'Data Pull Sheet'!$C:$H,6,FALSE))),"DC")</f>
        <v>2.5259200000000001E-3</v>
      </c>
      <c r="O441" s="23" t="s">
        <v>3730</v>
      </c>
      <c r="P441" s="92" t="s">
        <v>676</v>
      </c>
      <c r="Q441" s="92" t="s">
        <v>646</v>
      </c>
      <c r="R441" s="372" t="str">
        <f t="shared" si="13"/>
        <v/>
      </c>
    </row>
    <row r="442" spans="1:18" x14ac:dyDescent="0.25">
      <c r="A442" s="23" t="s">
        <v>3727</v>
      </c>
      <c r="B442" s="18" t="str">
        <f>IF(ISNA(VLOOKUP($A442,'Data Pull Sheet'!$B$2:$C$1795,2,0)),"",(VLOOKUP($A442,'Data Pull Sheet'!$B$2:$C$1795,2,0)))</f>
        <v>TERP</v>
      </c>
      <c r="C442" s="59" t="s">
        <v>817</v>
      </c>
      <c r="D442" s="356" t="s">
        <v>1363</v>
      </c>
      <c r="E442" s="356" t="s">
        <v>569</v>
      </c>
      <c r="F442" s="23" t="s">
        <v>3731</v>
      </c>
      <c r="G442" s="23" t="s">
        <v>403</v>
      </c>
      <c r="H442" s="353">
        <v>41846</v>
      </c>
      <c r="I442" s="59"/>
      <c r="J442" s="59" t="s">
        <v>3732</v>
      </c>
      <c r="K442" s="20"/>
      <c r="L442" s="20"/>
      <c r="M442" s="357"/>
      <c r="N442" s="411"/>
      <c r="O442" s="23" t="s">
        <v>3730</v>
      </c>
      <c r="P442" s="92" t="s">
        <v>676</v>
      </c>
      <c r="Q442" s="92" t="s">
        <v>646</v>
      </c>
      <c r="R442" s="372" t="str">
        <f t="shared" si="13"/>
        <v/>
      </c>
    </row>
    <row r="443" spans="1:18" x14ac:dyDescent="0.25">
      <c r="A443" s="23" t="s">
        <v>3113</v>
      </c>
      <c r="B443" s="18" t="str">
        <f>IF(ISNA(VLOOKUP($A443,'Data Pull Sheet'!$B$2:$C$1795,2,0)),"",(VLOOKUP($A443,'Data Pull Sheet'!$B$2:$C$1795,2,0)))</f>
        <v>PJT</v>
      </c>
      <c r="C443" s="59" t="s">
        <v>418</v>
      </c>
      <c r="D443" s="356" t="s">
        <v>3114</v>
      </c>
      <c r="E443" s="356" t="s">
        <v>3115</v>
      </c>
      <c r="F443" s="23" t="s">
        <v>3116</v>
      </c>
      <c r="G443" s="23" t="s">
        <v>403</v>
      </c>
      <c r="H443" s="353">
        <v>150</v>
      </c>
      <c r="I443" s="59"/>
      <c r="J443" s="59" t="s">
        <v>3117</v>
      </c>
      <c r="K443" s="20">
        <v>1</v>
      </c>
      <c r="L443" s="20">
        <v>1</v>
      </c>
      <c r="M443" s="357">
        <f>H443</f>
        <v>150</v>
      </c>
      <c r="N443" s="411">
        <f>IFERROR((M443/(VLOOKUP(B443,'Data Pull Sheet'!$C:$H,6,FALSE))),"DC")</f>
        <v>6.0000000000000002E-6</v>
      </c>
      <c r="O443" s="23" t="s">
        <v>79</v>
      </c>
      <c r="P443" s="92" t="s">
        <v>676</v>
      </c>
      <c r="Q443" s="92" t="s">
        <v>637</v>
      </c>
      <c r="R443" s="372" t="str">
        <f t="shared" si="13"/>
        <v/>
      </c>
    </row>
    <row r="444" spans="1:18" ht="30" x14ac:dyDescent="0.25">
      <c r="A444" s="23" t="s">
        <v>262</v>
      </c>
      <c r="B444" s="18" t="str">
        <f>IF(ISNA(VLOOKUP($A444,'Data Pull Sheet'!$B$2:$C$1795,2,0)),"",(VLOOKUP($A444,'Data Pull Sheet'!$B$2:$C$1795,2,0)))</f>
        <v>ALR</v>
      </c>
      <c r="C444" s="59" t="s">
        <v>409</v>
      </c>
      <c r="D444" s="356" t="s">
        <v>425</v>
      </c>
      <c r="E444" s="356" t="s">
        <v>426</v>
      </c>
      <c r="F444" s="23" t="s">
        <v>712</v>
      </c>
      <c r="G444" s="23" t="s">
        <v>417</v>
      </c>
      <c r="H444" s="353">
        <v>138077.06</v>
      </c>
      <c r="I444" s="59"/>
      <c r="J444" s="59" t="s">
        <v>713</v>
      </c>
      <c r="K444" s="20">
        <v>6</v>
      </c>
      <c r="L444" s="20">
        <v>5</v>
      </c>
      <c r="M444" s="357">
        <f>SUM(H444:H448)</f>
        <v>9679399.5899999999</v>
      </c>
      <c r="N444" s="411">
        <f>IFERROR((M444/(VLOOKUP(B444,'Data Pull Sheet'!$C:$H,6,FALSE))),"DC")</f>
        <v>1.935879918E-2</v>
      </c>
      <c r="O444" s="23" t="s">
        <v>714</v>
      </c>
      <c r="P444" s="92" t="s">
        <v>632</v>
      </c>
      <c r="Q444" s="92" t="s">
        <v>640</v>
      </c>
      <c r="R444" s="372" t="str">
        <f t="shared" si="13"/>
        <v/>
      </c>
    </row>
    <row r="445" spans="1:18" ht="30" x14ac:dyDescent="0.25">
      <c r="A445" s="23" t="s">
        <v>262</v>
      </c>
      <c r="B445" s="18" t="str">
        <f>IF(ISNA(VLOOKUP($A445,'Data Pull Sheet'!$B$2:$C$1795,2,0)),"",(VLOOKUP($A445,'Data Pull Sheet'!$B$2:$C$1795,2,0)))</f>
        <v>ALR</v>
      </c>
      <c r="C445" s="59" t="s">
        <v>409</v>
      </c>
      <c r="D445" s="356" t="s">
        <v>425</v>
      </c>
      <c r="E445" s="356" t="s">
        <v>426</v>
      </c>
      <c r="F445" s="23" t="s">
        <v>715</v>
      </c>
      <c r="G445" s="23" t="s">
        <v>417</v>
      </c>
      <c r="H445" s="353">
        <v>303220.49</v>
      </c>
      <c r="I445" s="59"/>
      <c r="J445" s="59" t="s">
        <v>716</v>
      </c>
      <c r="K445" s="20"/>
      <c r="L445" s="20"/>
      <c r="M445" s="357"/>
      <c r="N445" s="411"/>
      <c r="O445" s="23" t="s">
        <v>714</v>
      </c>
      <c r="P445" s="92" t="s">
        <v>632</v>
      </c>
      <c r="Q445" s="92" t="s">
        <v>640</v>
      </c>
      <c r="R445" s="372" t="str">
        <f t="shared" si="13"/>
        <v/>
      </c>
    </row>
    <row r="446" spans="1:18" ht="30" x14ac:dyDescent="0.25">
      <c r="A446" s="23" t="s">
        <v>262</v>
      </c>
      <c r="B446" s="18" t="str">
        <f>IF(ISNA(VLOOKUP($A446,'Data Pull Sheet'!$B$2:$C$1795,2,0)),"",(VLOOKUP($A446,'Data Pull Sheet'!$B$2:$C$1795,2,0)))</f>
        <v>ALR</v>
      </c>
      <c r="C446" s="59" t="s">
        <v>409</v>
      </c>
      <c r="D446" s="356" t="s">
        <v>425</v>
      </c>
      <c r="E446" s="356" t="s">
        <v>426</v>
      </c>
      <c r="F446" s="23" t="s">
        <v>717</v>
      </c>
      <c r="G446" s="23" t="s">
        <v>417</v>
      </c>
      <c r="H446" s="353">
        <v>1312964.72</v>
      </c>
      <c r="I446" s="59"/>
      <c r="J446" s="59" t="s">
        <v>718</v>
      </c>
      <c r="K446" s="20"/>
      <c r="L446" s="20"/>
      <c r="M446" s="357"/>
      <c r="N446" s="411"/>
      <c r="O446" s="23" t="s">
        <v>714</v>
      </c>
      <c r="P446" s="92" t="s">
        <v>632</v>
      </c>
      <c r="Q446" s="92" t="s">
        <v>640</v>
      </c>
      <c r="R446" s="372" t="str">
        <f t="shared" si="13"/>
        <v/>
      </c>
    </row>
    <row r="447" spans="1:18" ht="30" x14ac:dyDescent="0.25">
      <c r="A447" s="23" t="s">
        <v>262</v>
      </c>
      <c r="B447" s="18" t="str">
        <f>IF(ISNA(VLOOKUP($A447,'Data Pull Sheet'!$B$2:$C$1795,2,0)),"",(VLOOKUP($A447,'Data Pull Sheet'!$B$2:$C$1795,2,0)))</f>
        <v>ALR</v>
      </c>
      <c r="C447" s="59" t="s">
        <v>409</v>
      </c>
      <c r="D447" s="356" t="s">
        <v>425</v>
      </c>
      <c r="E447" s="356" t="s">
        <v>426</v>
      </c>
      <c r="F447" s="23" t="s">
        <v>719</v>
      </c>
      <c r="G447" s="23" t="s">
        <v>417</v>
      </c>
      <c r="H447" s="353">
        <v>2714185.68</v>
      </c>
      <c r="I447" s="59"/>
      <c r="J447" s="59" t="s">
        <v>720</v>
      </c>
      <c r="K447" s="20"/>
      <c r="L447" s="20"/>
      <c r="M447" s="357"/>
      <c r="N447" s="411"/>
      <c r="O447" s="23" t="s">
        <v>714</v>
      </c>
      <c r="P447" s="92" t="s">
        <v>632</v>
      </c>
      <c r="Q447" s="92" t="s">
        <v>640</v>
      </c>
      <c r="R447" s="372" t="str">
        <f t="shared" si="13"/>
        <v/>
      </c>
    </row>
    <row r="448" spans="1:18" ht="30" x14ac:dyDescent="0.25">
      <c r="A448" s="23" t="s">
        <v>262</v>
      </c>
      <c r="B448" s="18" t="str">
        <f>IF(ISNA(VLOOKUP($A448,'Data Pull Sheet'!$B$2:$C$1795,2,0)),"",(VLOOKUP($A448,'Data Pull Sheet'!$B$2:$C$1795,2,0)))</f>
        <v>ALR</v>
      </c>
      <c r="C448" s="59" t="s">
        <v>409</v>
      </c>
      <c r="D448" s="356" t="s">
        <v>425</v>
      </c>
      <c r="E448" s="356" t="s">
        <v>426</v>
      </c>
      <c r="F448" s="23" t="s">
        <v>721</v>
      </c>
      <c r="G448" s="23" t="s">
        <v>417</v>
      </c>
      <c r="H448" s="353">
        <v>5210951.6399999997</v>
      </c>
      <c r="I448" s="59"/>
      <c r="J448" s="59" t="s">
        <v>722</v>
      </c>
      <c r="K448" s="20"/>
      <c r="L448" s="20"/>
      <c r="M448" s="357"/>
      <c r="N448" s="411"/>
      <c r="O448" s="23" t="s">
        <v>714</v>
      </c>
      <c r="P448" s="92" t="s">
        <v>632</v>
      </c>
      <c r="Q448" s="92" t="s">
        <v>640</v>
      </c>
      <c r="R448" s="372" t="str">
        <f t="shared" si="13"/>
        <v/>
      </c>
    </row>
    <row r="449" spans="1:18" ht="30" x14ac:dyDescent="0.25">
      <c r="A449" s="23" t="s">
        <v>262</v>
      </c>
      <c r="B449" s="18" t="str">
        <f>IF(ISNA(VLOOKUP($A449,'Data Pull Sheet'!$B$2:$C$1795,2,0)),"",(VLOOKUP($A449,'Data Pull Sheet'!$B$2:$C$1795,2,0)))</f>
        <v>ALR</v>
      </c>
      <c r="C449" s="59" t="s">
        <v>409</v>
      </c>
      <c r="D449" s="356" t="s">
        <v>425</v>
      </c>
      <c r="E449" s="356" t="s">
        <v>426</v>
      </c>
      <c r="F449" s="23" t="s">
        <v>723</v>
      </c>
      <c r="G449" s="23" t="s">
        <v>417</v>
      </c>
      <c r="H449" s="353">
        <v>1385425.03</v>
      </c>
      <c r="I449" s="59"/>
      <c r="J449" s="59" t="s">
        <v>724</v>
      </c>
      <c r="K449" s="20"/>
      <c r="L449" s="20">
        <v>1</v>
      </c>
      <c r="M449" s="357">
        <f>H449</f>
        <v>1385425.03</v>
      </c>
      <c r="N449" s="411">
        <f>IFERROR((M449/(VLOOKUP(B449,'Data Pull Sheet'!$C:$H,6,FALSE))),"DC")</f>
        <v>2.7708500600000002E-3</v>
      </c>
      <c r="O449" s="23" t="s">
        <v>725</v>
      </c>
      <c r="P449" s="92" t="s">
        <v>632</v>
      </c>
      <c r="Q449" s="92" t="s">
        <v>633</v>
      </c>
      <c r="R449" s="372" t="str">
        <f t="shared" si="13"/>
        <v/>
      </c>
    </row>
    <row r="450" spans="1:18" ht="30" x14ac:dyDescent="0.25">
      <c r="A450" s="23" t="s">
        <v>262</v>
      </c>
      <c r="B450" s="18" t="str">
        <f>IF(ISNA(VLOOKUP($A450,'Data Pull Sheet'!$B$2:$C$1795,2,0)),"",(VLOOKUP($A450,'Data Pull Sheet'!$B$2:$C$1795,2,0)))</f>
        <v>ALR</v>
      </c>
      <c r="C450" s="59" t="s">
        <v>409</v>
      </c>
      <c r="D450" s="356" t="s">
        <v>425</v>
      </c>
      <c r="E450" s="356" t="s">
        <v>426</v>
      </c>
      <c r="F450" s="23" t="s">
        <v>318</v>
      </c>
      <c r="G450" s="23" t="s">
        <v>417</v>
      </c>
      <c r="H450" s="353">
        <v>33350.33</v>
      </c>
      <c r="I450" s="59"/>
      <c r="J450" s="59" t="s">
        <v>726</v>
      </c>
      <c r="K450" s="20"/>
      <c r="L450" s="20">
        <v>2</v>
      </c>
      <c r="M450" s="357">
        <f>SUM(H450:H451)</f>
        <v>87372.57</v>
      </c>
      <c r="N450" s="411">
        <f>IFERROR((M450/(VLOOKUP(B450,'Data Pull Sheet'!$C:$H,6,FALSE))),"DC")</f>
        <v>1.7474514E-4</v>
      </c>
      <c r="O450" s="23" t="s">
        <v>727</v>
      </c>
      <c r="P450" s="92" t="s">
        <v>632</v>
      </c>
      <c r="Q450" s="92" t="s">
        <v>662</v>
      </c>
      <c r="R450" s="372" t="str">
        <f t="shared" ref="R450:R513" si="15">IF(COUNTIF(F:F,F450)&gt;=2,"FF","")</f>
        <v>FF</v>
      </c>
    </row>
    <row r="451" spans="1:18" ht="30" x14ac:dyDescent="0.25">
      <c r="A451" s="23" t="s">
        <v>262</v>
      </c>
      <c r="B451" s="18" t="str">
        <f>IF(ISNA(VLOOKUP($A451,'Data Pull Sheet'!$B$2:$C$1795,2,0)),"",(VLOOKUP($A451,'Data Pull Sheet'!$B$2:$C$1795,2,0)))</f>
        <v>ALR</v>
      </c>
      <c r="C451" s="59" t="s">
        <v>409</v>
      </c>
      <c r="D451" s="356" t="s">
        <v>425</v>
      </c>
      <c r="E451" s="356" t="s">
        <v>426</v>
      </c>
      <c r="F451" s="23" t="s">
        <v>728</v>
      </c>
      <c r="G451" s="23" t="s">
        <v>403</v>
      </c>
      <c r="H451" s="353">
        <v>54022.239999999998</v>
      </c>
      <c r="I451" s="59"/>
      <c r="J451" s="59" t="s">
        <v>729</v>
      </c>
      <c r="K451" s="20"/>
      <c r="L451" s="20"/>
      <c r="M451" s="357"/>
      <c r="N451" s="411"/>
      <c r="O451" s="23" t="s">
        <v>727</v>
      </c>
      <c r="P451" s="92" t="s">
        <v>632</v>
      </c>
      <c r="Q451" s="92" t="s">
        <v>662</v>
      </c>
      <c r="R451" s="372" t="str">
        <f t="shared" si="15"/>
        <v/>
      </c>
    </row>
    <row r="452" spans="1:18" x14ac:dyDescent="0.25">
      <c r="A452" s="23" t="s">
        <v>262</v>
      </c>
      <c r="B452" s="18" t="str">
        <f>IF(ISNA(VLOOKUP($A452,'Data Pull Sheet'!$B$2:$C$1795,2,0)),"",(VLOOKUP($A452,'Data Pull Sheet'!$B$2:$C$1795,2,0)))</f>
        <v>ALR</v>
      </c>
      <c r="C452" s="59" t="s">
        <v>409</v>
      </c>
      <c r="D452" s="356" t="s">
        <v>425</v>
      </c>
      <c r="E452" s="356" t="s">
        <v>426</v>
      </c>
      <c r="F452" s="23" t="s">
        <v>730</v>
      </c>
      <c r="G452" s="23" t="s">
        <v>417</v>
      </c>
      <c r="H452" s="353">
        <v>341090.39</v>
      </c>
      <c r="I452" s="59" t="s">
        <v>406</v>
      </c>
      <c r="J452" s="59" t="s">
        <v>731</v>
      </c>
      <c r="K452" s="20"/>
      <c r="L452" s="20">
        <v>1</v>
      </c>
      <c r="M452" s="357">
        <f>H452</f>
        <v>341090.39</v>
      </c>
      <c r="N452" s="411">
        <f>IFERROR((M452/(VLOOKUP(B452,'Data Pull Sheet'!$C:$H,6,FALSE))),"DC")</f>
        <v>6.8218078000000003E-4</v>
      </c>
      <c r="O452" s="23" t="s">
        <v>732</v>
      </c>
      <c r="P452" s="92" t="s">
        <v>632</v>
      </c>
      <c r="Q452" s="92" t="s">
        <v>633</v>
      </c>
      <c r="R452" s="372" t="str">
        <f t="shared" si="15"/>
        <v/>
      </c>
    </row>
    <row r="453" spans="1:18" x14ac:dyDescent="0.25">
      <c r="A453" s="23" t="s">
        <v>262</v>
      </c>
      <c r="B453" s="18" t="str">
        <f>IF(ISNA(VLOOKUP($A453,'Data Pull Sheet'!$B$2:$C$1795,2,0)),"",(VLOOKUP($A453,'Data Pull Sheet'!$B$2:$C$1795,2,0)))</f>
        <v>ALR</v>
      </c>
      <c r="C453" s="59" t="s">
        <v>409</v>
      </c>
      <c r="D453" s="356" t="s">
        <v>425</v>
      </c>
      <c r="E453" s="356" t="s">
        <v>426</v>
      </c>
      <c r="F453" s="23" t="s">
        <v>733</v>
      </c>
      <c r="G453" s="23" t="s">
        <v>403</v>
      </c>
      <c r="H453" s="353">
        <v>8764</v>
      </c>
      <c r="I453" s="59"/>
      <c r="J453" s="59" t="s">
        <v>734</v>
      </c>
      <c r="K453" s="20"/>
      <c r="L453" s="20">
        <v>1</v>
      </c>
      <c r="M453" s="357">
        <f>H453</f>
        <v>8764</v>
      </c>
      <c r="N453" s="411">
        <f>IFERROR((M453/(VLOOKUP(B453,'Data Pull Sheet'!$C:$H,6,FALSE))),"DC")</f>
        <v>1.7527999999999999E-5</v>
      </c>
      <c r="O453" s="23" t="s">
        <v>735</v>
      </c>
      <c r="P453" s="92" t="s">
        <v>632</v>
      </c>
      <c r="Q453" s="92" t="s">
        <v>637</v>
      </c>
      <c r="R453" s="372" t="str">
        <f t="shared" si="15"/>
        <v/>
      </c>
    </row>
    <row r="454" spans="1:18" ht="30" x14ac:dyDescent="0.25">
      <c r="A454" s="23" t="s">
        <v>262</v>
      </c>
      <c r="B454" s="18" t="str">
        <f>IF(ISNA(VLOOKUP($A454,'Data Pull Sheet'!$B$2:$C$1795,2,0)),"",(VLOOKUP($A454,'Data Pull Sheet'!$B$2:$C$1795,2,0)))</f>
        <v>ALR</v>
      </c>
      <c r="C454" s="59" t="s">
        <v>409</v>
      </c>
      <c r="D454" s="356" t="s">
        <v>425</v>
      </c>
      <c r="E454" s="356" t="s">
        <v>426</v>
      </c>
      <c r="F454" s="23" t="s">
        <v>261</v>
      </c>
      <c r="G454" s="23" t="s">
        <v>417</v>
      </c>
      <c r="H454" s="353">
        <v>171061.2</v>
      </c>
      <c r="I454" s="59"/>
      <c r="J454" s="59" t="s">
        <v>736</v>
      </c>
      <c r="K454" s="20"/>
      <c r="L454" s="20">
        <v>1</v>
      </c>
      <c r="M454" s="357">
        <f>H454</f>
        <v>171061.2</v>
      </c>
      <c r="N454" s="411">
        <f>IFERROR((M454/(VLOOKUP(B454,'Data Pull Sheet'!$C:$H,6,FALSE))),"DC")</f>
        <v>3.4212240000000002E-4</v>
      </c>
      <c r="O454" s="23" t="s">
        <v>11177</v>
      </c>
      <c r="P454" s="92" t="s">
        <v>632</v>
      </c>
      <c r="Q454" s="92" t="s">
        <v>633</v>
      </c>
      <c r="R454" s="372" t="str">
        <f t="shared" si="15"/>
        <v/>
      </c>
    </row>
    <row r="455" spans="1:18" x14ac:dyDescent="0.25">
      <c r="A455" s="23" t="s">
        <v>10</v>
      </c>
      <c r="B455" s="18" t="str">
        <f>IF(ISNA(VLOOKUP($A455,'Data Pull Sheet'!$B$2:$C$1795,2,0)),"",(VLOOKUP($A455,'Data Pull Sheet'!$B$2:$C$1795,2,0)))</f>
        <v>FRPT</v>
      </c>
      <c r="C455" s="59" t="s">
        <v>424</v>
      </c>
      <c r="D455" s="356" t="s">
        <v>425</v>
      </c>
      <c r="E455" s="356" t="s">
        <v>426</v>
      </c>
      <c r="F455" s="23" t="s">
        <v>1985</v>
      </c>
      <c r="G455" s="23" t="s">
        <v>403</v>
      </c>
      <c r="H455" s="353">
        <v>35848.879999999997</v>
      </c>
      <c r="I455" s="59"/>
      <c r="J455" s="59" t="s">
        <v>1986</v>
      </c>
      <c r="K455" s="20">
        <v>2</v>
      </c>
      <c r="L455" s="20">
        <v>1</v>
      </c>
      <c r="M455" s="357">
        <f>H455</f>
        <v>35848.879999999997</v>
      </c>
      <c r="N455" s="411">
        <f>IFERROR((M455/(VLOOKUP(B455,'Data Pull Sheet'!$C:$H,6,FALSE))),"DC")</f>
        <v>1.1949626666666666E-2</v>
      </c>
      <c r="O455" s="23" t="s">
        <v>1015</v>
      </c>
      <c r="P455" s="92" t="s">
        <v>632</v>
      </c>
      <c r="Q455" s="92" t="s">
        <v>637</v>
      </c>
      <c r="R455" s="372" t="str">
        <f t="shared" si="15"/>
        <v/>
      </c>
    </row>
    <row r="456" spans="1:18" ht="30" x14ac:dyDescent="0.25">
      <c r="A456" s="23" t="s">
        <v>10</v>
      </c>
      <c r="B456" s="18" t="str">
        <f>IF(ISNA(VLOOKUP($A456,'Data Pull Sheet'!$B$2:$C$1795,2,0)),"",(VLOOKUP($A456,'Data Pull Sheet'!$B$2:$C$1795,2,0)))</f>
        <v>FRPT</v>
      </c>
      <c r="C456" s="59" t="s">
        <v>424</v>
      </c>
      <c r="D456" s="356" t="s">
        <v>425</v>
      </c>
      <c r="E456" s="356" t="s">
        <v>426</v>
      </c>
      <c r="F456" s="23" t="s">
        <v>6</v>
      </c>
      <c r="G456" s="23" t="s">
        <v>417</v>
      </c>
      <c r="H456" s="353">
        <v>555860.24</v>
      </c>
      <c r="I456" s="59"/>
      <c r="J456" s="59" t="s">
        <v>1987</v>
      </c>
      <c r="K456" s="20"/>
      <c r="L456" s="20">
        <v>1</v>
      </c>
      <c r="M456" s="357">
        <f>H456</f>
        <v>555860.24</v>
      </c>
      <c r="N456" s="411">
        <f>IFERROR((M456/(VLOOKUP(B456,'Data Pull Sheet'!$C:$H,6,FALSE))),"DC")</f>
        <v>0.18528674666666667</v>
      </c>
      <c r="O456" s="23" t="s">
        <v>1988</v>
      </c>
      <c r="P456" s="92" t="s">
        <v>632</v>
      </c>
      <c r="Q456" s="92" t="s">
        <v>633</v>
      </c>
      <c r="R456" s="372" t="str">
        <f t="shared" si="15"/>
        <v>FF</v>
      </c>
    </row>
    <row r="457" spans="1:18" ht="45" x14ac:dyDescent="0.25">
      <c r="A457" s="23" t="s">
        <v>2236</v>
      </c>
      <c r="B457" s="18" t="str">
        <f>IF(ISNA(VLOOKUP($A457,'Data Pull Sheet'!$B$2:$C$1795,2,0)),"",(VLOOKUP($A457,'Data Pull Sheet'!$B$2:$C$1795,2,0)))</f>
        <v>ZINCQ</v>
      </c>
      <c r="C457" s="59" t="s">
        <v>437</v>
      </c>
      <c r="D457" s="356" t="s">
        <v>2237</v>
      </c>
      <c r="E457" s="356" t="s">
        <v>2238</v>
      </c>
      <c r="F457" s="23" t="s">
        <v>2239</v>
      </c>
      <c r="G457" s="23" t="s">
        <v>403</v>
      </c>
      <c r="H457" s="353">
        <v>189990.71</v>
      </c>
      <c r="I457" s="59"/>
      <c r="J457" s="59" t="s">
        <v>2240</v>
      </c>
      <c r="K457" s="20">
        <v>5</v>
      </c>
      <c r="L457" s="20">
        <v>2</v>
      </c>
      <c r="M457" s="357">
        <f>SUM(H457:H458)</f>
        <v>453447.1</v>
      </c>
      <c r="N457" s="411">
        <f>IFERROR((M457/(VLOOKUP(B457,'Data Pull Sheet'!$C:$H,6,FALSE))),"DC")</f>
        <v>2.0153204444444445E-3</v>
      </c>
      <c r="O457" s="23" t="s">
        <v>11047</v>
      </c>
      <c r="P457" s="92" t="s">
        <v>632</v>
      </c>
      <c r="Q457" s="92" t="s">
        <v>662</v>
      </c>
      <c r="R457" s="372" t="str">
        <f t="shared" si="15"/>
        <v/>
      </c>
    </row>
    <row r="458" spans="1:18" ht="45" x14ac:dyDescent="0.25">
      <c r="A458" s="23" t="s">
        <v>2236</v>
      </c>
      <c r="B458" s="18" t="str">
        <f>IF(ISNA(VLOOKUP($A458,'Data Pull Sheet'!$B$2:$C$1795,2,0)),"",(VLOOKUP($A458,'Data Pull Sheet'!$B$2:$C$1795,2,0)))</f>
        <v>ZINCQ</v>
      </c>
      <c r="C458" s="59" t="s">
        <v>437</v>
      </c>
      <c r="D458" s="356" t="s">
        <v>2237</v>
      </c>
      <c r="E458" s="356" t="s">
        <v>2238</v>
      </c>
      <c r="F458" s="23" t="s">
        <v>2242</v>
      </c>
      <c r="G458" s="23" t="s">
        <v>417</v>
      </c>
      <c r="H458" s="353">
        <v>263456.39</v>
      </c>
      <c r="I458" s="59"/>
      <c r="J458" s="59" t="s">
        <v>2243</v>
      </c>
      <c r="K458" s="20"/>
      <c r="L458" s="20"/>
      <c r="M458" s="357"/>
      <c r="N458" s="411"/>
      <c r="O458" s="23" t="s">
        <v>11047</v>
      </c>
      <c r="P458" s="92" t="s">
        <v>632</v>
      </c>
      <c r="Q458" s="92" t="s">
        <v>662</v>
      </c>
      <c r="R458" s="372" t="str">
        <f t="shared" si="15"/>
        <v/>
      </c>
    </row>
    <row r="459" spans="1:18" x14ac:dyDescent="0.25">
      <c r="A459" s="23" t="s">
        <v>2236</v>
      </c>
      <c r="B459" s="18" t="str">
        <f>IF(ISNA(VLOOKUP($A459,'Data Pull Sheet'!$B$2:$C$1795,2,0)),"",(VLOOKUP($A459,'Data Pull Sheet'!$B$2:$C$1795,2,0)))</f>
        <v>ZINCQ</v>
      </c>
      <c r="C459" s="59" t="s">
        <v>437</v>
      </c>
      <c r="D459" s="356" t="s">
        <v>2237</v>
      </c>
      <c r="E459" s="356" t="s">
        <v>2238</v>
      </c>
      <c r="F459" s="23" t="s">
        <v>2244</v>
      </c>
      <c r="G459" s="23" t="s">
        <v>403</v>
      </c>
      <c r="H459" s="353">
        <v>47898.080000000002</v>
      </c>
      <c r="I459" s="59"/>
      <c r="J459" s="59" t="s">
        <v>2245</v>
      </c>
      <c r="K459" s="20"/>
      <c r="L459" s="20">
        <v>1</v>
      </c>
      <c r="M459" s="357">
        <f>H459</f>
        <v>47898.080000000002</v>
      </c>
      <c r="N459" s="411">
        <f>IFERROR((M459/(VLOOKUP(B459,'Data Pull Sheet'!$C:$H,6,FALSE))),"DC")</f>
        <v>2.1288035555555557E-4</v>
      </c>
      <c r="O459" s="23" t="s">
        <v>2246</v>
      </c>
      <c r="P459" s="92" t="s">
        <v>632</v>
      </c>
      <c r="Q459" s="92" t="s">
        <v>637</v>
      </c>
      <c r="R459" s="372" t="str">
        <f t="shared" si="15"/>
        <v/>
      </c>
    </row>
    <row r="460" spans="1:18" ht="30" x14ac:dyDescent="0.25">
      <c r="A460" s="23" t="s">
        <v>2236</v>
      </c>
      <c r="B460" s="18" t="str">
        <f>IF(ISNA(VLOOKUP($A460,'Data Pull Sheet'!$B$2:$C$1795,2,0)),"",(VLOOKUP($A460,'Data Pull Sheet'!$B$2:$C$1795,2,0)))</f>
        <v>ZINCQ</v>
      </c>
      <c r="C460" s="59" t="s">
        <v>437</v>
      </c>
      <c r="D460" s="356" t="s">
        <v>2237</v>
      </c>
      <c r="E460" s="356" t="s">
        <v>2238</v>
      </c>
      <c r="F460" s="23" t="s">
        <v>2247</v>
      </c>
      <c r="G460" s="23" t="s">
        <v>403</v>
      </c>
      <c r="H460" s="353">
        <v>44764</v>
      </c>
      <c r="I460" s="59"/>
      <c r="J460" s="59" t="s">
        <v>2248</v>
      </c>
      <c r="K460" s="20"/>
      <c r="L460" s="20">
        <v>3</v>
      </c>
      <c r="M460" s="357">
        <f>SUM(H460:H462)</f>
        <v>279473</v>
      </c>
      <c r="N460" s="411">
        <f>IFERROR((M460/(VLOOKUP(B460,'Data Pull Sheet'!$C:$H,6,FALSE))),"DC")</f>
        <v>1.2421022222222223E-3</v>
      </c>
      <c r="O460" s="23" t="s">
        <v>11048</v>
      </c>
      <c r="P460" s="92" t="s">
        <v>632</v>
      </c>
      <c r="Q460" s="92" t="s">
        <v>646</v>
      </c>
      <c r="R460" s="372" t="str">
        <f t="shared" si="15"/>
        <v/>
      </c>
    </row>
    <row r="461" spans="1:18" ht="30" x14ac:dyDescent="0.25">
      <c r="A461" s="23" t="s">
        <v>2236</v>
      </c>
      <c r="B461" s="18" t="str">
        <f>IF(ISNA(VLOOKUP($A461,'Data Pull Sheet'!$B$2:$C$1795,2,0)),"",(VLOOKUP($A461,'Data Pull Sheet'!$B$2:$C$1795,2,0)))</f>
        <v>ZINCQ</v>
      </c>
      <c r="C461" s="59" t="s">
        <v>437</v>
      </c>
      <c r="D461" s="356" t="s">
        <v>2237</v>
      </c>
      <c r="E461" s="356" t="s">
        <v>2238</v>
      </c>
      <c r="F461" s="23" t="s">
        <v>2250</v>
      </c>
      <c r="G461" s="23" t="s">
        <v>403</v>
      </c>
      <c r="H461" s="353">
        <v>85019</v>
      </c>
      <c r="I461" s="59"/>
      <c r="J461" s="59" t="s">
        <v>2251</v>
      </c>
      <c r="K461" s="20"/>
      <c r="L461" s="20"/>
      <c r="M461" s="357"/>
      <c r="N461" s="411"/>
      <c r="O461" s="23" t="s">
        <v>11048</v>
      </c>
      <c r="P461" s="92" t="s">
        <v>632</v>
      </c>
      <c r="Q461" s="92" t="s">
        <v>646</v>
      </c>
      <c r="R461" s="372" t="str">
        <f t="shared" si="15"/>
        <v/>
      </c>
    </row>
    <row r="462" spans="1:18" ht="30" x14ac:dyDescent="0.25">
      <c r="A462" s="23" t="s">
        <v>2236</v>
      </c>
      <c r="B462" s="18" t="str">
        <f>IF(ISNA(VLOOKUP($A462,'Data Pull Sheet'!$B$2:$C$1795,2,0)),"",(VLOOKUP($A462,'Data Pull Sheet'!$B$2:$C$1795,2,0)))</f>
        <v>ZINCQ</v>
      </c>
      <c r="C462" s="59" t="s">
        <v>437</v>
      </c>
      <c r="D462" s="356" t="s">
        <v>2237</v>
      </c>
      <c r="E462" s="356" t="s">
        <v>2238</v>
      </c>
      <c r="F462" s="23" t="s">
        <v>2252</v>
      </c>
      <c r="G462" s="23" t="s">
        <v>403</v>
      </c>
      <c r="H462" s="353">
        <v>149690</v>
      </c>
      <c r="I462" s="59"/>
      <c r="J462" s="59" t="s">
        <v>2253</v>
      </c>
      <c r="K462" s="20"/>
      <c r="L462" s="20"/>
      <c r="M462" s="357"/>
      <c r="N462" s="411"/>
      <c r="O462" s="23" t="s">
        <v>11048</v>
      </c>
      <c r="P462" s="92" t="s">
        <v>632</v>
      </c>
      <c r="Q462" s="92" t="s">
        <v>646</v>
      </c>
      <c r="R462" s="372" t="str">
        <f t="shared" si="15"/>
        <v/>
      </c>
    </row>
    <row r="463" spans="1:18" x14ac:dyDescent="0.25">
      <c r="A463" s="23" t="s">
        <v>2236</v>
      </c>
      <c r="B463" s="18" t="str">
        <f>IF(ISNA(VLOOKUP($A463,'Data Pull Sheet'!$B$2:$C$1795,2,0)),"",(VLOOKUP($A463,'Data Pull Sheet'!$B$2:$C$1795,2,0)))</f>
        <v>ZINCQ</v>
      </c>
      <c r="C463" s="59" t="s">
        <v>437</v>
      </c>
      <c r="D463" s="356" t="s">
        <v>2237</v>
      </c>
      <c r="E463" s="356" t="s">
        <v>2238</v>
      </c>
      <c r="F463" s="23" t="s">
        <v>2254</v>
      </c>
      <c r="G463" s="23" t="s">
        <v>403</v>
      </c>
      <c r="H463" s="353">
        <v>64109.3</v>
      </c>
      <c r="I463" s="59"/>
      <c r="J463" s="59" t="s">
        <v>2255</v>
      </c>
      <c r="K463" s="20"/>
      <c r="L463" s="20">
        <v>1</v>
      </c>
      <c r="M463" s="357">
        <f t="shared" ref="M463:M473" si="16">H463</f>
        <v>64109.3</v>
      </c>
      <c r="N463" s="411">
        <f>IFERROR((M463/(VLOOKUP(B463,'Data Pull Sheet'!$C:$H,6,FALSE))),"DC")</f>
        <v>2.8493022222222226E-4</v>
      </c>
      <c r="O463" s="23" t="s">
        <v>2256</v>
      </c>
      <c r="P463" s="92" t="s">
        <v>632</v>
      </c>
      <c r="Q463" s="92" t="s">
        <v>637</v>
      </c>
      <c r="R463" s="372" t="str">
        <f t="shared" si="15"/>
        <v/>
      </c>
    </row>
    <row r="464" spans="1:18" ht="30" x14ac:dyDescent="0.25">
      <c r="A464" s="23" t="s">
        <v>2236</v>
      </c>
      <c r="B464" s="18" t="str">
        <f>IF(ISNA(VLOOKUP($A464,'Data Pull Sheet'!$B$2:$C$1795,2,0)),"",(VLOOKUP($A464,'Data Pull Sheet'!$B$2:$C$1795,2,0)))</f>
        <v>ZINCQ</v>
      </c>
      <c r="C464" s="59" t="s">
        <v>437</v>
      </c>
      <c r="D464" s="356" t="s">
        <v>2237</v>
      </c>
      <c r="E464" s="356" t="s">
        <v>2238</v>
      </c>
      <c r="F464" s="23" t="s">
        <v>2257</v>
      </c>
      <c r="G464" s="23" t="s">
        <v>403</v>
      </c>
      <c r="H464" s="353">
        <v>239600.74</v>
      </c>
      <c r="I464" s="59"/>
      <c r="J464" s="59" t="s">
        <v>2258</v>
      </c>
      <c r="K464" s="20"/>
      <c r="L464" s="20">
        <v>1</v>
      </c>
      <c r="M464" s="357">
        <f t="shared" si="16"/>
        <v>239600.74</v>
      </c>
      <c r="N464" s="411">
        <f>IFERROR((M464/(VLOOKUP(B464,'Data Pull Sheet'!$C:$H,6,FALSE))),"DC")</f>
        <v>1.0648921777777778E-3</v>
      </c>
      <c r="O464" s="23" t="s">
        <v>2259</v>
      </c>
      <c r="P464" s="92" t="s">
        <v>632</v>
      </c>
      <c r="Q464" s="92" t="s">
        <v>637</v>
      </c>
      <c r="R464" s="372" t="str">
        <f t="shared" si="15"/>
        <v/>
      </c>
    </row>
    <row r="465" spans="1:18" x14ac:dyDescent="0.25">
      <c r="A465" s="23" t="s">
        <v>2534</v>
      </c>
      <c r="B465" s="18" t="str">
        <f>IF(ISNA(VLOOKUP($A465,'Data Pull Sheet'!$B$2:$C$1795,2,0)),"",(VLOOKUP($A465,'Data Pull Sheet'!$B$2:$C$1795,2,0)))</f>
        <v>LQ</v>
      </c>
      <c r="C465" s="59" t="s">
        <v>418</v>
      </c>
      <c r="D465" s="356" t="s">
        <v>495</v>
      </c>
      <c r="E465" s="356" t="s">
        <v>591</v>
      </c>
      <c r="F465" s="23" t="s">
        <v>2535</v>
      </c>
      <c r="G465" s="23" t="s">
        <v>417</v>
      </c>
      <c r="H465" s="353">
        <v>197110</v>
      </c>
      <c r="I465" s="59" t="s">
        <v>406</v>
      </c>
      <c r="J465" s="59" t="s">
        <v>2536</v>
      </c>
      <c r="K465" s="20">
        <v>3</v>
      </c>
      <c r="L465" s="20">
        <v>1</v>
      </c>
      <c r="M465" s="357">
        <f t="shared" si="16"/>
        <v>197110</v>
      </c>
      <c r="N465" s="411">
        <f>IFERROR((M465/(VLOOKUP(B465,'Data Pull Sheet'!$C:$H,6,FALSE))),"DC")</f>
        <v>6.9161403508771931E-4</v>
      </c>
      <c r="O465" s="23" t="s">
        <v>309</v>
      </c>
      <c r="P465" s="92" t="s">
        <v>632</v>
      </c>
      <c r="Q465" s="92" t="s">
        <v>633</v>
      </c>
      <c r="R465" s="372" t="str">
        <f t="shared" si="15"/>
        <v>FF</v>
      </c>
    </row>
    <row r="466" spans="1:18" x14ac:dyDescent="0.25">
      <c r="A466" s="23" t="s">
        <v>2534</v>
      </c>
      <c r="B466" s="18" t="str">
        <f>IF(ISNA(VLOOKUP($A466,'Data Pull Sheet'!$B$2:$C$1795,2,0)),"",(VLOOKUP($A466,'Data Pull Sheet'!$B$2:$C$1795,2,0)))</f>
        <v>LQ</v>
      </c>
      <c r="C466" s="59" t="s">
        <v>418</v>
      </c>
      <c r="D466" s="356" t="s">
        <v>495</v>
      </c>
      <c r="E466" s="356" t="s">
        <v>591</v>
      </c>
      <c r="F466" s="23" t="s">
        <v>2537</v>
      </c>
      <c r="G466" s="23" t="s">
        <v>417</v>
      </c>
      <c r="H466" s="353">
        <v>56608.08</v>
      </c>
      <c r="I466" s="59"/>
      <c r="J466" s="59" t="s">
        <v>2538</v>
      </c>
      <c r="K466" s="20"/>
      <c r="L466" s="20">
        <v>1</v>
      </c>
      <c r="M466" s="357">
        <f t="shared" si="16"/>
        <v>56608.08</v>
      </c>
      <c r="N466" s="411">
        <f>IFERROR((M466/(VLOOKUP(B466,'Data Pull Sheet'!$C:$H,6,FALSE))),"DC")</f>
        <v>1.9862484210526315E-4</v>
      </c>
      <c r="O466" s="23" t="s">
        <v>1813</v>
      </c>
      <c r="P466" s="92" t="s">
        <v>632</v>
      </c>
      <c r="Q466" s="92" t="s">
        <v>633</v>
      </c>
      <c r="R466" s="372" t="str">
        <f t="shared" si="15"/>
        <v/>
      </c>
    </row>
    <row r="467" spans="1:18" x14ac:dyDescent="0.25">
      <c r="A467" s="23" t="s">
        <v>2534</v>
      </c>
      <c r="B467" s="18" t="str">
        <f>IF(ISNA(VLOOKUP($A467,'Data Pull Sheet'!$B$2:$C$1795,2,0)),"",(VLOOKUP($A467,'Data Pull Sheet'!$B$2:$C$1795,2,0)))</f>
        <v>LQ</v>
      </c>
      <c r="C467" s="59" t="s">
        <v>418</v>
      </c>
      <c r="D467" s="356" t="s">
        <v>495</v>
      </c>
      <c r="E467" s="356" t="s">
        <v>591</v>
      </c>
      <c r="F467" s="23" t="s">
        <v>2539</v>
      </c>
      <c r="G467" s="23" t="s">
        <v>403</v>
      </c>
      <c r="H467" s="353">
        <v>1285.78</v>
      </c>
      <c r="I467" s="59"/>
      <c r="J467" s="59" t="s">
        <v>2540</v>
      </c>
      <c r="K467" s="20"/>
      <c r="L467" s="20">
        <v>1</v>
      </c>
      <c r="M467" s="357">
        <f t="shared" si="16"/>
        <v>1285.78</v>
      </c>
      <c r="N467" s="411">
        <f>IFERROR((M467/(VLOOKUP(B467,'Data Pull Sheet'!$C:$H,6,FALSE))),"DC")</f>
        <v>4.5115087719298241E-6</v>
      </c>
      <c r="O467" s="23" t="s">
        <v>682</v>
      </c>
      <c r="P467" s="92" t="s">
        <v>632</v>
      </c>
      <c r="Q467" s="92" t="s">
        <v>637</v>
      </c>
      <c r="R467" s="372" t="str">
        <f t="shared" si="15"/>
        <v/>
      </c>
    </row>
    <row r="468" spans="1:18" ht="30" x14ac:dyDescent="0.25">
      <c r="A468" s="23" t="s">
        <v>1545</v>
      </c>
      <c r="B468" s="18" t="str">
        <f>IF(ISNA(VLOOKUP($A468,'Data Pull Sheet'!$B$2:$C$1795,2,0)),"",(VLOOKUP($A468,'Data Pull Sheet'!$B$2:$C$1795,2,0)))</f>
        <v>CRESY</v>
      </c>
      <c r="C468" s="59" t="s">
        <v>418</v>
      </c>
      <c r="D468" s="356" t="s">
        <v>1546</v>
      </c>
      <c r="E468" s="356" t="s">
        <v>805</v>
      </c>
      <c r="F468" s="23" t="s">
        <v>1547</v>
      </c>
      <c r="G468" s="23" t="s">
        <v>403</v>
      </c>
      <c r="H468" s="353">
        <v>1833.7</v>
      </c>
      <c r="I468" s="59"/>
      <c r="J468" s="59" t="s">
        <v>1548</v>
      </c>
      <c r="K468" s="20">
        <v>1</v>
      </c>
      <c r="L468" s="20">
        <v>1</v>
      </c>
      <c r="M468" s="357">
        <f t="shared" si="16"/>
        <v>1833.7</v>
      </c>
      <c r="N468" s="411">
        <f>IFERROR((M468/(VLOOKUP(B468,'Data Pull Sheet'!$C:$H,6,FALSE))),"DC")</f>
        <v>2.6195714285714289E-4</v>
      </c>
      <c r="O468" s="23" t="s">
        <v>682</v>
      </c>
      <c r="P468" s="92" t="s">
        <v>676</v>
      </c>
      <c r="Q468" s="92" t="s">
        <v>637</v>
      </c>
      <c r="R468" s="372" t="str">
        <f t="shared" si="15"/>
        <v/>
      </c>
    </row>
    <row r="469" spans="1:18" x14ac:dyDescent="0.25">
      <c r="A469" s="23" t="s">
        <v>1596</v>
      </c>
      <c r="B469" s="18" t="str">
        <f>IF(ISNA(VLOOKUP($A469,'Data Pull Sheet'!$B$2:$C$1795,2,0)),"",(VLOOKUP($A469,'Data Pull Sheet'!$B$2:$C$1795,2,0)))</f>
        <v>DDAIY</v>
      </c>
      <c r="C469" s="59" t="s">
        <v>446</v>
      </c>
      <c r="D469" s="356" t="s">
        <v>1546</v>
      </c>
      <c r="E469" s="356" t="s">
        <v>805</v>
      </c>
      <c r="F469" s="23" t="s">
        <v>1597</v>
      </c>
      <c r="G469" s="23" t="s">
        <v>403</v>
      </c>
      <c r="H469" s="353">
        <v>717</v>
      </c>
      <c r="I469" s="59"/>
      <c r="J469" s="59" t="s">
        <v>10434</v>
      </c>
      <c r="K469" s="20">
        <v>3</v>
      </c>
      <c r="L469" s="20">
        <v>1</v>
      </c>
      <c r="M469" s="357">
        <f t="shared" si="16"/>
        <v>717</v>
      </c>
      <c r="N469" s="411">
        <f>IFERROR((M469/(VLOOKUP(B469,'Data Pull Sheet'!$C:$H,6,FALSE))),"DC")</f>
        <v>4.2176470588235298E-6</v>
      </c>
      <c r="O469" s="23" t="s">
        <v>1598</v>
      </c>
      <c r="P469" s="92" t="s">
        <v>632</v>
      </c>
      <c r="Q469" s="92" t="s">
        <v>637</v>
      </c>
      <c r="R469" s="372" t="str">
        <f t="shared" si="15"/>
        <v/>
      </c>
    </row>
    <row r="470" spans="1:18" ht="30" x14ac:dyDescent="0.25">
      <c r="A470" s="23" t="s">
        <v>1596</v>
      </c>
      <c r="B470" s="18" t="str">
        <f>IF(ISNA(VLOOKUP($A470,'Data Pull Sheet'!$B$2:$C$1795,2,0)),"",(VLOOKUP($A470,'Data Pull Sheet'!$B$2:$C$1795,2,0)))</f>
        <v>DDAIY</v>
      </c>
      <c r="C470" s="59" t="s">
        <v>446</v>
      </c>
      <c r="D470" s="356" t="s">
        <v>1546</v>
      </c>
      <c r="E470" s="356" t="s">
        <v>805</v>
      </c>
      <c r="F470" s="23" t="s">
        <v>1599</v>
      </c>
      <c r="G470" s="23" t="s">
        <v>417</v>
      </c>
      <c r="H470" s="353">
        <v>345280.15</v>
      </c>
      <c r="I470" s="59" t="s">
        <v>406</v>
      </c>
      <c r="J470" s="59" t="s">
        <v>10435</v>
      </c>
      <c r="K470" s="20"/>
      <c r="L470" s="20">
        <v>1</v>
      </c>
      <c r="M470" s="357">
        <f t="shared" si="16"/>
        <v>345280.15</v>
      </c>
      <c r="N470" s="411">
        <f>IFERROR((M470/(VLOOKUP(B470,'Data Pull Sheet'!$C:$H,6,FALSE))),"DC")</f>
        <v>2.031059705882353E-3</v>
      </c>
      <c r="O470" s="23" t="s">
        <v>1600</v>
      </c>
      <c r="P470" s="92" t="s">
        <v>632</v>
      </c>
      <c r="Q470" s="92" t="s">
        <v>633</v>
      </c>
      <c r="R470" s="372" t="str">
        <f t="shared" si="15"/>
        <v/>
      </c>
    </row>
    <row r="471" spans="1:18" x14ac:dyDescent="0.25">
      <c r="A471" s="23" t="s">
        <v>1596</v>
      </c>
      <c r="B471" s="18" t="str">
        <f>IF(ISNA(VLOOKUP($A471,'Data Pull Sheet'!$B$2:$C$1795,2,0)),"",(VLOOKUP($A471,'Data Pull Sheet'!$B$2:$C$1795,2,0)))</f>
        <v>DDAIY</v>
      </c>
      <c r="C471" s="59" t="s">
        <v>446</v>
      </c>
      <c r="D471" s="356" t="s">
        <v>1546</v>
      </c>
      <c r="E471" s="356" t="s">
        <v>805</v>
      </c>
      <c r="F471" s="23" t="s">
        <v>1601</v>
      </c>
      <c r="G471" s="23" t="s">
        <v>417</v>
      </c>
      <c r="H471" s="353">
        <v>112.06</v>
      </c>
      <c r="I471" s="59"/>
      <c r="J471" s="59" t="s">
        <v>10436</v>
      </c>
      <c r="K471" s="20"/>
      <c r="L471" s="20">
        <v>1</v>
      </c>
      <c r="M471" s="357">
        <f t="shared" si="16"/>
        <v>112.06</v>
      </c>
      <c r="N471" s="411">
        <f>IFERROR((M471/(VLOOKUP(B471,'Data Pull Sheet'!$C:$H,6,FALSE))),"DC")</f>
        <v>6.5917647058823533E-7</v>
      </c>
      <c r="O471" s="23" t="s">
        <v>682</v>
      </c>
      <c r="P471" s="92" t="s">
        <v>632</v>
      </c>
      <c r="Q471" s="92" t="s">
        <v>633</v>
      </c>
      <c r="R471" s="372" t="str">
        <f t="shared" si="15"/>
        <v/>
      </c>
    </row>
    <row r="472" spans="1:18" x14ac:dyDescent="0.25">
      <c r="A472" s="23" t="s">
        <v>3355</v>
      </c>
      <c r="B472" s="18" t="str">
        <f>IF(ISNA(VLOOKUP($A472,'Data Pull Sheet'!$B$2:$C$1795,2,0)),"",(VLOOKUP($A472,'Data Pull Sheet'!$B$2:$C$1795,2,0)))</f>
        <v>RT</v>
      </c>
      <c r="C472" s="59" t="s">
        <v>418</v>
      </c>
      <c r="D472" s="356" t="s">
        <v>1546</v>
      </c>
      <c r="E472" s="356" t="s">
        <v>805</v>
      </c>
      <c r="F472" s="23" t="s">
        <v>3356</v>
      </c>
      <c r="G472" s="23" t="s">
        <v>403</v>
      </c>
      <c r="H472" s="353">
        <v>72517.990000000005</v>
      </c>
      <c r="I472" s="59"/>
      <c r="J472" s="59" t="s">
        <v>3357</v>
      </c>
      <c r="K472" s="20">
        <v>2</v>
      </c>
      <c r="L472" s="20">
        <v>1</v>
      </c>
      <c r="M472" s="357">
        <f t="shared" si="16"/>
        <v>72517.990000000005</v>
      </c>
      <c r="N472" s="411">
        <f>IFERROR((M472/(VLOOKUP(B472,'Data Pull Sheet'!$C:$H,6,FALSE))),"DC")</f>
        <v>3.6258995000000003E-3</v>
      </c>
      <c r="O472" s="23" t="s">
        <v>561</v>
      </c>
      <c r="P472" s="92" t="s">
        <v>632</v>
      </c>
      <c r="Q472" s="92" t="s">
        <v>637</v>
      </c>
      <c r="R472" s="372" t="str">
        <f t="shared" si="15"/>
        <v/>
      </c>
    </row>
    <row r="473" spans="1:18" x14ac:dyDescent="0.25">
      <c r="A473" s="23" t="s">
        <v>3355</v>
      </c>
      <c r="B473" s="18" t="str">
        <f>IF(ISNA(VLOOKUP($A473,'Data Pull Sheet'!$B$2:$C$1795,2,0)),"",(VLOOKUP($A473,'Data Pull Sheet'!$B$2:$C$1795,2,0)))</f>
        <v>RT</v>
      </c>
      <c r="C473" s="59" t="s">
        <v>418</v>
      </c>
      <c r="D473" s="356" t="s">
        <v>1546</v>
      </c>
      <c r="E473" s="356" t="s">
        <v>805</v>
      </c>
      <c r="F473" s="23" t="s">
        <v>3358</v>
      </c>
      <c r="G473" s="23" t="s">
        <v>403</v>
      </c>
      <c r="H473" s="353">
        <v>10402.370000000001</v>
      </c>
      <c r="I473" s="59"/>
      <c r="J473" s="59" t="s">
        <v>3359</v>
      </c>
      <c r="K473" s="20"/>
      <c r="L473" s="20">
        <v>1</v>
      </c>
      <c r="M473" s="357">
        <f t="shared" si="16"/>
        <v>10402.370000000001</v>
      </c>
      <c r="N473" s="411">
        <f>IFERROR((M473/(VLOOKUP(B473,'Data Pull Sheet'!$C:$H,6,FALSE))),"DC")</f>
        <v>5.2011850000000003E-4</v>
      </c>
      <c r="O473" s="23" t="s">
        <v>682</v>
      </c>
      <c r="P473" s="92" t="s">
        <v>632</v>
      </c>
      <c r="Q473" s="92" t="s">
        <v>637</v>
      </c>
      <c r="R473" s="372" t="str">
        <f t="shared" si="15"/>
        <v/>
      </c>
    </row>
    <row r="474" spans="1:18" x14ac:dyDescent="0.25">
      <c r="A474" s="23" t="s">
        <v>132</v>
      </c>
      <c r="B474" s="18" t="str">
        <f>IF(ISNA(VLOOKUP($A474,'Data Pull Sheet'!$B$2:$C$1795,2,0)),"",(VLOOKUP($A474,'Data Pull Sheet'!$B$2:$C$1795,2,0)))</f>
        <v>ESRX</v>
      </c>
      <c r="C474" s="59" t="s">
        <v>418</v>
      </c>
      <c r="D474" s="356" t="s">
        <v>498</v>
      </c>
      <c r="E474" s="356" t="s">
        <v>499</v>
      </c>
      <c r="F474" s="23" t="s">
        <v>1805</v>
      </c>
      <c r="G474" s="23" t="s">
        <v>417</v>
      </c>
      <c r="H474" s="353">
        <v>252904</v>
      </c>
      <c r="I474" s="59" t="s">
        <v>576</v>
      </c>
      <c r="J474" s="59" t="s">
        <v>1806</v>
      </c>
      <c r="K474" s="20">
        <v>4</v>
      </c>
      <c r="L474" s="20">
        <v>3</v>
      </c>
      <c r="M474" s="357">
        <f>SUM(H474:H476)</f>
        <v>1764635</v>
      </c>
      <c r="N474" s="411">
        <f>IFERROR((M474/(VLOOKUP(B474,'Data Pull Sheet'!$C:$H,6,FALSE))),"DC")</f>
        <v>5.0418142857142859E-4</v>
      </c>
      <c r="O474" s="23" t="s">
        <v>4634</v>
      </c>
      <c r="P474" s="92" t="s">
        <v>632</v>
      </c>
      <c r="Q474" s="92" t="s">
        <v>640</v>
      </c>
      <c r="R474" s="372" t="str">
        <f t="shared" si="15"/>
        <v/>
      </c>
    </row>
    <row r="475" spans="1:18" x14ac:dyDescent="0.25">
      <c r="A475" s="23" t="s">
        <v>132</v>
      </c>
      <c r="B475" s="18" t="str">
        <f>IF(ISNA(VLOOKUP($A475,'Data Pull Sheet'!$B$2:$C$1795,2,0)),"",(VLOOKUP($A475,'Data Pull Sheet'!$B$2:$C$1795,2,0)))</f>
        <v>ESRX</v>
      </c>
      <c r="C475" s="59" t="s">
        <v>418</v>
      </c>
      <c r="D475" s="356" t="s">
        <v>498</v>
      </c>
      <c r="E475" s="356" t="s">
        <v>499</v>
      </c>
      <c r="F475" s="23" t="s">
        <v>1807</v>
      </c>
      <c r="G475" s="23" t="s">
        <v>417</v>
      </c>
      <c r="H475" s="353">
        <v>415940</v>
      </c>
      <c r="I475" s="59" t="s">
        <v>576</v>
      </c>
      <c r="J475" s="59" t="s">
        <v>1808</v>
      </c>
      <c r="K475" s="20"/>
      <c r="L475" s="20"/>
      <c r="M475" s="357"/>
      <c r="N475" s="411"/>
      <c r="O475" s="23" t="s">
        <v>4634</v>
      </c>
      <c r="P475" s="92" t="s">
        <v>632</v>
      </c>
      <c r="Q475" s="92" t="s">
        <v>640</v>
      </c>
      <c r="R475" s="372" t="str">
        <f t="shared" si="15"/>
        <v/>
      </c>
    </row>
    <row r="476" spans="1:18" x14ac:dyDescent="0.25">
      <c r="A476" s="23" t="s">
        <v>132</v>
      </c>
      <c r="B476" s="18" t="str">
        <f>IF(ISNA(VLOOKUP($A476,'Data Pull Sheet'!$B$2:$C$1795,2,0)),"",(VLOOKUP($A476,'Data Pull Sheet'!$B$2:$C$1795,2,0)))</f>
        <v>ESRX</v>
      </c>
      <c r="C476" s="59" t="s">
        <v>418</v>
      </c>
      <c r="D476" s="356" t="s">
        <v>498</v>
      </c>
      <c r="E476" s="356" t="s">
        <v>499</v>
      </c>
      <c r="F476" s="23" t="s">
        <v>355</v>
      </c>
      <c r="G476" s="23" t="s">
        <v>417</v>
      </c>
      <c r="H476" s="353">
        <v>1095791</v>
      </c>
      <c r="I476" s="59" t="s">
        <v>576</v>
      </c>
      <c r="J476" s="59" t="s">
        <v>1809</v>
      </c>
      <c r="K476" s="20"/>
      <c r="L476" s="20"/>
      <c r="M476" s="357"/>
      <c r="N476" s="411"/>
      <c r="O476" s="23" t="s">
        <v>4634</v>
      </c>
      <c r="P476" s="92" t="s">
        <v>632</v>
      </c>
      <c r="Q476" s="92" t="s">
        <v>640</v>
      </c>
      <c r="R476" s="372" t="str">
        <f t="shared" si="15"/>
        <v>FF</v>
      </c>
    </row>
    <row r="477" spans="1:18" x14ac:dyDescent="0.25">
      <c r="A477" s="23" t="s">
        <v>132</v>
      </c>
      <c r="B477" s="18" t="str">
        <f>IF(ISNA(VLOOKUP($A477,'Data Pull Sheet'!$B$2:$C$1795,2,0)),"",(VLOOKUP($A477,'Data Pull Sheet'!$B$2:$C$1795,2,0)))</f>
        <v>ESRX</v>
      </c>
      <c r="C477" s="59" t="s">
        <v>418</v>
      </c>
      <c r="D477" s="356" t="s">
        <v>498</v>
      </c>
      <c r="E477" s="356" t="s">
        <v>499</v>
      </c>
      <c r="F477" s="23" t="s">
        <v>362</v>
      </c>
      <c r="G477" s="23" t="s">
        <v>417</v>
      </c>
      <c r="H477" s="353">
        <v>50123636.979999997</v>
      </c>
      <c r="I477" s="59" t="s">
        <v>413</v>
      </c>
      <c r="J477" s="59" t="s">
        <v>1810</v>
      </c>
      <c r="K477" s="20"/>
      <c r="L477" s="20">
        <v>1</v>
      </c>
      <c r="M477" s="357">
        <f>H477</f>
        <v>50123636.979999997</v>
      </c>
      <c r="N477" s="411">
        <f>IFERROR((M477/(VLOOKUP(B477,'Data Pull Sheet'!$C:$H,6,FALSE))),"DC")</f>
        <v>1.4321039137142857E-2</v>
      </c>
      <c r="O477" s="23" t="s">
        <v>1</v>
      </c>
      <c r="P477" s="92" t="s">
        <v>632</v>
      </c>
      <c r="Q477" s="92" t="s">
        <v>633</v>
      </c>
      <c r="R477" s="372" t="str">
        <f t="shared" si="15"/>
        <v>FF</v>
      </c>
    </row>
    <row r="478" spans="1:18" x14ac:dyDescent="0.25">
      <c r="A478" s="23" t="s">
        <v>132</v>
      </c>
      <c r="B478" s="18" t="str">
        <f>IF(ISNA(VLOOKUP($A478,'Data Pull Sheet'!$B$2:$C$1795,2,0)),"",(VLOOKUP($A478,'Data Pull Sheet'!$B$2:$C$1795,2,0)))</f>
        <v>ESRX</v>
      </c>
      <c r="C478" s="59" t="s">
        <v>418</v>
      </c>
      <c r="D478" s="356" t="s">
        <v>498</v>
      </c>
      <c r="E478" s="356" t="s">
        <v>499</v>
      </c>
      <c r="F478" s="23" t="s">
        <v>172</v>
      </c>
      <c r="G478" s="23" t="s">
        <v>417</v>
      </c>
      <c r="H478" s="353">
        <v>1284592.46</v>
      </c>
      <c r="I478" s="59" t="s">
        <v>525</v>
      </c>
      <c r="J478" s="59" t="s">
        <v>1811</v>
      </c>
      <c r="K478" s="20"/>
      <c r="L478" s="20">
        <v>1</v>
      </c>
      <c r="M478" s="357">
        <f>H478</f>
        <v>1284592.46</v>
      </c>
      <c r="N478" s="411">
        <f>IFERROR((M478/(VLOOKUP(B478,'Data Pull Sheet'!$C:$H,6,FALSE))),"DC")</f>
        <v>3.6702641714285715E-4</v>
      </c>
      <c r="O478" s="23" t="s">
        <v>56</v>
      </c>
      <c r="P478" s="92" t="s">
        <v>632</v>
      </c>
      <c r="Q478" s="92" t="s">
        <v>633</v>
      </c>
      <c r="R478" s="372" t="str">
        <f t="shared" si="15"/>
        <v>FF</v>
      </c>
    </row>
    <row r="479" spans="1:18" x14ac:dyDescent="0.25">
      <c r="A479" s="23" t="s">
        <v>132</v>
      </c>
      <c r="B479" s="18" t="str">
        <f>IF(ISNA(VLOOKUP($A479,'Data Pull Sheet'!$B$2:$C$1795,2,0)),"",(VLOOKUP($A479,'Data Pull Sheet'!$B$2:$C$1795,2,0)))</f>
        <v>ESRX</v>
      </c>
      <c r="C479" s="59" t="s">
        <v>418</v>
      </c>
      <c r="D479" s="356" t="s">
        <v>498</v>
      </c>
      <c r="E479" s="356" t="s">
        <v>499</v>
      </c>
      <c r="F479" s="23" t="s">
        <v>131</v>
      </c>
      <c r="G479" s="23" t="s">
        <v>417</v>
      </c>
      <c r="H479" s="353">
        <v>835557.29</v>
      </c>
      <c r="I479" s="59"/>
      <c r="J479" s="59" t="s">
        <v>1812</v>
      </c>
      <c r="K479" s="20"/>
      <c r="L479" s="20">
        <v>1</v>
      </c>
      <c r="M479" s="357">
        <f>H479</f>
        <v>835557.29</v>
      </c>
      <c r="N479" s="411">
        <f>IFERROR((M479/(VLOOKUP(B479,'Data Pull Sheet'!$C:$H,6,FALSE))),"DC")</f>
        <v>2.387306542857143E-4</v>
      </c>
      <c r="O479" s="23" t="s">
        <v>1813</v>
      </c>
      <c r="P479" s="92" t="s">
        <v>632</v>
      </c>
      <c r="Q479" s="92" t="s">
        <v>633</v>
      </c>
      <c r="R479" s="372" t="str">
        <f t="shared" si="15"/>
        <v>FF</v>
      </c>
    </row>
    <row r="480" spans="1:18" ht="30" x14ac:dyDescent="0.25">
      <c r="A480" s="23" t="s">
        <v>270</v>
      </c>
      <c r="B480" s="18" t="str">
        <f>IF(ISNA(VLOOKUP($A480,'Data Pull Sheet'!$B$2:$C$1795,2,0)),"",(VLOOKUP($A480,'Data Pull Sheet'!$B$2:$C$1795,2,0)))</f>
        <v>FNBCQ</v>
      </c>
      <c r="C480" s="59" t="s">
        <v>574</v>
      </c>
      <c r="D480" s="356" t="s">
        <v>575</v>
      </c>
      <c r="E480" s="356" t="s">
        <v>499</v>
      </c>
      <c r="F480" s="23" t="s">
        <v>1897</v>
      </c>
      <c r="G480" s="23" t="s">
        <v>417</v>
      </c>
      <c r="H480" s="353">
        <v>142774</v>
      </c>
      <c r="I480" s="59" t="s">
        <v>576</v>
      </c>
      <c r="J480" s="59" t="s">
        <v>1898</v>
      </c>
      <c r="K480" s="20">
        <v>2</v>
      </c>
      <c r="L480" s="20">
        <v>3</v>
      </c>
      <c r="M480" s="357">
        <f>SUM(H480:H482)</f>
        <v>723081</v>
      </c>
      <c r="N480" s="411">
        <f>IFERROR((M480/(VLOOKUP(B480,'Data Pull Sheet'!$C:$H,6,FALSE))),"DC")</f>
        <v>7.2308099999999998E-3</v>
      </c>
      <c r="O480" s="23" t="s">
        <v>10819</v>
      </c>
      <c r="P480" s="92" t="s">
        <v>632</v>
      </c>
      <c r="Q480" s="92" t="s">
        <v>640</v>
      </c>
      <c r="R480" s="372" t="str">
        <f t="shared" si="15"/>
        <v>FF</v>
      </c>
    </row>
    <row r="481" spans="1:18" ht="30" x14ac:dyDescent="0.25">
      <c r="A481" s="23" t="s">
        <v>270</v>
      </c>
      <c r="B481" s="18" t="str">
        <f>IF(ISNA(VLOOKUP($A481,'Data Pull Sheet'!$B$2:$C$1795,2,0)),"",(VLOOKUP($A481,'Data Pull Sheet'!$B$2:$C$1795,2,0)))</f>
        <v>FNBCQ</v>
      </c>
      <c r="C481" s="59" t="s">
        <v>574</v>
      </c>
      <c r="D481" s="356" t="s">
        <v>575</v>
      </c>
      <c r="E481" s="356" t="s">
        <v>499</v>
      </c>
      <c r="F481" s="23" t="s">
        <v>295</v>
      </c>
      <c r="G481" s="23" t="s">
        <v>417</v>
      </c>
      <c r="H481" s="353">
        <v>148934</v>
      </c>
      <c r="I481" s="59" t="s">
        <v>576</v>
      </c>
      <c r="J481" s="59" t="s">
        <v>1900</v>
      </c>
      <c r="K481" s="20"/>
      <c r="L481" s="20"/>
      <c r="M481" s="357"/>
      <c r="N481" s="411"/>
      <c r="O481" s="23" t="s">
        <v>10819</v>
      </c>
      <c r="P481" s="92" t="s">
        <v>632</v>
      </c>
      <c r="Q481" s="92" t="s">
        <v>640</v>
      </c>
      <c r="R481" s="372" t="str">
        <f t="shared" si="15"/>
        <v>FF</v>
      </c>
    </row>
    <row r="482" spans="1:18" ht="30" x14ac:dyDescent="0.25">
      <c r="A482" s="23" t="s">
        <v>270</v>
      </c>
      <c r="B482" s="18" t="str">
        <f>IF(ISNA(VLOOKUP($A482,'Data Pull Sheet'!$B$2:$C$1795,2,0)),"",(VLOOKUP($A482,'Data Pull Sheet'!$B$2:$C$1795,2,0)))</f>
        <v>FNBCQ</v>
      </c>
      <c r="C482" s="59" t="s">
        <v>574</v>
      </c>
      <c r="D482" s="356" t="s">
        <v>575</v>
      </c>
      <c r="E482" s="356" t="s">
        <v>499</v>
      </c>
      <c r="F482" s="23" t="s">
        <v>268</v>
      </c>
      <c r="G482" s="23" t="s">
        <v>417</v>
      </c>
      <c r="H482" s="353">
        <v>431373</v>
      </c>
      <c r="I482" s="59" t="s">
        <v>576</v>
      </c>
      <c r="J482" s="59" t="s">
        <v>1901</v>
      </c>
      <c r="K482" s="20"/>
      <c r="L482" s="20"/>
      <c r="M482" s="357"/>
      <c r="N482" s="411"/>
      <c r="O482" s="23" t="s">
        <v>10819</v>
      </c>
      <c r="P482" s="92" t="s">
        <v>632</v>
      </c>
      <c r="Q482" s="92" t="s">
        <v>640</v>
      </c>
      <c r="R482" s="372" t="str">
        <f t="shared" si="15"/>
        <v>FF</v>
      </c>
    </row>
    <row r="483" spans="1:18" x14ac:dyDescent="0.25">
      <c r="A483" s="23" t="s">
        <v>270</v>
      </c>
      <c r="B483" s="18" t="str">
        <f>IF(ISNA(VLOOKUP($A483,'Data Pull Sheet'!$B$2:$C$1795,2,0)),"",(VLOOKUP($A483,'Data Pull Sheet'!$B$2:$C$1795,2,0)))</f>
        <v>FNBCQ</v>
      </c>
      <c r="C483" s="59" t="s">
        <v>574</v>
      </c>
      <c r="D483" s="356" t="s">
        <v>575</v>
      </c>
      <c r="E483" s="356" t="s">
        <v>499</v>
      </c>
      <c r="F483" s="23" t="s">
        <v>1902</v>
      </c>
      <c r="G483" s="23" t="s">
        <v>417</v>
      </c>
      <c r="H483" s="353">
        <v>156649.25</v>
      </c>
      <c r="I483" s="59"/>
      <c r="J483" s="59" t="s">
        <v>10438</v>
      </c>
      <c r="K483" s="20"/>
      <c r="L483" s="20">
        <v>1</v>
      </c>
      <c r="M483" s="357">
        <f>H483</f>
        <v>156649.25</v>
      </c>
      <c r="N483" s="411">
        <f>IFERROR((M483/(VLOOKUP(B483,'Data Pull Sheet'!$C:$H,6,FALSE))),"DC")</f>
        <v>1.5664925E-3</v>
      </c>
      <c r="O483" s="23" t="s">
        <v>1903</v>
      </c>
      <c r="P483" s="92" t="s">
        <v>632</v>
      </c>
      <c r="Q483" s="92" t="s">
        <v>633</v>
      </c>
      <c r="R483" s="372" t="str">
        <f t="shared" si="15"/>
        <v/>
      </c>
    </row>
    <row r="484" spans="1:18" x14ac:dyDescent="0.25">
      <c r="A484" s="23" t="s">
        <v>3616</v>
      </c>
      <c r="B484" s="18" t="s">
        <v>10747</v>
      </c>
      <c r="C484" s="59" t="s">
        <v>457</v>
      </c>
      <c r="D484" s="356" t="s">
        <v>3204</v>
      </c>
      <c r="E484" s="356" t="s">
        <v>499</v>
      </c>
      <c r="F484" s="23" t="s">
        <v>3617</v>
      </c>
      <c r="G484" s="23" t="s">
        <v>403</v>
      </c>
      <c r="H484" s="353">
        <v>35650</v>
      </c>
      <c r="I484" s="59"/>
      <c r="J484" s="59" t="s">
        <v>10749</v>
      </c>
      <c r="K484" s="20">
        <v>2</v>
      </c>
      <c r="L484" s="20">
        <v>1</v>
      </c>
      <c r="M484" s="357">
        <f>H484</f>
        <v>35650</v>
      </c>
      <c r="N484" s="411">
        <f>IFERROR((M484/(VLOOKUP(B484,'Data Pull Sheet'!$C:$H,6,FALSE))),"DC")</f>
        <v>1.1883333333333333E-3</v>
      </c>
      <c r="O484" s="23" t="s">
        <v>63</v>
      </c>
      <c r="P484" s="92" t="s">
        <v>632</v>
      </c>
      <c r="Q484" s="92" t="s">
        <v>637</v>
      </c>
      <c r="R484" s="372" t="str">
        <f t="shared" si="15"/>
        <v/>
      </c>
    </row>
    <row r="485" spans="1:18" x14ac:dyDescent="0.25">
      <c r="A485" s="23" t="s">
        <v>3616</v>
      </c>
      <c r="B485" s="18" t="s">
        <v>10747</v>
      </c>
      <c r="C485" s="59" t="s">
        <v>457</v>
      </c>
      <c r="D485" s="356" t="s">
        <v>3204</v>
      </c>
      <c r="E485" s="356" t="s">
        <v>499</v>
      </c>
      <c r="F485" s="23" t="s">
        <v>3618</v>
      </c>
      <c r="G485" s="23" t="s">
        <v>403</v>
      </c>
      <c r="H485" s="353">
        <v>4886</v>
      </c>
      <c r="I485" s="59"/>
      <c r="J485" s="59" t="s">
        <v>10750</v>
      </c>
      <c r="K485" s="20"/>
      <c r="L485" s="20">
        <v>4</v>
      </c>
      <c r="M485" s="357">
        <f>SUM(H485:H488)</f>
        <v>52350</v>
      </c>
      <c r="N485" s="411">
        <f>IFERROR((M485/(VLOOKUP(B485,'Data Pull Sheet'!$C:$H,6,FALSE))),"DC")</f>
        <v>1.745E-3</v>
      </c>
      <c r="O485" s="23" t="s">
        <v>554</v>
      </c>
      <c r="P485" s="92" t="s">
        <v>632</v>
      </c>
      <c r="Q485" s="92" t="s">
        <v>646</v>
      </c>
      <c r="R485" s="372" t="str">
        <f t="shared" si="15"/>
        <v/>
      </c>
    </row>
    <row r="486" spans="1:18" x14ac:dyDescent="0.25">
      <c r="A486" s="23" t="s">
        <v>3616</v>
      </c>
      <c r="B486" s="18" t="s">
        <v>10747</v>
      </c>
      <c r="C486" s="59" t="s">
        <v>457</v>
      </c>
      <c r="D486" s="356" t="s">
        <v>3204</v>
      </c>
      <c r="E486" s="356" t="s">
        <v>499</v>
      </c>
      <c r="F486" s="23" t="s">
        <v>3619</v>
      </c>
      <c r="G486" s="23" t="s">
        <v>403</v>
      </c>
      <c r="H486" s="353">
        <v>6282</v>
      </c>
      <c r="I486" s="59"/>
      <c r="J486" s="59" t="s">
        <v>10751</v>
      </c>
      <c r="K486" s="20"/>
      <c r="L486" s="20"/>
      <c r="M486" s="357"/>
      <c r="N486" s="411"/>
      <c r="O486" s="23" t="s">
        <v>554</v>
      </c>
      <c r="P486" s="92" t="s">
        <v>632</v>
      </c>
      <c r="Q486" s="92" t="s">
        <v>646</v>
      </c>
      <c r="R486" s="372" t="str">
        <f t="shared" si="15"/>
        <v/>
      </c>
    </row>
    <row r="487" spans="1:18" x14ac:dyDescent="0.25">
      <c r="A487" s="23" t="s">
        <v>3616</v>
      </c>
      <c r="B487" s="18" t="s">
        <v>10747</v>
      </c>
      <c r="C487" s="59" t="s">
        <v>457</v>
      </c>
      <c r="D487" s="356" t="s">
        <v>3204</v>
      </c>
      <c r="E487" s="356" t="s">
        <v>499</v>
      </c>
      <c r="F487" s="23" t="s">
        <v>3620</v>
      </c>
      <c r="G487" s="23" t="s">
        <v>403</v>
      </c>
      <c r="H487" s="353">
        <v>6282</v>
      </c>
      <c r="I487" s="59"/>
      <c r="J487" s="59" t="s">
        <v>10752</v>
      </c>
      <c r="K487" s="20"/>
      <c r="L487" s="20"/>
      <c r="M487" s="357"/>
      <c r="N487" s="411"/>
      <c r="O487" s="23" t="s">
        <v>554</v>
      </c>
      <c r="P487" s="92" t="s">
        <v>632</v>
      </c>
      <c r="Q487" s="92" t="s">
        <v>646</v>
      </c>
      <c r="R487" s="372" t="str">
        <f t="shared" si="15"/>
        <v/>
      </c>
    </row>
    <row r="488" spans="1:18" x14ac:dyDescent="0.25">
      <c r="A488" s="23" t="s">
        <v>3616</v>
      </c>
      <c r="B488" s="18" t="s">
        <v>10747</v>
      </c>
      <c r="C488" s="59" t="s">
        <v>457</v>
      </c>
      <c r="D488" s="356" t="s">
        <v>3204</v>
      </c>
      <c r="E488" s="356" t="s">
        <v>499</v>
      </c>
      <c r="F488" s="23" t="s">
        <v>3621</v>
      </c>
      <c r="G488" s="23" t="s">
        <v>403</v>
      </c>
      <c r="H488" s="353">
        <v>34900</v>
      </c>
      <c r="I488" s="59"/>
      <c r="J488" s="59" t="s">
        <v>10753</v>
      </c>
      <c r="K488" s="20"/>
      <c r="L488" s="20"/>
      <c r="M488" s="357"/>
      <c r="N488" s="411"/>
      <c r="O488" s="23" t="s">
        <v>554</v>
      </c>
      <c r="P488" s="92" t="s">
        <v>632</v>
      </c>
      <c r="Q488" s="92" t="s">
        <v>646</v>
      </c>
      <c r="R488" s="372" t="str">
        <f t="shared" si="15"/>
        <v/>
      </c>
    </row>
    <row r="489" spans="1:18" ht="30" x14ac:dyDescent="0.25">
      <c r="A489" s="23" t="s">
        <v>4088</v>
      </c>
      <c r="B489" s="18" t="str">
        <f>IF(ISNA(VLOOKUP($A489,'Data Pull Sheet'!$B$2:$C$1795,2,0)),"",(VLOOKUP($A489,'Data Pull Sheet'!$B$2:$C$1795,2,0)))</f>
        <v>VSLR</v>
      </c>
      <c r="C489" s="59" t="s">
        <v>531</v>
      </c>
      <c r="D489" s="356" t="s">
        <v>2390</v>
      </c>
      <c r="E489" s="356" t="s">
        <v>499</v>
      </c>
      <c r="F489" s="23" t="s">
        <v>4089</v>
      </c>
      <c r="G489" s="23" t="s">
        <v>403</v>
      </c>
      <c r="H489" s="353">
        <v>61765</v>
      </c>
      <c r="I489" s="59"/>
      <c r="J489" s="59" t="s">
        <v>4090</v>
      </c>
      <c r="K489" s="20">
        <v>1</v>
      </c>
      <c r="L489" s="20">
        <v>1</v>
      </c>
      <c r="M489" s="357">
        <f>H489</f>
        <v>61765</v>
      </c>
      <c r="N489" s="411">
        <f>IFERROR((M489/(VLOOKUP(B489,'Data Pull Sheet'!$C:$H,6,FALSE))),"DC")</f>
        <v>1.5441249999999999E-3</v>
      </c>
      <c r="O489" s="23" t="s">
        <v>11093</v>
      </c>
      <c r="P489" s="92" t="s">
        <v>676</v>
      </c>
      <c r="Q489" s="92" t="s">
        <v>637</v>
      </c>
      <c r="R489" s="372" t="str">
        <f t="shared" si="15"/>
        <v/>
      </c>
    </row>
    <row r="490" spans="1:18" x14ac:dyDescent="0.25">
      <c r="A490" s="23" t="s">
        <v>2389</v>
      </c>
      <c r="B490" s="18" t="str">
        <f>IF(ISNA(VLOOKUP($A490,'Data Pull Sheet'!$B$2:$C$1795,2,0)),"",(VLOOKUP($A490,'Data Pull Sheet'!$B$2:$C$1795,2,0)))</f>
        <v>XON</v>
      </c>
      <c r="C490" s="59" t="s">
        <v>457</v>
      </c>
      <c r="D490" s="356" t="s">
        <v>2390</v>
      </c>
      <c r="E490" s="356" t="s">
        <v>499</v>
      </c>
      <c r="F490" s="23" t="s">
        <v>2391</v>
      </c>
      <c r="G490" s="23" t="s">
        <v>403</v>
      </c>
      <c r="H490" s="353">
        <v>242970.55</v>
      </c>
      <c r="I490" s="59" t="s">
        <v>406</v>
      </c>
      <c r="J490" s="59" t="s">
        <v>2392</v>
      </c>
      <c r="K490" s="20">
        <v>3</v>
      </c>
      <c r="L490" s="20">
        <v>1</v>
      </c>
      <c r="M490" s="357">
        <f>H490</f>
        <v>242970.55</v>
      </c>
      <c r="N490" s="411">
        <f>IFERROR((M490/(VLOOKUP(B490,'Data Pull Sheet'!$C:$H,6,FALSE))),"DC")</f>
        <v>7.7133507936507934E-4</v>
      </c>
      <c r="O490" s="23" t="s">
        <v>597</v>
      </c>
      <c r="P490" s="92" t="s">
        <v>632</v>
      </c>
      <c r="Q490" s="92" t="s">
        <v>637</v>
      </c>
      <c r="R490" s="372" t="str">
        <f t="shared" si="15"/>
        <v/>
      </c>
    </row>
    <row r="491" spans="1:18" x14ac:dyDescent="0.25">
      <c r="A491" s="23" t="s">
        <v>2389</v>
      </c>
      <c r="B491" s="18" t="str">
        <f>IF(ISNA(VLOOKUP($A491,'Data Pull Sheet'!$B$2:$C$1795,2,0)),"",(VLOOKUP($A491,'Data Pull Sheet'!$B$2:$C$1795,2,0)))</f>
        <v>XON</v>
      </c>
      <c r="C491" s="59" t="s">
        <v>457</v>
      </c>
      <c r="D491" s="356" t="s">
        <v>2390</v>
      </c>
      <c r="E491" s="356" t="s">
        <v>499</v>
      </c>
      <c r="F491" s="23" t="s">
        <v>2393</v>
      </c>
      <c r="G491" s="23" t="s">
        <v>403</v>
      </c>
      <c r="H491" s="353">
        <v>211995.39</v>
      </c>
      <c r="I491" s="59"/>
      <c r="J491" s="59" t="s">
        <v>2394</v>
      </c>
      <c r="K491" s="20"/>
      <c r="L491" s="20">
        <v>1</v>
      </c>
      <c r="M491" s="357">
        <f>H491</f>
        <v>211995.39</v>
      </c>
      <c r="N491" s="411">
        <f>IFERROR((M491/(VLOOKUP(B491,'Data Pull Sheet'!$C:$H,6,FALSE))),"DC")</f>
        <v>6.7300123809523819E-4</v>
      </c>
      <c r="O491" s="23" t="s">
        <v>63</v>
      </c>
      <c r="P491" s="92" t="s">
        <v>632</v>
      </c>
      <c r="Q491" s="92" t="s">
        <v>637</v>
      </c>
      <c r="R491" s="372" t="str">
        <f t="shared" si="15"/>
        <v/>
      </c>
    </row>
    <row r="492" spans="1:18" x14ac:dyDescent="0.25">
      <c r="A492" s="23" t="s">
        <v>2389</v>
      </c>
      <c r="B492" s="18" t="str">
        <f>IF(ISNA(VLOOKUP($A492,'Data Pull Sheet'!$B$2:$C$1795,2,0)),"",(VLOOKUP($A492,'Data Pull Sheet'!$B$2:$C$1795,2,0)))</f>
        <v>XON</v>
      </c>
      <c r="C492" s="59" t="s">
        <v>457</v>
      </c>
      <c r="D492" s="356" t="s">
        <v>2390</v>
      </c>
      <c r="E492" s="356" t="s">
        <v>499</v>
      </c>
      <c r="F492" s="23" t="s">
        <v>2395</v>
      </c>
      <c r="G492" s="23" t="s">
        <v>403</v>
      </c>
      <c r="H492" s="353">
        <v>33401.9</v>
      </c>
      <c r="I492" s="59"/>
      <c r="J492" s="59" t="s">
        <v>2396</v>
      </c>
      <c r="K492" s="20"/>
      <c r="L492" s="20">
        <v>2</v>
      </c>
      <c r="M492" s="357">
        <f>SUM(H492:H493)</f>
        <v>84426.22</v>
      </c>
      <c r="N492" s="411">
        <f>IFERROR((M492/(VLOOKUP(B492,'Data Pull Sheet'!$C:$H,6,FALSE))),"DC")</f>
        <v>2.6801974603174602E-4</v>
      </c>
      <c r="O492" s="23" t="s">
        <v>554</v>
      </c>
      <c r="P492" s="92" t="s">
        <v>632</v>
      </c>
      <c r="Q492" s="92" t="s">
        <v>646</v>
      </c>
      <c r="R492" s="372" t="str">
        <f t="shared" si="15"/>
        <v/>
      </c>
    </row>
    <row r="493" spans="1:18" x14ac:dyDescent="0.25">
      <c r="A493" s="23" t="s">
        <v>2389</v>
      </c>
      <c r="B493" s="18" t="str">
        <f>IF(ISNA(VLOOKUP($A493,'Data Pull Sheet'!$B$2:$C$1795,2,0)),"",(VLOOKUP($A493,'Data Pull Sheet'!$B$2:$C$1795,2,0)))</f>
        <v>XON</v>
      </c>
      <c r="C493" s="59" t="s">
        <v>457</v>
      </c>
      <c r="D493" s="356" t="s">
        <v>2390</v>
      </c>
      <c r="E493" s="356" t="s">
        <v>499</v>
      </c>
      <c r="F493" s="23" t="s">
        <v>2397</v>
      </c>
      <c r="G493" s="23" t="s">
        <v>403</v>
      </c>
      <c r="H493" s="353">
        <v>51024.32</v>
      </c>
      <c r="I493" s="59"/>
      <c r="J493" s="59" t="s">
        <v>2398</v>
      </c>
      <c r="K493" s="20"/>
      <c r="L493" s="20"/>
      <c r="M493" s="357"/>
      <c r="N493" s="411"/>
      <c r="O493" s="23" t="s">
        <v>554</v>
      </c>
      <c r="P493" s="92" t="s">
        <v>632</v>
      </c>
      <c r="Q493" s="92" t="s">
        <v>646</v>
      </c>
      <c r="R493" s="372" t="str">
        <f t="shared" si="15"/>
        <v/>
      </c>
    </row>
    <row r="494" spans="1:18" x14ac:dyDescent="0.25">
      <c r="A494" s="23" t="s">
        <v>2413</v>
      </c>
      <c r="B494" s="18" t="str">
        <f>IF(ISNA(VLOOKUP($A494,'Data Pull Sheet'!$B$2:$C$1795,2,0)),"",(VLOOKUP($A494,'Data Pull Sheet'!$B$2:$C$1795,2,0)))</f>
        <v>IRS</v>
      </c>
      <c r="C494" s="59" t="s">
        <v>418</v>
      </c>
      <c r="D494" s="356" t="s">
        <v>482</v>
      </c>
      <c r="E494" s="356" t="s">
        <v>2416</v>
      </c>
      <c r="F494" s="23" t="s">
        <v>2415</v>
      </c>
      <c r="G494" s="23" t="s">
        <v>403</v>
      </c>
      <c r="H494" s="353">
        <v>286.22000000000003</v>
      </c>
      <c r="I494" s="59"/>
      <c r="J494" s="59" t="s">
        <v>11856</v>
      </c>
      <c r="K494" s="20">
        <v>1</v>
      </c>
      <c r="L494" s="20">
        <v>1</v>
      </c>
      <c r="M494" s="357">
        <f>+H494</f>
        <v>286.22000000000003</v>
      </c>
      <c r="N494" s="411">
        <f>IFERROR((M494/(VLOOKUP(B494,'Data Pull Sheet'!$C:$H,6,FALSE))),"DC")</f>
        <v>1.272088888888889E-5</v>
      </c>
      <c r="O494" s="23" t="s">
        <v>682</v>
      </c>
      <c r="P494" s="92" t="s">
        <v>676</v>
      </c>
      <c r="Q494" s="92" t="s">
        <v>637</v>
      </c>
      <c r="R494" s="372" t="str">
        <f t="shared" si="15"/>
        <v/>
      </c>
    </row>
    <row r="495" spans="1:18" x14ac:dyDescent="0.25">
      <c r="A495" s="23" t="s">
        <v>1436</v>
      </c>
      <c r="B495" s="18" t="str">
        <f>IF(ISNA(VLOOKUP($A495,'Data Pull Sheet'!$B$2:$C$1795,2,0)),"",(VLOOKUP($A495,'Data Pull Sheet'!$B$2:$C$1795,2,0)))</f>
        <v>CDRB</v>
      </c>
      <c r="C495" s="59" t="s">
        <v>418</v>
      </c>
      <c r="D495" s="356" t="s">
        <v>487</v>
      </c>
      <c r="E495" s="356" t="s">
        <v>466</v>
      </c>
      <c r="F495" s="23" t="s">
        <v>1437</v>
      </c>
      <c r="G495" s="23" t="s">
        <v>403</v>
      </c>
      <c r="H495" s="353">
        <v>21647.06</v>
      </c>
      <c r="I495" s="59"/>
      <c r="J495" s="59" t="s">
        <v>1438</v>
      </c>
      <c r="K495" s="20">
        <v>4</v>
      </c>
      <c r="L495" s="20">
        <v>1</v>
      </c>
      <c r="M495" s="357">
        <f>H495</f>
        <v>21647.06</v>
      </c>
      <c r="N495" s="411">
        <f>IFERROR((M495/(VLOOKUP(B495,'Data Pull Sheet'!$C:$H,6,FALSE))),"DC")</f>
        <v>2.1647060000000002E-3</v>
      </c>
      <c r="O495" s="23" t="s">
        <v>597</v>
      </c>
      <c r="P495" s="92" t="s">
        <v>632</v>
      </c>
      <c r="Q495" s="92" t="s">
        <v>637</v>
      </c>
      <c r="R495" s="372" t="str">
        <f t="shared" si="15"/>
        <v/>
      </c>
    </row>
    <row r="496" spans="1:18" x14ac:dyDescent="0.25">
      <c r="A496" s="23" t="s">
        <v>1436</v>
      </c>
      <c r="B496" s="18" t="str">
        <f>IF(ISNA(VLOOKUP($A496,'Data Pull Sheet'!$B$2:$C$1795,2,0)),"",(VLOOKUP($A496,'Data Pull Sheet'!$B$2:$C$1795,2,0)))</f>
        <v>CDRB</v>
      </c>
      <c r="C496" s="59" t="s">
        <v>418</v>
      </c>
      <c r="D496" s="356" t="s">
        <v>487</v>
      </c>
      <c r="E496" s="356" t="s">
        <v>466</v>
      </c>
      <c r="F496" s="23" t="s">
        <v>1439</v>
      </c>
      <c r="G496" s="23" t="s">
        <v>403</v>
      </c>
      <c r="H496" s="353">
        <v>69836.25</v>
      </c>
      <c r="I496" s="59"/>
      <c r="J496" s="59" t="s">
        <v>1440</v>
      </c>
      <c r="K496" s="20"/>
      <c r="L496" s="20">
        <v>1</v>
      </c>
      <c r="M496" s="357">
        <f>H496</f>
        <v>69836.25</v>
      </c>
      <c r="N496" s="411">
        <f>IFERROR((M496/(VLOOKUP(B496,'Data Pull Sheet'!$C:$H,6,FALSE))),"DC")</f>
        <v>6.9836250000000002E-3</v>
      </c>
      <c r="O496" s="23" t="s">
        <v>63</v>
      </c>
      <c r="P496" s="92" t="s">
        <v>632</v>
      </c>
      <c r="Q496" s="92" t="s">
        <v>637</v>
      </c>
      <c r="R496" s="372" t="str">
        <f t="shared" si="15"/>
        <v/>
      </c>
    </row>
    <row r="497" spans="1:18" x14ac:dyDescent="0.25">
      <c r="A497" s="23" t="s">
        <v>1436</v>
      </c>
      <c r="B497" s="18" t="str">
        <f>IF(ISNA(VLOOKUP($A497,'Data Pull Sheet'!$B$2:$C$1795,2,0)),"",(VLOOKUP($A497,'Data Pull Sheet'!$B$2:$C$1795,2,0)))</f>
        <v>CDRB</v>
      </c>
      <c r="C497" s="59" t="s">
        <v>418</v>
      </c>
      <c r="D497" s="356" t="s">
        <v>487</v>
      </c>
      <c r="E497" s="356" t="s">
        <v>466</v>
      </c>
      <c r="F497" s="23" t="s">
        <v>1441</v>
      </c>
      <c r="G497" s="23" t="s">
        <v>403</v>
      </c>
      <c r="H497" s="353">
        <v>24768.69</v>
      </c>
      <c r="I497" s="59"/>
      <c r="J497" s="59" t="s">
        <v>1442</v>
      </c>
      <c r="K497" s="20"/>
      <c r="L497" s="20">
        <v>2</v>
      </c>
      <c r="M497" s="357">
        <f>SUM(H497:H498)</f>
        <v>97775.32</v>
      </c>
      <c r="N497" s="411">
        <f>IFERROR((M497/(VLOOKUP(B497,'Data Pull Sheet'!$C:$H,6,FALSE))),"DC")</f>
        <v>9.7775320000000002E-3</v>
      </c>
      <c r="O497" s="23" t="s">
        <v>1443</v>
      </c>
      <c r="P497" s="92" t="s">
        <v>632</v>
      </c>
      <c r="Q497" s="92" t="s">
        <v>646</v>
      </c>
      <c r="R497" s="372" t="str">
        <f t="shared" si="15"/>
        <v/>
      </c>
    </row>
    <row r="498" spans="1:18" x14ac:dyDescent="0.25">
      <c r="A498" s="23" t="s">
        <v>1436</v>
      </c>
      <c r="B498" s="18" t="str">
        <f>IF(ISNA(VLOOKUP($A498,'Data Pull Sheet'!$B$2:$C$1795,2,0)),"",(VLOOKUP($A498,'Data Pull Sheet'!$B$2:$C$1795,2,0)))</f>
        <v>CDRB</v>
      </c>
      <c r="C498" s="59" t="s">
        <v>418</v>
      </c>
      <c r="D498" s="356" t="s">
        <v>487</v>
      </c>
      <c r="E498" s="356" t="s">
        <v>466</v>
      </c>
      <c r="F498" s="23" t="s">
        <v>1444</v>
      </c>
      <c r="G498" s="23" t="s">
        <v>403</v>
      </c>
      <c r="H498" s="353">
        <v>73006.63</v>
      </c>
      <c r="I498" s="59"/>
      <c r="J498" s="59" t="s">
        <v>1445</v>
      </c>
      <c r="K498" s="20"/>
      <c r="L498" s="20"/>
      <c r="M498" s="357"/>
      <c r="N498" s="411"/>
      <c r="O498" s="23" t="s">
        <v>1443</v>
      </c>
      <c r="P498" s="92" t="s">
        <v>632</v>
      </c>
      <c r="Q498" s="92" t="s">
        <v>646</v>
      </c>
      <c r="R498" s="372" t="str">
        <f t="shared" si="15"/>
        <v/>
      </c>
    </row>
    <row r="499" spans="1:18" x14ac:dyDescent="0.25">
      <c r="A499" s="23" t="s">
        <v>1436</v>
      </c>
      <c r="B499" s="18" t="str">
        <f>IF(ISNA(VLOOKUP($A499,'Data Pull Sheet'!$B$2:$C$1795,2,0)),"",(VLOOKUP($A499,'Data Pull Sheet'!$B$2:$C$1795,2,0)))</f>
        <v>CDRB</v>
      </c>
      <c r="C499" s="59" t="s">
        <v>418</v>
      </c>
      <c r="D499" s="356" t="s">
        <v>487</v>
      </c>
      <c r="E499" s="356" t="s">
        <v>466</v>
      </c>
      <c r="F499" s="23" t="s">
        <v>1446</v>
      </c>
      <c r="G499" s="23" t="s">
        <v>403</v>
      </c>
      <c r="H499" s="353">
        <v>53740.71</v>
      </c>
      <c r="I499" s="59"/>
      <c r="J499" s="59" t="s">
        <v>1447</v>
      </c>
      <c r="K499" s="20"/>
      <c r="L499" s="20">
        <v>1</v>
      </c>
      <c r="M499" s="357">
        <f>H499</f>
        <v>53740.71</v>
      </c>
      <c r="N499" s="411">
        <f>IFERROR((M499/(VLOOKUP(B499,'Data Pull Sheet'!$C:$H,6,FALSE))),"DC")</f>
        <v>5.3740710000000002E-3</v>
      </c>
      <c r="O499" s="23" t="s">
        <v>192</v>
      </c>
      <c r="P499" s="92" t="s">
        <v>632</v>
      </c>
      <c r="Q499" s="92" t="s">
        <v>646</v>
      </c>
      <c r="R499" s="372" t="str">
        <f t="shared" si="15"/>
        <v/>
      </c>
    </row>
    <row r="500" spans="1:18" x14ac:dyDescent="0.25">
      <c r="A500" s="23" t="s">
        <v>98</v>
      </c>
      <c r="B500" s="18" t="s">
        <v>10762</v>
      </c>
      <c r="C500" s="59" t="s">
        <v>418</v>
      </c>
      <c r="D500" s="356" t="s">
        <v>487</v>
      </c>
      <c r="E500" s="356" t="s">
        <v>466</v>
      </c>
      <c r="F500" s="23" t="s">
        <v>1620</v>
      </c>
      <c r="G500" s="23" t="s">
        <v>403</v>
      </c>
      <c r="H500" s="353">
        <v>20164.47</v>
      </c>
      <c r="I500" s="59" t="s">
        <v>406</v>
      </c>
      <c r="J500" s="59" t="s">
        <v>10767</v>
      </c>
      <c r="K500" s="20">
        <v>5</v>
      </c>
      <c r="L500" s="20">
        <v>3</v>
      </c>
      <c r="M500" s="357">
        <f>SUM(H500:H502)</f>
        <v>98481.919999999998</v>
      </c>
      <c r="N500" s="411">
        <f>IFERROR((M500/(VLOOKUP(B500,'Data Pull Sheet'!$C:$H,6,FALSE))),"DC")</f>
        <v>8.2068266666666668E-5</v>
      </c>
      <c r="O500" s="23" t="s">
        <v>56</v>
      </c>
      <c r="P500" s="92" t="s">
        <v>632</v>
      </c>
      <c r="Q500" s="92" t="s">
        <v>646</v>
      </c>
      <c r="R500" s="372" t="str">
        <f t="shared" si="15"/>
        <v/>
      </c>
    </row>
    <row r="501" spans="1:18" x14ac:dyDescent="0.25">
      <c r="A501" s="23" t="s">
        <v>98</v>
      </c>
      <c r="B501" s="18" t="s">
        <v>10762</v>
      </c>
      <c r="C501" s="59" t="s">
        <v>418</v>
      </c>
      <c r="D501" s="356" t="s">
        <v>487</v>
      </c>
      <c r="E501" s="356" t="s">
        <v>466</v>
      </c>
      <c r="F501" s="23" t="s">
        <v>1621</v>
      </c>
      <c r="G501" s="23" t="s">
        <v>403</v>
      </c>
      <c r="H501" s="353">
        <v>27734.5</v>
      </c>
      <c r="I501" s="59" t="s">
        <v>406</v>
      </c>
      <c r="J501" s="59" t="s">
        <v>10768</v>
      </c>
      <c r="K501" s="20"/>
      <c r="L501" s="20"/>
      <c r="M501" s="357"/>
      <c r="N501" s="411"/>
      <c r="O501" s="23" t="s">
        <v>56</v>
      </c>
      <c r="P501" s="92" t="s">
        <v>632</v>
      </c>
      <c r="Q501" s="92" t="s">
        <v>646</v>
      </c>
      <c r="R501" s="372" t="str">
        <f t="shared" si="15"/>
        <v/>
      </c>
    </row>
    <row r="502" spans="1:18" x14ac:dyDescent="0.25">
      <c r="A502" s="23" t="s">
        <v>98</v>
      </c>
      <c r="B502" s="18" t="s">
        <v>10762</v>
      </c>
      <c r="C502" s="59" t="s">
        <v>418</v>
      </c>
      <c r="D502" s="356" t="s">
        <v>487</v>
      </c>
      <c r="E502" s="356" t="s">
        <v>466</v>
      </c>
      <c r="F502" s="23" t="s">
        <v>1622</v>
      </c>
      <c r="G502" s="23" t="s">
        <v>403</v>
      </c>
      <c r="H502" s="353">
        <v>50582.95</v>
      </c>
      <c r="I502" s="59" t="s">
        <v>406</v>
      </c>
      <c r="J502" s="59" t="s">
        <v>10769</v>
      </c>
      <c r="K502" s="20"/>
      <c r="L502" s="20"/>
      <c r="M502" s="357"/>
      <c r="N502" s="411"/>
      <c r="O502" s="23" t="s">
        <v>56</v>
      </c>
      <c r="P502" s="92" t="s">
        <v>632</v>
      </c>
      <c r="Q502" s="92" t="s">
        <v>646</v>
      </c>
      <c r="R502" s="372" t="str">
        <f t="shared" si="15"/>
        <v/>
      </c>
    </row>
    <row r="503" spans="1:18" x14ac:dyDescent="0.25">
      <c r="A503" s="23" t="s">
        <v>98</v>
      </c>
      <c r="B503" s="18" t="s">
        <v>10762</v>
      </c>
      <c r="C503" s="59" t="s">
        <v>418</v>
      </c>
      <c r="D503" s="356" t="s">
        <v>487</v>
      </c>
      <c r="E503" s="356" t="s">
        <v>466</v>
      </c>
      <c r="F503" s="23" t="s">
        <v>1623</v>
      </c>
      <c r="G503" s="23" t="s">
        <v>403</v>
      </c>
      <c r="H503" s="353">
        <v>74204.350000000006</v>
      </c>
      <c r="I503" s="59"/>
      <c r="J503" s="59" t="s">
        <v>10770</v>
      </c>
      <c r="K503" s="20"/>
      <c r="L503" s="20">
        <v>1</v>
      </c>
      <c r="M503" s="357">
        <f t="shared" ref="M503:M508" si="17">H503</f>
        <v>74204.350000000006</v>
      </c>
      <c r="N503" s="411">
        <f>IFERROR((M503/(VLOOKUP(B503,'Data Pull Sheet'!$C:$H,6,FALSE))),"DC")</f>
        <v>6.1836958333333339E-5</v>
      </c>
      <c r="O503" s="23" t="s">
        <v>63</v>
      </c>
      <c r="P503" s="92" t="s">
        <v>632</v>
      </c>
      <c r="Q503" s="92" t="s">
        <v>637</v>
      </c>
      <c r="R503" s="372" t="str">
        <f t="shared" si="15"/>
        <v/>
      </c>
    </row>
    <row r="504" spans="1:18" x14ac:dyDescent="0.25">
      <c r="A504" s="23" t="s">
        <v>98</v>
      </c>
      <c r="B504" s="18" t="s">
        <v>10762</v>
      </c>
      <c r="C504" s="59" t="s">
        <v>418</v>
      </c>
      <c r="D504" s="356" t="s">
        <v>487</v>
      </c>
      <c r="E504" s="356" t="s">
        <v>466</v>
      </c>
      <c r="F504" s="23" t="s">
        <v>1624</v>
      </c>
      <c r="G504" s="23" t="s">
        <v>403</v>
      </c>
      <c r="H504" s="353">
        <v>262921</v>
      </c>
      <c r="I504" s="59" t="s">
        <v>413</v>
      </c>
      <c r="J504" s="59" t="s">
        <v>10771</v>
      </c>
      <c r="K504" s="20"/>
      <c r="L504" s="20">
        <v>1</v>
      </c>
      <c r="M504" s="357">
        <f t="shared" si="17"/>
        <v>262921</v>
      </c>
      <c r="N504" s="411">
        <f>IFERROR((M504/(VLOOKUP(B504,'Data Pull Sheet'!$C:$H,6,FALSE))),"DC")</f>
        <v>2.1910083333333334E-4</v>
      </c>
      <c r="O504" s="23" t="s">
        <v>1204</v>
      </c>
      <c r="P504" s="92" t="s">
        <v>632</v>
      </c>
      <c r="Q504" s="92" t="s">
        <v>637</v>
      </c>
      <c r="R504" s="372" t="str">
        <f t="shared" si="15"/>
        <v/>
      </c>
    </row>
    <row r="505" spans="1:18" x14ac:dyDescent="0.25">
      <c r="A505" s="23" t="s">
        <v>98</v>
      </c>
      <c r="B505" s="18" t="s">
        <v>10762</v>
      </c>
      <c r="C505" s="59" t="s">
        <v>418</v>
      </c>
      <c r="D505" s="356" t="s">
        <v>487</v>
      </c>
      <c r="E505" s="356" t="s">
        <v>466</v>
      </c>
      <c r="F505" s="23" t="s">
        <v>94</v>
      </c>
      <c r="G505" s="23" t="s">
        <v>417</v>
      </c>
      <c r="H505" s="353">
        <v>47097.94</v>
      </c>
      <c r="I505" s="59"/>
      <c r="J505" s="59" t="s">
        <v>10772</v>
      </c>
      <c r="K505" s="20"/>
      <c r="L505" s="20">
        <v>1</v>
      </c>
      <c r="M505" s="357">
        <f t="shared" si="17"/>
        <v>47097.94</v>
      </c>
      <c r="N505" s="411">
        <f>IFERROR((M505/(VLOOKUP(B505,'Data Pull Sheet'!$C:$H,6,FALSE))),"DC")</f>
        <v>3.9248283333333338E-5</v>
      </c>
      <c r="O505" s="23" t="s">
        <v>7</v>
      </c>
      <c r="P505" s="92" t="s">
        <v>632</v>
      </c>
      <c r="Q505" s="92" t="s">
        <v>633</v>
      </c>
      <c r="R505" s="372" t="str">
        <f t="shared" si="15"/>
        <v>FF</v>
      </c>
    </row>
    <row r="506" spans="1:18" x14ac:dyDescent="0.25">
      <c r="A506" s="23" t="s">
        <v>98</v>
      </c>
      <c r="B506" s="18" t="s">
        <v>10762</v>
      </c>
      <c r="C506" s="59" t="s">
        <v>418</v>
      </c>
      <c r="D506" s="356" t="s">
        <v>487</v>
      </c>
      <c r="E506" s="356" t="s">
        <v>466</v>
      </c>
      <c r="F506" s="23" t="s">
        <v>1625</v>
      </c>
      <c r="G506" s="23" t="s">
        <v>403</v>
      </c>
      <c r="H506" s="353">
        <v>833.58</v>
      </c>
      <c r="I506" s="59"/>
      <c r="J506" s="59" t="s">
        <v>10773</v>
      </c>
      <c r="K506" s="20"/>
      <c r="L506" s="20">
        <v>1</v>
      </c>
      <c r="M506" s="357">
        <f t="shared" si="17"/>
        <v>833.58</v>
      </c>
      <c r="N506" s="411">
        <f>IFERROR((M506/(VLOOKUP(B506,'Data Pull Sheet'!$C:$H,6,FALSE))),"DC")</f>
        <v>6.9464999999999999E-7</v>
      </c>
      <c r="O506" s="23" t="s">
        <v>682</v>
      </c>
      <c r="P506" s="92" t="s">
        <v>632</v>
      </c>
      <c r="Q506" s="92" t="s">
        <v>637</v>
      </c>
      <c r="R506" s="372" t="str">
        <f t="shared" si="15"/>
        <v/>
      </c>
    </row>
    <row r="507" spans="1:18" ht="30" x14ac:dyDescent="0.25">
      <c r="A507" s="23" t="s">
        <v>120</v>
      </c>
      <c r="B507" s="18" t="str">
        <f>IF(ISNA(VLOOKUP($A507,'Data Pull Sheet'!$B$2:$C$1795,2,0)),"",(VLOOKUP($A507,'Data Pull Sheet'!$B$2:$C$1795,2,0)))</f>
        <v>HCP</v>
      </c>
      <c r="C507" s="59" t="s">
        <v>496</v>
      </c>
      <c r="D507" s="356" t="s">
        <v>482</v>
      </c>
      <c r="E507" s="356" t="s">
        <v>466</v>
      </c>
      <c r="F507" s="23" t="s">
        <v>249</v>
      </c>
      <c r="G507" s="23" t="s">
        <v>417</v>
      </c>
      <c r="H507" s="353">
        <v>1963181.72</v>
      </c>
      <c r="I507" s="59" t="s">
        <v>413</v>
      </c>
      <c r="J507" s="59" t="s">
        <v>2213</v>
      </c>
      <c r="K507" s="20">
        <v>3</v>
      </c>
      <c r="L507" s="20">
        <v>1</v>
      </c>
      <c r="M507" s="357">
        <f t="shared" si="17"/>
        <v>1963181.72</v>
      </c>
      <c r="N507" s="411">
        <f>IFERROR((M507/(VLOOKUP(B507,'Data Pull Sheet'!$C:$H,6,FALSE))),"DC")</f>
        <v>1.2269885749999999E-3</v>
      </c>
      <c r="O507" s="23" t="s">
        <v>10841</v>
      </c>
      <c r="P507" s="92" t="s">
        <v>632</v>
      </c>
      <c r="Q507" s="92" t="s">
        <v>633</v>
      </c>
      <c r="R507" s="372" t="str">
        <f t="shared" si="15"/>
        <v>FF</v>
      </c>
    </row>
    <row r="508" spans="1:18" ht="30" x14ac:dyDescent="0.25">
      <c r="A508" s="23" t="s">
        <v>120</v>
      </c>
      <c r="B508" s="18" t="str">
        <f>IF(ISNA(VLOOKUP($A508,'Data Pull Sheet'!$B$2:$C$1795,2,0)),"",(VLOOKUP($A508,'Data Pull Sheet'!$B$2:$C$1795,2,0)))</f>
        <v>HCP</v>
      </c>
      <c r="C508" s="59" t="s">
        <v>496</v>
      </c>
      <c r="D508" s="356" t="s">
        <v>482</v>
      </c>
      <c r="E508" s="356" t="s">
        <v>466</v>
      </c>
      <c r="F508" s="23" t="s">
        <v>2215</v>
      </c>
      <c r="G508" s="23" t="s">
        <v>403</v>
      </c>
      <c r="H508" s="353">
        <v>154632.54</v>
      </c>
      <c r="I508" s="59"/>
      <c r="J508" s="59" t="s">
        <v>2216</v>
      </c>
      <c r="K508" s="20"/>
      <c r="L508" s="20">
        <v>1</v>
      </c>
      <c r="M508" s="357">
        <f t="shared" si="17"/>
        <v>154632.54</v>
      </c>
      <c r="N508" s="411">
        <f>IFERROR((M508/(VLOOKUP(B508,'Data Pull Sheet'!$C:$H,6,FALSE))),"DC")</f>
        <v>9.66453375E-5</v>
      </c>
      <c r="O508" s="23" t="s">
        <v>2217</v>
      </c>
      <c r="P508" s="92" t="s">
        <v>632</v>
      </c>
      <c r="Q508" s="92" t="s">
        <v>637</v>
      </c>
      <c r="R508" s="372" t="str">
        <f t="shared" si="15"/>
        <v/>
      </c>
    </row>
    <row r="509" spans="1:18" ht="30" x14ac:dyDescent="0.25">
      <c r="A509" s="23" t="s">
        <v>120</v>
      </c>
      <c r="B509" s="18" t="str">
        <f>IF(ISNA(VLOOKUP($A509,'Data Pull Sheet'!$B$2:$C$1795,2,0)),"",(VLOOKUP($A509,'Data Pull Sheet'!$B$2:$C$1795,2,0)))</f>
        <v>HCP</v>
      </c>
      <c r="C509" s="59" t="s">
        <v>496</v>
      </c>
      <c r="D509" s="356" t="s">
        <v>482</v>
      </c>
      <c r="E509" s="356" t="s">
        <v>466</v>
      </c>
      <c r="F509" s="23" t="s">
        <v>118</v>
      </c>
      <c r="G509" s="23" t="s">
        <v>417</v>
      </c>
      <c r="H509" s="353">
        <v>315168.53000000003</v>
      </c>
      <c r="I509" s="59"/>
      <c r="J509" s="59" t="s">
        <v>6704</v>
      </c>
      <c r="K509" s="20"/>
      <c r="L509" s="20">
        <v>2</v>
      </c>
      <c r="M509" s="357">
        <f>SUM(H509:H510)</f>
        <v>1920664.62</v>
      </c>
      <c r="N509" s="411">
        <f>IFERROR((M509/(VLOOKUP(B509,'Data Pull Sheet'!$C:$H,6,FALSE))),"DC")</f>
        <v>1.2004153875E-3</v>
      </c>
      <c r="O509" s="23" t="s">
        <v>2218</v>
      </c>
      <c r="P509" s="92" t="s">
        <v>632</v>
      </c>
      <c r="Q509" s="92" t="s">
        <v>633</v>
      </c>
      <c r="R509" s="372" t="str">
        <f t="shared" si="15"/>
        <v>FF</v>
      </c>
    </row>
    <row r="510" spans="1:18" ht="30" x14ac:dyDescent="0.25">
      <c r="A510" s="23" t="s">
        <v>120</v>
      </c>
      <c r="B510" s="18" t="str">
        <f>IF(ISNA(VLOOKUP($A510,'Data Pull Sheet'!$B$2:$C$1795,2,0)),"",(VLOOKUP($A510,'Data Pull Sheet'!$B$2:$C$1795,2,0)))</f>
        <v>HCP</v>
      </c>
      <c r="C510" s="59" t="s">
        <v>496</v>
      </c>
      <c r="D510" s="356" t="s">
        <v>482</v>
      </c>
      <c r="E510" s="356" t="s">
        <v>466</v>
      </c>
      <c r="F510" s="23" t="s">
        <v>327</v>
      </c>
      <c r="G510" s="23" t="s">
        <v>417</v>
      </c>
      <c r="H510" s="353">
        <v>1605496.09</v>
      </c>
      <c r="I510" s="59"/>
      <c r="J510" s="59" t="s">
        <v>6705</v>
      </c>
      <c r="K510" s="20"/>
      <c r="L510" s="20"/>
      <c r="M510" s="357"/>
      <c r="N510" s="411"/>
      <c r="O510" s="23" t="s">
        <v>2218</v>
      </c>
      <c r="P510" s="92" t="s">
        <v>632</v>
      </c>
      <c r="Q510" s="92" t="s">
        <v>633</v>
      </c>
      <c r="R510" s="372" t="str">
        <f t="shared" si="15"/>
        <v>FF</v>
      </c>
    </row>
    <row r="511" spans="1:18" x14ac:dyDescent="0.25">
      <c r="A511" s="23" t="s">
        <v>2832</v>
      </c>
      <c r="B511" s="18" t="str">
        <f>IF(ISNA(VLOOKUP($A511,'Data Pull Sheet'!$B$2:$C$1795,2,0)),"",(VLOOKUP($A511,'Data Pull Sheet'!$B$2:$C$1795,2,0)))</f>
        <v>NLNK</v>
      </c>
      <c r="C511" s="59" t="s">
        <v>418</v>
      </c>
      <c r="D511" s="356" t="s">
        <v>2833</v>
      </c>
      <c r="E511" s="356" t="s">
        <v>466</v>
      </c>
      <c r="F511" s="23" t="s">
        <v>2834</v>
      </c>
      <c r="G511" s="23" t="s">
        <v>403</v>
      </c>
      <c r="H511" s="353">
        <v>262680.5</v>
      </c>
      <c r="I511" s="59" t="s">
        <v>1651</v>
      </c>
      <c r="J511" s="59" t="s">
        <v>2835</v>
      </c>
      <c r="K511" s="20">
        <v>3</v>
      </c>
      <c r="L511" s="20">
        <v>1</v>
      </c>
      <c r="M511" s="357">
        <f>H511</f>
        <v>262680.5</v>
      </c>
      <c r="N511" s="411">
        <f>IFERROR((M511/(VLOOKUP(B511,'Data Pull Sheet'!$C:$H,6,FALSE))),"DC")</f>
        <v>2.9186722222222222E-3</v>
      </c>
      <c r="O511" s="23" t="s">
        <v>849</v>
      </c>
      <c r="P511" s="92" t="s">
        <v>632</v>
      </c>
      <c r="Q511" s="92" t="s">
        <v>637</v>
      </c>
      <c r="R511" s="372" t="str">
        <f t="shared" si="15"/>
        <v/>
      </c>
    </row>
    <row r="512" spans="1:18" x14ac:dyDescent="0.25">
      <c r="A512" s="23" t="s">
        <v>2832</v>
      </c>
      <c r="B512" s="18" t="str">
        <f>IF(ISNA(VLOOKUP($A512,'Data Pull Sheet'!$B$2:$C$1795,2,0)),"",(VLOOKUP($A512,'Data Pull Sheet'!$B$2:$C$1795,2,0)))</f>
        <v>NLNK</v>
      </c>
      <c r="C512" s="59" t="s">
        <v>418</v>
      </c>
      <c r="D512" s="356" t="s">
        <v>2833</v>
      </c>
      <c r="E512" s="356" t="s">
        <v>466</v>
      </c>
      <c r="F512" s="23" t="s">
        <v>2836</v>
      </c>
      <c r="G512" s="23" t="s">
        <v>403</v>
      </c>
      <c r="H512" s="353">
        <v>23682.46</v>
      </c>
      <c r="I512" s="59"/>
      <c r="J512" s="59" t="s">
        <v>2837</v>
      </c>
      <c r="K512" s="20"/>
      <c r="L512" s="20">
        <v>1</v>
      </c>
      <c r="M512" s="357">
        <f>H512</f>
        <v>23682.46</v>
      </c>
      <c r="N512" s="411">
        <f>IFERROR((M512/(VLOOKUP(B512,'Data Pull Sheet'!$C:$H,6,FALSE))),"DC")</f>
        <v>2.6313844444444441E-4</v>
      </c>
      <c r="O512" s="23" t="s">
        <v>63</v>
      </c>
      <c r="P512" s="92" t="s">
        <v>632</v>
      </c>
      <c r="Q512" s="92" t="s">
        <v>637</v>
      </c>
      <c r="R512" s="372" t="str">
        <f t="shared" si="15"/>
        <v/>
      </c>
    </row>
    <row r="513" spans="1:18" x14ac:dyDescent="0.25">
      <c r="A513" s="23" t="s">
        <v>2832</v>
      </c>
      <c r="B513" s="18" t="str">
        <f>IF(ISNA(VLOOKUP($A513,'Data Pull Sheet'!$B$2:$C$1795,2,0)),"",(VLOOKUP($A513,'Data Pull Sheet'!$B$2:$C$1795,2,0)))</f>
        <v>NLNK</v>
      </c>
      <c r="C513" s="59" t="s">
        <v>418</v>
      </c>
      <c r="D513" s="356" t="s">
        <v>2833</v>
      </c>
      <c r="E513" s="356" t="s">
        <v>466</v>
      </c>
      <c r="F513" s="23" t="s">
        <v>2838</v>
      </c>
      <c r="G513" s="23" t="s">
        <v>403</v>
      </c>
      <c r="H513" s="353">
        <v>34932</v>
      </c>
      <c r="I513" s="59"/>
      <c r="J513" s="59" t="s">
        <v>2839</v>
      </c>
      <c r="K513" s="20"/>
      <c r="L513" s="20">
        <v>2</v>
      </c>
      <c r="M513" s="357">
        <f>SUM(H513:H514)</f>
        <v>76173</v>
      </c>
      <c r="N513" s="411">
        <f>IFERROR((M513/(VLOOKUP(B513,'Data Pull Sheet'!$C:$H,6,FALSE))),"DC")</f>
        <v>8.4636666666666662E-4</v>
      </c>
      <c r="O513" s="23" t="s">
        <v>1204</v>
      </c>
      <c r="P513" s="92" t="s">
        <v>632</v>
      </c>
      <c r="Q513" s="92" t="s">
        <v>646</v>
      </c>
      <c r="R513" s="372" t="str">
        <f t="shared" si="15"/>
        <v/>
      </c>
    </row>
    <row r="514" spans="1:18" x14ac:dyDescent="0.25">
      <c r="A514" s="23" t="s">
        <v>2832</v>
      </c>
      <c r="B514" s="18" t="str">
        <f>IF(ISNA(VLOOKUP($A514,'Data Pull Sheet'!$B$2:$C$1795,2,0)),"",(VLOOKUP($A514,'Data Pull Sheet'!$B$2:$C$1795,2,0)))</f>
        <v>NLNK</v>
      </c>
      <c r="C514" s="59" t="s">
        <v>418</v>
      </c>
      <c r="D514" s="356" t="s">
        <v>2833</v>
      </c>
      <c r="E514" s="356" t="s">
        <v>466</v>
      </c>
      <c r="F514" s="23" t="s">
        <v>2840</v>
      </c>
      <c r="G514" s="23" t="s">
        <v>403</v>
      </c>
      <c r="H514" s="353">
        <v>41241</v>
      </c>
      <c r="I514" s="59"/>
      <c r="J514" s="59" t="s">
        <v>2841</v>
      </c>
      <c r="K514" s="20"/>
      <c r="L514" s="20"/>
      <c r="M514" s="357"/>
      <c r="N514" s="411"/>
      <c r="O514" s="23" t="s">
        <v>1204</v>
      </c>
      <c r="P514" s="92" t="s">
        <v>632</v>
      </c>
      <c r="Q514" s="92" t="s">
        <v>646</v>
      </c>
      <c r="R514" s="372" t="str">
        <f t="shared" ref="R514:R577" si="18">IF(COUNTIF(F:F,F514)&gt;=2,"FF","")</f>
        <v/>
      </c>
    </row>
    <row r="515" spans="1:18" x14ac:dyDescent="0.25">
      <c r="A515" s="23" t="s">
        <v>382</v>
      </c>
      <c r="B515" s="18" t="str">
        <f>IF(ISNA(VLOOKUP($A515,'Data Pull Sheet'!$B$2:$C$1795,2,0)),"",(VLOOKUP($A515,'Data Pull Sheet'!$B$2:$C$1795,2,0)))</f>
        <v>DV</v>
      </c>
      <c r="C515" s="59" t="s">
        <v>465</v>
      </c>
      <c r="D515" s="356" t="s">
        <v>541</v>
      </c>
      <c r="E515" s="356" t="s">
        <v>611</v>
      </c>
      <c r="F515" s="23" t="s">
        <v>1626</v>
      </c>
      <c r="G515" s="23" t="s">
        <v>417</v>
      </c>
      <c r="H515" s="353">
        <v>142016</v>
      </c>
      <c r="I515" s="59" t="s">
        <v>413</v>
      </c>
      <c r="J515" s="59" t="s">
        <v>1627</v>
      </c>
      <c r="K515" s="20">
        <v>2</v>
      </c>
      <c r="L515" s="20">
        <v>1</v>
      </c>
      <c r="M515" s="357">
        <f t="shared" ref="M515:M520" si="19">H515</f>
        <v>142016</v>
      </c>
      <c r="N515" s="411">
        <f>IFERROR((M515/(VLOOKUP(B515,'Data Pull Sheet'!$C:$H,6,FALSE))),"DC")</f>
        <v>7.2828717948717945E-4</v>
      </c>
      <c r="O515" s="23" t="s">
        <v>1628</v>
      </c>
      <c r="P515" s="92" t="s">
        <v>632</v>
      </c>
      <c r="Q515" s="92" t="s">
        <v>633</v>
      </c>
      <c r="R515" s="372" t="str">
        <f t="shared" si="18"/>
        <v/>
      </c>
    </row>
    <row r="516" spans="1:18" x14ac:dyDescent="0.25">
      <c r="A516" s="23" t="s">
        <v>382</v>
      </c>
      <c r="B516" s="18" t="str">
        <f>IF(ISNA(VLOOKUP($A516,'Data Pull Sheet'!$B$2:$C$1795,2,0)),"",(VLOOKUP($A516,'Data Pull Sheet'!$B$2:$C$1795,2,0)))</f>
        <v>DV</v>
      </c>
      <c r="C516" s="59" t="s">
        <v>465</v>
      </c>
      <c r="D516" s="356" t="s">
        <v>541</v>
      </c>
      <c r="E516" s="356" t="s">
        <v>611</v>
      </c>
      <c r="F516" s="23" t="s">
        <v>378</v>
      </c>
      <c r="G516" s="23" t="s">
        <v>417</v>
      </c>
      <c r="H516" s="353">
        <v>7206832.9500000002</v>
      </c>
      <c r="I516" s="59" t="s">
        <v>413</v>
      </c>
      <c r="J516" s="59" t="s">
        <v>1629</v>
      </c>
      <c r="K516" s="20"/>
      <c r="L516" s="20">
        <v>1</v>
      </c>
      <c r="M516" s="357">
        <f t="shared" si="19"/>
        <v>7206832.9500000002</v>
      </c>
      <c r="N516" s="411">
        <f>IFERROR((M516/(VLOOKUP(B516,'Data Pull Sheet'!$C:$H,6,FALSE))),"DC")</f>
        <v>3.6958117692307696E-2</v>
      </c>
      <c r="O516" s="23" t="s">
        <v>1630</v>
      </c>
      <c r="P516" s="92" t="s">
        <v>632</v>
      </c>
      <c r="Q516" s="92" t="s">
        <v>633</v>
      </c>
      <c r="R516" s="372" t="str">
        <f t="shared" si="18"/>
        <v>FF</v>
      </c>
    </row>
    <row r="517" spans="1:18" x14ac:dyDescent="0.25">
      <c r="A517" s="23" t="s">
        <v>74</v>
      </c>
      <c r="B517" s="18" t="s">
        <v>10604</v>
      </c>
      <c r="C517" s="59" t="s">
        <v>457</v>
      </c>
      <c r="D517" s="356" t="s">
        <v>472</v>
      </c>
      <c r="E517" s="356" t="s">
        <v>473</v>
      </c>
      <c r="F517" s="23" t="s">
        <v>172</v>
      </c>
      <c r="G517" s="23" t="s">
        <v>417</v>
      </c>
      <c r="H517" s="353">
        <v>7766749.8399999999</v>
      </c>
      <c r="I517" s="59"/>
      <c r="J517" s="59" t="s">
        <v>10607</v>
      </c>
      <c r="K517" s="20">
        <v>7</v>
      </c>
      <c r="L517" s="20">
        <v>1</v>
      </c>
      <c r="M517" s="357">
        <f t="shared" si="19"/>
        <v>7766749.8399999999</v>
      </c>
      <c r="N517" s="411">
        <f>IFERROR((M517/(VLOOKUP(B517,'Data Pull Sheet'!$C:$H,6,FALSE))),"DC")</f>
        <v>1.0086688103896103E-2</v>
      </c>
      <c r="O517" s="23" t="s">
        <v>1</v>
      </c>
      <c r="P517" s="92" t="s">
        <v>632</v>
      </c>
      <c r="Q517" s="92" t="s">
        <v>633</v>
      </c>
      <c r="R517" s="372" t="str">
        <f t="shared" si="18"/>
        <v>FF</v>
      </c>
    </row>
    <row r="518" spans="1:18" x14ac:dyDescent="0.25">
      <c r="A518" s="23" t="s">
        <v>74</v>
      </c>
      <c r="B518" s="18" t="s">
        <v>10604</v>
      </c>
      <c r="C518" s="59" t="s">
        <v>457</v>
      </c>
      <c r="D518" s="356" t="s">
        <v>472</v>
      </c>
      <c r="E518" s="356" t="s">
        <v>473</v>
      </c>
      <c r="F518" s="23" t="s">
        <v>69</v>
      </c>
      <c r="G518" s="23" t="s">
        <v>417</v>
      </c>
      <c r="H518" s="353">
        <v>1499584.95</v>
      </c>
      <c r="I518" s="59"/>
      <c r="J518" s="59" t="s">
        <v>10608</v>
      </c>
      <c r="K518" s="20"/>
      <c r="L518" s="20">
        <v>1</v>
      </c>
      <c r="M518" s="357">
        <f t="shared" si="19"/>
        <v>1499584.95</v>
      </c>
      <c r="N518" s="411">
        <f>IFERROR((M518/(VLOOKUP(B518,'Data Pull Sheet'!$C:$H,6,FALSE))),"DC")</f>
        <v>1.947512922077922E-3</v>
      </c>
      <c r="O518" s="23" t="s">
        <v>2563</v>
      </c>
      <c r="P518" s="92" t="s">
        <v>632</v>
      </c>
      <c r="Q518" s="92" t="s">
        <v>633</v>
      </c>
      <c r="R518" s="372" t="str">
        <f t="shared" si="18"/>
        <v>FF</v>
      </c>
    </row>
    <row r="519" spans="1:18" x14ac:dyDescent="0.25">
      <c r="A519" s="23" t="s">
        <v>74</v>
      </c>
      <c r="B519" s="18" t="s">
        <v>10604</v>
      </c>
      <c r="C519" s="59" t="s">
        <v>457</v>
      </c>
      <c r="D519" s="356" t="s">
        <v>472</v>
      </c>
      <c r="E519" s="356" t="s">
        <v>473</v>
      </c>
      <c r="F519" s="23" t="s">
        <v>2564</v>
      </c>
      <c r="G519" s="23" t="s">
        <v>417</v>
      </c>
      <c r="H519" s="353">
        <v>11486547</v>
      </c>
      <c r="I519" s="59" t="s">
        <v>406</v>
      </c>
      <c r="J519" s="59" t="s">
        <v>10609</v>
      </c>
      <c r="K519" s="20"/>
      <c r="L519" s="20">
        <v>1</v>
      </c>
      <c r="M519" s="357">
        <f t="shared" si="19"/>
        <v>11486547</v>
      </c>
      <c r="N519" s="411">
        <f>IFERROR((M519/(VLOOKUP(B519,'Data Pull Sheet'!$C:$H,6,FALSE))),"DC")</f>
        <v>1.4917593506493507E-2</v>
      </c>
      <c r="O519" s="23" t="s">
        <v>309</v>
      </c>
      <c r="P519" s="92" t="s">
        <v>632</v>
      </c>
      <c r="Q519" s="92" t="s">
        <v>633</v>
      </c>
      <c r="R519" s="372" t="str">
        <f t="shared" si="18"/>
        <v/>
      </c>
    </row>
    <row r="520" spans="1:18" x14ac:dyDescent="0.25">
      <c r="A520" s="23" t="s">
        <v>74</v>
      </c>
      <c r="B520" s="18" t="s">
        <v>10604</v>
      </c>
      <c r="C520" s="59" t="s">
        <v>457</v>
      </c>
      <c r="D520" s="356" t="s">
        <v>472</v>
      </c>
      <c r="E520" s="356" t="s">
        <v>473</v>
      </c>
      <c r="F520" s="23" t="s">
        <v>2565</v>
      </c>
      <c r="G520" s="23" t="s">
        <v>403</v>
      </c>
      <c r="H520" s="353">
        <v>39959.800000000003</v>
      </c>
      <c r="I520" s="59"/>
      <c r="J520" s="59" t="s">
        <v>10610</v>
      </c>
      <c r="K520" s="20"/>
      <c r="L520" s="20">
        <v>1</v>
      </c>
      <c r="M520" s="357">
        <f t="shared" si="19"/>
        <v>39959.800000000003</v>
      </c>
      <c r="N520" s="411">
        <f>IFERROR((M520/(VLOOKUP(B520,'Data Pull Sheet'!$C:$H,6,FALSE))),"DC")</f>
        <v>5.1895844155844161E-5</v>
      </c>
      <c r="O520" s="23" t="s">
        <v>63</v>
      </c>
      <c r="P520" s="92" t="s">
        <v>632</v>
      </c>
      <c r="Q520" s="92" t="s">
        <v>637</v>
      </c>
      <c r="R520" s="372" t="str">
        <f t="shared" si="18"/>
        <v/>
      </c>
    </row>
    <row r="521" spans="1:18" x14ac:dyDescent="0.25">
      <c r="A521" s="23" t="s">
        <v>74</v>
      </c>
      <c r="B521" s="18" t="s">
        <v>10604</v>
      </c>
      <c r="C521" s="59" t="s">
        <v>457</v>
      </c>
      <c r="D521" s="356" t="s">
        <v>472</v>
      </c>
      <c r="E521" s="356" t="s">
        <v>473</v>
      </c>
      <c r="F521" s="23" t="s">
        <v>2566</v>
      </c>
      <c r="G521" s="23" t="s">
        <v>403</v>
      </c>
      <c r="H521" s="353">
        <v>109157</v>
      </c>
      <c r="I521" s="59"/>
      <c r="J521" s="59" t="s">
        <v>10611</v>
      </c>
      <c r="K521" s="20"/>
      <c r="L521" s="20">
        <v>3</v>
      </c>
      <c r="M521" s="357">
        <f>SUM(H521:H523)</f>
        <v>670781</v>
      </c>
      <c r="N521" s="411">
        <f>IFERROR((M521/(VLOOKUP(B521,'Data Pull Sheet'!$C:$H,6,FALSE))),"DC")</f>
        <v>8.7114415584415585E-4</v>
      </c>
      <c r="O521" s="23" t="s">
        <v>554</v>
      </c>
      <c r="P521" s="92" t="s">
        <v>632</v>
      </c>
      <c r="Q521" s="92" t="s">
        <v>646</v>
      </c>
      <c r="R521" s="372" t="str">
        <f t="shared" si="18"/>
        <v/>
      </c>
    </row>
    <row r="522" spans="1:18" x14ac:dyDescent="0.25">
      <c r="A522" s="23" t="s">
        <v>74</v>
      </c>
      <c r="B522" s="18" t="s">
        <v>10604</v>
      </c>
      <c r="C522" s="59" t="s">
        <v>457</v>
      </c>
      <c r="D522" s="356" t="s">
        <v>472</v>
      </c>
      <c r="E522" s="356" t="s">
        <v>473</v>
      </c>
      <c r="F522" s="23" t="s">
        <v>2567</v>
      </c>
      <c r="G522" s="23" t="s">
        <v>403</v>
      </c>
      <c r="H522" s="353">
        <v>119713</v>
      </c>
      <c r="I522" s="59"/>
      <c r="J522" s="59" t="s">
        <v>10612</v>
      </c>
      <c r="K522" s="20"/>
      <c r="L522" s="20"/>
      <c r="M522" s="357"/>
      <c r="N522" s="411"/>
      <c r="O522" s="23" t="s">
        <v>554</v>
      </c>
      <c r="P522" s="92" t="s">
        <v>632</v>
      </c>
      <c r="Q522" s="92" t="s">
        <v>646</v>
      </c>
      <c r="R522" s="372" t="str">
        <f t="shared" si="18"/>
        <v/>
      </c>
    </row>
    <row r="523" spans="1:18" x14ac:dyDescent="0.25">
      <c r="A523" s="23" t="s">
        <v>74</v>
      </c>
      <c r="B523" s="18" t="s">
        <v>10604</v>
      </c>
      <c r="C523" s="59" t="s">
        <v>457</v>
      </c>
      <c r="D523" s="356" t="s">
        <v>472</v>
      </c>
      <c r="E523" s="356" t="s">
        <v>473</v>
      </c>
      <c r="F523" s="23" t="s">
        <v>2568</v>
      </c>
      <c r="G523" s="23" t="s">
        <v>403</v>
      </c>
      <c r="H523" s="353">
        <v>441911</v>
      </c>
      <c r="I523" s="59"/>
      <c r="J523" s="59" t="s">
        <v>10613</v>
      </c>
      <c r="K523" s="20"/>
      <c r="L523" s="20"/>
      <c r="M523" s="357"/>
      <c r="N523" s="411"/>
      <c r="O523" s="23" t="s">
        <v>554</v>
      </c>
      <c r="P523" s="92" t="s">
        <v>632</v>
      </c>
      <c r="Q523" s="92" t="s">
        <v>646</v>
      </c>
      <c r="R523" s="372" t="str">
        <f t="shared" si="18"/>
        <v/>
      </c>
    </row>
    <row r="524" spans="1:18" ht="30" x14ac:dyDescent="0.25">
      <c r="A524" s="23" t="s">
        <v>74</v>
      </c>
      <c r="B524" s="18" t="s">
        <v>10604</v>
      </c>
      <c r="C524" s="59" t="s">
        <v>457</v>
      </c>
      <c r="D524" s="356" t="s">
        <v>472</v>
      </c>
      <c r="E524" s="356" t="s">
        <v>473</v>
      </c>
      <c r="F524" s="23" t="s">
        <v>2569</v>
      </c>
      <c r="G524" s="23" t="s">
        <v>417</v>
      </c>
      <c r="H524" s="353">
        <v>12927820.08</v>
      </c>
      <c r="I524" s="59"/>
      <c r="J524" s="59" t="s">
        <v>10614</v>
      </c>
      <c r="K524" s="20"/>
      <c r="L524" s="20">
        <v>1</v>
      </c>
      <c r="M524" s="357">
        <f>H524</f>
        <v>12927820.08</v>
      </c>
      <c r="N524" s="411">
        <f>IFERROR((M524/(VLOOKUP(B524,'Data Pull Sheet'!$C:$H,6,FALSE))),"DC")</f>
        <v>1.6789376727272726E-2</v>
      </c>
      <c r="O524" s="23" t="s">
        <v>7</v>
      </c>
      <c r="P524" s="92" t="s">
        <v>632</v>
      </c>
      <c r="Q524" s="92" t="s">
        <v>633</v>
      </c>
      <c r="R524" s="372" t="str">
        <f t="shared" si="18"/>
        <v/>
      </c>
    </row>
    <row r="525" spans="1:18" ht="30" x14ac:dyDescent="0.25">
      <c r="A525" s="23" t="s">
        <v>74</v>
      </c>
      <c r="B525" s="18" t="s">
        <v>10604</v>
      </c>
      <c r="C525" s="59" t="s">
        <v>457</v>
      </c>
      <c r="D525" s="356" t="s">
        <v>472</v>
      </c>
      <c r="E525" s="356" t="s">
        <v>473</v>
      </c>
      <c r="F525" s="23" t="s">
        <v>264</v>
      </c>
      <c r="G525" s="23" t="s">
        <v>417</v>
      </c>
      <c r="H525" s="353">
        <v>8328633.21</v>
      </c>
      <c r="I525" s="59" t="s">
        <v>442</v>
      </c>
      <c r="J525" s="59" t="s">
        <v>10606</v>
      </c>
      <c r="K525" s="20"/>
      <c r="L525" s="20">
        <v>1</v>
      </c>
      <c r="M525" s="357">
        <f>H525</f>
        <v>8328633.21</v>
      </c>
      <c r="N525" s="411">
        <f>IFERROR((M525/(VLOOKUP(B525,'Data Pull Sheet'!$C:$H,6,FALSE))),"DC")</f>
        <v>1.0816406766233766E-2</v>
      </c>
      <c r="O525" s="23" t="s">
        <v>2570</v>
      </c>
      <c r="P525" s="92" t="s">
        <v>632</v>
      </c>
      <c r="Q525" s="92" t="s">
        <v>633</v>
      </c>
      <c r="R525" s="372" t="str">
        <f t="shared" si="18"/>
        <v>FF</v>
      </c>
    </row>
    <row r="526" spans="1:18" ht="30" x14ac:dyDescent="0.25">
      <c r="A526" s="23" t="s">
        <v>239</v>
      </c>
      <c r="B526" s="18" t="str">
        <f>IF(ISNA(VLOOKUP($A526,'Data Pull Sheet'!$B$2:$C$1795,2,0)),"",(VLOOKUP($A526,'Data Pull Sheet'!$B$2:$C$1795,2,0)))</f>
        <v>PRGO</v>
      </c>
      <c r="C526" s="59" t="s">
        <v>424</v>
      </c>
      <c r="D526" s="356" t="s">
        <v>508</v>
      </c>
      <c r="E526" s="356" t="s">
        <v>509</v>
      </c>
      <c r="F526" s="23" t="s">
        <v>3072</v>
      </c>
      <c r="G526" s="23" t="s">
        <v>417</v>
      </c>
      <c r="H526" s="353">
        <v>444703</v>
      </c>
      <c r="I526" s="59" t="s">
        <v>413</v>
      </c>
      <c r="J526" s="59" t="s">
        <v>3073</v>
      </c>
      <c r="K526" s="20">
        <v>4</v>
      </c>
      <c r="L526" s="20">
        <v>6</v>
      </c>
      <c r="M526" s="357">
        <f>SUM(H526:H531)</f>
        <v>68161973</v>
      </c>
      <c r="N526" s="411">
        <f>IFERROR((M526/(VLOOKUP(B526,'Data Pull Sheet'!$C:$H,6,FALSE))),"DC")</f>
        <v>1.5147105111111111E-2</v>
      </c>
      <c r="O526" s="23" t="s">
        <v>238</v>
      </c>
      <c r="P526" s="92" t="s">
        <v>632</v>
      </c>
      <c r="Q526" s="92" t="s">
        <v>3074</v>
      </c>
      <c r="R526" s="372" t="str">
        <f t="shared" si="18"/>
        <v/>
      </c>
    </row>
    <row r="527" spans="1:18" ht="30" x14ac:dyDescent="0.25">
      <c r="A527" s="23" t="s">
        <v>239</v>
      </c>
      <c r="B527" s="18" t="str">
        <f>IF(ISNA(VLOOKUP($A527,'Data Pull Sheet'!$B$2:$C$1795,2,0)),"",(VLOOKUP($A527,'Data Pull Sheet'!$B$2:$C$1795,2,0)))</f>
        <v>PRGO</v>
      </c>
      <c r="C527" s="59" t="s">
        <v>424</v>
      </c>
      <c r="D527" s="356" t="s">
        <v>508</v>
      </c>
      <c r="E527" s="356" t="s">
        <v>509</v>
      </c>
      <c r="F527" s="23" t="s">
        <v>3075</v>
      </c>
      <c r="G527" s="23" t="s">
        <v>417</v>
      </c>
      <c r="H527" s="353">
        <v>8725237</v>
      </c>
      <c r="I527" s="59" t="s">
        <v>413</v>
      </c>
      <c r="J527" s="59" t="s">
        <v>3076</v>
      </c>
      <c r="K527" s="20"/>
      <c r="L527" s="20"/>
      <c r="M527" s="357"/>
      <c r="N527" s="411"/>
      <c r="O527" s="23" t="s">
        <v>238</v>
      </c>
      <c r="P527" s="92" t="s">
        <v>632</v>
      </c>
      <c r="Q527" s="92" t="s">
        <v>3074</v>
      </c>
      <c r="R527" s="372" t="str">
        <f t="shared" si="18"/>
        <v/>
      </c>
    </row>
    <row r="528" spans="1:18" ht="30" x14ac:dyDescent="0.25">
      <c r="A528" s="23" t="s">
        <v>239</v>
      </c>
      <c r="B528" s="18" t="str">
        <f>IF(ISNA(VLOOKUP($A528,'Data Pull Sheet'!$B$2:$C$1795,2,0)),"",(VLOOKUP($A528,'Data Pull Sheet'!$B$2:$C$1795,2,0)))</f>
        <v>PRGO</v>
      </c>
      <c r="C528" s="59" t="s">
        <v>424</v>
      </c>
      <c r="D528" s="356" t="s">
        <v>508</v>
      </c>
      <c r="E528" s="356" t="s">
        <v>509</v>
      </c>
      <c r="F528" s="23" t="s">
        <v>237</v>
      </c>
      <c r="G528" s="23" t="s">
        <v>417</v>
      </c>
      <c r="H528" s="353">
        <v>9913168</v>
      </c>
      <c r="I528" s="59" t="s">
        <v>413</v>
      </c>
      <c r="J528" s="59" t="s">
        <v>3077</v>
      </c>
      <c r="K528" s="20"/>
      <c r="L528" s="20"/>
      <c r="M528" s="357"/>
      <c r="N528" s="411"/>
      <c r="O528" s="23" t="s">
        <v>238</v>
      </c>
      <c r="P528" s="92" t="s">
        <v>632</v>
      </c>
      <c r="Q528" s="92" t="s">
        <v>3074</v>
      </c>
      <c r="R528" s="372" t="str">
        <f t="shared" si="18"/>
        <v>FF</v>
      </c>
    </row>
    <row r="529" spans="1:18" ht="30" x14ac:dyDescent="0.25">
      <c r="A529" s="23" t="s">
        <v>239</v>
      </c>
      <c r="B529" s="18" t="str">
        <f>IF(ISNA(VLOOKUP($A529,'Data Pull Sheet'!$B$2:$C$1795,2,0)),"",(VLOOKUP($A529,'Data Pull Sheet'!$B$2:$C$1795,2,0)))</f>
        <v>PRGO</v>
      </c>
      <c r="C529" s="59" t="s">
        <v>424</v>
      </c>
      <c r="D529" s="356" t="s">
        <v>508</v>
      </c>
      <c r="E529" s="356" t="s">
        <v>509</v>
      </c>
      <c r="F529" s="23" t="s">
        <v>3078</v>
      </c>
      <c r="G529" s="23" t="s">
        <v>417</v>
      </c>
      <c r="H529" s="353">
        <v>14291686</v>
      </c>
      <c r="I529" s="59" t="s">
        <v>413</v>
      </c>
      <c r="J529" s="59" t="s">
        <v>3079</v>
      </c>
      <c r="K529" s="20"/>
      <c r="L529" s="20"/>
      <c r="M529" s="357"/>
      <c r="N529" s="411"/>
      <c r="O529" s="23" t="s">
        <v>238</v>
      </c>
      <c r="P529" s="92" t="s">
        <v>632</v>
      </c>
      <c r="Q529" s="92" t="s">
        <v>3074</v>
      </c>
      <c r="R529" s="372" t="str">
        <f t="shared" si="18"/>
        <v/>
      </c>
    </row>
    <row r="530" spans="1:18" ht="30" x14ac:dyDescent="0.25">
      <c r="A530" s="23" t="s">
        <v>239</v>
      </c>
      <c r="B530" s="18" t="str">
        <f>IF(ISNA(VLOOKUP($A530,'Data Pull Sheet'!$B$2:$C$1795,2,0)),"",(VLOOKUP($A530,'Data Pull Sheet'!$B$2:$C$1795,2,0)))</f>
        <v>PRGO</v>
      </c>
      <c r="C530" s="59" t="s">
        <v>424</v>
      </c>
      <c r="D530" s="356" t="s">
        <v>508</v>
      </c>
      <c r="E530" s="356" t="s">
        <v>509</v>
      </c>
      <c r="F530" s="23" t="s">
        <v>3080</v>
      </c>
      <c r="G530" s="23" t="s">
        <v>417</v>
      </c>
      <c r="H530" s="353">
        <v>16501150</v>
      </c>
      <c r="I530" s="59" t="s">
        <v>413</v>
      </c>
      <c r="J530" s="59" t="s">
        <v>3081</v>
      </c>
      <c r="K530" s="20"/>
      <c r="L530" s="20"/>
      <c r="M530" s="357"/>
      <c r="N530" s="411"/>
      <c r="O530" s="23" t="s">
        <v>238</v>
      </c>
      <c r="P530" s="92" t="s">
        <v>632</v>
      </c>
      <c r="Q530" s="92" t="s">
        <v>3074</v>
      </c>
      <c r="R530" s="372" t="str">
        <f t="shared" si="18"/>
        <v/>
      </c>
    </row>
    <row r="531" spans="1:18" ht="30" x14ac:dyDescent="0.25">
      <c r="A531" s="23" t="s">
        <v>239</v>
      </c>
      <c r="B531" s="18" t="str">
        <f>IF(ISNA(VLOOKUP($A531,'Data Pull Sheet'!$B$2:$C$1795,2,0)),"",(VLOOKUP($A531,'Data Pull Sheet'!$B$2:$C$1795,2,0)))</f>
        <v>PRGO</v>
      </c>
      <c r="C531" s="59" t="s">
        <v>424</v>
      </c>
      <c r="D531" s="356" t="s">
        <v>508</v>
      </c>
      <c r="E531" s="356" t="s">
        <v>509</v>
      </c>
      <c r="F531" s="23" t="s">
        <v>3082</v>
      </c>
      <c r="G531" s="23" t="s">
        <v>417</v>
      </c>
      <c r="H531" s="353">
        <v>18286029</v>
      </c>
      <c r="I531" s="59" t="s">
        <v>413</v>
      </c>
      <c r="J531" s="59" t="s">
        <v>3083</v>
      </c>
      <c r="K531" s="20"/>
      <c r="L531" s="20"/>
      <c r="M531" s="357"/>
      <c r="N531" s="411"/>
      <c r="O531" s="23" t="s">
        <v>238</v>
      </c>
      <c r="P531" s="92" t="s">
        <v>632</v>
      </c>
      <c r="Q531" s="92" t="s">
        <v>3074</v>
      </c>
      <c r="R531" s="372" t="str">
        <f t="shared" si="18"/>
        <v/>
      </c>
    </row>
    <row r="532" spans="1:18" ht="30" x14ac:dyDescent="0.25">
      <c r="A532" s="23" t="s">
        <v>239</v>
      </c>
      <c r="B532" s="18" t="str">
        <f>IF(ISNA(VLOOKUP($A532,'Data Pull Sheet'!$B$2:$C$1795,2,0)),"",(VLOOKUP($A532,'Data Pull Sheet'!$B$2:$C$1795,2,0)))</f>
        <v>PRGO</v>
      </c>
      <c r="C532" s="59" t="s">
        <v>424</v>
      </c>
      <c r="D532" s="356" t="s">
        <v>508</v>
      </c>
      <c r="E532" s="356" t="s">
        <v>509</v>
      </c>
      <c r="F532" s="23" t="s">
        <v>506</v>
      </c>
      <c r="G532" s="23" t="s">
        <v>403</v>
      </c>
      <c r="H532" s="353">
        <v>28630628.02</v>
      </c>
      <c r="I532" s="59" t="s">
        <v>406</v>
      </c>
      <c r="J532" s="59" t="s">
        <v>3084</v>
      </c>
      <c r="K532" s="20"/>
      <c r="L532" s="20">
        <v>1</v>
      </c>
      <c r="M532" s="357">
        <f t="shared" ref="M532:M537" si="20">H532</f>
        <v>28630628.02</v>
      </c>
      <c r="N532" s="411">
        <f>IFERROR((M532/(VLOOKUP(B532,'Data Pull Sheet'!$C:$H,6,FALSE))),"DC")</f>
        <v>6.3623617822222223E-3</v>
      </c>
      <c r="O532" s="23" t="s">
        <v>631</v>
      </c>
      <c r="P532" s="92" t="s">
        <v>632</v>
      </c>
      <c r="Q532" s="92" t="s">
        <v>637</v>
      </c>
      <c r="R532" s="372" t="str">
        <f t="shared" si="18"/>
        <v>FF</v>
      </c>
    </row>
    <row r="533" spans="1:18" ht="30" x14ac:dyDescent="0.25">
      <c r="A533" s="23" t="s">
        <v>239</v>
      </c>
      <c r="B533" s="18" t="str">
        <f>IF(ISNA(VLOOKUP($A533,'Data Pull Sheet'!$B$2:$C$1795,2,0)),"",(VLOOKUP($A533,'Data Pull Sheet'!$B$2:$C$1795,2,0)))</f>
        <v>PRGO</v>
      </c>
      <c r="C533" s="59" t="s">
        <v>424</v>
      </c>
      <c r="D533" s="356" t="s">
        <v>508</v>
      </c>
      <c r="E533" s="356" t="s">
        <v>509</v>
      </c>
      <c r="F533" s="23" t="s">
        <v>3085</v>
      </c>
      <c r="G533" s="23" t="s">
        <v>417</v>
      </c>
      <c r="H533" s="353">
        <v>25873825.07</v>
      </c>
      <c r="I533" s="59"/>
      <c r="J533" s="59" t="s">
        <v>3086</v>
      </c>
      <c r="K533" s="20"/>
      <c r="L533" s="20">
        <v>1</v>
      </c>
      <c r="M533" s="357">
        <f t="shared" si="20"/>
        <v>25873825.07</v>
      </c>
      <c r="N533" s="411">
        <f>IFERROR((M533/(VLOOKUP(B533,'Data Pull Sheet'!$C:$H,6,FALSE))),"DC")</f>
        <v>5.7497389044444446E-3</v>
      </c>
      <c r="O533" s="23" t="s">
        <v>10823</v>
      </c>
      <c r="P533" s="92" t="s">
        <v>632</v>
      </c>
      <c r="Q533" s="92" t="s">
        <v>633</v>
      </c>
      <c r="R533" s="372" t="str">
        <f t="shared" si="18"/>
        <v/>
      </c>
    </row>
    <row r="534" spans="1:18" x14ac:dyDescent="0.25">
      <c r="A534" s="23" t="s">
        <v>239</v>
      </c>
      <c r="B534" s="18" t="str">
        <f>IF(ISNA(VLOOKUP($A534,'Data Pull Sheet'!$B$2:$C$1795,2,0)),"",(VLOOKUP($A534,'Data Pull Sheet'!$B$2:$C$1795,2,0)))</f>
        <v>PRGO</v>
      </c>
      <c r="C534" s="59" t="s">
        <v>424</v>
      </c>
      <c r="D534" s="356" t="s">
        <v>508</v>
      </c>
      <c r="E534" s="356" t="s">
        <v>509</v>
      </c>
      <c r="F534" s="23" t="s">
        <v>565</v>
      </c>
      <c r="G534" s="23" t="s">
        <v>403</v>
      </c>
      <c r="H534" s="353">
        <v>15009.09</v>
      </c>
      <c r="I534" s="59"/>
      <c r="J534" s="59" t="s">
        <v>3087</v>
      </c>
      <c r="K534" s="20"/>
      <c r="L534" s="20">
        <v>1</v>
      </c>
      <c r="M534" s="357">
        <f t="shared" si="20"/>
        <v>15009.09</v>
      </c>
      <c r="N534" s="411">
        <f>IFERROR((M534/(VLOOKUP(B534,'Data Pull Sheet'!$C:$H,6,FALSE))),"DC")</f>
        <v>3.3353533333333332E-6</v>
      </c>
      <c r="O534" s="23" t="s">
        <v>3088</v>
      </c>
      <c r="P534" s="92" t="s">
        <v>632</v>
      </c>
      <c r="Q534" s="92" t="s">
        <v>637</v>
      </c>
      <c r="R534" s="372" t="str">
        <f t="shared" si="18"/>
        <v>FF</v>
      </c>
    </row>
    <row r="535" spans="1:18" ht="30" x14ac:dyDescent="0.25">
      <c r="A535" s="23" t="s">
        <v>3674</v>
      </c>
      <c r="B535" s="18" t="str">
        <f>IF(ISNA(VLOOKUP($A535,'Data Pull Sheet'!$B$2:$C$1795,2,0)),"",(VLOOKUP($A535,'Data Pull Sheet'!$B$2:$C$1795,2,0)))</f>
        <v>TGT</v>
      </c>
      <c r="C535" s="59" t="s">
        <v>491</v>
      </c>
      <c r="D535" s="356" t="s">
        <v>586</v>
      </c>
      <c r="E535" s="356" t="s">
        <v>509</v>
      </c>
      <c r="F535" s="23" t="s">
        <v>3675</v>
      </c>
      <c r="G535" s="23" t="s">
        <v>417</v>
      </c>
      <c r="H535" s="353">
        <v>282619.56</v>
      </c>
      <c r="I535" s="59"/>
      <c r="J535" s="59" t="s">
        <v>3676</v>
      </c>
      <c r="K535" s="20">
        <v>1</v>
      </c>
      <c r="L535" s="20">
        <v>1</v>
      </c>
      <c r="M535" s="357">
        <f t="shared" si="20"/>
        <v>282619.56</v>
      </c>
      <c r="N535" s="411">
        <f>IFERROR((M535/(VLOOKUP(B535,'Data Pull Sheet'!$C:$H,6,FALSE))),"DC")</f>
        <v>2.3551630000000001E-4</v>
      </c>
      <c r="O535" s="23" t="s">
        <v>11076</v>
      </c>
      <c r="P535" s="92" t="s">
        <v>676</v>
      </c>
      <c r="Q535" s="92" t="s">
        <v>633</v>
      </c>
      <c r="R535" s="372" t="str">
        <f t="shared" si="18"/>
        <v>FF</v>
      </c>
    </row>
    <row r="536" spans="1:18" ht="30" x14ac:dyDescent="0.25">
      <c r="A536" s="23" t="s">
        <v>627</v>
      </c>
      <c r="B536" s="18" t="s">
        <v>628</v>
      </c>
      <c r="C536" s="59" t="s">
        <v>418</v>
      </c>
      <c r="D536" s="356" t="s">
        <v>455</v>
      </c>
      <c r="E536" s="356" t="s">
        <v>456</v>
      </c>
      <c r="F536" s="23" t="s">
        <v>629</v>
      </c>
      <c r="G536" s="23" t="s">
        <v>417</v>
      </c>
      <c r="H536" s="353">
        <v>51587.92</v>
      </c>
      <c r="I536" s="59"/>
      <c r="J536" s="59" t="s">
        <v>630</v>
      </c>
      <c r="K536" s="20">
        <v>2</v>
      </c>
      <c r="L536" s="20">
        <v>1</v>
      </c>
      <c r="M536" s="357">
        <f t="shared" si="20"/>
        <v>51587.92</v>
      </c>
      <c r="N536" s="411">
        <f>IFERROR((M536/(VLOOKUP(B536,'Data Pull Sheet'!$C:$H,6,FALSE))),"DC")</f>
        <v>3.4391946666666663E-3</v>
      </c>
      <c r="O536" s="23" t="s">
        <v>631</v>
      </c>
      <c r="P536" s="92" t="s">
        <v>632</v>
      </c>
      <c r="Q536" s="92" t="s">
        <v>633</v>
      </c>
      <c r="R536" s="372" t="str">
        <f t="shared" si="18"/>
        <v/>
      </c>
    </row>
    <row r="537" spans="1:18" x14ac:dyDescent="0.25">
      <c r="A537" s="23" t="s">
        <v>627</v>
      </c>
      <c r="B537" s="18" t="str">
        <f>IF(ISNA(VLOOKUP($A537,'Data Pull Sheet'!$B$2:$C$1795,2,0)),"",(VLOOKUP($A537,'Data Pull Sheet'!$B$2:$C$1795,2,0)))</f>
        <v>ABIL</v>
      </c>
      <c r="C537" s="59" t="s">
        <v>418</v>
      </c>
      <c r="D537" s="356" t="s">
        <v>455</v>
      </c>
      <c r="E537" s="356" t="s">
        <v>456</v>
      </c>
      <c r="F537" s="23" t="s">
        <v>635</v>
      </c>
      <c r="G537" s="23" t="s">
        <v>403</v>
      </c>
      <c r="H537" s="353">
        <v>72994.42</v>
      </c>
      <c r="I537" s="59"/>
      <c r="J537" s="59" t="s">
        <v>636</v>
      </c>
      <c r="K537" s="20"/>
      <c r="L537" s="20">
        <v>1</v>
      </c>
      <c r="M537" s="357">
        <f t="shared" si="20"/>
        <v>72994.42</v>
      </c>
      <c r="N537" s="411">
        <f>IFERROR((M537/(VLOOKUP(B537,'Data Pull Sheet'!$C:$H,6,FALSE))),"DC")</f>
        <v>4.8662946666666665E-3</v>
      </c>
      <c r="O537" s="23" t="s">
        <v>597</v>
      </c>
      <c r="P537" s="92" t="s">
        <v>632</v>
      </c>
      <c r="Q537" s="92" t="s">
        <v>637</v>
      </c>
      <c r="R537" s="372" t="str">
        <f t="shared" si="18"/>
        <v/>
      </c>
    </row>
    <row r="538" spans="1:18" ht="30" x14ac:dyDescent="0.25">
      <c r="A538" s="23" t="s">
        <v>51</v>
      </c>
      <c r="B538" s="18" t="s">
        <v>10506</v>
      </c>
      <c r="C538" s="59" t="s">
        <v>418</v>
      </c>
      <c r="D538" s="356" t="s">
        <v>455</v>
      </c>
      <c r="E538" s="356" t="s">
        <v>456</v>
      </c>
      <c r="F538" s="23" t="s">
        <v>81</v>
      </c>
      <c r="G538" s="23" t="s">
        <v>417</v>
      </c>
      <c r="H538" s="353">
        <v>763963.33</v>
      </c>
      <c r="I538" s="59" t="s">
        <v>476</v>
      </c>
      <c r="J538" s="59" t="s">
        <v>10515</v>
      </c>
      <c r="K538" s="20">
        <v>7</v>
      </c>
      <c r="L538" s="20">
        <v>2</v>
      </c>
      <c r="M538" s="357">
        <f>SUM(H538:H539)</f>
        <v>2053834.8399999999</v>
      </c>
      <c r="N538" s="411">
        <f>IFERROR((M538/(VLOOKUP(B538,'Data Pull Sheet'!$C:$H,6,FALSE))),"DC")</f>
        <v>4.5640774222222222E-3</v>
      </c>
      <c r="O538" s="23" t="s">
        <v>1750</v>
      </c>
      <c r="P538" s="92" t="s">
        <v>632</v>
      </c>
      <c r="Q538" s="92" t="s">
        <v>640</v>
      </c>
      <c r="R538" s="372" t="str">
        <f t="shared" si="18"/>
        <v>FF</v>
      </c>
    </row>
    <row r="539" spans="1:18" ht="30" x14ac:dyDescent="0.25">
      <c r="A539" s="23" t="s">
        <v>51</v>
      </c>
      <c r="B539" s="18" t="s">
        <v>10506</v>
      </c>
      <c r="C539" s="59" t="s">
        <v>418</v>
      </c>
      <c r="D539" s="356" t="s">
        <v>455</v>
      </c>
      <c r="E539" s="356" t="s">
        <v>456</v>
      </c>
      <c r="F539" s="23" t="s">
        <v>1751</v>
      </c>
      <c r="G539" s="23" t="s">
        <v>417</v>
      </c>
      <c r="H539" s="353">
        <v>1289871.51</v>
      </c>
      <c r="I539" s="59" t="s">
        <v>476</v>
      </c>
      <c r="J539" s="59" t="s">
        <v>10514</v>
      </c>
      <c r="K539" s="20"/>
      <c r="L539" s="20"/>
      <c r="M539" s="357"/>
      <c r="N539" s="411"/>
      <c r="O539" s="23" t="s">
        <v>1750</v>
      </c>
      <c r="P539" s="92" t="s">
        <v>632</v>
      </c>
      <c r="Q539" s="92" t="s">
        <v>640</v>
      </c>
      <c r="R539" s="372" t="str">
        <f t="shared" si="18"/>
        <v/>
      </c>
    </row>
    <row r="540" spans="1:18" x14ac:dyDescent="0.25">
      <c r="A540" s="23" t="s">
        <v>51</v>
      </c>
      <c r="B540" s="18" t="s">
        <v>10506</v>
      </c>
      <c r="C540" s="59" t="s">
        <v>418</v>
      </c>
      <c r="D540" s="356" t="s">
        <v>455</v>
      </c>
      <c r="E540" s="356" t="s">
        <v>456</v>
      </c>
      <c r="F540" s="23" t="s">
        <v>39</v>
      </c>
      <c r="G540" s="23" t="s">
        <v>417</v>
      </c>
      <c r="H540" s="353">
        <v>1646120.68</v>
      </c>
      <c r="I540" s="59" t="s">
        <v>442</v>
      </c>
      <c r="J540" s="59" t="s">
        <v>10513</v>
      </c>
      <c r="K540" s="20"/>
      <c r="L540" s="20">
        <v>1</v>
      </c>
      <c r="M540" s="357">
        <f>H540</f>
        <v>1646120.68</v>
      </c>
      <c r="N540" s="411">
        <f>IFERROR((M540/(VLOOKUP(B540,'Data Pull Sheet'!$C:$H,6,FALSE))),"DC")</f>
        <v>3.6580459555555552E-3</v>
      </c>
      <c r="O540" s="23" t="s">
        <v>4392</v>
      </c>
      <c r="P540" s="92" t="s">
        <v>632</v>
      </c>
      <c r="Q540" s="92" t="s">
        <v>633</v>
      </c>
      <c r="R540" s="372" t="str">
        <f t="shared" si="18"/>
        <v>FF</v>
      </c>
    </row>
    <row r="541" spans="1:18" x14ac:dyDescent="0.25">
      <c r="A541" s="23" t="s">
        <v>51</v>
      </c>
      <c r="B541" s="18" t="s">
        <v>10506</v>
      </c>
      <c r="C541" s="59" t="s">
        <v>418</v>
      </c>
      <c r="D541" s="356" t="s">
        <v>455</v>
      </c>
      <c r="E541" s="356" t="s">
        <v>456</v>
      </c>
      <c r="F541" s="23" t="s">
        <v>1753</v>
      </c>
      <c r="G541" s="23" t="s">
        <v>403</v>
      </c>
      <c r="H541" s="353">
        <v>71400.89</v>
      </c>
      <c r="I541" s="59"/>
      <c r="J541" s="59" t="s">
        <v>10512</v>
      </c>
      <c r="K541" s="20"/>
      <c r="L541" s="20">
        <v>1</v>
      </c>
      <c r="M541" s="357">
        <f>H541</f>
        <v>71400.89</v>
      </c>
      <c r="N541" s="411">
        <f>IFERROR((M541/(VLOOKUP(B541,'Data Pull Sheet'!$C:$H,6,FALSE))),"DC")</f>
        <v>1.5866864444444444E-4</v>
      </c>
      <c r="O541" s="23" t="s">
        <v>63</v>
      </c>
      <c r="P541" s="92" t="s">
        <v>632</v>
      </c>
      <c r="Q541" s="92" t="s">
        <v>637</v>
      </c>
      <c r="R541" s="372" t="str">
        <f t="shared" si="18"/>
        <v/>
      </c>
    </row>
    <row r="542" spans="1:18" x14ac:dyDescent="0.25">
      <c r="A542" s="23" t="s">
        <v>51</v>
      </c>
      <c r="B542" s="18" t="s">
        <v>10506</v>
      </c>
      <c r="C542" s="59" t="s">
        <v>418</v>
      </c>
      <c r="D542" s="356" t="s">
        <v>455</v>
      </c>
      <c r="E542" s="356" t="s">
        <v>456</v>
      </c>
      <c r="F542" s="23" t="s">
        <v>1754</v>
      </c>
      <c r="G542" s="23" t="s">
        <v>403</v>
      </c>
      <c r="H542" s="353">
        <v>323959</v>
      </c>
      <c r="I542" s="59"/>
      <c r="J542" s="59" t="s">
        <v>10511</v>
      </c>
      <c r="K542" s="20"/>
      <c r="L542" s="20">
        <v>1</v>
      </c>
      <c r="M542" s="357">
        <f>H542</f>
        <v>323959</v>
      </c>
      <c r="N542" s="411">
        <f>IFERROR((M542/(VLOOKUP(B542,'Data Pull Sheet'!$C:$H,6,FALSE))),"DC")</f>
        <v>7.1990888888888893E-4</v>
      </c>
      <c r="O542" s="23" t="s">
        <v>1204</v>
      </c>
      <c r="P542" s="92" t="s">
        <v>632</v>
      </c>
      <c r="Q542" s="92" t="s">
        <v>637</v>
      </c>
      <c r="R542" s="372" t="str">
        <f t="shared" si="18"/>
        <v/>
      </c>
    </row>
    <row r="543" spans="1:18" x14ac:dyDescent="0.25">
      <c r="A543" s="23" t="s">
        <v>51</v>
      </c>
      <c r="B543" s="18" t="s">
        <v>10506</v>
      </c>
      <c r="C543" s="59" t="s">
        <v>418</v>
      </c>
      <c r="D543" s="356" t="s">
        <v>455</v>
      </c>
      <c r="E543" s="356" t="s">
        <v>456</v>
      </c>
      <c r="F543" s="23" t="s">
        <v>348</v>
      </c>
      <c r="G543" s="23" t="s">
        <v>417</v>
      </c>
      <c r="H543" s="353">
        <v>1589377.91</v>
      </c>
      <c r="I543" s="59"/>
      <c r="J543" s="59" t="s">
        <v>10510</v>
      </c>
      <c r="K543" s="20"/>
      <c r="L543" s="20">
        <v>2</v>
      </c>
      <c r="M543" s="357">
        <f>SUM(H543:H544)</f>
        <v>3239923.61</v>
      </c>
      <c r="N543" s="411">
        <f>IFERROR((M543/(VLOOKUP(B543,'Data Pull Sheet'!$C:$H,6,FALSE))),"DC")</f>
        <v>7.1998302444444438E-3</v>
      </c>
      <c r="O543" s="23" t="s">
        <v>7</v>
      </c>
      <c r="P543" s="92" t="s">
        <v>632</v>
      </c>
      <c r="Q543" s="92" t="s">
        <v>640</v>
      </c>
      <c r="R543" s="372" t="str">
        <f t="shared" si="18"/>
        <v/>
      </c>
    </row>
    <row r="544" spans="1:18" x14ac:dyDescent="0.25">
      <c r="A544" s="23" t="s">
        <v>51</v>
      </c>
      <c r="B544" s="18" t="s">
        <v>10506</v>
      </c>
      <c r="C544" s="59" t="s">
        <v>418</v>
      </c>
      <c r="D544" s="356" t="s">
        <v>455</v>
      </c>
      <c r="E544" s="356" t="s">
        <v>456</v>
      </c>
      <c r="F544" s="23" t="s">
        <v>346</v>
      </c>
      <c r="G544" s="23" t="s">
        <v>417</v>
      </c>
      <c r="H544" s="353">
        <v>1650545.7</v>
      </c>
      <c r="I544" s="59"/>
      <c r="J544" s="59" t="s">
        <v>10509</v>
      </c>
      <c r="K544" s="20"/>
      <c r="L544" s="20"/>
      <c r="M544" s="357"/>
      <c r="N544" s="411"/>
      <c r="O544" s="23" t="s">
        <v>7</v>
      </c>
      <c r="P544" s="92" t="s">
        <v>632</v>
      </c>
      <c r="Q544" s="92" t="s">
        <v>640</v>
      </c>
      <c r="R544" s="372" t="str">
        <f t="shared" si="18"/>
        <v/>
      </c>
    </row>
    <row r="545" spans="1:18" x14ac:dyDescent="0.25">
      <c r="A545" s="23" t="s">
        <v>51</v>
      </c>
      <c r="B545" s="18" t="s">
        <v>10506</v>
      </c>
      <c r="C545" s="59" t="s">
        <v>418</v>
      </c>
      <c r="D545" s="356" t="s">
        <v>455</v>
      </c>
      <c r="E545" s="356" t="s">
        <v>456</v>
      </c>
      <c r="F545" s="23" t="s">
        <v>1749</v>
      </c>
      <c r="G545" s="23" t="s">
        <v>403</v>
      </c>
      <c r="H545" s="353">
        <v>78930.62</v>
      </c>
      <c r="I545" s="59" t="s">
        <v>476</v>
      </c>
      <c r="J545" s="59" t="s">
        <v>10508</v>
      </c>
      <c r="K545" s="20"/>
      <c r="L545" s="20">
        <v>1</v>
      </c>
      <c r="M545" s="357">
        <f>H545</f>
        <v>78930.62</v>
      </c>
      <c r="N545" s="411">
        <f>IFERROR((M545/(VLOOKUP(B545,'Data Pull Sheet'!$C:$H,6,FALSE))),"DC")</f>
        <v>1.7540137777777778E-4</v>
      </c>
      <c r="O545" s="23" t="s">
        <v>1328</v>
      </c>
      <c r="P545" s="92" t="s">
        <v>632</v>
      </c>
      <c r="Q545" s="92" t="s">
        <v>637</v>
      </c>
      <c r="R545" s="372" t="str">
        <f t="shared" si="18"/>
        <v/>
      </c>
    </row>
    <row r="546" spans="1:18" x14ac:dyDescent="0.25">
      <c r="A546" s="23" t="s">
        <v>51</v>
      </c>
      <c r="B546" s="18" t="s">
        <v>10506</v>
      </c>
      <c r="C546" s="59" t="s">
        <v>418</v>
      </c>
      <c r="D546" s="356" t="s">
        <v>455</v>
      </c>
      <c r="E546" s="356" t="s">
        <v>456</v>
      </c>
      <c r="F546" s="23" t="s">
        <v>1752</v>
      </c>
      <c r="G546" s="23" t="s">
        <v>403</v>
      </c>
      <c r="H546" s="353">
        <v>116943</v>
      </c>
      <c r="I546" s="59"/>
      <c r="J546" s="59" t="s">
        <v>10507</v>
      </c>
      <c r="K546" s="20"/>
      <c r="L546" s="20">
        <v>1</v>
      </c>
      <c r="M546" s="357">
        <f>H546</f>
        <v>116943</v>
      </c>
      <c r="N546" s="411">
        <f>IFERROR((M546/(VLOOKUP(B546,'Data Pull Sheet'!$C:$H,6,FALSE))),"DC")</f>
        <v>2.5987333333333336E-4</v>
      </c>
      <c r="O546" s="23" t="s">
        <v>849</v>
      </c>
      <c r="P546" s="92" t="s">
        <v>632</v>
      </c>
      <c r="Q546" s="92" t="s">
        <v>637</v>
      </c>
      <c r="R546" s="372" t="str">
        <f t="shared" si="18"/>
        <v/>
      </c>
    </row>
    <row r="547" spans="1:18" x14ac:dyDescent="0.25">
      <c r="A547" s="23" t="s">
        <v>300</v>
      </c>
      <c r="B547" s="18" t="str">
        <f>IF(ISNA(VLOOKUP($A547,'Data Pull Sheet'!$B$2:$C$1795,2,0)),"",(VLOOKUP($A547,'Data Pull Sheet'!$B$2:$C$1795,2,0)))</f>
        <v>GGB</v>
      </c>
      <c r="C547" s="59" t="s">
        <v>418</v>
      </c>
      <c r="D547" s="356" t="s">
        <v>588</v>
      </c>
      <c r="E547" s="356" t="s">
        <v>456</v>
      </c>
      <c r="F547" s="23" t="s">
        <v>2086</v>
      </c>
      <c r="G547" s="23" t="s">
        <v>417</v>
      </c>
      <c r="H547" s="353">
        <v>144929.15</v>
      </c>
      <c r="I547" s="59" t="s">
        <v>406</v>
      </c>
      <c r="J547" s="59" t="s">
        <v>2087</v>
      </c>
      <c r="K547" s="20">
        <v>5</v>
      </c>
      <c r="L547" s="20">
        <v>1</v>
      </c>
      <c r="M547" s="357">
        <f>H547</f>
        <v>144929.15</v>
      </c>
      <c r="N547" s="411">
        <f>IFERROR((M547/(VLOOKUP(B547,'Data Pull Sheet'!$C:$H,6,FALSE))),"DC")</f>
        <v>7.6278499999999998E-4</v>
      </c>
      <c r="O547" s="23" t="s">
        <v>407</v>
      </c>
      <c r="P547" s="92" t="s">
        <v>632</v>
      </c>
      <c r="Q547" s="92" t="s">
        <v>633</v>
      </c>
      <c r="R547" s="372" t="str">
        <f t="shared" si="18"/>
        <v/>
      </c>
    </row>
    <row r="548" spans="1:18" x14ac:dyDescent="0.25">
      <c r="A548" s="23" t="s">
        <v>300</v>
      </c>
      <c r="B548" s="18" t="str">
        <f>IF(ISNA(VLOOKUP($A548,'Data Pull Sheet'!$B$2:$C$1795,2,0)),"",(VLOOKUP($A548,'Data Pull Sheet'!$B$2:$C$1795,2,0)))</f>
        <v>GGB</v>
      </c>
      <c r="C548" s="59" t="s">
        <v>418</v>
      </c>
      <c r="D548" s="356" t="s">
        <v>588</v>
      </c>
      <c r="E548" s="356" t="s">
        <v>456</v>
      </c>
      <c r="F548" s="23" t="s">
        <v>2088</v>
      </c>
      <c r="G548" s="23" t="s">
        <v>417</v>
      </c>
      <c r="H548" s="353">
        <v>94760</v>
      </c>
      <c r="I548" s="59" t="s">
        <v>442</v>
      </c>
      <c r="J548" s="59" t="s">
        <v>2089</v>
      </c>
      <c r="K548" s="20"/>
      <c r="L548" s="20">
        <v>1</v>
      </c>
      <c r="M548" s="357">
        <f>H548</f>
        <v>94760</v>
      </c>
      <c r="N548" s="411">
        <f>IFERROR((M548/(VLOOKUP(B548,'Data Pull Sheet'!$C:$H,6,FALSE))),"DC")</f>
        <v>4.9873684210526318E-4</v>
      </c>
      <c r="O548" s="23" t="s">
        <v>4392</v>
      </c>
      <c r="P548" s="92" t="s">
        <v>632</v>
      </c>
      <c r="Q548" s="92" t="s">
        <v>633</v>
      </c>
      <c r="R548" s="372" t="str">
        <f t="shared" si="18"/>
        <v/>
      </c>
    </row>
    <row r="549" spans="1:18" x14ac:dyDescent="0.25">
      <c r="A549" s="23" t="s">
        <v>300</v>
      </c>
      <c r="B549" s="18" t="str">
        <f>IF(ISNA(VLOOKUP($A549,'Data Pull Sheet'!$B$2:$C$1795,2,0)),"",(VLOOKUP($A549,'Data Pull Sheet'!$B$2:$C$1795,2,0)))</f>
        <v>GGB</v>
      </c>
      <c r="C549" s="59" t="s">
        <v>418</v>
      </c>
      <c r="D549" s="356" t="s">
        <v>588</v>
      </c>
      <c r="E549" s="356" t="s">
        <v>456</v>
      </c>
      <c r="F549" s="23" t="s">
        <v>2090</v>
      </c>
      <c r="G549" s="23" t="s">
        <v>403</v>
      </c>
      <c r="H549" s="353">
        <v>144954.60999999999</v>
      </c>
      <c r="I549" s="59"/>
      <c r="J549" s="59" t="s">
        <v>2091</v>
      </c>
      <c r="K549" s="20"/>
      <c r="L549" s="20">
        <v>1</v>
      </c>
      <c r="M549" s="357">
        <f>H549</f>
        <v>144954.60999999999</v>
      </c>
      <c r="N549" s="411">
        <f>IFERROR((M549/(VLOOKUP(B549,'Data Pull Sheet'!$C:$H,6,FALSE))),"DC")</f>
        <v>7.6291899999999992E-4</v>
      </c>
      <c r="O549" s="23" t="s">
        <v>63</v>
      </c>
      <c r="P549" s="92" t="s">
        <v>632</v>
      </c>
      <c r="Q549" s="92" t="s">
        <v>637</v>
      </c>
      <c r="R549" s="372" t="str">
        <f t="shared" si="18"/>
        <v/>
      </c>
    </row>
    <row r="550" spans="1:18" x14ac:dyDescent="0.25">
      <c r="A550" s="23" t="s">
        <v>300</v>
      </c>
      <c r="B550" s="18" t="str">
        <f>IF(ISNA(VLOOKUP($A550,'Data Pull Sheet'!$B$2:$C$1795,2,0)),"",(VLOOKUP($A550,'Data Pull Sheet'!$B$2:$C$1795,2,0)))</f>
        <v>GGB</v>
      </c>
      <c r="C550" s="59" t="s">
        <v>418</v>
      </c>
      <c r="D550" s="356" t="s">
        <v>588</v>
      </c>
      <c r="E550" s="356" t="s">
        <v>456</v>
      </c>
      <c r="F550" s="23" t="s">
        <v>2092</v>
      </c>
      <c r="G550" s="23" t="s">
        <v>403</v>
      </c>
      <c r="H550" s="353">
        <v>60858.17</v>
      </c>
      <c r="I550" s="59"/>
      <c r="J550" s="59" t="s">
        <v>2093</v>
      </c>
      <c r="K550" s="20"/>
      <c r="L550" s="20">
        <v>2</v>
      </c>
      <c r="M550" s="357">
        <f>SUM(H550:H551)</f>
        <v>143116.09</v>
      </c>
      <c r="N550" s="411">
        <f>IFERROR((M550/(VLOOKUP(B550,'Data Pull Sheet'!$C:$H,6,FALSE))),"DC")</f>
        <v>7.5324257894736845E-4</v>
      </c>
      <c r="O550" s="23" t="s">
        <v>1443</v>
      </c>
      <c r="P550" s="92" t="s">
        <v>632</v>
      </c>
      <c r="Q550" s="92" t="s">
        <v>646</v>
      </c>
      <c r="R550" s="372" t="str">
        <f t="shared" si="18"/>
        <v/>
      </c>
    </row>
    <row r="551" spans="1:18" x14ac:dyDescent="0.25">
      <c r="A551" s="23" t="s">
        <v>300</v>
      </c>
      <c r="B551" s="18" t="str">
        <f>IF(ISNA(VLOOKUP($A551,'Data Pull Sheet'!$B$2:$C$1795,2,0)),"",(VLOOKUP($A551,'Data Pull Sheet'!$B$2:$C$1795,2,0)))</f>
        <v>GGB</v>
      </c>
      <c r="C551" s="59" t="s">
        <v>418</v>
      </c>
      <c r="D551" s="356" t="s">
        <v>588</v>
      </c>
      <c r="E551" s="356" t="s">
        <v>456</v>
      </c>
      <c r="F551" s="23" t="s">
        <v>2094</v>
      </c>
      <c r="G551" s="23" t="s">
        <v>403</v>
      </c>
      <c r="H551" s="353">
        <v>82257.919999999998</v>
      </c>
      <c r="I551" s="59"/>
      <c r="J551" s="59" t="s">
        <v>2095</v>
      </c>
      <c r="K551" s="20"/>
      <c r="L551" s="20"/>
      <c r="M551" s="357"/>
      <c r="N551" s="411"/>
      <c r="O551" s="23" t="s">
        <v>1443</v>
      </c>
      <c r="P551" s="92" t="s">
        <v>632</v>
      </c>
      <c r="Q551" s="92" t="s">
        <v>646</v>
      </c>
      <c r="R551" s="372" t="str">
        <f t="shared" si="18"/>
        <v/>
      </c>
    </row>
    <row r="552" spans="1:18" ht="30" x14ac:dyDescent="0.25">
      <c r="A552" s="23" t="s">
        <v>300</v>
      </c>
      <c r="B552" s="18" t="str">
        <f>IF(ISNA(VLOOKUP($A552,'Data Pull Sheet'!$B$2:$C$1795,2,0)),"",(VLOOKUP($A552,'Data Pull Sheet'!$B$2:$C$1795,2,0)))</f>
        <v>GGB</v>
      </c>
      <c r="C552" s="59" t="s">
        <v>418</v>
      </c>
      <c r="D552" s="356" t="s">
        <v>588</v>
      </c>
      <c r="E552" s="356" t="s">
        <v>456</v>
      </c>
      <c r="F552" s="23" t="s">
        <v>298</v>
      </c>
      <c r="G552" s="23" t="s">
        <v>417</v>
      </c>
      <c r="H552" s="353">
        <v>1407110.19</v>
      </c>
      <c r="I552" s="59"/>
      <c r="J552" s="59" t="s">
        <v>2096</v>
      </c>
      <c r="K552" s="20"/>
      <c r="L552" s="20">
        <v>1</v>
      </c>
      <c r="M552" s="357">
        <f>H552</f>
        <v>1407110.19</v>
      </c>
      <c r="N552" s="411">
        <f>IFERROR((M552/(VLOOKUP(B552,'Data Pull Sheet'!$C:$H,6,FALSE))),"DC")</f>
        <v>7.4058431052631572E-3</v>
      </c>
      <c r="O552" s="23" t="s">
        <v>7</v>
      </c>
      <c r="P552" s="92" t="s">
        <v>632</v>
      </c>
      <c r="Q552" s="92" t="s">
        <v>633</v>
      </c>
      <c r="R552" s="372" t="str">
        <f t="shared" si="18"/>
        <v>FF</v>
      </c>
    </row>
    <row r="553" spans="1:18" ht="30" x14ac:dyDescent="0.25">
      <c r="A553" s="23" t="s">
        <v>321</v>
      </c>
      <c r="B553" s="18" t="str">
        <f>IF(ISNA(VLOOKUP($A553,'Data Pull Sheet'!$B$2:$C$1795,2,0)),"",(VLOOKUP($A553,'Data Pull Sheet'!$B$2:$C$1795,2,0)))</f>
        <v>TNGO</v>
      </c>
      <c r="C553" s="59" t="s">
        <v>511</v>
      </c>
      <c r="D553" s="356" t="s">
        <v>594</v>
      </c>
      <c r="E553" s="356" t="s">
        <v>456</v>
      </c>
      <c r="F553" s="23" t="s">
        <v>318</v>
      </c>
      <c r="G553" s="23" t="s">
        <v>417</v>
      </c>
      <c r="H553" s="353">
        <v>16160.11</v>
      </c>
      <c r="I553" s="59"/>
      <c r="J553" s="59" t="s">
        <v>3670</v>
      </c>
      <c r="K553" s="20">
        <v>2</v>
      </c>
      <c r="L553" s="20">
        <v>1</v>
      </c>
      <c r="M553" s="357">
        <f>H553</f>
        <v>16160.11</v>
      </c>
      <c r="N553" s="411">
        <f>IFERROR((M553/(VLOOKUP(B553,'Data Pull Sheet'!$C:$H,6,FALSE))),"DC")</f>
        <v>1.0773406666666667E-3</v>
      </c>
      <c r="O553" s="23" t="s">
        <v>3671</v>
      </c>
      <c r="P553" s="92" t="s">
        <v>632</v>
      </c>
      <c r="Q553" s="92" t="s">
        <v>633</v>
      </c>
      <c r="R553" s="372" t="str">
        <f t="shared" si="18"/>
        <v>FF</v>
      </c>
    </row>
    <row r="554" spans="1:18" x14ac:dyDescent="0.25">
      <c r="A554" s="23" t="s">
        <v>321</v>
      </c>
      <c r="B554" s="18" t="str">
        <f>IF(ISNA(VLOOKUP($A554,'Data Pull Sheet'!$B$2:$C$1795,2,0)),"",(VLOOKUP($A554,'Data Pull Sheet'!$B$2:$C$1795,2,0)))</f>
        <v>TNGO</v>
      </c>
      <c r="C554" s="59" t="s">
        <v>511</v>
      </c>
      <c r="D554" s="356" t="s">
        <v>594</v>
      </c>
      <c r="E554" s="356" t="s">
        <v>456</v>
      </c>
      <c r="F554" s="23" t="s">
        <v>3672</v>
      </c>
      <c r="G554" s="23" t="s">
        <v>403</v>
      </c>
      <c r="H554" s="353">
        <v>7710</v>
      </c>
      <c r="I554" s="59"/>
      <c r="J554" s="59" t="s">
        <v>3673</v>
      </c>
      <c r="K554" s="20"/>
      <c r="L554" s="20">
        <v>1</v>
      </c>
      <c r="M554" s="357">
        <f>H554</f>
        <v>7710</v>
      </c>
      <c r="N554" s="411">
        <f>IFERROR((M554/(VLOOKUP(B554,'Data Pull Sheet'!$C:$H,6,FALSE))),"DC")</f>
        <v>5.1400000000000003E-4</v>
      </c>
      <c r="O554" s="23" t="s">
        <v>60</v>
      </c>
      <c r="P554" s="92" t="s">
        <v>632</v>
      </c>
      <c r="Q554" s="92" t="s">
        <v>637</v>
      </c>
      <c r="R554" s="372" t="str">
        <f t="shared" si="18"/>
        <v/>
      </c>
    </row>
    <row r="555" spans="1:18" x14ac:dyDescent="0.25">
      <c r="A555" s="23" t="s">
        <v>3989</v>
      </c>
      <c r="B555" s="18" t="str">
        <f>IF(ISNA(VLOOKUP($A555,'Data Pull Sheet'!$B$2:$C$1795,2,0)),"",(VLOOKUP($A555,'Data Pull Sheet'!$B$2:$C$1795,2,0)))</f>
        <v>UNIS</v>
      </c>
      <c r="C555" s="59" t="s">
        <v>418</v>
      </c>
      <c r="D555" s="356" t="s">
        <v>588</v>
      </c>
      <c r="E555" s="356" t="s">
        <v>456</v>
      </c>
      <c r="F555" s="23" t="s">
        <v>3990</v>
      </c>
      <c r="G555" s="23" t="s">
        <v>403</v>
      </c>
      <c r="H555" s="353">
        <v>456576.58</v>
      </c>
      <c r="I555" s="59"/>
      <c r="J555" s="59" t="s">
        <v>3991</v>
      </c>
      <c r="K555" s="20">
        <v>2</v>
      </c>
      <c r="L555" s="20">
        <v>2</v>
      </c>
      <c r="M555" s="357">
        <f>SUM(H555:H556)</f>
        <v>1178896.8600000001</v>
      </c>
      <c r="N555" s="411">
        <f>IFERROR((M555/(VLOOKUP(B555,'Data Pull Sheet'!$C:$H,6,FALSE))),"DC")</f>
        <v>4.5342186923076927E-2</v>
      </c>
      <c r="O555" s="23" t="s">
        <v>885</v>
      </c>
      <c r="P555" s="92" t="s">
        <v>632</v>
      </c>
      <c r="Q555" s="92" t="s">
        <v>646</v>
      </c>
      <c r="R555" s="372" t="str">
        <f t="shared" si="18"/>
        <v/>
      </c>
    </row>
    <row r="556" spans="1:18" x14ac:dyDescent="0.25">
      <c r="A556" s="23" t="s">
        <v>3989</v>
      </c>
      <c r="B556" s="18" t="str">
        <f>IF(ISNA(VLOOKUP($A556,'Data Pull Sheet'!$B$2:$C$1795,2,0)),"",(VLOOKUP($A556,'Data Pull Sheet'!$B$2:$C$1795,2,0)))</f>
        <v>UNIS</v>
      </c>
      <c r="C556" s="59" t="s">
        <v>418</v>
      </c>
      <c r="D556" s="356" t="s">
        <v>588</v>
      </c>
      <c r="E556" s="356" t="s">
        <v>456</v>
      </c>
      <c r="F556" s="23" t="s">
        <v>3992</v>
      </c>
      <c r="G556" s="23" t="s">
        <v>403</v>
      </c>
      <c r="H556" s="353">
        <v>722320.28</v>
      </c>
      <c r="I556" s="59"/>
      <c r="J556" s="59" t="s">
        <v>3993</v>
      </c>
      <c r="K556" s="20"/>
      <c r="L556" s="20"/>
      <c r="M556" s="357"/>
      <c r="N556" s="411"/>
      <c r="O556" s="23" t="s">
        <v>885</v>
      </c>
      <c r="P556" s="92" t="s">
        <v>632</v>
      </c>
      <c r="Q556" s="92" t="s">
        <v>646</v>
      </c>
      <c r="R556" s="372" t="str">
        <f t="shared" si="18"/>
        <v/>
      </c>
    </row>
    <row r="557" spans="1:18" x14ac:dyDescent="0.25">
      <c r="A557" s="23" t="s">
        <v>3989</v>
      </c>
      <c r="B557" s="18" t="str">
        <f>IF(ISNA(VLOOKUP($A557,'Data Pull Sheet'!$B$2:$C$1795,2,0)),"",(VLOOKUP($A557,'Data Pull Sheet'!$B$2:$C$1795,2,0)))</f>
        <v>UNIS</v>
      </c>
      <c r="C557" s="59" t="s">
        <v>418</v>
      </c>
      <c r="D557" s="356" t="s">
        <v>588</v>
      </c>
      <c r="E557" s="356" t="s">
        <v>456</v>
      </c>
      <c r="F557" s="23" t="s">
        <v>3994</v>
      </c>
      <c r="G557" s="23" t="s">
        <v>403</v>
      </c>
      <c r="H557" s="353">
        <v>43190</v>
      </c>
      <c r="I557" s="59"/>
      <c r="J557" s="59" t="s">
        <v>3995</v>
      </c>
      <c r="K557" s="20"/>
      <c r="L557" s="20">
        <v>1</v>
      </c>
      <c r="M557" s="357">
        <f>H557</f>
        <v>43190</v>
      </c>
      <c r="N557" s="411">
        <f>IFERROR((M557/(VLOOKUP(B557,'Data Pull Sheet'!$C:$H,6,FALSE))),"DC")</f>
        <v>1.6611538461538461E-3</v>
      </c>
      <c r="O557" s="23" t="s">
        <v>192</v>
      </c>
      <c r="P557" s="92" t="s">
        <v>632</v>
      </c>
      <c r="Q557" s="92" t="s">
        <v>637</v>
      </c>
      <c r="R557" s="372" t="str">
        <f t="shared" si="18"/>
        <v/>
      </c>
    </row>
    <row r="558" spans="1:18" x14ac:dyDescent="0.25">
      <c r="A558" s="23" t="s">
        <v>154</v>
      </c>
      <c r="B558" s="18" t="str">
        <f>IF(ISNA(VLOOKUP($A558,'Data Pull Sheet'!$B$2:$C$1795,2,0)),"",(VLOOKUP($A558,'Data Pull Sheet'!$B$2:$C$1795,2,0)))</f>
        <v>CBL</v>
      </c>
      <c r="C558" s="59" t="s">
        <v>515</v>
      </c>
      <c r="D558" s="356" t="s">
        <v>445</v>
      </c>
      <c r="E558" s="356" t="s">
        <v>516</v>
      </c>
      <c r="F558" s="23" t="s">
        <v>1174</v>
      </c>
      <c r="G558" s="23" t="s">
        <v>417</v>
      </c>
      <c r="H558" s="353">
        <v>6373736.3899999997</v>
      </c>
      <c r="I558" s="59" t="s">
        <v>413</v>
      </c>
      <c r="J558" s="59" t="s">
        <v>1175</v>
      </c>
      <c r="K558" s="20">
        <v>6</v>
      </c>
      <c r="L558" s="20">
        <v>1</v>
      </c>
      <c r="M558" s="357">
        <f>H558</f>
        <v>6373736.3899999997</v>
      </c>
      <c r="N558" s="411">
        <f>IFERROR((M558/(VLOOKUP(B558,'Data Pull Sheet'!$C:$H,6,FALSE))),"DC")</f>
        <v>4.9028741461538461E-2</v>
      </c>
      <c r="O558" s="23" t="s">
        <v>1176</v>
      </c>
      <c r="P558" s="92" t="s">
        <v>632</v>
      </c>
      <c r="Q558" s="92" t="s">
        <v>633</v>
      </c>
      <c r="R558" s="372" t="str">
        <f t="shared" si="18"/>
        <v/>
      </c>
    </row>
    <row r="559" spans="1:18" ht="30" x14ac:dyDescent="0.25">
      <c r="A559" s="23" t="s">
        <v>154</v>
      </c>
      <c r="B559" s="18" t="str">
        <f>IF(ISNA(VLOOKUP($A559,'Data Pull Sheet'!$B$2:$C$1795,2,0)),"",(VLOOKUP($A559,'Data Pull Sheet'!$B$2:$C$1795,2,0)))</f>
        <v>CBL</v>
      </c>
      <c r="C559" s="59" t="s">
        <v>515</v>
      </c>
      <c r="D559" s="356" t="s">
        <v>445</v>
      </c>
      <c r="E559" s="356" t="s">
        <v>516</v>
      </c>
      <c r="F559" s="23" t="s">
        <v>1177</v>
      </c>
      <c r="G559" s="23" t="s">
        <v>417</v>
      </c>
      <c r="H559" s="353">
        <v>328485.93</v>
      </c>
      <c r="I559" s="59" t="s">
        <v>413</v>
      </c>
      <c r="J559" s="59" t="s">
        <v>1178</v>
      </c>
      <c r="K559" s="20"/>
      <c r="L559" s="20">
        <v>2</v>
      </c>
      <c r="M559" s="357">
        <f>SUM(H559:H560)</f>
        <v>412232.20999999996</v>
      </c>
      <c r="N559" s="411">
        <f>IFERROR((M559/(VLOOKUP(B559,'Data Pull Sheet'!$C:$H,6,FALSE))),"DC")</f>
        <v>3.1710169999999995E-3</v>
      </c>
      <c r="O559" s="23" t="s">
        <v>1179</v>
      </c>
      <c r="P559" s="92" t="s">
        <v>632</v>
      </c>
      <c r="Q559" s="92" t="s">
        <v>640</v>
      </c>
      <c r="R559" s="372" t="str">
        <f t="shared" si="18"/>
        <v/>
      </c>
    </row>
    <row r="560" spans="1:18" ht="30" x14ac:dyDescent="0.25">
      <c r="A560" s="23" t="s">
        <v>154</v>
      </c>
      <c r="B560" s="18" t="str">
        <f>IF(ISNA(VLOOKUP($A560,'Data Pull Sheet'!$B$2:$C$1795,2,0)),"",(VLOOKUP($A560,'Data Pull Sheet'!$B$2:$C$1795,2,0)))</f>
        <v>CBL</v>
      </c>
      <c r="C560" s="59" t="s">
        <v>515</v>
      </c>
      <c r="D560" s="356" t="s">
        <v>445</v>
      </c>
      <c r="E560" s="356" t="s">
        <v>516</v>
      </c>
      <c r="F560" s="23" t="s">
        <v>156</v>
      </c>
      <c r="G560" s="23" t="s">
        <v>417</v>
      </c>
      <c r="H560" s="353">
        <v>83746.28</v>
      </c>
      <c r="I560" s="59"/>
      <c r="J560" s="59" t="s">
        <v>1180</v>
      </c>
      <c r="K560" s="20"/>
      <c r="L560" s="20"/>
      <c r="M560" s="357"/>
      <c r="N560" s="411"/>
      <c r="O560" s="23" t="s">
        <v>1179</v>
      </c>
      <c r="P560" s="92" t="s">
        <v>632</v>
      </c>
      <c r="Q560" s="92" t="s">
        <v>640</v>
      </c>
      <c r="R560" s="372" t="str">
        <f t="shared" si="18"/>
        <v>FF</v>
      </c>
    </row>
    <row r="561" spans="1:18" ht="30" x14ac:dyDescent="0.25">
      <c r="A561" s="23" t="s">
        <v>154</v>
      </c>
      <c r="B561" s="18" t="str">
        <f>IF(ISNA(VLOOKUP($A561,'Data Pull Sheet'!$B$2:$C$1795,2,0)),"",(VLOOKUP($A561,'Data Pull Sheet'!$B$2:$C$1795,2,0)))</f>
        <v>CBL</v>
      </c>
      <c r="C561" s="59" t="s">
        <v>515</v>
      </c>
      <c r="D561" s="356" t="s">
        <v>445</v>
      </c>
      <c r="E561" s="356" t="s">
        <v>516</v>
      </c>
      <c r="F561" s="23" t="s">
        <v>152</v>
      </c>
      <c r="G561" s="23" t="s">
        <v>417</v>
      </c>
      <c r="H561" s="353">
        <v>778734.32</v>
      </c>
      <c r="I561" s="59" t="s">
        <v>413</v>
      </c>
      <c r="J561" s="59" t="s">
        <v>1181</v>
      </c>
      <c r="K561" s="20"/>
      <c r="L561" s="20">
        <v>2</v>
      </c>
      <c r="M561" s="357">
        <f>SUM(H561:H562)</f>
        <v>1807523.02</v>
      </c>
      <c r="N561" s="411">
        <f>IFERROR((M561/(VLOOKUP(B561,'Data Pull Sheet'!$C:$H,6,FALSE))),"DC")</f>
        <v>1.3904023230769232E-2</v>
      </c>
      <c r="O561" s="23" t="s">
        <v>10817</v>
      </c>
      <c r="P561" s="92" t="s">
        <v>632</v>
      </c>
      <c r="Q561" s="92" t="s">
        <v>640</v>
      </c>
      <c r="R561" s="372" t="str">
        <f t="shared" si="18"/>
        <v>FF</v>
      </c>
    </row>
    <row r="562" spans="1:18" ht="30" x14ac:dyDescent="0.25">
      <c r="A562" s="23" t="s">
        <v>154</v>
      </c>
      <c r="B562" s="18" t="str">
        <f>IF(ISNA(VLOOKUP($A562,'Data Pull Sheet'!$B$2:$C$1795,2,0)),"",(VLOOKUP($A562,'Data Pull Sheet'!$B$2:$C$1795,2,0)))</f>
        <v>CBL</v>
      </c>
      <c r="C562" s="59" t="s">
        <v>515</v>
      </c>
      <c r="D562" s="356" t="s">
        <v>445</v>
      </c>
      <c r="E562" s="356" t="s">
        <v>516</v>
      </c>
      <c r="F562" s="23" t="s">
        <v>1183</v>
      </c>
      <c r="G562" s="23" t="s">
        <v>417</v>
      </c>
      <c r="H562" s="353">
        <v>1028788.7</v>
      </c>
      <c r="I562" s="59" t="s">
        <v>476</v>
      </c>
      <c r="J562" s="59" t="s">
        <v>1184</v>
      </c>
      <c r="K562" s="20"/>
      <c r="L562" s="20"/>
      <c r="M562" s="357"/>
      <c r="N562" s="411"/>
      <c r="O562" s="23" t="s">
        <v>10817</v>
      </c>
      <c r="P562" s="92" t="s">
        <v>632</v>
      </c>
      <c r="Q562" s="92" t="s">
        <v>640</v>
      </c>
      <c r="R562" s="372" t="str">
        <f t="shared" si="18"/>
        <v>FF</v>
      </c>
    </row>
    <row r="563" spans="1:18" x14ac:dyDescent="0.25">
      <c r="A563" s="23" t="s">
        <v>154</v>
      </c>
      <c r="B563" s="18" t="str">
        <f>IF(ISNA(VLOOKUP($A563,'Data Pull Sheet'!$B$2:$C$1795,2,0)),"",(VLOOKUP($A563,'Data Pull Sheet'!$B$2:$C$1795,2,0)))</f>
        <v>CBL</v>
      </c>
      <c r="C563" s="59" t="s">
        <v>515</v>
      </c>
      <c r="D563" s="356" t="s">
        <v>445</v>
      </c>
      <c r="E563" s="356" t="s">
        <v>516</v>
      </c>
      <c r="F563" s="23" t="s">
        <v>327</v>
      </c>
      <c r="G563" s="23" t="s">
        <v>417</v>
      </c>
      <c r="H563" s="353">
        <v>4124236.12</v>
      </c>
      <c r="I563" s="59" t="s">
        <v>442</v>
      </c>
      <c r="J563" s="59" t="s">
        <v>1185</v>
      </c>
      <c r="K563" s="20"/>
      <c r="L563" s="20">
        <v>1</v>
      </c>
      <c r="M563" s="357">
        <f>H563</f>
        <v>4124236.12</v>
      </c>
      <c r="N563" s="411">
        <f>IFERROR((M563/(VLOOKUP(B563,'Data Pull Sheet'!$C:$H,6,FALSE))),"DC")</f>
        <v>3.1724893230769234E-2</v>
      </c>
      <c r="O563" s="23" t="s">
        <v>1186</v>
      </c>
      <c r="P563" s="92" t="s">
        <v>632</v>
      </c>
      <c r="Q563" s="92" t="s">
        <v>633</v>
      </c>
      <c r="R563" s="372" t="str">
        <f t="shared" si="18"/>
        <v>FF</v>
      </c>
    </row>
    <row r="564" spans="1:18" x14ac:dyDescent="0.25">
      <c r="A564" s="23" t="s">
        <v>154</v>
      </c>
      <c r="B564" s="18" t="str">
        <f>IF(ISNA(VLOOKUP($A564,'Data Pull Sheet'!$B$2:$C$1795,2,0)),"",(VLOOKUP($A564,'Data Pull Sheet'!$B$2:$C$1795,2,0)))</f>
        <v>CBL</v>
      </c>
      <c r="C564" s="59" t="s">
        <v>515</v>
      </c>
      <c r="D564" s="356" t="s">
        <v>445</v>
      </c>
      <c r="E564" s="356" t="s">
        <v>516</v>
      </c>
      <c r="F564" s="23" t="s">
        <v>1187</v>
      </c>
      <c r="G564" s="23" t="s">
        <v>403</v>
      </c>
      <c r="H564" s="353">
        <v>189645</v>
      </c>
      <c r="I564" s="59"/>
      <c r="J564" s="59" t="s">
        <v>1188</v>
      </c>
      <c r="K564" s="20"/>
      <c r="L564" s="20">
        <v>1</v>
      </c>
      <c r="M564" s="357">
        <f>H564</f>
        <v>189645</v>
      </c>
      <c r="N564" s="411">
        <f>IFERROR((M564/(VLOOKUP(B564,'Data Pull Sheet'!$C:$H,6,FALSE))),"DC")</f>
        <v>1.4588076923076924E-3</v>
      </c>
      <c r="O564" s="23" t="s">
        <v>1189</v>
      </c>
      <c r="P564" s="92" t="s">
        <v>632</v>
      </c>
      <c r="Q564" s="92" t="s">
        <v>637</v>
      </c>
      <c r="R564" s="372" t="str">
        <f t="shared" si="18"/>
        <v/>
      </c>
    </row>
    <row r="565" spans="1:18" ht="30" x14ac:dyDescent="0.25">
      <c r="A565" s="23" t="s">
        <v>154</v>
      </c>
      <c r="B565" s="18" t="str">
        <f>IF(ISNA(VLOOKUP($A565,'Data Pull Sheet'!$B$2:$C$1795,2,0)),"",(VLOOKUP($A565,'Data Pull Sheet'!$B$2:$C$1795,2,0)))</f>
        <v>CBL</v>
      </c>
      <c r="C565" s="59" t="s">
        <v>515</v>
      </c>
      <c r="D565" s="356" t="s">
        <v>445</v>
      </c>
      <c r="E565" s="356" t="s">
        <v>516</v>
      </c>
      <c r="F565" s="23" t="s">
        <v>291</v>
      </c>
      <c r="G565" s="23" t="s">
        <v>417</v>
      </c>
      <c r="H565" s="353">
        <v>2953426.02</v>
      </c>
      <c r="I565" s="59" t="s">
        <v>413</v>
      </c>
      <c r="J565" s="59" t="s">
        <v>1190</v>
      </c>
      <c r="K565" s="20"/>
      <c r="L565" s="20">
        <v>1</v>
      </c>
      <c r="M565" s="357">
        <f>H565</f>
        <v>2953426.02</v>
      </c>
      <c r="N565" s="411">
        <f>IFERROR((M565/(VLOOKUP(B565,'Data Pull Sheet'!$C:$H,6,FALSE))),"DC")</f>
        <v>2.2718661692307691E-2</v>
      </c>
      <c r="O565" s="23" t="s">
        <v>1191</v>
      </c>
      <c r="P565" s="92" t="s">
        <v>632</v>
      </c>
      <c r="Q565" s="92" t="s">
        <v>633</v>
      </c>
      <c r="R565" s="372" t="str">
        <f t="shared" si="18"/>
        <v>FF</v>
      </c>
    </row>
    <row r="566" spans="1:18" x14ac:dyDescent="0.25">
      <c r="A566" s="23" t="s">
        <v>1701</v>
      </c>
      <c r="B566" s="18" t="str">
        <f>IF(ISNA(VLOOKUP($A566,'Data Pull Sheet'!$B$2:$C$1795,2,0)),"",(VLOOKUP($A566,'Data Pull Sheet'!$B$2:$C$1795,2,0)))</f>
        <v>EGRX</v>
      </c>
      <c r="C566" s="59" t="s">
        <v>424</v>
      </c>
      <c r="D566" s="356" t="s">
        <v>486</v>
      </c>
      <c r="E566" s="356" t="s">
        <v>1702</v>
      </c>
      <c r="F566" s="23" t="s">
        <v>1703</v>
      </c>
      <c r="G566" s="23" t="s">
        <v>403</v>
      </c>
      <c r="H566" s="353">
        <v>1301</v>
      </c>
      <c r="I566" s="59" t="s">
        <v>406</v>
      </c>
      <c r="J566" s="59" t="s">
        <v>1704</v>
      </c>
      <c r="K566" s="20">
        <v>1</v>
      </c>
      <c r="L566" s="20">
        <v>3</v>
      </c>
      <c r="M566" s="357">
        <f>SUM(H566:H568)</f>
        <v>23954</v>
      </c>
      <c r="N566" s="411">
        <f>IFERROR((M566/(VLOOKUP(B566,'Data Pull Sheet'!$C:$H,6,FALSE))),"DC")</f>
        <v>1.1976999999999999E-3</v>
      </c>
      <c r="O566" s="23" t="s">
        <v>309</v>
      </c>
      <c r="P566" s="92" t="s">
        <v>676</v>
      </c>
      <c r="Q566" s="92" t="s">
        <v>646</v>
      </c>
      <c r="R566" s="372" t="str">
        <f t="shared" si="18"/>
        <v/>
      </c>
    </row>
    <row r="567" spans="1:18" x14ac:dyDescent="0.25">
      <c r="A567" s="23" t="s">
        <v>1701</v>
      </c>
      <c r="B567" s="18" t="str">
        <f>IF(ISNA(VLOOKUP($A567,'Data Pull Sheet'!$B$2:$C$1795,2,0)),"",(VLOOKUP($A567,'Data Pull Sheet'!$B$2:$C$1795,2,0)))</f>
        <v>EGRX</v>
      </c>
      <c r="C567" s="59" t="s">
        <v>424</v>
      </c>
      <c r="D567" s="356" t="s">
        <v>486</v>
      </c>
      <c r="E567" s="356" t="s">
        <v>1702</v>
      </c>
      <c r="F567" s="23" t="s">
        <v>1705</v>
      </c>
      <c r="G567" s="23" t="s">
        <v>403</v>
      </c>
      <c r="H567" s="353">
        <v>10705</v>
      </c>
      <c r="I567" s="59" t="s">
        <v>406</v>
      </c>
      <c r="J567" s="59" t="s">
        <v>1706</v>
      </c>
      <c r="K567" s="20"/>
      <c r="L567" s="20"/>
      <c r="M567" s="357"/>
      <c r="N567" s="411"/>
      <c r="O567" s="23" t="s">
        <v>309</v>
      </c>
      <c r="P567" s="92" t="s">
        <v>676</v>
      </c>
      <c r="Q567" s="92" t="s">
        <v>646</v>
      </c>
      <c r="R567" s="372" t="str">
        <f t="shared" si="18"/>
        <v/>
      </c>
    </row>
    <row r="568" spans="1:18" x14ac:dyDescent="0.25">
      <c r="A568" s="23" t="s">
        <v>1701</v>
      </c>
      <c r="B568" s="18" t="str">
        <f>IF(ISNA(VLOOKUP($A568,'Data Pull Sheet'!$B$2:$C$1795,2,0)),"",(VLOOKUP($A568,'Data Pull Sheet'!$B$2:$C$1795,2,0)))</f>
        <v>EGRX</v>
      </c>
      <c r="C568" s="59" t="s">
        <v>424</v>
      </c>
      <c r="D568" s="356" t="s">
        <v>486</v>
      </c>
      <c r="E568" s="356" t="s">
        <v>1702</v>
      </c>
      <c r="F568" s="23" t="s">
        <v>1707</v>
      </c>
      <c r="G568" s="23" t="s">
        <v>403</v>
      </c>
      <c r="H568" s="353">
        <v>11948</v>
      </c>
      <c r="I568" s="59" t="s">
        <v>406</v>
      </c>
      <c r="J568" s="59" t="s">
        <v>1708</v>
      </c>
      <c r="K568" s="20"/>
      <c r="L568" s="20"/>
      <c r="M568" s="357"/>
      <c r="N568" s="411"/>
      <c r="O568" s="23" t="s">
        <v>309</v>
      </c>
      <c r="P568" s="92" t="s">
        <v>676</v>
      </c>
      <c r="Q568" s="92" t="s">
        <v>646</v>
      </c>
      <c r="R568" s="372" t="str">
        <f t="shared" si="18"/>
        <v/>
      </c>
    </row>
    <row r="569" spans="1:18" ht="30" x14ac:dyDescent="0.25">
      <c r="A569" s="23" t="s">
        <v>3868</v>
      </c>
      <c r="B569" s="18" t="str">
        <f>IF(ISNA(VLOOKUP($A569,'Data Pull Sheet'!$B$2:$C$1795,2,0)),"",(VLOOKUP($A569,'Data Pull Sheet'!$B$2:$C$1795,2,0)))</f>
        <v>TRXC</v>
      </c>
      <c r="C569" s="59" t="s">
        <v>3869</v>
      </c>
      <c r="D569" s="356" t="s">
        <v>3870</v>
      </c>
      <c r="E569" s="356" t="s">
        <v>1702</v>
      </c>
      <c r="F569" s="23" t="s">
        <v>3871</v>
      </c>
      <c r="G569" s="23" t="s">
        <v>403</v>
      </c>
      <c r="H569" s="353">
        <v>8802</v>
      </c>
      <c r="I569" s="59"/>
      <c r="J569" s="59" t="s">
        <v>3872</v>
      </c>
      <c r="K569" s="20">
        <v>7</v>
      </c>
      <c r="L569" s="20">
        <v>4</v>
      </c>
      <c r="M569" s="357">
        <f>SUM(H569:H572)</f>
        <v>120799</v>
      </c>
      <c r="N569" s="411">
        <f>IFERROR((M569/(VLOOKUP(B569,'Data Pull Sheet'!$C:$H,6,FALSE))),"DC")</f>
        <v>3.0199749999999998E-3</v>
      </c>
      <c r="O569" s="23" t="s">
        <v>3873</v>
      </c>
      <c r="P569" s="92" t="s">
        <v>632</v>
      </c>
      <c r="Q569" s="92" t="s">
        <v>646</v>
      </c>
      <c r="R569" s="372" t="str">
        <f t="shared" si="18"/>
        <v/>
      </c>
    </row>
    <row r="570" spans="1:18" ht="30" x14ac:dyDescent="0.25">
      <c r="A570" s="23" t="s">
        <v>3868</v>
      </c>
      <c r="B570" s="18" t="str">
        <f>IF(ISNA(VLOOKUP($A570,'Data Pull Sheet'!$B$2:$C$1795,2,0)),"",(VLOOKUP($A570,'Data Pull Sheet'!$B$2:$C$1795,2,0)))</f>
        <v>TRXC</v>
      </c>
      <c r="C570" s="59" t="s">
        <v>3869</v>
      </c>
      <c r="D570" s="356" t="s">
        <v>3870</v>
      </c>
      <c r="E570" s="356" t="s">
        <v>1702</v>
      </c>
      <c r="F570" s="23" t="s">
        <v>3874</v>
      </c>
      <c r="G570" s="23" t="s">
        <v>403</v>
      </c>
      <c r="H570" s="353">
        <v>18333</v>
      </c>
      <c r="I570" s="59"/>
      <c r="J570" s="59" t="s">
        <v>3875</v>
      </c>
      <c r="K570" s="20"/>
      <c r="L570" s="20"/>
      <c r="M570" s="357"/>
      <c r="N570" s="411"/>
      <c r="O570" s="23" t="s">
        <v>3873</v>
      </c>
      <c r="P570" s="92" t="s">
        <v>632</v>
      </c>
      <c r="Q570" s="92" t="s">
        <v>646</v>
      </c>
      <c r="R570" s="372" t="str">
        <f t="shared" si="18"/>
        <v/>
      </c>
    </row>
    <row r="571" spans="1:18" ht="30" x14ac:dyDescent="0.25">
      <c r="A571" s="23" t="s">
        <v>3868</v>
      </c>
      <c r="B571" s="18" t="str">
        <f>IF(ISNA(VLOOKUP($A571,'Data Pull Sheet'!$B$2:$C$1795,2,0)),"",(VLOOKUP($A571,'Data Pull Sheet'!$B$2:$C$1795,2,0)))</f>
        <v>TRXC</v>
      </c>
      <c r="C571" s="59" t="s">
        <v>3869</v>
      </c>
      <c r="D571" s="356" t="s">
        <v>3870</v>
      </c>
      <c r="E571" s="356" t="s">
        <v>1702</v>
      </c>
      <c r="F571" s="23" t="s">
        <v>3876</v>
      </c>
      <c r="G571" s="23" t="s">
        <v>403</v>
      </c>
      <c r="H571" s="353">
        <v>41125</v>
      </c>
      <c r="I571" s="59"/>
      <c r="J571" s="59" t="s">
        <v>3877</v>
      </c>
      <c r="K571" s="20"/>
      <c r="L571" s="20"/>
      <c r="M571" s="357"/>
      <c r="N571" s="411"/>
      <c r="O571" s="23" t="s">
        <v>3873</v>
      </c>
      <c r="P571" s="92" t="s">
        <v>632</v>
      </c>
      <c r="Q571" s="92" t="s">
        <v>646</v>
      </c>
      <c r="R571" s="372" t="str">
        <f t="shared" si="18"/>
        <v/>
      </c>
    </row>
    <row r="572" spans="1:18" ht="30" x14ac:dyDescent="0.25">
      <c r="A572" s="23" t="s">
        <v>3868</v>
      </c>
      <c r="B572" s="18" t="str">
        <f>IF(ISNA(VLOOKUP($A572,'Data Pull Sheet'!$B$2:$C$1795,2,0)),"",(VLOOKUP($A572,'Data Pull Sheet'!$B$2:$C$1795,2,0)))</f>
        <v>TRXC</v>
      </c>
      <c r="C572" s="59" t="s">
        <v>3869</v>
      </c>
      <c r="D572" s="356" t="s">
        <v>3870</v>
      </c>
      <c r="E572" s="356" t="s">
        <v>1702</v>
      </c>
      <c r="F572" s="23" t="s">
        <v>3878</v>
      </c>
      <c r="G572" s="23" t="s">
        <v>403</v>
      </c>
      <c r="H572" s="353">
        <v>52539</v>
      </c>
      <c r="I572" s="59"/>
      <c r="J572" s="59" t="s">
        <v>3879</v>
      </c>
      <c r="K572" s="20"/>
      <c r="L572" s="20"/>
      <c r="M572" s="357"/>
      <c r="N572" s="411"/>
      <c r="O572" s="23" t="s">
        <v>3873</v>
      </c>
      <c r="P572" s="92" t="s">
        <v>632</v>
      </c>
      <c r="Q572" s="92" t="s">
        <v>646</v>
      </c>
      <c r="R572" s="372" t="str">
        <f t="shared" si="18"/>
        <v/>
      </c>
    </row>
    <row r="573" spans="1:18" ht="30" x14ac:dyDescent="0.25">
      <c r="A573" s="23" t="s">
        <v>3868</v>
      </c>
      <c r="B573" s="18" t="str">
        <f>IF(ISNA(VLOOKUP($A573,'Data Pull Sheet'!$B$2:$C$1795,2,0)),"",(VLOOKUP($A573,'Data Pull Sheet'!$B$2:$C$1795,2,0)))</f>
        <v>TRXC</v>
      </c>
      <c r="C573" s="59" t="s">
        <v>3869</v>
      </c>
      <c r="D573" s="356" t="s">
        <v>3870</v>
      </c>
      <c r="E573" s="356" t="s">
        <v>1702</v>
      </c>
      <c r="F573" s="23" t="s">
        <v>3880</v>
      </c>
      <c r="G573" s="23" t="s">
        <v>403</v>
      </c>
      <c r="H573" s="353">
        <v>55023.63</v>
      </c>
      <c r="I573" s="59" t="s">
        <v>406</v>
      </c>
      <c r="J573" s="59" t="s">
        <v>3881</v>
      </c>
      <c r="K573" s="20"/>
      <c r="L573" s="20">
        <v>3</v>
      </c>
      <c r="M573" s="357">
        <f>SUM(H573:H575)</f>
        <v>244897.64</v>
      </c>
      <c r="N573" s="411">
        <f>IFERROR((M573/(VLOOKUP(B573,'Data Pull Sheet'!$C:$H,6,FALSE))),"DC")</f>
        <v>6.1224410000000002E-3</v>
      </c>
      <c r="O573" s="23" t="s">
        <v>3882</v>
      </c>
      <c r="P573" s="92" t="s">
        <v>632</v>
      </c>
      <c r="Q573" s="92" t="s">
        <v>646</v>
      </c>
      <c r="R573" s="372" t="str">
        <f t="shared" si="18"/>
        <v/>
      </c>
    </row>
    <row r="574" spans="1:18" ht="30" x14ac:dyDescent="0.25">
      <c r="A574" s="23" t="s">
        <v>3868</v>
      </c>
      <c r="B574" s="18" t="str">
        <f>IF(ISNA(VLOOKUP($A574,'Data Pull Sheet'!$B$2:$C$1795,2,0)),"",(VLOOKUP($A574,'Data Pull Sheet'!$B$2:$C$1795,2,0)))</f>
        <v>TRXC</v>
      </c>
      <c r="C574" s="59" t="s">
        <v>3869</v>
      </c>
      <c r="D574" s="356" t="s">
        <v>3870</v>
      </c>
      <c r="E574" s="356" t="s">
        <v>1702</v>
      </c>
      <c r="F574" s="23" t="s">
        <v>3883</v>
      </c>
      <c r="G574" s="23" t="s">
        <v>403</v>
      </c>
      <c r="H574" s="353">
        <v>63379.01</v>
      </c>
      <c r="I574" s="59" t="s">
        <v>442</v>
      </c>
      <c r="J574" s="59" t="s">
        <v>3884</v>
      </c>
      <c r="K574" s="20"/>
      <c r="L574" s="20"/>
      <c r="M574" s="357"/>
      <c r="N574" s="411"/>
      <c r="O574" s="23" t="s">
        <v>3882</v>
      </c>
      <c r="P574" s="92" t="s">
        <v>632</v>
      </c>
      <c r="Q574" s="92" t="s">
        <v>646</v>
      </c>
      <c r="R574" s="372" t="str">
        <f t="shared" si="18"/>
        <v/>
      </c>
    </row>
    <row r="575" spans="1:18" ht="30" x14ac:dyDescent="0.25">
      <c r="A575" s="23" t="s">
        <v>3868</v>
      </c>
      <c r="B575" s="18" t="str">
        <f>IF(ISNA(VLOOKUP($A575,'Data Pull Sheet'!$B$2:$C$1795,2,0)),"",(VLOOKUP($A575,'Data Pull Sheet'!$B$2:$C$1795,2,0)))</f>
        <v>TRXC</v>
      </c>
      <c r="C575" s="59" t="s">
        <v>3869</v>
      </c>
      <c r="D575" s="356" t="s">
        <v>3870</v>
      </c>
      <c r="E575" s="356" t="s">
        <v>1702</v>
      </c>
      <c r="F575" s="23" t="s">
        <v>3885</v>
      </c>
      <c r="G575" s="23" t="s">
        <v>403</v>
      </c>
      <c r="H575" s="353">
        <v>126495</v>
      </c>
      <c r="I575" s="59" t="s">
        <v>442</v>
      </c>
      <c r="J575" s="59" t="s">
        <v>3886</v>
      </c>
      <c r="K575" s="20"/>
      <c r="L575" s="20"/>
      <c r="M575" s="357"/>
      <c r="N575" s="411"/>
      <c r="O575" s="23" t="s">
        <v>3882</v>
      </c>
      <c r="P575" s="92" t="s">
        <v>632</v>
      </c>
      <c r="Q575" s="92" t="s">
        <v>646</v>
      </c>
      <c r="R575" s="372" t="str">
        <f t="shared" si="18"/>
        <v/>
      </c>
    </row>
    <row r="576" spans="1:18" ht="30" x14ac:dyDescent="0.25">
      <c r="A576" s="23" t="s">
        <v>3868</v>
      </c>
      <c r="B576" s="18" t="str">
        <f>IF(ISNA(VLOOKUP($A576,'Data Pull Sheet'!$B$2:$C$1795,2,0)),"",(VLOOKUP($A576,'Data Pull Sheet'!$B$2:$C$1795,2,0)))</f>
        <v>TRXC</v>
      </c>
      <c r="C576" s="59" t="s">
        <v>3869</v>
      </c>
      <c r="D576" s="356" t="s">
        <v>3870</v>
      </c>
      <c r="E576" s="356" t="s">
        <v>1702</v>
      </c>
      <c r="F576" s="23" t="s">
        <v>3887</v>
      </c>
      <c r="G576" s="23" t="s">
        <v>403</v>
      </c>
      <c r="H576" s="353">
        <v>105691.72</v>
      </c>
      <c r="I576" s="59"/>
      <c r="J576" s="59" t="s">
        <v>3888</v>
      </c>
      <c r="K576" s="20"/>
      <c r="L576" s="20">
        <v>1</v>
      </c>
      <c r="M576" s="357">
        <f>H576</f>
        <v>105691.72</v>
      </c>
      <c r="N576" s="411">
        <f>IFERROR((M576/(VLOOKUP(B576,'Data Pull Sheet'!$C:$H,6,FALSE))),"DC")</f>
        <v>2.642293E-3</v>
      </c>
      <c r="O576" s="23" t="s">
        <v>3889</v>
      </c>
      <c r="P576" s="92" t="s">
        <v>632</v>
      </c>
      <c r="Q576" s="92" t="s">
        <v>637</v>
      </c>
      <c r="R576" s="372" t="str">
        <f t="shared" si="18"/>
        <v/>
      </c>
    </row>
    <row r="577" spans="1:18" x14ac:dyDescent="0.25">
      <c r="A577" s="23" t="s">
        <v>3868</v>
      </c>
      <c r="B577" s="18" t="str">
        <f>IF(ISNA(VLOOKUP($A577,'Data Pull Sheet'!$B$2:$C$1795,2,0)),"",(VLOOKUP($A577,'Data Pull Sheet'!$B$2:$C$1795,2,0)))</f>
        <v>TRXC</v>
      </c>
      <c r="C577" s="59" t="s">
        <v>3869</v>
      </c>
      <c r="D577" s="356" t="s">
        <v>3870</v>
      </c>
      <c r="E577" s="356" t="s">
        <v>1702</v>
      </c>
      <c r="F577" s="23" t="s">
        <v>3890</v>
      </c>
      <c r="G577" s="23" t="s">
        <v>403</v>
      </c>
      <c r="H577" s="353">
        <v>123209.19</v>
      </c>
      <c r="I577" s="59"/>
      <c r="J577" s="59" t="s">
        <v>3891</v>
      </c>
      <c r="K577" s="20"/>
      <c r="L577" s="20">
        <v>3</v>
      </c>
      <c r="M577" s="357">
        <f>SUM(H577:H579)</f>
        <v>452479.22</v>
      </c>
      <c r="N577" s="411">
        <f>IFERROR((M577/(VLOOKUP(B577,'Data Pull Sheet'!$C:$H,6,FALSE))),"DC")</f>
        <v>1.1311980499999999E-2</v>
      </c>
      <c r="O577" s="23" t="s">
        <v>3892</v>
      </c>
      <c r="P577" s="92" t="s">
        <v>632</v>
      </c>
      <c r="Q577" s="92" t="s">
        <v>646</v>
      </c>
      <c r="R577" s="372" t="str">
        <f t="shared" si="18"/>
        <v/>
      </c>
    </row>
    <row r="578" spans="1:18" x14ac:dyDescent="0.25">
      <c r="A578" s="23" t="s">
        <v>3868</v>
      </c>
      <c r="B578" s="18" t="str">
        <f>IF(ISNA(VLOOKUP($A578,'Data Pull Sheet'!$B$2:$C$1795,2,0)),"",(VLOOKUP($A578,'Data Pull Sheet'!$B$2:$C$1795,2,0)))</f>
        <v>TRXC</v>
      </c>
      <c r="C578" s="59" t="s">
        <v>3869</v>
      </c>
      <c r="D578" s="356" t="s">
        <v>3870</v>
      </c>
      <c r="E578" s="356" t="s">
        <v>1702</v>
      </c>
      <c r="F578" s="23" t="s">
        <v>3893</v>
      </c>
      <c r="G578" s="23" t="s">
        <v>403</v>
      </c>
      <c r="H578" s="353">
        <v>134642.06</v>
      </c>
      <c r="I578" s="59"/>
      <c r="J578" s="59" t="s">
        <v>3894</v>
      </c>
      <c r="K578" s="20"/>
      <c r="L578" s="20"/>
      <c r="M578" s="357"/>
      <c r="N578" s="411"/>
      <c r="O578" s="23" t="s">
        <v>3892</v>
      </c>
      <c r="P578" s="92" t="s">
        <v>632</v>
      </c>
      <c r="Q578" s="92" t="s">
        <v>646</v>
      </c>
      <c r="R578" s="372" t="str">
        <f t="shared" ref="R578:R641" si="21">IF(COUNTIF(F:F,F578)&gt;=2,"FF","")</f>
        <v/>
      </c>
    </row>
    <row r="579" spans="1:18" x14ac:dyDescent="0.25">
      <c r="A579" s="23" t="s">
        <v>3868</v>
      </c>
      <c r="B579" s="18" t="str">
        <f>IF(ISNA(VLOOKUP($A579,'Data Pull Sheet'!$B$2:$C$1795,2,0)),"",(VLOOKUP($A579,'Data Pull Sheet'!$B$2:$C$1795,2,0)))</f>
        <v>TRXC</v>
      </c>
      <c r="C579" s="59" t="s">
        <v>3869</v>
      </c>
      <c r="D579" s="356" t="s">
        <v>3870</v>
      </c>
      <c r="E579" s="356" t="s">
        <v>1702</v>
      </c>
      <c r="F579" s="23" t="s">
        <v>3895</v>
      </c>
      <c r="G579" s="23" t="s">
        <v>403</v>
      </c>
      <c r="H579" s="353">
        <v>194627.97</v>
      </c>
      <c r="I579" s="59"/>
      <c r="J579" s="59" t="s">
        <v>3896</v>
      </c>
      <c r="K579" s="20"/>
      <c r="L579" s="20"/>
      <c r="M579" s="357"/>
      <c r="N579" s="411"/>
      <c r="O579" s="23" t="s">
        <v>3892</v>
      </c>
      <c r="P579" s="92" t="s">
        <v>632</v>
      </c>
      <c r="Q579" s="92" t="s">
        <v>646</v>
      </c>
      <c r="R579" s="372" t="str">
        <f t="shared" si="21"/>
        <v/>
      </c>
    </row>
    <row r="580" spans="1:18" x14ac:dyDescent="0.25">
      <c r="A580" s="23" t="s">
        <v>3868</v>
      </c>
      <c r="B580" s="18" t="str">
        <f>IF(ISNA(VLOOKUP($A580,'Data Pull Sheet'!$B$2:$C$1795,2,0)),"",(VLOOKUP($A580,'Data Pull Sheet'!$B$2:$C$1795,2,0)))</f>
        <v>TRXC</v>
      </c>
      <c r="C580" s="59" t="s">
        <v>3869</v>
      </c>
      <c r="D580" s="356" t="s">
        <v>3870</v>
      </c>
      <c r="E580" s="356" t="s">
        <v>1702</v>
      </c>
      <c r="F580" s="23" t="s">
        <v>3897</v>
      </c>
      <c r="G580" s="23" t="s">
        <v>417</v>
      </c>
      <c r="H580" s="353">
        <v>118287.99</v>
      </c>
      <c r="I580" s="59" t="s">
        <v>406</v>
      </c>
      <c r="J580" s="59" t="s">
        <v>3898</v>
      </c>
      <c r="K580" s="20"/>
      <c r="L580" s="20">
        <v>1</v>
      </c>
      <c r="M580" s="357">
        <f>H580</f>
        <v>118287.99</v>
      </c>
      <c r="N580" s="411">
        <f>IFERROR((M580/(VLOOKUP(B580,'Data Pull Sheet'!$C:$H,6,FALSE))),"DC")</f>
        <v>2.9571997500000002E-3</v>
      </c>
      <c r="O580" s="23" t="s">
        <v>3899</v>
      </c>
      <c r="P580" s="92" t="s">
        <v>632</v>
      </c>
      <c r="Q580" s="92" t="s">
        <v>633</v>
      </c>
      <c r="R580" s="372" t="str">
        <f t="shared" si="21"/>
        <v/>
      </c>
    </row>
    <row r="581" spans="1:18" x14ac:dyDescent="0.25">
      <c r="A581" s="23" t="s">
        <v>3868</v>
      </c>
      <c r="B581" s="18" t="str">
        <f>IF(ISNA(VLOOKUP($A581,'Data Pull Sheet'!$B$2:$C$1795,2,0)),"",(VLOOKUP($A581,'Data Pull Sheet'!$B$2:$C$1795,2,0)))</f>
        <v>TRXC</v>
      </c>
      <c r="C581" s="59" t="s">
        <v>3869</v>
      </c>
      <c r="D581" s="356" t="s">
        <v>3870</v>
      </c>
      <c r="E581" s="356" t="s">
        <v>1702</v>
      </c>
      <c r="F581" s="23" t="s">
        <v>3900</v>
      </c>
      <c r="G581" s="23" t="s">
        <v>417</v>
      </c>
      <c r="H581" s="353">
        <v>5400.53</v>
      </c>
      <c r="I581" s="59"/>
      <c r="J581" s="59" t="s">
        <v>3901</v>
      </c>
      <c r="K581" s="20"/>
      <c r="L581" s="20">
        <v>4</v>
      </c>
      <c r="M581" s="357">
        <f>SUM(H581:H584)</f>
        <v>1745259.0699999998</v>
      </c>
      <c r="N581" s="411">
        <f>IFERROR((M581/(VLOOKUP(B581,'Data Pull Sheet'!$C:$H,6,FALSE))),"DC")</f>
        <v>4.3631476749999995E-2</v>
      </c>
      <c r="O581" s="23" t="s">
        <v>3902</v>
      </c>
      <c r="P581" s="92" t="s">
        <v>632</v>
      </c>
      <c r="Q581" s="92" t="s">
        <v>662</v>
      </c>
      <c r="R581" s="372" t="str">
        <f t="shared" si="21"/>
        <v/>
      </c>
    </row>
    <row r="582" spans="1:18" x14ac:dyDescent="0.25">
      <c r="A582" s="23" t="s">
        <v>3868</v>
      </c>
      <c r="B582" s="18" t="str">
        <f>IF(ISNA(VLOOKUP($A582,'Data Pull Sheet'!$B$2:$C$1795,2,0)),"",(VLOOKUP($A582,'Data Pull Sheet'!$B$2:$C$1795,2,0)))</f>
        <v>TRXC</v>
      </c>
      <c r="C582" s="59" t="s">
        <v>3869</v>
      </c>
      <c r="D582" s="356" t="s">
        <v>3870</v>
      </c>
      <c r="E582" s="356" t="s">
        <v>1702</v>
      </c>
      <c r="F582" s="23" t="s">
        <v>3903</v>
      </c>
      <c r="G582" s="23" t="s">
        <v>417</v>
      </c>
      <c r="H582" s="353">
        <v>18985.810000000001</v>
      </c>
      <c r="I582" s="59"/>
      <c r="J582" s="59" t="s">
        <v>3904</v>
      </c>
      <c r="K582" s="20"/>
      <c r="L582" s="20"/>
      <c r="M582" s="357"/>
      <c r="N582" s="411"/>
      <c r="O582" s="23" t="s">
        <v>3902</v>
      </c>
      <c r="P582" s="92" t="s">
        <v>632</v>
      </c>
      <c r="Q582" s="92" t="s">
        <v>662</v>
      </c>
      <c r="R582" s="372" t="str">
        <f t="shared" si="21"/>
        <v/>
      </c>
    </row>
    <row r="583" spans="1:18" x14ac:dyDescent="0.25">
      <c r="A583" s="23" t="s">
        <v>3868</v>
      </c>
      <c r="B583" s="18" t="str">
        <f>IF(ISNA(VLOOKUP($A583,'Data Pull Sheet'!$B$2:$C$1795,2,0)),"",(VLOOKUP($A583,'Data Pull Sheet'!$B$2:$C$1795,2,0)))</f>
        <v>TRXC</v>
      </c>
      <c r="C583" s="59" t="s">
        <v>3869</v>
      </c>
      <c r="D583" s="356" t="s">
        <v>3870</v>
      </c>
      <c r="E583" s="356" t="s">
        <v>1702</v>
      </c>
      <c r="F583" s="23" t="s">
        <v>3905</v>
      </c>
      <c r="G583" s="23" t="s">
        <v>403</v>
      </c>
      <c r="H583" s="353">
        <v>499516.84</v>
      </c>
      <c r="I583" s="59"/>
      <c r="J583" s="59" t="s">
        <v>3906</v>
      </c>
      <c r="K583" s="20"/>
      <c r="L583" s="20"/>
      <c r="M583" s="357"/>
      <c r="N583" s="411"/>
      <c r="O583" s="23" t="s">
        <v>3902</v>
      </c>
      <c r="P583" s="92" t="s">
        <v>632</v>
      </c>
      <c r="Q583" s="92" t="s">
        <v>662</v>
      </c>
      <c r="R583" s="372" t="str">
        <f t="shared" si="21"/>
        <v/>
      </c>
    </row>
    <row r="584" spans="1:18" x14ac:dyDescent="0.25">
      <c r="A584" s="23" t="s">
        <v>3868</v>
      </c>
      <c r="B584" s="18" t="str">
        <f>IF(ISNA(VLOOKUP($A584,'Data Pull Sheet'!$B$2:$C$1795,2,0)),"",(VLOOKUP($A584,'Data Pull Sheet'!$B$2:$C$1795,2,0)))</f>
        <v>TRXC</v>
      </c>
      <c r="C584" s="59" t="s">
        <v>3869</v>
      </c>
      <c r="D584" s="356" t="s">
        <v>3870</v>
      </c>
      <c r="E584" s="356" t="s">
        <v>1702</v>
      </c>
      <c r="F584" s="23" t="s">
        <v>3907</v>
      </c>
      <c r="G584" s="23" t="s">
        <v>403</v>
      </c>
      <c r="H584" s="353">
        <v>1221355.8899999999</v>
      </c>
      <c r="I584" s="59"/>
      <c r="J584" s="59" t="s">
        <v>3908</v>
      </c>
      <c r="K584" s="20"/>
      <c r="L584" s="20"/>
      <c r="M584" s="357"/>
      <c r="N584" s="411"/>
      <c r="O584" s="23" t="s">
        <v>3902</v>
      </c>
      <c r="P584" s="92" t="s">
        <v>632</v>
      </c>
      <c r="Q584" s="92" t="s">
        <v>662</v>
      </c>
      <c r="R584" s="372" t="str">
        <f t="shared" si="21"/>
        <v/>
      </c>
    </row>
    <row r="585" spans="1:18" ht="30" x14ac:dyDescent="0.25">
      <c r="A585" s="23" t="s">
        <v>3868</v>
      </c>
      <c r="B585" s="18" t="str">
        <f>IF(ISNA(VLOOKUP($A585,'Data Pull Sheet'!$B$2:$C$1795,2,0)),"",(VLOOKUP($A585,'Data Pull Sheet'!$B$2:$C$1795,2,0)))</f>
        <v>TRXC</v>
      </c>
      <c r="C585" s="59" t="s">
        <v>3869</v>
      </c>
      <c r="D585" s="356" t="s">
        <v>3870</v>
      </c>
      <c r="E585" s="356" t="s">
        <v>1702</v>
      </c>
      <c r="F585" s="23" t="s">
        <v>3909</v>
      </c>
      <c r="G585" s="23" t="s">
        <v>403</v>
      </c>
      <c r="H585" s="353">
        <v>103671.28</v>
      </c>
      <c r="I585" s="59"/>
      <c r="J585" s="59" t="s">
        <v>3910</v>
      </c>
      <c r="K585" s="20"/>
      <c r="L585" s="20">
        <v>7</v>
      </c>
      <c r="M585" s="357">
        <f>SUM(H585:H586)</f>
        <v>210905.61</v>
      </c>
      <c r="N585" s="411">
        <f>IFERROR((M585/(VLOOKUP(B585,'Data Pull Sheet'!$C:$H,6,FALSE))),"DC")</f>
        <v>5.2726402499999993E-3</v>
      </c>
      <c r="O585" s="23" t="s">
        <v>943</v>
      </c>
      <c r="P585" s="92" t="s">
        <v>632</v>
      </c>
      <c r="Q585" s="92" t="s">
        <v>646</v>
      </c>
      <c r="R585" s="372" t="str">
        <f t="shared" si="21"/>
        <v/>
      </c>
    </row>
    <row r="586" spans="1:18" ht="30" x14ac:dyDescent="0.25">
      <c r="A586" s="23" t="s">
        <v>3868</v>
      </c>
      <c r="B586" s="18" t="str">
        <f>IF(ISNA(VLOOKUP($A586,'Data Pull Sheet'!$B$2:$C$1795,2,0)),"",(VLOOKUP($A586,'Data Pull Sheet'!$B$2:$C$1795,2,0)))</f>
        <v>TRXC</v>
      </c>
      <c r="C586" s="59" t="s">
        <v>3869</v>
      </c>
      <c r="D586" s="356" t="s">
        <v>3870</v>
      </c>
      <c r="E586" s="356" t="s">
        <v>1702</v>
      </c>
      <c r="F586" s="23" t="s">
        <v>3911</v>
      </c>
      <c r="G586" s="23" t="s">
        <v>403</v>
      </c>
      <c r="H586" s="353">
        <v>107234.33</v>
      </c>
      <c r="I586" s="59"/>
      <c r="J586" s="59" t="s">
        <v>3912</v>
      </c>
      <c r="K586" s="20"/>
      <c r="L586" s="20"/>
      <c r="M586" s="357"/>
      <c r="N586" s="411"/>
      <c r="O586" s="23" t="s">
        <v>943</v>
      </c>
      <c r="P586" s="92" t="s">
        <v>632</v>
      </c>
      <c r="Q586" s="92" t="s">
        <v>646</v>
      </c>
      <c r="R586" s="372" t="str">
        <f t="shared" si="21"/>
        <v/>
      </c>
    </row>
    <row r="587" spans="1:18" x14ac:dyDescent="0.25">
      <c r="A587" s="23" t="s">
        <v>257</v>
      </c>
      <c r="B587" s="18" t="str">
        <f>IF(ISNA(VLOOKUP($A587,'Data Pull Sheet'!$B$2:$C$1795,2,0)),"",(VLOOKUP($A587,'Data Pull Sheet'!$B$2:$C$1795,2,0)))</f>
        <v>BBD</v>
      </c>
      <c r="C587" s="59" t="s">
        <v>418</v>
      </c>
      <c r="D587" s="356" t="s">
        <v>569</v>
      </c>
      <c r="E587" s="356" t="s">
        <v>410</v>
      </c>
      <c r="F587" s="23" t="s">
        <v>249</v>
      </c>
      <c r="G587" s="23" t="s">
        <v>417</v>
      </c>
      <c r="H587" s="353">
        <v>6441574.3799999999</v>
      </c>
      <c r="I587" s="59" t="s">
        <v>442</v>
      </c>
      <c r="J587" s="59" t="s">
        <v>994</v>
      </c>
      <c r="K587" s="20">
        <v>3</v>
      </c>
      <c r="L587" s="20">
        <v>1</v>
      </c>
      <c r="M587" s="357">
        <f>H587</f>
        <v>6441574.3799999999</v>
      </c>
      <c r="N587" s="411">
        <f>IFERROR((M587/(VLOOKUP(B587,'Data Pull Sheet'!$C:$H,6,FALSE))),"DC")</f>
        <v>2.14719146E-3</v>
      </c>
      <c r="O587" s="23" t="s">
        <v>10810</v>
      </c>
      <c r="P587" s="92" t="s">
        <v>632</v>
      </c>
      <c r="Q587" s="92" t="s">
        <v>633</v>
      </c>
      <c r="R587" s="372" t="str">
        <f t="shared" si="21"/>
        <v>FF</v>
      </c>
    </row>
    <row r="588" spans="1:18" ht="30" x14ac:dyDescent="0.25">
      <c r="A588" s="23" t="s">
        <v>257</v>
      </c>
      <c r="B588" s="18" t="str">
        <f>IF(ISNA(VLOOKUP($A588,'Data Pull Sheet'!$B$2:$C$1795,2,0)),"",(VLOOKUP($A588,'Data Pull Sheet'!$B$2:$C$1795,2,0)))</f>
        <v>BBD</v>
      </c>
      <c r="C588" s="59" t="s">
        <v>418</v>
      </c>
      <c r="D588" s="356" t="s">
        <v>569</v>
      </c>
      <c r="E588" s="356" t="s">
        <v>410</v>
      </c>
      <c r="F588" s="23" t="s">
        <v>298</v>
      </c>
      <c r="G588" s="23" t="s">
        <v>417</v>
      </c>
      <c r="H588" s="353">
        <v>1223044.21</v>
      </c>
      <c r="I588" s="59" t="s">
        <v>413</v>
      </c>
      <c r="J588" s="59" t="s">
        <v>995</v>
      </c>
      <c r="K588" s="20"/>
      <c r="L588" s="20">
        <v>2</v>
      </c>
      <c r="M588" s="357">
        <f>SUM(H588:H589)</f>
        <v>3696003.32</v>
      </c>
      <c r="N588" s="411">
        <f>IFERROR((M588/(VLOOKUP(B588,'Data Pull Sheet'!$C:$H,6,FALSE))),"DC")</f>
        <v>1.2320011066666665E-3</v>
      </c>
      <c r="O588" s="23" t="s">
        <v>265</v>
      </c>
      <c r="P588" s="92" t="s">
        <v>632</v>
      </c>
      <c r="Q588" s="92" t="s">
        <v>640</v>
      </c>
      <c r="R588" s="372" t="str">
        <f t="shared" si="21"/>
        <v>FF</v>
      </c>
    </row>
    <row r="589" spans="1:18" ht="30" x14ac:dyDescent="0.25">
      <c r="A589" s="23" t="s">
        <v>257</v>
      </c>
      <c r="B589" s="18" t="str">
        <f>IF(ISNA(VLOOKUP($A589,'Data Pull Sheet'!$B$2:$C$1795,2,0)),"",(VLOOKUP($A589,'Data Pull Sheet'!$B$2:$C$1795,2,0)))</f>
        <v>BBD</v>
      </c>
      <c r="C589" s="59" t="s">
        <v>418</v>
      </c>
      <c r="D589" s="356" t="s">
        <v>569</v>
      </c>
      <c r="E589" s="356" t="s">
        <v>410</v>
      </c>
      <c r="F589" s="23" t="s">
        <v>303</v>
      </c>
      <c r="G589" s="23" t="s">
        <v>417</v>
      </c>
      <c r="H589" s="353">
        <v>2472959.11</v>
      </c>
      <c r="I589" s="59" t="s">
        <v>413</v>
      </c>
      <c r="J589" s="59" t="s">
        <v>996</v>
      </c>
      <c r="K589" s="20"/>
      <c r="L589" s="20"/>
      <c r="M589" s="357"/>
      <c r="N589" s="411"/>
      <c r="O589" s="23" t="s">
        <v>265</v>
      </c>
      <c r="P589" s="92" t="s">
        <v>632</v>
      </c>
      <c r="Q589" s="92" t="s">
        <v>640</v>
      </c>
      <c r="R589" s="372" t="str">
        <f t="shared" si="21"/>
        <v>FF</v>
      </c>
    </row>
    <row r="590" spans="1:18" x14ac:dyDescent="0.25">
      <c r="A590" s="23" t="s">
        <v>257</v>
      </c>
      <c r="B590" s="18" t="str">
        <f>IF(ISNA(VLOOKUP($A590,'Data Pull Sheet'!$B$2:$C$1795,2,0)),"",(VLOOKUP($A590,'Data Pull Sheet'!$B$2:$C$1795,2,0)))</f>
        <v>BBD</v>
      </c>
      <c r="C590" s="59" t="s">
        <v>418</v>
      </c>
      <c r="D590" s="356" t="s">
        <v>569</v>
      </c>
      <c r="E590" s="356" t="s">
        <v>410</v>
      </c>
      <c r="F590" s="23" t="s">
        <v>997</v>
      </c>
      <c r="G590" s="23" t="s">
        <v>403</v>
      </c>
      <c r="H590" s="353">
        <v>36104.47</v>
      </c>
      <c r="I590" s="59"/>
      <c r="J590" s="59" t="s">
        <v>998</v>
      </c>
      <c r="K590" s="20"/>
      <c r="L590" s="20">
        <v>1</v>
      </c>
      <c r="M590" s="357">
        <f>H590</f>
        <v>36104.47</v>
      </c>
      <c r="N590" s="411">
        <f>IFERROR((M590/(VLOOKUP(B590,'Data Pull Sheet'!$C:$H,6,FALSE))),"DC")</f>
        <v>1.2034823333333333E-5</v>
      </c>
      <c r="O590" s="23" t="s">
        <v>682</v>
      </c>
      <c r="P590" s="92" t="s">
        <v>632</v>
      </c>
      <c r="Q590" s="92" t="s">
        <v>637</v>
      </c>
      <c r="R590" s="372" t="str">
        <f t="shared" si="21"/>
        <v/>
      </c>
    </row>
    <row r="591" spans="1:18" ht="30" x14ac:dyDescent="0.25">
      <c r="A591" s="23" t="s">
        <v>612</v>
      </c>
      <c r="B591" s="18" t="str">
        <f>IF(ISNA(VLOOKUP($A591,'Data Pull Sheet'!$B$2:$C$1795,2,0)),"",(VLOOKUP($A591,'Data Pull Sheet'!$B$2:$C$1795,2,0)))</f>
        <v>CHMA</v>
      </c>
      <c r="C591" s="59" t="s">
        <v>409</v>
      </c>
      <c r="D591" s="356" t="s">
        <v>613</v>
      </c>
      <c r="E591" s="356" t="s">
        <v>519</v>
      </c>
      <c r="F591" s="23" t="s">
        <v>1311</v>
      </c>
      <c r="G591" s="23" t="s">
        <v>417</v>
      </c>
      <c r="H591" s="353">
        <v>586922.36</v>
      </c>
      <c r="I591" s="59"/>
      <c r="J591" s="59" t="s">
        <v>1312</v>
      </c>
      <c r="K591" s="20">
        <v>3</v>
      </c>
      <c r="L591" s="20">
        <v>3</v>
      </c>
      <c r="M591" s="357">
        <f>SUM(H591:H593)</f>
        <v>6120861.5099999998</v>
      </c>
      <c r="N591" s="411">
        <f>IFERROR((M591/(VLOOKUP(B591,'Data Pull Sheet'!$C:$H,6,FALSE))),"DC")</f>
        <v>6.8009572333333337E-2</v>
      </c>
      <c r="O591" s="23" t="s">
        <v>1313</v>
      </c>
      <c r="P591" s="92" t="s">
        <v>632</v>
      </c>
      <c r="Q591" s="92" t="s">
        <v>662</v>
      </c>
      <c r="R591" s="372" t="str">
        <f t="shared" si="21"/>
        <v/>
      </c>
    </row>
    <row r="592" spans="1:18" ht="30" x14ac:dyDescent="0.25">
      <c r="A592" s="23" t="s">
        <v>612</v>
      </c>
      <c r="B592" s="18" t="str">
        <f>IF(ISNA(VLOOKUP($A592,'Data Pull Sheet'!$B$2:$C$1795,2,0)),"",(VLOOKUP($A592,'Data Pull Sheet'!$B$2:$C$1795,2,0)))</f>
        <v>CHMA</v>
      </c>
      <c r="C592" s="59" t="s">
        <v>409</v>
      </c>
      <c r="D592" s="356" t="s">
        <v>613</v>
      </c>
      <c r="E592" s="356" t="s">
        <v>519</v>
      </c>
      <c r="F592" s="23" t="s">
        <v>1314</v>
      </c>
      <c r="G592" s="23" t="s">
        <v>403</v>
      </c>
      <c r="H592" s="353">
        <v>1867012.77</v>
      </c>
      <c r="I592" s="59"/>
      <c r="J592" s="59" t="s">
        <v>1315</v>
      </c>
      <c r="K592" s="20"/>
      <c r="L592" s="20"/>
      <c r="M592" s="357"/>
      <c r="N592" s="411"/>
      <c r="O592" s="23" t="s">
        <v>1313</v>
      </c>
      <c r="P592" s="92" t="s">
        <v>632</v>
      </c>
      <c r="Q592" s="92" t="s">
        <v>662</v>
      </c>
      <c r="R592" s="372" t="str">
        <f t="shared" si="21"/>
        <v/>
      </c>
    </row>
    <row r="593" spans="1:18" ht="30" x14ac:dyDescent="0.25">
      <c r="A593" s="23" t="s">
        <v>612</v>
      </c>
      <c r="B593" s="18" t="str">
        <f>IF(ISNA(VLOOKUP($A593,'Data Pull Sheet'!$B$2:$C$1795,2,0)),"",(VLOOKUP($A593,'Data Pull Sheet'!$B$2:$C$1795,2,0)))</f>
        <v>CHMA</v>
      </c>
      <c r="C593" s="59" t="s">
        <v>409</v>
      </c>
      <c r="D593" s="356" t="s">
        <v>613</v>
      </c>
      <c r="E593" s="356" t="s">
        <v>519</v>
      </c>
      <c r="F593" s="23" t="s">
        <v>1316</v>
      </c>
      <c r="G593" s="23" t="s">
        <v>417</v>
      </c>
      <c r="H593" s="353">
        <v>3666926.38</v>
      </c>
      <c r="I593" s="59"/>
      <c r="J593" s="59" t="s">
        <v>1317</v>
      </c>
      <c r="K593" s="20"/>
      <c r="L593" s="20"/>
      <c r="M593" s="357"/>
      <c r="N593" s="411"/>
      <c r="O593" s="23" t="s">
        <v>1313</v>
      </c>
      <c r="P593" s="92" t="s">
        <v>632</v>
      </c>
      <c r="Q593" s="92" t="s">
        <v>662</v>
      </c>
      <c r="R593" s="372" t="str">
        <f t="shared" si="21"/>
        <v/>
      </c>
    </row>
    <row r="594" spans="1:18" x14ac:dyDescent="0.25">
      <c r="A594" s="23" t="s">
        <v>612</v>
      </c>
      <c r="B594" s="18" t="str">
        <f>IF(ISNA(VLOOKUP($A594,'Data Pull Sheet'!$B$2:$C$1795,2,0)),"",(VLOOKUP($A594,'Data Pull Sheet'!$B$2:$C$1795,2,0)))</f>
        <v>CHMA</v>
      </c>
      <c r="C594" s="59" t="s">
        <v>409</v>
      </c>
      <c r="D594" s="356" t="s">
        <v>613</v>
      </c>
      <c r="E594" s="356" t="s">
        <v>519</v>
      </c>
      <c r="F594" s="23" t="s">
        <v>1318</v>
      </c>
      <c r="G594" s="23" t="s">
        <v>417</v>
      </c>
      <c r="H594" s="353">
        <v>30025.759999999998</v>
      </c>
      <c r="I594" s="59"/>
      <c r="J594" s="59" t="s">
        <v>1319</v>
      </c>
      <c r="K594" s="20"/>
      <c r="L594" s="20">
        <v>1</v>
      </c>
      <c r="M594" s="357">
        <f>H594</f>
        <v>30025.759999999998</v>
      </c>
      <c r="N594" s="411">
        <f>IFERROR((M594/(VLOOKUP(B594,'Data Pull Sheet'!$C:$H,6,FALSE))),"DC")</f>
        <v>3.3361955555555556E-4</v>
      </c>
      <c r="O594" s="23" t="s">
        <v>63</v>
      </c>
      <c r="P594" s="92" t="s">
        <v>632</v>
      </c>
      <c r="Q594" s="92" t="s">
        <v>633</v>
      </c>
      <c r="R594" s="372" t="str">
        <f t="shared" si="21"/>
        <v/>
      </c>
    </row>
    <row r="595" spans="1:18" x14ac:dyDescent="0.25">
      <c r="A595" s="23" t="s">
        <v>612</v>
      </c>
      <c r="B595" s="18" t="str">
        <f>IF(ISNA(VLOOKUP($A595,'Data Pull Sheet'!$B$2:$C$1795,2,0)),"",(VLOOKUP($A595,'Data Pull Sheet'!$B$2:$C$1795,2,0)))</f>
        <v>CHMA</v>
      </c>
      <c r="C595" s="59" t="s">
        <v>409</v>
      </c>
      <c r="D595" s="356" t="s">
        <v>613</v>
      </c>
      <c r="E595" s="356" t="s">
        <v>519</v>
      </c>
      <c r="F595" s="23" t="s">
        <v>1320</v>
      </c>
      <c r="G595" s="23" t="s">
        <v>403</v>
      </c>
      <c r="H595" s="353">
        <v>24542</v>
      </c>
      <c r="I595" s="59"/>
      <c r="J595" s="59" t="s">
        <v>1321</v>
      </c>
      <c r="K595" s="20"/>
      <c r="L595" s="20">
        <v>2</v>
      </c>
      <c r="M595" s="357">
        <f>SUM(H595:H596)</f>
        <v>69652</v>
      </c>
      <c r="N595" s="411">
        <f>IFERROR((M595/(VLOOKUP(B595,'Data Pull Sheet'!$C:$H,6,FALSE))),"DC")</f>
        <v>7.7391111111111115E-4</v>
      </c>
      <c r="O595" s="23" t="s">
        <v>735</v>
      </c>
      <c r="P595" s="92" t="s">
        <v>632</v>
      </c>
      <c r="Q595" s="92" t="s">
        <v>646</v>
      </c>
      <c r="R595" s="372" t="str">
        <f t="shared" si="21"/>
        <v/>
      </c>
    </row>
    <row r="596" spans="1:18" x14ac:dyDescent="0.25">
      <c r="A596" s="23" t="s">
        <v>612</v>
      </c>
      <c r="B596" s="18" t="str">
        <f>IF(ISNA(VLOOKUP($A596,'Data Pull Sheet'!$B$2:$C$1795,2,0)),"",(VLOOKUP($A596,'Data Pull Sheet'!$B$2:$C$1795,2,0)))</f>
        <v>CHMA</v>
      </c>
      <c r="C596" s="59" t="s">
        <v>409</v>
      </c>
      <c r="D596" s="356" t="s">
        <v>613</v>
      </c>
      <c r="E596" s="356" t="s">
        <v>519</v>
      </c>
      <c r="F596" s="23" t="s">
        <v>614</v>
      </c>
      <c r="G596" s="23" t="s">
        <v>403</v>
      </c>
      <c r="H596" s="353">
        <v>45110</v>
      </c>
      <c r="I596" s="59"/>
      <c r="J596" s="59" t="s">
        <v>1322</v>
      </c>
      <c r="K596" s="20"/>
      <c r="L596" s="20"/>
      <c r="M596" s="357"/>
      <c r="N596" s="411"/>
      <c r="O596" s="23" t="s">
        <v>735</v>
      </c>
      <c r="P596" s="92" t="s">
        <v>632</v>
      </c>
      <c r="Q596" s="92" t="s">
        <v>646</v>
      </c>
      <c r="R596" s="372" t="str">
        <f t="shared" si="21"/>
        <v>FF</v>
      </c>
    </row>
    <row r="597" spans="1:18" ht="30" x14ac:dyDescent="0.25">
      <c r="A597" s="23" t="s">
        <v>2306</v>
      </c>
      <c r="B597" s="18" t="str">
        <f>IF(ISNA(VLOOKUP($A597,'Data Pull Sheet'!$B$2:$C$1795,2,0)),"",(VLOOKUP($A597,'Data Pull Sheet'!$B$2:$C$1795,2,0)))</f>
        <v>IMMU</v>
      </c>
      <c r="C597" s="59" t="s">
        <v>424</v>
      </c>
      <c r="D597" s="356" t="s">
        <v>2307</v>
      </c>
      <c r="E597" s="356" t="s">
        <v>519</v>
      </c>
      <c r="F597" s="23" t="s">
        <v>2308</v>
      </c>
      <c r="G597" s="23" t="s">
        <v>403</v>
      </c>
      <c r="H597" s="353">
        <v>89692.4</v>
      </c>
      <c r="I597" s="59"/>
      <c r="J597" s="59" t="s">
        <v>2309</v>
      </c>
      <c r="K597" s="20">
        <v>2</v>
      </c>
      <c r="L597" s="20">
        <v>1</v>
      </c>
      <c r="M597" s="357">
        <f>H597</f>
        <v>89692.4</v>
      </c>
      <c r="N597" s="411">
        <f>IFERROR((M597/(VLOOKUP(B597,'Data Pull Sheet'!$C:$H,6,FALSE))),"DC")</f>
        <v>3.5876959999999996E-3</v>
      </c>
      <c r="O597" s="23" t="s">
        <v>2310</v>
      </c>
      <c r="P597" s="92" t="s">
        <v>632</v>
      </c>
      <c r="Q597" s="92" t="s">
        <v>637</v>
      </c>
      <c r="R597" s="372" t="str">
        <f t="shared" si="21"/>
        <v/>
      </c>
    </row>
    <row r="598" spans="1:18" x14ac:dyDescent="0.25">
      <c r="A598" s="23" t="s">
        <v>2306</v>
      </c>
      <c r="B598" s="18" t="str">
        <f>IF(ISNA(VLOOKUP($A598,'Data Pull Sheet'!$B$2:$C$1795,2,0)),"",(VLOOKUP($A598,'Data Pull Sheet'!$B$2:$C$1795,2,0)))</f>
        <v>IMMU</v>
      </c>
      <c r="C598" s="59" t="s">
        <v>424</v>
      </c>
      <c r="D598" s="356" t="s">
        <v>2307</v>
      </c>
      <c r="E598" s="356" t="s">
        <v>519</v>
      </c>
      <c r="F598" s="23" t="s">
        <v>2311</v>
      </c>
      <c r="G598" s="23" t="s">
        <v>403</v>
      </c>
      <c r="H598" s="353">
        <v>4515</v>
      </c>
      <c r="I598" s="59"/>
      <c r="J598" s="59" t="s">
        <v>2312</v>
      </c>
      <c r="K598" s="20"/>
      <c r="L598" s="20">
        <v>2</v>
      </c>
      <c r="M598" s="357">
        <f>SUM(H598:H599)</f>
        <v>15098.5</v>
      </c>
      <c r="N598" s="411">
        <f>IFERROR((M598/(VLOOKUP(B598,'Data Pull Sheet'!$C:$H,6,FALSE))),"DC")</f>
        <v>6.0393999999999997E-4</v>
      </c>
      <c r="O598" s="23" t="s">
        <v>797</v>
      </c>
      <c r="P598" s="92" t="s">
        <v>632</v>
      </c>
      <c r="Q598" s="92" t="s">
        <v>646</v>
      </c>
      <c r="R598" s="372" t="str">
        <f t="shared" si="21"/>
        <v/>
      </c>
    </row>
    <row r="599" spans="1:18" x14ac:dyDescent="0.25">
      <c r="A599" s="23" t="s">
        <v>2306</v>
      </c>
      <c r="B599" s="18" t="str">
        <f>IF(ISNA(VLOOKUP($A599,'Data Pull Sheet'!$B$2:$C$1795,2,0)),"",(VLOOKUP($A599,'Data Pull Sheet'!$B$2:$C$1795,2,0)))</f>
        <v>IMMU</v>
      </c>
      <c r="C599" s="59" t="s">
        <v>424</v>
      </c>
      <c r="D599" s="356" t="s">
        <v>2307</v>
      </c>
      <c r="E599" s="356" t="s">
        <v>519</v>
      </c>
      <c r="F599" s="23" t="s">
        <v>2313</v>
      </c>
      <c r="G599" s="23" t="s">
        <v>403</v>
      </c>
      <c r="H599" s="353">
        <v>10583.5</v>
      </c>
      <c r="I599" s="59"/>
      <c r="J599" s="59" t="s">
        <v>2314</v>
      </c>
      <c r="K599" s="20"/>
      <c r="L599" s="20"/>
      <c r="M599" s="357"/>
      <c r="N599" s="411"/>
      <c r="O599" s="23" t="s">
        <v>797</v>
      </c>
      <c r="P599" s="92" t="s">
        <v>632</v>
      </c>
      <c r="Q599" s="92" t="s">
        <v>646</v>
      </c>
      <c r="R599" s="372" t="str">
        <f t="shared" si="21"/>
        <v/>
      </c>
    </row>
    <row r="600" spans="1:18" x14ac:dyDescent="0.25">
      <c r="A600" s="23" t="s">
        <v>1516</v>
      </c>
      <c r="B600" s="18" t="str">
        <f>IF(ISNA(VLOOKUP($A600,'Data Pull Sheet'!$B$2:$C$1795,2,0)),"",(VLOOKUP($A600,'Data Pull Sheet'!$B$2:$C$1795,2,0)))</f>
        <v>PMTS</v>
      </c>
      <c r="C600" s="59" t="s">
        <v>418</v>
      </c>
      <c r="D600" s="356" t="s">
        <v>1517</v>
      </c>
      <c r="E600" s="356" t="s">
        <v>589</v>
      </c>
      <c r="F600" s="23" t="s">
        <v>1518</v>
      </c>
      <c r="G600" s="23" t="s">
        <v>403</v>
      </c>
      <c r="H600" s="353">
        <v>7505.89</v>
      </c>
      <c r="I600" s="59"/>
      <c r="J600" s="59" t="s">
        <v>1519</v>
      </c>
      <c r="K600" s="20">
        <v>8</v>
      </c>
      <c r="L600" s="20">
        <v>4</v>
      </c>
      <c r="M600" s="357">
        <f>SUM(H600:H603)</f>
        <v>36117.89</v>
      </c>
      <c r="N600" s="411">
        <f>IFERROR((M600/(VLOOKUP(B600,'Data Pull Sheet'!$C:$H,6,FALSE))),"DC")</f>
        <v>3.925857608695652E-4</v>
      </c>
      <c r="O600" s="23" t="s">
        <v>561</v>
      </c>
      <c r="P600" s="92" t="s">
        <v>632</v>
      </c>
      <c r="Q600" s="92" t="s">
        <v>646</v>
      </c>
      <c r="R600" s="372" t="str">
        <f t="shared" si="21"/>
        <v/>
      </c>
    </row>
    <row r="601" spans="1:18" x14ac:dyDescent="0.25">
      <c r="A601" s="23" t="s">
        <v>1516</v>
      </c>
      <c r="B601" s="18" t="str">
        <f>IF(ISNA(VLOOKUP($A601,'Data Pull Sheet'!$B$2:$C$1795,2,0)),"",(VLOOKUP($A601,'Data Pull Sheet'!$B$2:$C$1795,2,0)))</f>
        <v>PMTS</v>
      </c>
      <c r="C601" s="59" t="s">
        <v>418</v>
      </c>
      <c r="D601" s="356" t="s">
        <v>1517</v>
      </c>
      <c r="E601" s="356" t="s">
        <v>589</v>
      </c>
      <c r="F601" s="23" t="s">
        <v>1520</v>
      </c>
      <c r="G601" s="23" t="s">
        <v>403</v>
      </c>
      <c r="H601" s="353">
        <v>8470</v>
      </c>
      <c r="I601" s="59"/>
      <c r="J601" s="59" t="s">
        <v>1521</v>
      </c>
      <c r="K601" s="20"/>
      <c r="L601" s="20"/>
      <c r="M601" s="357"/>
      <c r="N601" s="411"/>
      <c r="O601" s="23" t="s">
        <v>561</v>
      </c>
      <c r="P601" s="92" t="s">
        <v>632</v>
      </c>
      <c r="Q601" s="92" t="s">
        <v>646</v>
      </c>
      <c r="R601" s="372" t="str">
        <f t="shared" si="21"/>
        <v/>
      </c>
    </row>
    <row r="602" spans="1:18" x14ac:dyDescent="0.25">
      <c r="A602" s="23" t="s">
        <v>1516</v>
      </c>
      <c r="B602" s="18" t="str">
        <f>IF(ISNA(VLOOKUP($A602,'Data Pull Sheet'!$B$2:$C$1795,2,0)),"",(VLOOKUP($A602,'Data Pull Sheet'!$B$2:$C$1795,2,0)))</f>
        <v>PMTS</v>
      </c>
      <c r="C602" s="59" t="s">
        <v>418</v>
      </c>
      <c r="D602" s="356" t="s">
        <v>1517</v>
      </c>
      <c r="E602" s="356" t="s">
        <v>589</v>
      </c>
      <c r="F602" s="23" t="s">
        <v>1522</v>
      </c>
      <c r="G602" s="23" t="s">
        <v>403</v>
      </c>
      <c r="H602" s="353">
        <v>9670</v>
      </c>
      <c r="I602" s="59"/>
      <c r="J602" s="59" t="s">
        <v>1523</v>
      </c>
      <c r="K602" s="20"/>
      <c r="L602" s="20"/>
      <c r="M602" s="357"/>
      <c r="N602" s="411"/>
      <c r="O602" s="23" t="s">
        <v>561</v>
      </c>
      <c r="P602" s="92" t="s">
        <v>632</v>
      </c>
      <c r="Q602" s="92" t="s">
        <v>646</v>
      </c>
      <c r="R602" s="372" t="str">
        <f t="shared" si="21"/>
        <v/>
      </c>
    </row>
    <row r="603" spans="1:18" x14ac:dyDescent="0.25">
      <c r="A603" s="23" t="s">
        <v>1516</v>
      </c>
      <c r="B603" s="18" t="str">
        <f>IF(ISNA(VLOOKUP($A603,'Data Pull Sheet'!$B$2:$C$1795,2,0)),"",(VLOOKUP($A603,'Data Pull Sheet'!$B$2:$C$1795,2,0)))</f>
        <v>PMTS</v>
      </c>
      <c r="C603" s="59" t="s">
        <v>418</v>
      </c>
      <c r="D603" s="356" t="s">
        <v>1517</v>
      </c>
      <c r="E603" s="356" t="s">
        <v>589</v>
      </c>
      <c r="F603" s="23" t="s">
        <v>1524</v>
      </c>
      <c r="G603" s="23" t="s">
        <v>403</v>
      </c>
      <c r="H603" s="353">
        <v>10472</v>
      </c>
      <c r="I603" s="59"/>
      <c r="J603" s="59" t="s">
        <v>1525</v>
      </c>
      <c r="K603" s="20"/>
      <c r="L603" s="20"/>
      <c r="M603" s="357"/>
      <c r="N603" s="411"/>
      <c r="O603" s="23" t="s">
        <v>561</v>
      </c>
      <c r="P603" s="92" t="s">
        <v>632</v>
      </c>
      <c r="Q603" s="92" t="s">
        <v>646</v>
      </c>
      <c r="R603" s="372" t="str">
        <f t="shared" si="21"/>
        <v/>
      </c>
    </row>
    <row r="604" spans="1:18" x14ac:dyDescent="0.25">
      <c r="A604" s="23" t="s">
        <v>1516</v>
      </c>
      <c r="B604" s="18" t="str">
        <f>IF(ISNA(VLOOKUP($A604,'Data Pull Sheet'!$B$2:$C$1795,2,0)),"",(VLOOKUP($A604,'Data Pull Sheet'!$B$2:$C$1795,2,0)))</f>
        <v>PMTS</v>
      </c>
      <c r="C604" s="59" t="s">
        <v>418</v>
      </c>
      <c r="D604" s="356" t="s">
        <v>1517</v>
      </c>
      <c r="E604" s="356" t="s">
        <v>589</v>
      </c>
      <c r="F604" s="23" t="s">
        <v>1526</v>
      </c>
      <c r="G604" s="23" t="s">
        <v>403</v>
      </c>
      <c r="H604" s="353">
        <v>3866.94</v>
      </c>
      <c r="I604" s="59"/>
      <c r="J604" s="59" t="s">
        <v>1527</v>
      </c>
      <c r="K604" s="20"/>
      <c r="L604" s="20">
        <v>2</v>
      </c>
      <c r="M604" s="357">
        <f>SUM(H604:H605)</f>
        <v>9246.94</v>
      </c>
      <c r="N604" s="411">
        <f>IFERROR((M604/(VLOOKUP(B604,'Data Pull Sheet'!$C:$H,6,FALSE))),"DC")</f>
        <v>1.0051021739130435E-4</v>
      </c>
      <c r="O604" s="23" t="s">
        <v>597</v>
      </c>
      <c r="P604" s="92" t="s">
        <v>632</v>
      </c>
      <c r="Q604" s="92" t="s">
        <v>646</v>
      </c>
      <c r="R604" s="372" t="str">
        <f t="shared" si="21"/>
        <v/>
      </c>
    </row>
    <row r="605" spans="1:18" x14ac:dyDescent="0.25">
      <c r="A605" s="23" t="s">
        <v>1516</v>
      </c>
      <c r="B605" s="18" t="str">
        <f>IF(ISNA(VLOOKUP($A605,'Data Pull Sheet'!$B$2:$C$1795,2,0)),"",(VLOOKUP($A605,'Data Pull Sheet'!$B$2:$C$1795,2,0)))</f>
        <v>PMTS</v>
      </c>
      <c r="C605" s="59" t="s">
        <v>418</v>
      </c>
      <c r="D605" s="356" t="s">
        <v>1517</v>
      </c>
      <c r="E605" s="356" t="s">
        <v>589</v>
      </c>
      <c r="F605" s="23" t="s">
        <v>1528</v>
      </c>
      <c r="G605" s="23" t="s">
        <v>403</v>
      </c>
      <c r="H605" s="353">
        <v>5380</v>
      </c>
      <c r="I605" s="59"/>
      <c r="J605" s="59" t="s">
        <v>1529</v>
      </c>
      <c r="K605" s="20"/>
      <c r="L605" s="20"/>
      <c r="M605" s="357"/>
      <c r="N605" s="411"/>
      <c r="O605" s="23" t="s">
        <v>597</v>
      </c>
      <c r="P605" s="92" t="s">
        <v>632</v>
      </c>
      <c r="Q605" s="92" t="s">
        <v>646</v>
      </c>
      <c r="R605" s="372" t="str">
        <f t="shared" si="21"/>
        <v/>
      </c>
    </row>
    <row r="606" spans="1:18" x14ac:dyDescent="0.25">
      <c r="A606" s="23" t="s">
        <v>1516</v>
      </c>
      <c r="B606" s="18" t="str">
        <f>IF(ISNA(VLOOKUP($A606,'Data Pull Sheet'!$B$2:$C$1795,2,0)),"",(VLOOKUP($A606,'Data Pull Sheet'!$B$2:$C$1795,2,0)))</f>
        <v>PMTS</v>
      </c>
      <c r="C606" s="59" t="s">
        <v>418</v>
      </c>
      <c r="D606" s="356" t="s">
        <v>1517</v>
      </c>
      <c r="E606" s="356" t="s">
        <v>589</v>
      </c>
      <c r="F606" s="23" t="s">
        <v>1530</v>
      </c>
      <c r="G606" s="23" t="s">
        <v>403</v>
      </c>
      <c r="H606" s="353">
        <v>49792.23</v>
      </c>
      <c r="I606" s="59"/>
      <c r="J606" s="59" t="s">
        <v>1531</v>
      </c>
      <c r="K606" s="20"/>
      <c r="L606" s="20">
        <v>1</v>
      </c>
      <c r="M606" s="357">
        <f>H606</f>
        <v>49792.23</v>
      </c>
      <c r="N606" s="411">
        <f>IFERROR((M606/(VLOOKUP(B606,'Data Pull Sheet'!$C:$H,6,FALSE))),"DC")</f>
        <v>5.4121989130434783E-4</v>
      </c>
      <c r="O606" s="23" t="s">
        <v>849</v>
      </c>
      <c r="P606" s="92" t="s">
        <v>632</v>
      </c>
      <c r="Q606" s="92" t="s">
        <v>646</v>
      </c>
      <c r="R606" s="372" t="str">
        <f t="shared" si="21"/>
        <v/>
      </c>
    </row>
    <row r="607" spans="1:18" x14ac:dyDescent="0.25">
      <c r="A607" s="23" t="s">
        <v>1516</v>
      </c>
      <c r="B607" s="18" t="str">
        <f>IF(ISNA(VLOOKUP($A607,'Data Pull Sheet'!$B$2:$C$1795,2,0)),"",(VLOOKUP($A607,'Data Pull Sheet'!$B$2:$C$1795,2,0)))</f>
        <v>PMTS</v>
      </c>
      <c r="C607" s="59" t="s">
        <v>418</v>
      </c>
      <c r="D607" s="356" t="s">
        <v>1517</v>
      </c>
      <c r="E607" s="356" t="s">
        <v>589</v>
      </c>
      <c r="F607" s="23" t="s">
        <v>1532</v>
      </c>
      <c r="G607" s="23" t="s">
        <v>403</v>
      </c>
      <c r="H607" s="353">
        <v>15108.97</v>
      </c>
      <c r="I607" s="59"/>
      <c r="J607" s="59" t="s">
        <v>1533</v>
      </c>
      <c r="K607" s="20"/>
      <c r="L607" s="20">
        <v>1</v>
      </c>
      <c r="M607" s="357">
        <f>H607</f>
        <v>15108.97</v>
      </c>
      <c r="N607" s="411">
        <f>IFERROR((M607/(VLOOKUP(B607,'Data Pull Sheet'!$C:$H,6,FALSE))),"DC")</f>
        <v>1.6422793478260868E-4</v>
      </c>
      <c r="O607" s="23" t="s">
        <v>48</v>
      </c>
      <c r="P607" s="92" t="s">
        <v>632</v>
      </c>
      <c r="Q607" s="92" t="s">
        <v>637</v>
      </c>
      <c r="R607" s="372" t="str">
        <f t="shared" si="21"/>
        <v/>
      </c>
    </row>
    <row r="608" spans="1:18" x14ac:dyDescent="0.25">
      <c r="A608" s="23" t="s">
        <v>1516</v>
      </c>
      <c r="B608" s="18" t="str">
        <f>IF(ISNA(VLOOKUP($A608,'Data Pull Sheet'!$B$2:$C$1795,2,0)),"",(VLOOKUP($A608,'Data Pull Sheet'!$B$2:$C$1795,2,0)))</f>
        <v>PMTS</v>
      </c>
      <c r="C608" s="59" t="s">
        <v>418</v>
      </c>
      <c r="D608" s="356" t="s">
        <v>1517</v>
      </c>
      <c r="E608" s="356" t="s">
        <v>589</v>
      </c>
      <c r="F608" s="23" t="s">
        <v>1534</v>
      </c>
      <c r="G608" s="23" t="s">
        <v>403</v>
      </c>
      <c r="H608" s="353">
        <v>313942.65999999997</v>
      </c>
      <c r="I608" s="59" t="s">
        <v>406</v>
      </c>
      <c r="J608" s="59" t="s">
        <v>1535</v>
      </c>
      <c r="K608" s="20"/>
      <c r="L608" s="20">
        <v>1</v>
      </c>
      <c r="M608" s="357">
        <f>H608</f>
        <v>313942.65999999997</v>
      </c>
      <c r="N608" s="411">
        <f>IFERROR((M608/(VLOOKUP(B608,'Data Pull Sheet'!$C:$H,6,FALSE))),"DC")</f>
        <v>3.412420217391304E-3</v>
      </c>
      <c r="O608" s="23" t="s">
        <v>56</v>
      </c>
      <c r="P608" s="92" t="s">
        <v>632</v>
      </c>
      <c r="Q608" s="92" t="s">
        <v>637</v>
      </c>
      <c r="R608" s="372" t="str">
        <f t="shared" si="21"/>
        <v/>
      </c>
    </row>
    <row r="609" spans="1:18" x14ac:dyDescent="0.25">
      <c r="A609" s="23" t="s">
        <v>1516</v>
      </c>
      <c r="B609" s="18" t="str">
        <f>IF(ISNA(VLOOKUP($A609,'Data Pull Sheet'!$B$2:$C$1795,2,0)),"",(VLOOKUP($A609,'Data Pull Sheet'!$B$2:$C$1795,2,0)))</f>
        <v>PMTS</v>
      </c>
      <c r="C609" s="59" t="s">
        <v>418</v>
      </c>
      <c r="D609" s="356" t="s">
        <v>1517</v>
      </c>
      <c r="E609" s="356" t="s">
        <v>589</v>
      </c>
      <c r="F609" s="23" t="s">
        <v>1536</v>
      </c>
      <c r="G609" s="23" t="s">
        <v>403</v>
      </c>
      <c r="H609" s="353">
        <v>84057</v>
      </c>
      <c r="I609" s="59"/>
      <c r="J609" s="59" t="s">
        <v>1537</v>
      </c>
      <c r="K609" s="20"/>
      <c r="L609" s="20">
        <v>1</v>
      </c>
      <c r="M609" s="357">
        <f>H609</f>
        <v>84057</v>
      </c>
      <c r="N609" s="411">
        <f>IFERROR((M609/(VLOOKUP(B609,'Data Pull Sheet'!$C:$H,6,FALSE))),"DC")</f>
        <v>9.1366304347826092E-4</v>
      </c>
      <c r="O609" s="23" t="s">
        <v>7</v>
      </c>
      <c r="P609" s="92" t="s">
        <v>632</v>
      </c>
      <c r="Q609" s="92" t="s">
        <v>637</v>
      </c>
      <c r="R609" s="372" t="str">
        <f t="shared" si="21"/>
        <v/>
      </c>
    </row>
    <row r="610" spans="1:18" ht="30" x14ac:dyDescent="0.25">
      <c r="A610" s="23" t="s">
        <v>1516</v>
      </c>
      <c r="B610" s="18" t="str">
        <f>IF(ISNA(VLOOKUP($A610,'Data Pull Sheet'!$B$2:$C$1795,2,0)),"",(VLOOKUP($A610,'Data Pull Sheet'!$B$2:$C$1795,2,0)))</f>
        <v>PMTS</v>
      </c>
      <c r="C610" s="59" t="s">
        <v>418</v>
      </c>
      <c r="D610" s="356" t="s">
        <v>1517</v>
      </c>
      <c r="E610" s="356" t="s">
        <v>589</v>
      </c>
      <c r="F610" s="23" t="s">
        <v>1538</v>
      </c>
      <c r="G610" s="23" t="s">
        <v>403</v>
      </c>
      <c r="H610" s="353" t="s">
        <v>10798</v>
      </c>
      <c r="I610" s="59"/>
      <c r="J610" s="59" t="s">
        <v>1539</v>
      </c>
      <c r="K610" s="20"/>
      <c r="L610" s="20">
        <v>2</v>
      </c>
      <c r="M610" s="357" t="s">
        <v>10798</v>
      </c>
      <c r="N610" s="411" t="str">
        <f>IFERROR((M610/(VLOOKUP(B610,'Data Pull Sheet'!$C:$H,6,FALSE))),"DC")</f>
        <v>DC</v>
      </c>
      <c r="O610" s="23" t="s">
        <v>10825</v>
      </c>
      <c r="P610" s="92" t="s">
        <v>632</v>
      </c>
      <c r="Q610" s="92" t="s">
        <v>646</v>
      </c>
      <c r="R610" s="372" t="str">
        <f t="shared" si="21"/>
        <v/>
      </c>
    </row>
    <row r="611" spans="1:18" ht="30" x14ac:dyDescent="0.25">
      <c r="A611" s="23" t="s">
        <v>1516</v>
      </c>
      <c r="B611" s="18" t="str">
        <f>IF(ISNA(VLOOKUP($A611,'Data Pull Sheet'!$B$2:$C$1795,2,0)),"",(VLOOKUP($A611,'Data Pull Sheet'!$B$2:$C$1795,2,0)))</f>
        <v>PMTS</v>
      </c>
      <c r="C611" s="59" t="s">
        <v>418</v>
      </c>
      <c r="D611" s="356" t="s">
        <v>1517</v>
      </c>
      <c r="E611" s="356" t="s">
        <v>589</v>
      </c>
      <c r="F611" s="23" t="s">
        <v>1541</v>
      </c>
      <c r="G611" s="23" t="s">
        <v>403</v>
      </c>
      <c r="H611" s="353" t="s">
        <v>10798</v>
      </c>
      <c r="I611" s="59"/>
      <c r="J611" s="59" t="s">
        <v>1542</v>
      </c>
      <c r="K611" s="20"/>
      <c r="L611" s="20"/>
      <c r="M611" s="357"/>
      <c r="N611" s="411"/>
      <c r="O611" s="23" t="s">
        <v>10825</v>
      </c>
      <c r="P611" s="92" t="s">
        <v>632</v>
      </c>
      <c r="Q611" s="92" t="s">
        <v>646</v>
      </c>
      <c r="R611" s="372" t="str">
        <f t="shared" si="21"/>
        <v/>
      </c>
    </row>
    <row r="612" spans="1:18" x14ac:dyDescent="0.25">
      <c r="A612" s="23" t="s">
        <v>1516</v>
      </c>
      <c r="B612" s="18" t="str">
        <f>IF(ISNA(VLOOKUP($A612,'Data Pull Sheet'!$B$2:$C$1795,2,0)),"",(VLOOKUP($A612,'Data Pull Sheet'!$B$2:$C$1795,2,0)))</f>
        <v>PMTS</v>
      </c>
      <c r="C612" s="59" t="s">
        <v>418</v>
      </c>
      <c r="D612" s="356" t="s">
        <v>1517</v>
      </c>
      <c r="E612" s="356" t="s">
        <v>589</v>
      </c>
      <c r="F612" s="23" t="s">
        <v>1543</v>
      </c>
      <c r="G612" s="23" t="s">
        <v>403</v>
      </c>
      <c r="H612" s="353">
        <v>4052</v>
      </c>
      <c r="I612" s="59"/>
      <c r="J612" s="59" t="s">
        <v>1544</v>
      </c>
      <c r="K612" s="20"/>
      <c r="L612" s="20">
        <v>1</v>
      </c>
      <c r="M612" s="357">
        <f t="shared" ref="M612:M619" si="22">H612</f>
        <v>4052</v>
      </c>
      <c r="N612" s="411">
        <f>IFERROR((M612/(VLOOKUP(B612,'Data Pull Sheet'!$C:$H,6,FALSE))),"DC")</f>
        <v>4.4043478260869565E-5</v>
      </c>
      <c r="O612" s="23" t="s">
        <v>682</v>
      </c>
      <c r="P612" s="92" t="s">
        <v>632</v>
      </c>
      <c r="Q612" s="92" t="s">
        <v>637</v>
      </c>
      <c r="R612" s="372" t="str">
        <f t="shared" si="21"/>
        <v/>
      </c>
    </row>
    <row r="613" spans="1:18" ht="30" x14ac:dyDescent="0.25">
      <c r="A613" s="23" t="s">
        <v>4092</v>
      </c>
      <c r="B613" s="18" t="str">
        <f>IF(ISNA(VLOOKUP($A613,'Data Pull Sheet'!$B$2:$C$1795,2,0)),"",(VLOOKUP($A613,'Data Pull Sheet'!$B$2:$C$1795,2,0)))</f>
        <v>VLKAY</v>
      </c>
      <c r="C613" s="59" t="s">
        <v>457</v>
      </c>
      <c r="D613" s="356" t="s">
        <v>426</v>
      </c>
      <c r="E613" s="356" t="s">
        <v>3149</v>
      </c>
      <c r="F613" s="23" t="s">
        <v>4093</v>
      </c>
      <c r="G613" s="23" t="s">
        <v>417</v>
      </c>
      <c r="H613" s="353">
        <v>66552.100000000006</v>
      </c>
      <c r="I613" s="59" t="s">
        <v>476</v>
      </c>
      <c r="J613" s="59" t="s">
        <v>4094</v>
      </c>
      <c r="K613" s="20">
        <v>1</v>
      </c>
      <c r="L613" s="20">
        <v>1</v>
      </c>
      <c r="M613" s="357">
        <f t="shared" si="22"/>
        <v>66552.100000000006</v>
      </c>
      <c r="N613" s="411">
        <f>IFERROR((M613/(VLOOKUP(B613,'Data Pull Sheet'!$C:$H,6,FALSE))),"DC")</f>
        <v>1.923471098265896E-4</v>
      </c>
      <c r="O613" s="23" t="s">
        <v>166</v>
      </c>
      <c r="P613" s="92" t="s">
        <v>676</v>
      </c>
      <c r="Q613" s="92" t="s">
        <v>633</v>
      </c>
      <c r="R613" s="372" t="str">
        <f t="shared" si="21"/>
        <v/>
      </c>
    </row>
    <row r="614" spans="1:18" x14ac:dyDescent="0.25">
      <c r="A614" s="23" t="s">
        <v>314</v>
      </c>
      <c r="B614" s="18" t="str">
        <f>IF(ISNA(VLOOKUP($A614,'Data Pull Sheet'!$B$2:$C$1795,2,0)),"",(VLOOKUP($A614,'Data Pull Sheet'!$B$2:$C$1795,2,0)))</f>
        <v>INOV</v>
      </c>
      <c r="C614" s="59" t="s">
        <v>418</v>
      </c>
      <c r="D614" s="356" t="s">
        <v>591</v>
      </c>
      <c r="E614" s="356" t="s">
        <v>432</v>
      </c>
      <c r="F614" s="23" t="s">
        <v>2356</v>
      </c>
      <c r="G614" s="23" t="s">
        <v>403</v>
      </c>
      <c r="H614" s="353">
        <v>8622</v>
      </c>
      <c r="I614" s="59"/>
      <c r="J614" s="59" t="s">
        <v>2357</v>
      </c>
      <c r="K614" s="20">
        <v>2</v>
      </c>
      <c r="L614" s="20">
        <v>1</v>
      </c>
      <c r="M614" s="357">
        <f t="shared" si="22"/>
        <v>8622</v>
      </c>
      <c r="N614" s="411" t="str">
        <f>IFERROR((M614/(VLOOKUP(B614,'Data Pull Sheet'!$C:$H,6,FALSE))),"DC")</f>
        <v>DC</v>
      </c>
      <c r="O614" s="23" t="s">
        <v>584</v>
      </c>
      <c r="P614" s="92" t="s">
        <v>632</v>
      </c>
      <c r="Q614" s="92" t="s">
        <v>637</v>
      </c>
      <c r="R614" s="372" t="str">
        <f t="shared" si="21"/>
        <v/>
      </c>
    </row>
    <row r="615" spans="1:18" ht="30" x14ac:dyDescent="0.25">
      <c r="A615" s="23" t="s">
        <v>314</v>
      </c>
      <c r="B615" s="18" t="str">
        <f>IF(ISNA(VLOOKUP($A615,'Data Pull Sheet'!$B$2:$C$1795,2,0)),"",(VLOOKUP($A615,'Data Pull Sheet'!$B$2:$C$1795,2,0)))</f>
        <v>INOV</v>
      </c>
      <c r="C615" s="59" t="s">
        <v>418</v>
      </c>
      <c r="D615" s="356" t="s">
        <v>591</v>
      </c>
      <c r="E615" s="356" t="s">
        <v>432</v>
      </c>
      <c r="F615" s="23" t="s">
        <v>313</v>
      </c>
      <c r="G615" s="23" t="s">
        <v>417</v>
      </c>
      <c r="H615" s="353">
        <v>114762.22</v>
      </c>
      <c r="I615" s="59"/>
      <c r="J615" s="59" t="s">
        <v>2358</v>
      </c>
      <c r="K615" s="20"/>
      <c r="L615" s="20">
        <v>1</v>
      </c>
      <c r="M615" s="357">
        <f t="shared" si="22"/>
        <v>114762.22</v>
      </c>
      <c r="N615" s="411" t="str">
        <f>IFERROR((M615/(VLOOKUP(B615,'Data Pull Sheet'!$C:$H,6,FALSE))),"DC")</f>
        <v>DC</v>
      </c>
      <c r="O615" s="23" t="s">
        <v>1144</v>
      </c>
      <c r="P615" s="92" t="s">
        <v>632</v>
      </c>
      <c r="Q615" s="92" t="s">
        <v>633</v>
      </c>
      <c r="R615" s="372" t="str">
        <f t="shared" si="21"/>
        <v>FF</v>
      </c>
    </row>
    <row r="616" spans="1:18" x14ac:dyDescent="0.25">
      <c r="A616" s="23" t="s">
        <v>804</v>
      </c>
      <c r="B616" s="18" t="str">
        <f>IF(ISNA(VLOOKUP($A616,'Data Pull Sheet'!$B$2:$C$1795,2,0)),"",(VLOOKUP($A616,'Data Pull Sheet'!$B$2:$C$1795,2,0)))</f>
        <v>AMBC</v>
      </c>
      <c r="C616" s="59" t="s">
        <v>418</v>
      </c>
      <c r="D616" s="356" t="s">
        <v>805</v>
      </c>
      <c r="E616" s="356" t="s">
        <v>806</v>
      </c>
      <c r="F616" s="23" t="s">
        <v>807</v>
      </c>
      <c r="G616" s="23" t="s">
        <v>403</v>
      </c>
      <c r="H616" s="353">
        <v>991862.05</v>
      </c>
      <c r="I616" s="59"/>
      <c r="J616" s="59" t="s">
        <v>808</v>
      </c>
      <c r="K616" s="20">
        <v>1</v>
      </c>
      <c r="L616" s="20">
        <v>1</v>
      </c>
      <c r="M616" s="357">
        <f t="shared" si="22"/>
        <v>991862.05</v>
      </c>
      <c r="N616" s="411">
        <f>IFERROR((M616/(VLOOKUP(B616,'Data Pull Sheet'!$C:$H,6,FALSE))),"DC")</f>
        <v>3.8148540384615385E-3</v>
      </c>
      <c r="O616" s="23" t="s">
        <v>63</v>
      </c>
      <c r="P616" s="92" t="s">
        <v>676</v>
      </c>
      <c r="Q616" s="92" t="s">
        <v>637</v>
      </c>
      <c r="R616" s="372" t="str">
        <f t="shared" si="21"/>
        <v/>
      </c>
    </row>
    <row r="617" spans="1:18" x14ac:dyDescent="0.25">
      <c r="A617" s="23" t="s">
        <v>2204</v>
      </c>
      <c r="B617" s="18" t="str">
        <f>IF(ISNA(VLOOKUP($A617,'Data Pull Sheet'!$B$2:$C$1795,2,0)),"",(VLOOKUP($A617,'Data Pull Sheet'!$B$2:$C$1795,2,0)))</f>
        <v>HYH</v>
      </c>
      <c r="C617" s="59" t="s">
        <v>418</v>
      </c>
      <c r="D617" s="356" t="s">
        <v>805</v>
      </c>
      <c r="E617" s="356" t="s">
        <v>806</v>
      </c>
      <c r="F617" s="23" t="s">
        <v>2205</v>
      </c>
      <c r="G617" s="23" t="s">
        <v>403</v>
      </c>
      <c r="H617" s="353">
        <v>192986</v>
      </c>
      <c r="I617" s="59"/>
      <c r="J617" s="59" t="s">
        <v>2206</v>
      </c>
      <c r="K617" s="20">
        <v>2</v>
      </c>
      <c r="L617" s="20">
        <v>1</v>
      </c>
      <c r="M617" s="357">
        <f t="shared" si="22"/>
        <v>192986</v>
      </c>
      <c r="N617" s="411">
        <f>IFERROR((M617/(VLOOKUP(B617,'Data Pull Sheet'!$C:$H,6,FALSE))),"DC")</f>
        <v>5.8480606060606058E-3</v>
      </c>
      <c r="O617" s="23" t="s">
        <v>79</v>
      </c>
      <c r="P617" s="92" t="s">
        <v>632</v>
      </c>
      <c r="Q617" s="92" t="s">
        <v>637</v>
      </c>
      <c r="R617" s="372" t="str">
        <f t="shared" si="21"/>
        <v/>
      </c>
    </row>
    <row r="618" spans="1:18" x14ac:dyDescent="0.25">
      <c r="A618" s="23" t="s">
        <v>2204</v>
      </c>
      <c r="B618" s="18" t="str">
        <f>IF(ISNA(VLOOKUP($A618,'Data Pull Sheet'!$B$2:$C$1795,2,0)),"",(VLOOKUP($A618,'Data Pull Sheet'!$B$2:$C$1795,2,0)))</f>
        <v>HYH</v>
      </c>
      <c r="C618" s="59" t="s">
        <v>418</v>
      </c>
      <c r="D618" s="356" t="s">
        <v>805</v>
      </c>
      <c r="E618" s="356" t="s">
        <v>806</v>
      </c>
      <c r="F618" s="23" t="s">
        <v>2207</v>
      </c>
      <c r="G618" s="23" t="s">
        <v>403</v>
      </c>
      <c r="H618" s="353">
        <v>12074.88</v>
      </c>
      <c r="I618" s="59"/>
      <c r="J618" s="59" t="s">
        <v>2208</v>
      </c>
      <c r="K618" s="20"/>
      <c r="L618" s="20">
        <v>1</v>
      </c>
      <c r="M618" s="357">
        <f t="shared" si="22"/>
        <v>12074.88</v>
      </c>
      <c r="N618" s="411">
        <f>IFERROR((M618/(VLOOKUP(B618,'Data Pull Sheet'!$C:$H,6,FALSE))),"DC")</f>
        <v>3.6590545454545453E-4</v>
      </c>
      <c r="O618" s="23" t="s">
        <v>682</v>
      </c>
      <c r="P618" s="92" t="s">
        <v>632</v>
      </c>
      <c r="Q618" s="92" t="s">
        <v>637</v>
      </c>
      <c r="R618" s="372" t="str">
        <f t="shared" si="21"/>
        <v/>
      </c>
    </row>
    <row r="619" spans="1:18" ht="30" x14ac:dyDescent="0.25">
      <c r="A619" s="23" t="s">
        <v>2616</v>
      </c>
      <c r="B619" s="18" t="str">
        <f>IF(ISNA(VLOOKUP($A619,'Data Pull Sheet'!$B$2:$C$1795,2,0)),"",(VLOOKUP($A619,'Data Pull Sheet'!$B$2:$C$1795,2,0)))</f>
        <v>LPCN</v>
      </c>
      <c r="C619" s="59" t="s">
        <v>536</v>
      </c>
      <c r="D619" s="356" t="s">
        <v>2617</v>
      </c>
      <c r="E619" s="356" t="s">
        <v>2618</v>
      </c>
      <c r="F619" s="23" t="s">
        <v>2619</v>
      </c>
      <c r="G619" s="23" t="s">
        <v>403</v>
      </c>
      <c r="H619" s="353">
        <v>5154.8</v>
      </c>
      <c r="I619" s="59"/>
      <c r="J619" s="59" t="s">
        <v>2620</v>
      </c>
      <c r="K619" s="20">
        <v>3</v>
      </c>
      <c r="L619" s="20">
        <v>1</v>
      </c>
      <c r="M619" s="357">
        <f t="shared" si="22"/>
        <v>5154.8</v>
      </c>
      <c r="N619" s="411">
        <f>IFERROR((M619/(VLOOKUP(B619,'Data Pull Sheet'!$C:$H,6,FALSE))),"DC")</f>
        <v>1.7182666666666667E-4</v>
      </c>
      <c r="O619" s="23" t="s">
        <v>687</v>
      </c>
      <c r="P619" s="92" t="s">
        <v>632</v>
      </c>
      <c r="Q619" s="92" t="s">
        <v>637</v>
      </c>
      <c r="R619" s="372" t="str">
        <f t="shared" si="21"/>
        <v/>
      </c>
    </row>
    <row r="620" spans="1:18" ht="30" x14ac:dyDescent="0.25">
      <c r="A620" s="23" t="s">
        <v>2616</v>
      </c>
      <c r="B620" s="18" t="str">
        <f>IF(ISNA(VLOOKUP($A620,'Data Pull Sheet'!$B$2:$C$1795,2,0)),"",(VLOOKUP($A620,'Data Pull Sheet'!$B$2:$C$1795,2,0)))</f>
        <v>LPCN</v>
      </c>
      <c r="C620" s="59" t="s">
        <v>536</v>
      </c>
      <c r="D620" s="356" t="s">
        <v>2617</v>
      </c>
      <c r="E620" s="356" t="s">
        <v>2618</v>
      </c>
      <c r="F620" s="23" t="s">
        <v>2621</v>
      </c>
      <c r="G620" s="23" t="s">
        <v>417</v>
      </c>
      <c r="H620" s="353">
        <v>73750</v>
      </c>
      <c r="I620" s="59"/>
      <c r="J620" s="59" t="s">
        <v>2622</v>
      </c>
      <c r="K620" s="20"/>
      <c r="L620" s="20">
        <v>3</v>
      </c>
      <c r="M620" s="357">
        <f>SUM(H620:H622)</f>
        <v>262036</v>
      </c>
      <c r="N620" s="411">
        <f>IFERROR((M620/(VLOOKUP(B620,'Data Pull Sheet'!$C:$H,6,FALSE))),"DC")</f>
        <v>8.7345333333333341E-3</v>
      </c>
      <c r="O620" s="23" t="s">
        <v>11066</v>
      </c>
      <c r="P620" s="92" t="s">
        <v>632</v>
      </c>
      <c r="Q620" s="92" t="s">
        <v>662</v>
      </c>
      <c r="R620" s="372" t="str">
        <f t="shared" si="21"/>
        <v/>
      </c>
    </row>
    <row r="621" spans="1:18" ht="30" x14ac:dyDescent="0.25">
      <c r="A621" s="23" t="s">
        <v>2616</v>
      </c>
      <c r="B621" s="18" t="str">
        <f>IF(ISNA(VLOOKUP($A621,'Data Pull Sheet'!$B$2:$C$1795,2,0)),"",(VLOOKUP($A621,'Data Pull Sheet'!$B$2:$C$1795,2,0)))</f>
        <v>LPCN</v>
      </c>
      <c r="C621" s="59" t="s">
        <v>536</v>
      </c>
      <c r="D621" s="356" t="s">
        <v>2617</v>
      </c>
      <c r="E621" s="356" t="s">
        <v>2618</v>
      </c>
      <c r="F621" s="23" t="s">
        <v>2624</v>
      </c>
      <c r="G621" s="23" t="s">
        <v>417</v>
      </c>
      <c r="H621" s="353">
        <v>87908</v>
      </c>
      <c r="I621" s="59"/>
      <c r="J621" s="59" t="s">
        <v>2625</v>
      </c>
      <c r="K621" s="20"/>
      <c r="L621" s="20"/>
      <c r="M621" s="357"/>
      <c r="N621" s="411"/>
      <c r="O621" s="23" t="s">
        <v>11066</v>
      </c>
      <c r="P621" s="92" t="s">
        <v>632</v>
      </c>
      <c r="Q621" s="92" t="s">
        <v>662</v>
      </c>
      <c r="R621" s="372" t="str">
        <f t="shared" si="21"/>
        <v/>
      </c>
    </row>
    <row r="622" spans="1:18" ht="30" x14ac:dyDescent="0.25">
      <c r="A622" s="23" t="s">
        <v>2616</v>
      </c>
      <c r="B622" s="18" t="str">
        <f>IF(ISNA(VLOOKUP($A622,'Data Pull Sheet'!$B$2:$C$1795,2,0)),"",(VLOOKUP($A622,'Data Pull Sheet'!$B$2:$C$1795,2,0)))</f>
        <v>LPCN</v>
      </c>
      <c r="C622" s="59" t="s">
        <v>536</v>
      </c>
      <c r="D622" s="356" t="s">
        <v>2617</v>
      </c>
      <c r="E622" s="356" t="s">
        <v>2618</v>
      </c>
      <c r="F622" s="23" t="s">
        <v>2626</v>
      </c>
      <c r="G622" s="23" t="s">
        <v>403</v>
      </c>
      <c r="H622" s="353">
        <v>100378</v>
      </c>
      <c r="I622" s="59"/>
      <c r="J622" s="59" t="s">
        <v>2627</v>
      </c>
      <c r="K622" s="20"/>
      <c r="L622" s="20"/>
      <c r="M622" s="357"/>
      <c r="N622" s="411"/>
      <c r="O622" s="23" t="s">
        <v>11066</v>
      </c>
      <c r="P622" s="92" t="s">
        <v>632</v>
      </c>
      <c r="Q622" s="92" t="s">
        <v>662</v>
      </c>
      <c r="R622" s="372" t="str">
        <f t="shared" si="21"/>
        <v/>
      </c>
    </row>
    <row r="623" spans="1:18" x14ac:dyDescent="0.25">
      <c r="A623" s="23" t="s">
        <v>2616</v>
      </c>
      <c r="B623" s="18" t="str">
        <f>IF(ISNA(VLOOKUP($A623,'Data Pull Sheet'!$B$2:$C$1795,2,0)),"",(VLOOKUP($A623,'Data Pull Sheet'!$B$2:$C$1795,2,0)))</f>
        <v>LPCN</v>
      </c>
      <c r="C623" s="59" t="s">
        <v>536</v>
      </c>
      <c r="D623" s="356" t="s">
        <v>2617</v>
      </c>
      <c r="E623" s="356" t="s">
        <v>2618</v>
      </c>
      <c r="F623" s="23" t="s">
        <v>2628</v>
      </c>
      <c r="G623" s="23" t="s">
        <v>403</v>
      </c>
      <c r="H623" s="353">
        <v>32617.25</v>
      </c>
      <c r="I623" s="59"/>
      <c r="J623" s="59" t="s">
        <v>2629</v>
      </c>
      <c r="K623" s="20"/>
      <c r="L623" s="20">
        <v>1</v>
      </c>
      <c r="M623" s="357">
        <f>H623</f>
        <v>32617.25</v>
      </c>
      <c r="N623" s="411">
        <f>IFERROR((M623/(VLOOKUP(B623,'Data Pull Sheet'!$C:$H,6,FALSE))),"DC")</f>
        <v>1.0872416666666666E-3</v>
      </c>
      <c r="O623" s="23" t="s">
        <v>682</v>
      </c>
      <c r="P623" s="92" t="s">
        <v>632</v>
      </c>
      <c r="Q623" s="92" t="s">
        <v>637</v>
      </c>
      <c r="R623" s="372" t="str">
        <f t="shared" si="21"/>
        <v/>
      </c>
    </row>
    <row r="624" spans="1:18" x14ac:dyDescent="0.25">
      <c r="A624" s="23" t="s">
        <v>2054</v>
      </c>
      <c r="B624" s="18" t="s">
        <v>10791</v>
      </c>
      <c r="C624" s="59" t="s">
        <v>511</v>
      </c>
      <c r="D624" s="356" t="s">
        <v>1517</v>
      </c>
      <c r="E624" s="356" t="s">
        <v>2055</v>
      </c>
      <c r="F624" s="23" t="s">
        <v>2056</v>
      </c>
      <c r="G624" s="23" t="s">
        <v>403</v>
      </c>
      <c r="H624" s="353">
        <v>17320.66</v>
      </c>
      <c r="I624" s="59"/>
      <c r="J624" s="59" t="s">
        <v>10793</v>
      </c>
      <c r="K624" s="20">
        <v>1</v>
      </c>
      <c r="L624" s="20">
        <v>4</v>
      </c>
      <c r="M624" s="357">
        <f>SUM(H624:H627)</f>
        <v>108274.45000000001</v>
      </c>
      <c r="N624" s="411" t="str">
        <f>IFERROR((M624/(VLOOKUP(B624,'Data Pull Sheet'!$C:$H,6,FALSE))),"DC")</f>
        <v>DC</v>
      </c>
      <c r="O624" s="23" t="s">
        <v>2057</v>
      </c>
      <c r="P624" s="92" t="s">
        <v>676</v>
      </c>
      <c r="Q624" s="92" t="s">
        <v>646</v>
      </c>
      <c r="R624" s="372" t="str">
        <f t="shared" si="21"/>
        <v/>
      </c>
    </row>
    <row r="625" spans="1:18" x14ac:dyDescent="0.25">
      <c r="A625" s="23" t="s">
        <v>2054</v>
      </c>
      <c r="B625" s="18" t="s">
        <v>10791</v>
      </c>
      <c r="C625" s="59" t="s">
        <v>511</v>
      </c>
      <c r="D625" s="356" t="s">
        <v>1517</v>
      </c>
      <c r="E625" s="356" t="s">
        <v>2055</v>
      </c>
      <c r="F625" s="23" t="s">
        <v>2058</v>
      </c>
      <c r="G625" s="23" t="s">
        <v>403</v>
      </c>
      <c r="H625" s="353">
        <v>27811.09</v>
      </c>
      <c r="I625" s="59"/>
      <c r="J625" s="59" t="s">
        <v>10794</v>
      </c>
      <c r="K625" s="20"/>
      <c r="L625" s="20"/>
      <c r="M625" s="357"/>
      <c r="N625" s="411"/>
      <c r="O625" s="23" t="s">
        <v>2057</v>
      </c>
      <c r="P625" s="92" t="s">
        <v>676</v>
      </c>
      <c r="Q625" s="92" t="s">
        <v>646</v>
      </c>
      <c r="R625" s="372" t="str">
        <f t="shared" si="21"/>
        <v/>
      </c>
    </row>
    <row r="626" spans="1:18" x14ac:dyDescent="0.25">
      <c r="A626" s="23" t="s">
        <v>2054</v>
      </c>
      <c r="B626" s="18" t="s">
        <v>10791</v>
      </c>
      <c r="C626" s="59" t="s">
        <v>511</v>
      </c>
      <c r="D626" s="356" t="s">
        <v>1517</v>
      </c>
      <c r="E626" s="356" t="s">
        <v>2055</v>
      </c>
      <c r="F626" s="23" t="s">
        <v>2059</v>
      </c>
      <c r="G626" s="23" t="s">
        <v>403</v>
      </c>
      <c r="H626" s="353">
        <v>29240.54</v>
      </c>
      <c r="I626" s="59"/>
      <c r="J626" s="59" t="s">
        <v>10795</v>
      </c>
      <c r="K626" s="20"/>
      <c r="L626" s="20"/>
      <c r="M626" s="357"/>
      <c r="N626" s="411"/>
      <c r="O626" s="23" t="s">
        <v>2057</v>
      </c>
      <c r="P626" s="92" t="s">
        <v>676</v>
      </c>
      <c r="Q626" s="92" t="s">
        <v>646</v>
      </c>
      <c r="R626" s="372" t="str">
        <f t="shared" si="21"/>
        <v/>
      </c>
    </row>
    <row r="627" spans="1:18" x14ac:dyDescent="0.25">
      <c r="A627" s="23" t="s">
        <v>2054</v>
      </c>
      <c r="B627" s="18" t="s">
        <v>10791</v>
      </c>
      <c r="C627" s="59" t="s">
        <v>511</v>
      </c>
      <c r="D627" s="356" t="s">
        <v>1517</v>
      </c>
      <c r="E627" s="356" t="s">
        <v>2055</v>
      </c>
      <c r="F627" s="23" t="s">
        <v>2060</v>
      </c>
      <c r="G627" s="23" t="s">
        <v>403</v>
      </c>
      <c r="H627" s="353">
        <v>33902.160000000003</v>
      </c>
      <c r="I627" s="59"/>
      <c r="J627" s="59" t="s">
        <v>10796</v>
      </c>
      <c r="K627" s="20"/>
      <c r="L627" s="20"/>
      <c r="M627" s="357"/>
      <c r="N627" s="411"/>
      <c r="O627" s="23" t="s">
        <v>2057</v>
      </c>
      <c r="P627" s="92" t="s">
        <v>676</v>
      </c>
      <c r="Q627" s="92" t="s">
        <v>646</v>
      </c>
      <c r="R627" s="372" t="str">
        <f t="shared" si="21"/>
        <v/>
      </c>
    </row>
    <row r="628" spans="1:18" ht="30" x14ac:dyDescent="0.25">
      <c r="A628" s="23" t="s">
        <v>2450</v>
      </c>
      <c r="B628" s="18" t="str">
        <f>IF(ISNA(VLOOKUP($A628,'Data Pull Sheet'!$B$2:$C$1795,2,0)),"",(VLOOKUP($A628,'Data Pull Sheet'!$B$2:$C$1795,2,0)))</f>
        <v>JUNO</v>
      </c>
      <c r="C628" s="59" t="s">
        <v>480</v>
      </c>
      <c r="D628" s="356" t="s">
        <v>611</v>
      </c>
      <c r="E628" s="356" t="s">
        <v>467</v>
      </c>
      <c r="F628" s="23" t="s">
        <v>2451</v>
      </c>
      <c r="G628" s="23" t="s">
        <v>403</v>
      </c>
      <c r="H628" s="353">
        <v>6250.16</v>
      </c>
      <c r="I628" s="59"/>
      <c r="J628" s="59" t="s">
        <v>2452</v>
      </c>
      <c r="K628" s="20">
        <v>3</v>
      </c>
      <c r="L628" s="20">
        <v>5</v>
      </c>
      <c r="M628" s="357">
        <f>SUM(H628:H632)</f>
        <v>62884.320000000007</v>
      </c>
      <c r="N628" s="411">
        <f>IFERROR((M628/(VLOOKUP(B628,'Data Pull Sheet'!$C:$H,6,FALSE))),"DC")</f>
        <v>4.8372553846153849E-4</v>
      </c>
      <c r="O628" s="23" t="s">
        <v>2453</v>
      </c>
      <c r="P628" s="92" t="s">
        <v>632</v>
      </c>
      <c r="Q628" s="92" t="s">
        <v>646</v>
      </c>
      <c r="R628" s="372" t="str">
        <f t="shared" si="21"/>
        <v/>
      </c>
    </row>
    <row r="629" spans="1:18" ht="30" x14ac:dyDescent="0.25">
      <c r="A629" s="23" t="s">
        <v>2450</v>
      </c>
      <c r="B629" s="18" t="str">
        <f>IF(ISNA(VLOOKUP($A629,'Data Pull Sheet'!$B$2:$C$1795,2,0)),"",(VLOOKUP($A629,'Data Pull Sheet'!$B$2:$C$1795,2,0)))</f>
        <v>JUNO</v>
      </c>
      <c r="C629" s="59" t="s">
        <v>480</v>
      </c>
      <c r="D629" s="356" t="s">
        <v>611</v>
      </c>
      <c r="E629" s="356" t="s">
        <v>467</v>
      </c>
      <c r="F629" s="23" t="s">
        <v>2454</v>
      </c>
      <c r="G629" s="23" t="s">
        <v>403</v>
      </c>
      <c r="H629" s="353">
        <v>8346.44</v>
      </c>
      <c r="I629" s="59"/>
      <c r="J629" s="59" t="s">
        <v>2455</v>
      </c>
      <c r="K629" s="20"/>
      <c r="L629" s="20"/>
      <c r="M629" s="357"/>
      <c r="N629" s="411"/>
      <c r="O629" s="23" t="s">
        <v>2453</v>
      </c>
      <c r="P629" s="92" t="s">
        <v>632</v>
      </c>
      <c r="Q629" s="92" t="s">
        <v>646</v>
      </c>
      <c r="R629" s="372" t="str">
        <f t="shared" si="21"/>
        <v/>
      </c>
    </row>
    <row r="630" spans="1:18" ht="30" x14ac:dyDescent="0.25">
      <c r="A630" s="23" t="s">
        <v>2450</v>
      </c>
      <c r="B630" s="18" t="str">
        <f>IF(ISNA(VLOOKUP($A630,'Data Pull Sheet'!$B$2:$C$1795,2,0)),"",(VLOOKUP($A630,'Data Pull Sheet'!$B$2:$C$1795,2,0)))</f>
        <v>JUNO</v>
      </c>
      <c r="C630" s="59" t="s">
        <v>480</v>
      </c>
      <c r="D630" s="356" t="s">
        <v>611</v>
      </c>
      <c r="E630" s="356" t="s">
        <v>467</v>
      </c>
      <c r="F630" s="23" t="s">
        <v>2456</v>
      </c>
      <c r="G630" s="23" t="s">
        <v>403</v>
      </c>
      <c r="H630" s="353">
        <v>8556.44</v>
      </c>
      <c r="I630" s="59"/>
      <c r="J630" s="59" t="s">
        <v>2457</v>
      </c>
      <c r="K630" s="20"/>
      <c r="L630" s="20"/>
      <c r="M630" s="357"/>
      <c r="N630" s="411"/>
      <c r="O630" s="23" t="s">
        <v>2453</v>
      </c>
      <c r="P630" s="92" t="s">
        <v>632</v>
      </c>
      <c r="Q630" s="92" t="s">
        <v>646</v>
      </c>
      <c r="R630" s="372" t="str">
        <f t="shared" si="21"/>
        <v/>
      </c>
    </row>
    <row r="631" spans="1:18" ht="30" x14ac:dyDescent="0.25">
      <c r="A631" s="23" t="s">
        <v>2450</v>
      </c>
      <c r="B631" s="18" t="str">
        <f>IF(ISNA(VLOOKUP($A631,'Data Pull Sheet'!$B$2:$C$1795,2,0)),"",(VLOOKUP($A631,'Data Pull Sheet'!$B$2:$C$1795,2,0)))</f>
        <v>JUNO</v>
      </c>
      <c r="C631" s="59" t="s">
        <v>480</v>
      </c>
      <c r="D631" s="356" t="s">
        <v>611</v>
      </c>
      <c r="E631" s="356" t="s">
        <v>467</v>
      </c>
      <c r="F631" s="23" t="s">
        <v>2458</v>
      </c>
      <c r="G631" s="23" t="s">
        <v>403</v>
      </c>
      <c r="H631" s="353">
        <v>14309.95</v>
      </c>
      <c r="I631" s="59"/>
      <c r="J631" s="59" t="s">
        <v>2459</v>
      </c>
      <c r="K631" s="20"/>
      <c r="L631" s="20"/>
      <c r="M631" s="357"/>
      <c r="N631" s="411"/>
      <c r="O631" s="23" t="s">
        <v>2453</v>
      </c>
      <c r="P631" s="92" t="s">
        <v>632</v>
      </c>
      <c r="Q631" s="92" t="s">
        <v>646</v>
      </c>
      <c r="R631" s="372" t="str">
        <f t="shared" si="21"/>
        <v/>
      </c>
    </row>
    <row r="632" spans="1:18" ht="30" x14ac:dyDescent="0.25">
      <c r="A632" s="23" t="s">
        <v>2450</v>
      </c>
      <c r="B632" s="18" t="str">
        <f>IF(ISNA(VLOOKUP($A632,'Data Pull Sheet'!$B$2:$C$1795,2,0)),"",(VLOOKUP($A632,'Data Pull Sheet'!$B$2:$C$1795,2,0)))</f>
        <v>JUNO</v>
      </c>
      <c r="C632" s="59" t="s">
        <v>480</v>
      </c>
      <c r="D632" s="356" t="s">
        <v>611</v>
      </c>
      <c r="E632" s="356" t="s">
        <v>467</v>
      </c>
      <c r="F632" s="23" t="s">
        <v>2460</v>
      </c>
      <c r="G632" s="23" t="s">
        <v>403</v>
      </c>
      <c r="H632" s="353">
        <v>25421.33</v>
      </c>
      <c r="I632" s="59"/>
      <c r="J632" s="59" t="s">
        <v>2461</v>
      </c>
      <c r="K632" s="20"/>
      <c r="L632" s="20"/>
      <c r="M632" s="357"/>
      <c r="N632" s="411"/>
      <c r="O632" s="23" t="s">
        <v>2453</v>
      </c>
      <c r="P632" s="92" t="s">
        <v>632</v>
      </c>
      <c r="Q632" s="92" t="s">
        <v>646</v>
      </c>
      <c r="R632" s="372" t="str">
        <f t="shared" si="21"/>
        <v/>
      </c>
    </row>
    <row r="633" spans="1:18" ht="30" x14ac:dyDescent="0.25">
      <c r="A633" s="23" t="s">
        <v>2450</v>
      </c>
      <c r="B633" s="18" t="str">
        <f>IF(ISNA(VLOOKUP($A633,'Data Pull Sheet'!$B$2:$C$1795,2,0)),"",(VLOOKUP($A633,'Data Pull Sheet'!$B$2:$C$1795,2,0)))</f>
        <v>JUNO</v>
      </c>
      <c r="C633" s="59" t="s">
        <v>480</v>
      </c>
      <c r="D633" s="356" t="s">
        <v>611</v>
      </c>
      <c r="E633" s="356" t="s">
        <v>467</v>
      </c>
      <c r="F633" s="23" t="s">
        <v>2462</v>
      </c>
      <c r="G633" s="23" t="s">
        <v>403</v>
      </c>
      <c r="H633" s="353">
        <v>26192.89</v>
      </c>
      <c r="I633" s="59"/>
      <c r="J633" s="59" t="s">
        <v>2463</v>
      </c>
      <c r="K633" s="20"/>
      <c r="L633" s="20">
        <v>1</v>
      </c>
      <c r="M633" s="357">
        <f>H633</f>
        <v>26192.89</v>
      </c>
      <c r="N633" s="411">
        <f>IFERROR((M633/(VLOOKUP(B633,'Data Pull Sheet'!$C:$H,6,FALSE))),"DC")</f>
        <v>2.0148376923076922E-4</v>
      </c>
      <c r="O633" s="23" t="s">
        <v>2464</v>
      </c>
      <c r="P633" s="92" t="s">
        <v>632</v>
      </c>
      <c r="Q633" s="92" t="s">
        <v>637</v>
      </c>
      <c r="R633" s="372" t="str">
        <f t="shared" si="21"/>
        <v/>
      </c>
    </row>
    <row r="634" spans="1:18" x14ac:dyDescent="0.25">
      <c r="A634" s="23" t="s">
        <v>2450</v>
      </c>
      <c r="B634" s="18" t="str">
        <f>IF(ISNA(VLOOKUP($A634,'Data Pull Sheet'!$B$2:$C$1795,2,0)),"",(VLOOKUP($A634,'Data Pull Sheet'!$B$2:$C$1795,2,0)))</f>
        <v>JUNO</v>
      </c>
      <c r="C634" s="59" t="s">
        <v>480</v>
      </c>
      <c r="D634" s="356" t="s">
        <v>611</v>
      </c>
      <c r="E634" s="356" t="s">
        <v>467</v>
      </c>
      <c r="F634" s="23" t="s">
        <v>2465</v>
      </c>
      <c r="G634" s="23" t="s">
        <v>403</v>
      </c>
      <c r="H634" s="353">
        <v>132002</v>
      </c>
      <c r="I634" s="59" t="s">
        <v>413</v>
      </c>
      <c r="J634" s="59" t="s">
        <v>2466</v>
      </c>
      <c r="K634" s="20"/>
      <c r="L634" s="20">
        <v>1</v>
      </c>
      <c r="M634" s="357">
        <f>H634</f>
        <v>132002</v>
      </c>
      <c r="N634" s="411">
        <f>IFERROR((M634/(VLOOKUP(B634,'Data Pull Sheet'!$C:$H,6,FALSE))),"DC")</f>
        <v>1.0154000000000001E-3</v>
      </c>
      <c r="O634" s="23" t="s">
        <v>2467</v>
      </c>
      <c r="P634" s="92" t="s">
        <v>632</v>
      </c>
      <c r="Q634" s="92" t="s">
        <v>637</v>
      </c>
      <c r="R634" s="372" t="str">
        <f t="shared" si="21"/>
        <v/>
      </c>
    </row>
    <row r="635" spans="1:18" x14ac:dyDescent="0.25">
      <c r="A635" s="23" t="s">
        <v>44</v>
      </c>
      <c r="B635" s="18" t="str">
        <f>IF(ISNA(VLOOKUP($A635,'Data Pull Sheet'!$B$2:$C$1795,2,0)),"",(VLOOKUP($A635,'Data Pull Sheet'!$B$2:$C$1795,2,0)))</f>
        <v>SRCL</v>
      </c>
      <c r="C635" s="59" t="s">
        <v>465</v>
      </c>
      <c r="D635" s="356" t="s">
        <v>466</v>
      </c>
      <c r="E635" s="356" t="s">
        <v>467</v>
      </c>
      <c r="F635" s="23" t="s">
        <v>341</v>
      </c>
      <c r="G635" s="23" t="s">
        <v>417</v>
      </c>
      <c r="H635" s="353">
        <v>205357</v>
      </c>
      <c r="I635" s="59" t="s">
        <v>442</v>
      </c>
      <c r="J635" s="59" t="s">
        <v>3483</v>
      </c>
      <c r="K635" s="20">
        <v>2</v>
      </c>
      <c r="L635" s="20">
        <v>1</v>
      </c>
      <c r="M635" s="357">
        <f>H635</f>
        <v>205357</v>
      </c>
      <c r="N635" s="411">
        <f>IFERROR((M635/(VLOOKUP(B635,'Data Pull Sheet'!$C:$H,6,FALSE))),"DC")</f>
        <v>6.8452333333333335E-5</v>
      </c>
      <c r="O635" s="23" t="s">
        <v>3484</v>
      </c>
      <c r="P635" s="92" t="s">
        <v>632</v>
      </c>
      <c r="Q635" s="92" t="s">
        <v>633</v>
      </c>
      <c r="R635" s="372" t="str">
        <f t="shared" si="21"/>
        <v>FF</v>
      </c>
    </row>
    <row r="636" spans="1:18" x14ac:dyDescent="0.25">
      <c r="A636" s="23" t="s">
        <v>44</v>
      </c>
      <c r="B636" s="18" t="str">
        <f>IF(ISNA(VLOOKUP($A636,'Data Pull Sheet'!$B$2:$C$1795,2,0)),"",(VLOOKUP($A636,'Data Pull Sheet'!$B$2:$C$1795,2,0)))</f>
        <v>SRCL</v>
      </c>
      <c r="C636" s="59" t="s">
        <v>465</v>
      </c>
      <c r="D636" s="356" t="s">
        <v>466</v>
      </c>
      <c r="E636" s="356" t="s">
        <v>467</v>
      </c>
      <c r="F636" s="23" t="s">
        <v>39</v>
      </c>
      <c r="G636" s="23" t="s">
        <v>417</v>
      </c>
      <c r="H636" s="353">
        <v>1468932.56</v>
      </c>
      <c r="I636" s="59" t="s">
        <v>442</v>
      </c>
      <c r="J636" s="59" t="s">
        <v>3485</v>
      </c>
      <c r="K636" s="20"/>
      <c r="L636" s="20">
        <v>2</v>
      </c>
      <c r="M636" s="357">
        <f>SUM(H636:H637)</f>
        <v>13072867.09</v>
      </c>
      <c r="N636" s="411">
        <f>IFERROR((M636/(VLOOKUP(B636,'Data Pull Sheet'!$C:$H,6,FALSE))),"DC")</f>
        <v>4.3576223633333333E-3</v>
      </c>
      <c r="O636" s="23" t="s">
        <v>1</v>
      </c>
      <c r="P636" s="92" t="s">
        <v>632</v>
      </c>
      <c r="Q636" s="92" t="s">
        <v>640</v>
      </c>
      <c r="R636" s="372" t="str">
        <f t="shared" si="21"/>
        <v>FF</v>
      </c>
    </row>
    <row r="637" spans="1:18" x14ac:dyDescent="0.25">
      <c r="A637" s="23" t="s">
        <v>44</v>
      </c>
      <c r="B637" s="18" t="str">
        <f>IF(ISNA(VLOOKUP($A637,'Data Pull Sheet'!$B$2:$C$1795,2,0)),"",(VLOOKUP($A637,'Data Pull Sheet'!$B$2:$C$1795,2,0)))</f>
        <v>SRCL</v>
      </c>
      <c r="C637" s="59" t="s">
        <v>465</v>
      </c>
      <c r="D637" s="356" t="s">
        <v>466</v>
      </c>
      <c r="E637" s="356" t="s">
        <v>467</v>
      </c>
      <c r="F637" s="23" t="s">
        <v>249</v>
      </c>
      <c r="G637" s="23" t="s">
        <v>417</v>
      </c>
      <c r="H637" s="353">
        <v>11603934.529999999</v>
      </c>
      <c r="I637" s="59" t="s">
        <v>413</v>
      </c>
      <c r="J637" s="59" t="s">
        <v>3486</v>
      </c>
      <c r="K637" s="20"/>
      <c r="L637" s="20"/>
      <c r="M637" s="357"/>
      <c r="N637" s="411"/>
      <c r="O637" s="23" t="s">
        <v>1</v>
      </c>
      <c r="P637" s="92" t="s">
        <v>632</v>
      </c>
      <c r="Q637" s="92" t="s">
        <v>640</v>
      </c>
      <c r="R637" s="372" t="str">
        <f t="shared" si="21"/>
        <v>FF</v>
      </c>
    </row>
    <row r="638" spans="1:18" ht="45" x14ac:dyDescent="0.25">
      <c r="A638" s="23" t="s">
        <v>83</v>
      </c>
      <c r="B638" s="18" t="str">
        <f>IF(ISNA(VLOOKUP($A638,'Data Pull Sheet'!$B$2:$C$1795,2,0)),"",(VLOOKUP($A638,'Data Pull Sheet'!$B$2:$C$1795,2,0)))</f>
        <v>INSM</v>
      </c>
      <c r="C638" s="59" t="s">
        <v>424</v>
      </c>
      <c r="D638" s="356" t="s">
        <v>473</v>
      </c>
      <c r="E638" s="356" t="s">
        <v>479</v>
      </c>
      <c r="F638" s="23" t="s">
        <v>2359</v>
      </c>
      <c r="G638" s="23" t="s">
        <v>403</v>
      </c>
      <c r="H638" s="361">
        <v>4669</v>
      </c>
      <c r="I638" s="59"/>
      <c r="J638" s="59" t="s">
        <v>2361</v>
      </c>
      <c r="K638" s="20">
        <v>2</v>
      </c>
      <c r="L638" s="20">
        <v>4</v>
      </c>
      <c r="M638" s="357">
        <f>SUM(H638:H641)</f>
        <v>17585</v>
      </c>
      <c r="N638" s="411">
        <f>IFERROR((M638/(VLOOKUP(B638,'Data Pull Sheet'!$C:$H,6,FALSE))),"DC")</f>
        <v>4.3962500000000002E-4</v>
      </c>
      <c r="O638" s="23" t="s">
        <v>11178</v>
      </c>
      <c r="P638" s="92" t="s">
        <v>632</v>
      </c>
      <c r="Q638" s="92" t="s">
        <v>646</v>
      </c>
      <c r="R638" s="372" t="str">
        <f t="shared" si="21"/>
        <v/>
      </c>
    </row>
    <row r="639" spans="1:18" ht="45" x14ac:dyDescent="0.25">
      <c r="A639" s="23" t="s">
        <v>83</v>
      </c>
      <c r="B639" s="18" t="str">
        <f>IF(ISNA(VLOOKUP($A639,'Data Pull Sheet'!$B$2:$C$1795,2,0)),"",(VLOOKUP($A639,'Data Pull Sheet'!$B$2:$C$1795,2,0)))</f>
        <v>INSM</v>
      </c>
      <c r="C639" s="59" t="s">
        <v>424</v>
      </c>
      <c r="D639" s="356" t="s">
        <v>473</v>
      </c>
      <c r="E639" s="356" t="s">
        <v>479</v>
      </c>
      <c r="F639" s="23" t="s">
        <v>2363</v>
      </c>
      <c r="G639" s="23" t="s">
        <v>403</v>
      </c>
      <c r="H639" s="361">
        <v>5830</v>
      </c>
      <c r="I639" s="59"/>
      <c r="J639" s="59" t="s">
        <v>2364</v>
      </c>
      <c r="K639" s="20"/>
      <c r="L639" s="20"/>
      <c r="M639" s="357"/>
      <c r="N639" s="411"/>
      <c r="O639" s="23" t="s">
        <v>11178</v>
      </c>
      <c r="P639" s="92" t="s">
        <v>632</v>
      </c>
      <c r="Q639" s="92" t="s">
        <v>646</v>
      </c>
      <c r="R639" s="372" t="str">
        <f t="shared" si="21"/>
        <v/>
      </c>
    </row>
    <row r="640" spans="1:18" ht="45" x14ac:dyDescent="0.25">
      <c r="A640" s="23" t="s">
        <v>83</v>
      </c>
      <c r="B640" s="18" t="str">
        <f>IF(ISNA(VLOOKUP($A640,'Data Pull Sheet'!$B$2:$C$1795,2,0)),"",(VLOOKUP($A640,'Data Pull Sheet'!$B$2:$C$1795,2,0)))</f>
        <v>INSM</v>
      </c>
      <c r="C640" s="59" t="s">
        <v>424</v>
      </c>
      <c r="D640" s="356" t="s">
        <v>473</v>
      </c>
      <c r="E640" s="356" t="s">
        <v>479</v>
      </c>
      <c r="F640" s="23" t="s">
        <v>2365</v>
      </c>
      <c r="G640" s="23" t="s">
        <v>403</v>
      </c>
      <c r="H640" s="362">
        <v>5069</v>
      </c>
      <c r="I640" s="59"/>
      <c r="J640" s="59" t="s">
        <v>2366</v>
      </c>
      <c r="K640" s="20"/>
      <c r="L640" s="20"/>
      <c r="M640" s="357"/>
      <c r="N640" s="411"/>
      <c r="O640" s="23" t="s">
        <v>11178</v>
      </c>
      <c r="P640" s="92" t="s">
        <v>632</v>
      </c>
      <c r="Q640" s="92" t="s">
        <v>646</v>
      </c>
      <c r="R640" s="372" t="str">
        <f t="shared" si="21"/>
        <v/>
      </c>
    </row>
    <row r="641" spans="1:18" ht="45" x14ac:dyDescent="0.25">
      <c r="A641" s="23" t="s">
        <v>83</v>
      </c>
      <c r="B641" s="18" t="str">
        <f>IF(ISNA(VLOOKUP($A641,'Data Pull Sheet'!$B$2:$C$1795,2,0)),"",(VLOOKUP($A641,'Data Pull Sheet'!$B$2:$C$1795,2,0)))</f>
        <v>INSM</v>
      </c>
      <c r="C641" s="59" t="s">
        <v>424</v>
      </c>
      <c r="D641" s="356" t="s">
        <v>473</v>
      </c>
      <c r="E641" s="356" t="s">
        <v>479</v>
      </c>
      <c r="F641" s="23" t="s">
        <v>2367</v>
      </c>
      <c r="G641" s="23" t="s">
        <v>403</v>
      </c>
      <c r="H641" s="361">
        <v>2017</v>
      </c>
      <c r="I641" s="59"/>
      <c r="J641" s="59" t="s">
        <v>2368</v>
      </c>
      <c r="K641" s="20"/>
      <c r="L641" s="20"/>
      <c r="M641" s="357"/>
      <c r="N641" s="411"/>
      <c r="O641" s="23" t="s">
        <v>11178</v>
      </c>
      <c r="P641" s="92" t="s">
        <v>632</v>
      </c>
      <c r="Q641" s="92" t="s">
        <v>646</v>
      </c>
      <c r="R641" s="372" t="str">
        <f t="shared" si="21"/>
        <v/>
      </c>
    </row>
    <row r="642" spans="1:18" ht="30" x14ac:dyDescent="0.25">
      <c r="A642" s="23" t="s">
        <v>83</v>
      </c>
      <c r="B642" s="18" t="str">
        <f>IF(ISNA(VLOOKUP($A642,'Data Pull Sheet'!$B$2:$C$1795,2,0)),"",(VLOOKUP($A642,'Data Pull Sheet'!$B$2:$C$1795,2,0)))</f>
        <v>INSM</v>
      </c>
      <c r="C642" s="59" t="s">
        <v>424</v>
      </c>
      <c r="D642" s="356" t="s">
        <v>473</v>
      </c>
      <c r="E642" s="356" t="s">
        <v>479</v>
      </c>
      <c r="F642" s="23" t="s">
        <v>81</v>
      </c>
      <c r="G642" s="23" t="s">
        <v>417</v>
      </c>
      <c r="H642" s="353">
        <v>56804.12</v>
      </c>
      <c r="I642" s="59"/>
      <c r="J642" s="59" t="s">
        <v>2369</v>
      </c>
      <c r="K642" s="20"/>
      <c r="L642" s="20">
        <v>1</v>
      </c>
      <c r="M642" s="357">
        <f>SUM(H642)</f>
        <v>56804.12</v>
      </c>
      <c r="N642" s="411">
        <f>IFERROR((M642/(VLOOKUP(B642,'Data Pull Sheet'!$C:$H,6,FALSE))),"DC")</f>
        <v>1.420103E-3</v>
      </c>
      <c r="O642" s="23" t="s">
        <v>1988</v>
      </c>
      <c r="P642" s="92" t="s">
        <v>632</v>
      </c>
      <c r="Q642" s="92" t="s">
        <v>633</v>
      </c>
      <c r="R642" s="372" t="str">
        <f t="shared" ref="R642:R705" si="23">IF(COUNTIF(F:F,F642)&gt;=2,"FF","")</f>
        <v>FF</v>
      </c>
    </row>
    <row r="643" spans="1:18" ht="45" x14ac:dyDescent="0.25">
      <c r="A643" s="23" t="s">
        <v>1741</v>
      </c>
      <c r="B643" s="18" t="str">
        <f>IF(ISNA(VLOOKUP($A643,'Data Pull Sheet'!$B$2:$C$1795,2,0)),"",(VLOOKUP($A643,'Data Pull Sheet'!$B$2:$C$1795,2,0)))</f>
        <v>EBS</v>
      </c>
      <c r="C643" s="59" t="s">
        <v>817</v>
      </c>
      <c r="D643" s="356" t="s">
        <v>1742</v>
      </c>
      <c r="E643" s="356" t="s">
        <v>1743</v>
      </c>
      <c r="F643" s="23" t="s">
        <v>1744</v>
      </c>
      <c r="G643" s="23" t="s">
        <v>417</v>
      </c>
      <c r="H643" s="353">
        <v>59986.36</v>
      </c>
      <c r="I643" s="59"/>
      <c r="J643" s="59" t="s">
        <v>1745</v>
      </c>
      <c r="K643" s="20">
        <v>1</v>
      </c>
      <c r="L643" s="20">
        <v>2</v>
      </c>
      <c r="M643" s="357">
        <f>SUM(H643:H644)</f>
        <v>120738.98000000001</v>
      </c>
      <c r="N643" s="411">
        <f>IFERROR((M643/(VLOOKUP(B643,'Data Pull Sheet'!$C:$H,6,FALSE))),"DC")</f>
        <v>1.0976270909090909E-3</v>
      </c>
      <c r="O643" s="23" t="s">
        <v>10952</v>
      </c>
      <c r="P643" s="92" t="s">
        <v>676</v>
      </c>
      <c r="Q643" s="92" t="s">
        <v>640</v>
      </c>
      <c r="R643" s="372" t="str">
        <f t="shared" si="23"/>
        <v/>
      </c>
    </row>
    <row r="644" spans="1:18" ht="45" x14ac:dyDescent="0.25">
      <c r="A644" s="23" t="s">
        <v>1741</v>
      </c>
      <c r="B644" s="18" t="str">
        <f>IF(ISNA(VLOOKUP($A644,'Data Pull Sheet'!$B$2:$C$1795,2,0)),"",(VLOOKUP($A644,'Data Pull Sheet'!$B$2:$C$1795,2,0)))</f>
        <v>EBS</v>
      </c>
      <c r="C644" s="59" t="s">
        <v>817</v>
      </c>
      <c r="D644" s="356" t="s">
        <v>1742</v>
      </c>
      <c r="E644" s="356" t="s">
        <v>1743</v>
      </c>
      <c r="F644" s="23" t="s">
        <v>1747</v>
      </c>
      <c r="G644" s="23" t="s">
        <v>417</v>
      </c>
      <c r="H644" s="353">
        <v>60752.62</v>
      </c>
      <c r="I644" s="59"/>
      <c r="J644" s="59" t="s">
        <v>1748</v>
      </c>
      <c r="K644" s="20"/>
      <c r="L644" s="20"/>
      <c r="M644" s="357"/>
      <c r="N644" s="411"/>
      <c r="O644" s="23" t="s">
        <v>10952</v>
      </c>
      <c r="P644" s="92" t="s">
        <v>676</v>
      </c>
      <c r="Q644" s="92" t="s">
        <v>640</v>
      </c>
      <c r="R644" s="372" t="str">
        <f t="shared" si="23"/>
        <v/>
      </c>
    </row>
    <row r="645" spans="1:18" x14ac:dyDescent="0.25">
      <c r="A645" s="23" t="s">
        <v>2468</v>
      </c>
      <c r="B645" s="18" t="str">
        <f>IF(ISNA(VLOOKUP($A645,'Data Pull Sheet'!$B$2:$C$1795,2,0)),"",(VLOOKUP($A645,'Data Pull Sheet'!$B$2:$C$1795,2,0)))</f>
        <v>LRN</v>
      </c>
      <c r="C645" s="59" t="s">
        <v>457</v>
      </c>
      <c r="D645" s="356" t="s">
        <v>2469</v>
      </c>
      <c r="E645" s="356" t="s">
        <v>1743</v>
      </c>
      <c r="F645" s="23" t="s">
        <v>2470</v>
      </c>
      <c r="G645" s="23" t="s">
        <v>403</v>
      </c>
      <c r="H645" s="353">
        <v>19060.189999999999</v>
      </c>
      <c r="I645" s="59"/>
      <c r="J645" s="59" t="s">
        <v>2471</v>
      </c>
      <c r="K645" s="20">
        <v>2</v>
      </c>
      <c r="L645" s="20">
        <v>2</v>
      </c>
      <c r="M645" s="357">
        <f>SUM(H645:H646)</f>
        <v>137780.81</v>
      </c>
      <c r="N645" s="411">
        <f>IFERROR((M645/(VLOOKUP(B645,'Data Pull Sheet'!$C:$H,6,FALSE))),"DC")</f>
        <v>1.7222601249999999E-3</v>
      </c>
      <c r="O645" s="23" t="s">
        <v>597</v>
      </c>
      <c r="P645" s="92" t="s">
        <v>632</v>
      </c>
      <c r="Q645" s="92" t="s">
        <v>646</v>
      </c>
      <c r="R645" s="372" t="str">
        <f t="shared" si="23"/>
        <v/>
      </c>
    </row>
    <row r="646" spans="1:18" x14ac:dyDescent="0.25">
      <c r="A646" s="23" t="s">
        <v>2468</v>
      </c>
      <c r="B646" s="18" t="str">
        <f>IF(ISNA(VLOOKUP($A646,'Data Pull Sheet'!$B$2:$C$1795,2,0)),"",(VLOOKUP($A646,'Data Pull Sheet'!$B$2:$C$1795,2,0)))</f>
        <v>LRN</v>
      </c>
      <c r="C646" s="59" t="s">
        <v>457</v>
      </c>
      <c r="D646" s="356" t="s">
        <v>2469</v>
      </c>
      <c r="E646" s="356" t="s">
        <v>1743</v>
      </c>
      <c r="F646" s="23" t="s">
        <v>2472</v>
      </c>
      <c r="G646" s="23" t="s">
        <v>403</v>
      </c>
      <c r="H646" s="353">
        <v>118720.62</v>
      </c>
      <c r="I646" s="59"/>
      <c r="J646" s="59" t="s">
        <v>2473</v>
      </c>
      <c r="K646" s="20"/>
      <c r="L646" s="20"/>
      <c r="M646" s="357"/>
      <c r="N646" s="411"/>
      <c r="O646" s="23" t="s">
        <v>597</v>
      </c>
      <c r="P646" s="92" t="s">
        <v>632</v>
      </c>
      <c r="Q646" s="92" t="s">
        <v>646</v>
      </c>
      <c r="R646" s="372" t="str">
        <f t="shared" si="23"/>
        <v/>
      </c>
    </row>
    <row r="647" spans="1:18" x14ac:dyDescent="0.25">
      <c r="A647" s="23" t="s">
        <v>2468</v>
      </c>
      <c r="B647" s="18" t="str">
        <f>IF(ISNA(VLOOKUP($A647,'Data Pull Sheet'!$B$2:$C$1795,2,0)),"",(VLOOKUP($A647,'Data Pull Sheet'!$B$2:$C$1795,2,0)))</f>
        <v>LRN</v>
      </c>
      <c r="C647" s="59" t="s">
        <v>457</v>
      </c>
      <c r="D647" s="356" t="s">
        <v>2469</v>
      </c>
      <c r="E647" s="356" t="s">
        <v>1743</v>
      </c>
      <c r="F647" s="23" t="s">
        <v>2474</v>
      </c>
      <c r="G647" s="23" t="s">
        <v>403</v>
      </c>
      <c r="H647" s="353">
        <v>7109</v>
      </c>
      <c r="I647" s="59"/>
      <c r="J647" s="59" t="s">
        <v>2475</v>
      </c>
      <c r="K647" s="20"/>
      <c r="L647" s="20">
        <v>1</v>
      </c>
      <c r="M647" s="357">
        <f>H647</f>
        <v>7109</v>
      </c>
      <c r="N647" s="411">
        <f>IFERROR((M647/(VLOOKUP(B647,'Data Pull Sheet'!$C:$H,6,FALSE))),"DC")</f>
        <v>8.8862499999999998E-5</v>
      </c>
      <c r="O647" s="23" t="s">
        <v>1204</v>
      </c>
      <c r="P647" s="92" t="s">
        <v>632</v>
      </c>
      <c r="Q647" s="92" t="s">
        <v>637</v>
      </c>
      <c r="R647" s="372" t="str">
        <f t="shared" si="23"/>
        <v/>
      </c>
    </row>
    <row r="648" spans="1:18" x14ac:dyDescent="0.25">
      <c r="A648" s="23" t="s">
        <v>552</v>
      </c>
      <c r="B648" s="18" t="str">
        <f>IF(ISNA(VLOOKUP($A648,'Data Pull Sheet'!$B$2:$C$1795,2,0)),"",(VLOOKUP($A648,'Data Pull Sheet'!$B$2:$C$1795,2,0)))</f>
        <v>CYTR</v>
      </c>
      <c r="C648" s="59" t="s">
        <v>446</v>
      </c>
      <c r="D648" s="356" t="s">
        <v>456</v>
      </c>
      <c r="E648" s="356" t="s">
        <v>540</v>
      </c>
      <c r="F648" s="23" t="s">
        <v>1579</v>
      </c>
      <c r="G648" s="23" t="s">
        <v>403</v>
      </c>
      <c r="H648" s="353">
        <v>1144164.2</v>
      </c>
      <c r="I648" s="59"/>
      <c r="J648" s="59" t="s">
        <v>1580</v>
      </c>
      <c r="K648" s="20">
        <v>4</v>
      </c>
      <c r="L648" s="20">
        <v>1</v>
      </c>
      <c r="M648" s="357">
        <f>H648</f>
        <v>1144164.2</v>
      </c>
      <c r="N648" s="411">
        <f>IFERROR((M648/(VLOOKUP(B648,'Data Pull Sheet'!$C:$H,6,FALSE))),"DC")</f>
        <v>3.8138806666666664E-2</v>
      </c>
      <c r="O648" s="23" t="s">
        <v>597</v>
      </c>
      <c r="P648" s="92" t="s">
        <v>632</v>
      </c>
      <c r="Q648" s="92" t="s">
        <v>637</v>
      </c>
      <c r="R648" s="372" t="str">
        <f t="shared" si="23"/>
        <v/>
      </c>
    </row>
    <row r="649" spans="1:18" x14ac:dyDescent="0.25">
      <c r="A649" s="23" t="s">
        <v>552</v>
      </c>
      <c r="B649" s="18" t="str">
        <f>IF(ISNA(VLOOKUP($A649,'Data Pull Sheet'!$B$2:$C$1795,2,0)),"",(VLOOKUP($A649,'Data Pull Sheet'!$B$2:$C$1795,2,0)))</f>
        <v>CYTR</v>
      </c>
      <c r="C649" s="59" t="s">
        <v>446</v>
      </c>
      <c r="D649" s="356" t="s">
        <v>456</v>
      </c>
      <c r="E649" s="356" t="s">
        <v>540</v>
      </c>
      <c r="F649" s="23" t="s">
        <v>1581</v>
      </c>
      <c r="G649" s="23" t="s">
        <v>403</v>
      </c>
      <c r="H649" s="353">
        <v>539036.93999999994</v>
      </c>
      <c r="I649" s="59"/>
      <c r="J649" s="59" t="s">
        <v>1582</v>
      </c>
      <c r="K649" s="20"/>
      <c r="L649" s="20">
        <v>1</v>
      </c>
      <c r="M649" s="357">
        <f>H649</f>
        <v>539036.93999999994</v>
      </c>
      <c r="N649" s="411">
        <f>IFERROR((M649/(VLOOKUP(B649,'Data Pull Sheet'!$C:$H,6,FALSE))),"DC")</f>
        <v>1.7967898E-2</v>
      </c>
      <c r="O649" s="23" t="s">
        <v>1583</v>
      </c>
      <c r="P649" s="92" t="s">
        <v>632</v>
      </c>
      <c r="Q649" s="92" t="s">
        <v>637</v>
      </c>
      <c r="R649" s="372" t="str">
        <f t="shared" si="23"/>
        <v/>
      </c>
    </row>
    <row r="650" spans="1:18" x14ac:dyDescent="0.25">
      <c r="A650" s="23" t="s">
        <v>552</v>
      </c>
      <c r="B650" s="18" t="str">
        <f>IF(ISNA(VLOOKUP($A650,'Data Pull Sheet'!$B$2:$C$1795,2,0)),"",(VLOOKUP($A650,'Data Pull Sheet'!$B$2:$C$1795,2,0)))</f>
        <v>CYTR</v>
      </c>
      <c r="C650" s="59" t="s">
        <v>446</v>
      </c>
      <c r="D650" s="356" t="s">
        <v>456</v>
      </c>
      <c r="E650" s="356" t="s">
        <v>540</v>
      </c>
      <c r="F650" s="23" t="s">
        <v>1586</v>
      </c>
      <c r="G650" s="23" t="s">
        <v>403</v>
      </c>
      <c r="H650" s="353">
        <v>82377</v>
      </c>
      <c r="I650" s="59" t="s">
        <v>476</v>
      </c>
      <c r="J650" s="59" t="s">
        <v>1587</v>
      </c>
      <c r="K650" s="20"/>
      <c r="L650" s="20">
        <v>6</v>
      </c>
      <c r="M650" s="357">
        <f>SUM(H650:H654)</f>
        <v>888392</v>
      </c>
      <c r="N650" s="411">
        <f>IFERROR((M650/(VLOOKUP(B650,'Data Pull Sheet'!$C:$H,6,FALSE))),"DC")</f>
        <v>2.9613066666666667E-2</v>
      </c>
      <c r="O650" s="23" t="s">
        <v>554</v>
      </c>
      <c r="P650" s="92" t="s">
        <v>632</v>
      </c>
      <c r="Q650" s="92" t="s">
        <v>646</v>
      </c>
      <c r="R650" s="372" t="str">
        <f t="shared" si="23"/>
        <v/>
      </c>
    </row>
    <row r="651" spans="1:18" x14ac:dyDescent="0.25">
      <c r="A651" s="23" t="s">
        <v>552</v>
      </c>
      <c r="B651" s="18" t="str">
        <f>IF(ISNA(VLOOKUP($A651,'Data Pull Sheet'!$B$2:$C$1795,2,0)),"",(VLOOKUP($A651,'Data Pull Sheet'!$B$2:$C$1795,2,0)))</f>
        <v>CYTR</v>
      </c>
      <c r="C651" s="59" t="s">
        <v>446</v>
      </c>
      <c r="D651" s="356" t="s">
        <v>456</v>
      </c>
      <c r="E651" s="356" t="s">
        <v>540</v>
      </c>
      <c r="F651" s="23" t="s">
        <v>1588</v>
      </c>
      <c r="G651" s="23" t="s">
        <v>403</v>
      </c>
      <c r="H651" s="353">
        <v>140126</v>
      </c>
      <c r="I651" s="59" t="s">
        <v>476</v>
      </c>
      <c r="J651" s="59" t="s">
        <v>1589</v>
      </c>
      <c r="K651" s="20"/>
      <c r="L651" s="20"/>
      <c r="M651" s="357"/>
      <c r="N651" s="411"/>
      <c r="O651" s="23" t="s">
        <v>554</v>
      </c>
      <c r="P651" s="92" t="s">
        <v>632</v>
      </c>
      <c r="Q651" s="92" t="s">
        <v>646</v>
      </c>
      <c r="R651" s="372" t="str">
        <f t="shared" si="23"/>
        <v/>
      </c>
    </row>
    <row r="652" spans="1:18" x14ac:dyDescent="0.25">
      <c r="A652" s="23" t="s">
        <v>552</v>
      </c>
      <c r="B652" s="18" t="str">
        <f>IF(ISNA(VLOOKUP($A652,'Data Pull Sheet'!$B$2:$C$1795,2,0)),"",(VLOOKUP($A652,'Data Pull Sheet'!$B$2:$C$1795,2,0)))</f>
        <v>CYTR</v>
      </c>
      <c r="C652" s="59" t="s">
        <v>446</v>
      </c>
      <c r="D652" s="356" t="s">
        <v>456</v>
      </c>
      <c r="E652" s="356" t="s">
        <v>540</v>
      </c>
      <c r="F652" s="23" t="s">
        <v>550</v>
      </c>
      <c r="G652" s="23" t="s">
        <v>403</v>
      </c>
      <c r="H652" s="353">
        <v>158793</v>
      </c>
      <c r="I652" s="59" t="s">
        <v>413</v>
      </c>
      <c r="J652" s="59" t="s">
        <v>1590</v>
      </c>
      <c r="K652" s="20"/>
      <c r="L652" s="20"/>
      <c r="M652" s="357"/>
      <c r="N652" s="411"/>
      <c r="O652" s="23" t="s">
        <v>554</v>
      </c>
      <c r="P652" s="92" t="s">
        <v>632</v>
      </c>
      <c r="Q652" s="92" t="s">
        <v>646</v>
      </c>
      <c r="R652" s="372" t="str">
        <f t="shared" si="23"/>
        <v>FF</v>
      </c>
    </row>
    <row r="653" spans="1:18" x14ac:dyDescent="0.25">
      <c r="A653" s="23" t="s">
        <v>552</v>
      </c>
      <c r="B653" s="18" t="str">
        <f>IF(ISNA(VLOOKUP($A653,'Data Pull Sheet'!$B$2:$C$1795,2,0)),"",(VLOOKUP($A653,'Data Pull Sheet'!$B$2:$C$1795,2,0)))</f>
        <v>CYTR</v>
      </c>
      <c r="C653" s="59" t="s">
        <v>446</v>
      </c>
      <c r="D653" s="356" t="s">
        <v>456</v>
      </c>
      <c r="E653" s="356" t="s">
        <v>540</v>
      </c>
      <c r="F653" s="23" t="s">
        <v>1591</v>
      </c>
      <c r="G653" s="23" t="s">
        <v>403</v>
      </c>
      <c r="H653" s="353">
        <v>179019</v>
      </c>
      <c r="I653" s="59" t="s">
        <v>476</v>
      </c>
      <c r="J653" s="59" t="s">
        <v>1592</v>
      </c>
      <c r="K653" s="20"/>
      <c r="L653" s="20"/>
      <c r="M653" s="357"/>
      <c r="N653" s="411"/>
      <c r="O653" s="23" t="s">
        <v>554</v>
      </c>
      <c r="P653" s="92" t="s">
        <v>632</v>
      </c>
      <c r="Q653" s="92" t="s">
        <v>646</v>
      </c>
      <c r="R653" s="372" t="str">
        <f t="shared" si="23"/>
        <v/>
      </c>
    </row>
    <row r="654" spans="1:18" x14ac:dyDescent="0.25">
      <c r="A654" s="23" t="s">
        <v>552</v>
      </c>
      <c r="B654" s="18" t="str">
        <f>IF(ISNA(VLOOKUP($A654,'Data Pull Sheet'!$B$2:$C$1795,2,0)),"",(VLOOKUP($A654,'Data Pull Sheet'!$B$2:$C$1795,2,0)))</f>
        <v>CYTR</v>
      </c>
      <c r="C654" s="59" t="s">
        <v>446</v>
      </c>
      <c r="D654" s="356" t="s">
        <v>456</v>
      </c>
      <c r="E654" s="356" t="s">
        <v>540</v>
      </c>
      <c r="F654" s="23" t="s">
        <v>1593</v>
      </c>
      <c r="G654" s="23" t="s">
        <v>403</v>
      </c>
      <c r="H654" s="353">
        <v>328077</v>
      </c>
      <c r="I654" s="59" t="s">
        <v>476</v>
      </c>
      <c r="J654" s="59" t="s">
        <v>1594</v>
      </c>
      <c r="K654" s="20"/>
      <c r="L654" s="20"/>
      <c r="M654" s="357"/>
      <c r="N654" s="411"/>
      <c r="O654" s="23" t="s">
        <v>554</v>
      </c>
      <c r="P654" s="92" t="s">
        <v>632</v>
      </c>
      <c r="Q654" s="92" t="s">
        <v>646</v>
      </c>
      <c r="R654" s="372" t="str">
        <f t="shared" si="23"/>
        <v/>
      </c>
    </row>
    <row r="655" spans="1:18" x14ac:dyDescent="0.25">
      <c r="A655" s="23" t="s">
        <v>552</v>
      </c>
      <c r="B655" s="18" t="str">
        <f>IF(ISNA(VLOOKUP($A655,'Data Pull Sheet'!$B$2:$C$1795,2,0)),"",(VLOOKUP($A655,'Data Pull Sheet'!$B$2:$C$1795,2,0)))</f>
        <v>CYTR</v>
      </c>
      <c r="C655" s="59" t="s">
        <v>446</v>
      </c>
      <c r="D655" s="356" t="s">
        <v>456</v>
      </c>
      <c r="E655" s="356" t="s">
        <v>540</v>
      </c>
      <c r="F655" s="23" t="s">
        <v>1595</v>
      </c>
      <c r="G655" s="23" t="s">
        <v>403</v>
      </c>
      <c r="H655" s="353">
        <v>599146.29</v>
      </c>
      <c r="I655" s="59"/>
      <c r="J655" s="59" t="s">
        <v>10440</v>
      </c>
      <c r="K655" s="20"/>
      <c r="L655" s="20"/>
      <c r="M655" s="357"/>
      <c r="N655" s="411"/>
      <c r="O655" s="23" t="s">
        <v>554</v>
      </c>
      <c r="P655" s="92" t="s">
        <v>632</v>
      </c>
      <c r="Q655" s="92" t="s">
        <v>646</v>
      </c>
      <c r="R655" s="372" t="str">
        <f t="shared" si="23"/>
        <v/>
      </c>
    </row>
    <row r="656" spans="1:18" x14ac:dyDescent="0.25">
      <c r="A656" s="23" t="s">
        <v>552</v>
      </c>
      <c r="B656" s="18" t="str">
        <f>IF(ISNA(VLOOKUP($A656,'Data Pull Sheet'!$B$2:$C$1795,2,0)),"",(VLOOKUP($A656,'Data Pull Sheet'!$B$2:$C$1795,2,0)))</f>
        <v>CYTR</v>
      </c>
      <c r="C656" s="59" t="s">
        <v>446</v>
      </c>
      <c r="D656" s="356" t="s">
        <v>456</v>
      </c>
      <c r="E656" s="356" t="s">
        <v>540</v>
      </c>
      <c r="F656" s="23" t="s">
        <v>1584</v>
      </c>
      <c r="G656" s="23" t="s">
        <v>403</v>
      </c>
      <c r="H656" s="353">
        <v>122338.59</v>
      </c>
      <c r="I656" s="59"/>
      <c r="J656" s="59" t="s">
        <v>1585</v>
      </c>
      <c r="K656" s="20"/>
      <c r="L656" s="20">
        <v>1</v>
      </c>
      <c r="M656" s="357">
        <f>H656</f>
        <v>122338.59</v>
      </c>
      <c r="N656" s="411">
        <f>IFERROR((M656/(VLOOKUP(B656,'Data Pull Sheet'!$C:$H,6,FALSE))),"DC")</f>
        <v>4.0779529999999996E-3</v>
      </c>
      <c r="O656" s="23" t="s">
        <v>63</v>
      </c>
      <c r="P656" s="92" t="s">
        <v>632</v>
      </c>
      <c r="Q656" s="92" t="s">
        <v>637</v>
      </c>
      <c r="R656" s="372" t="str">
        <f t="shared" si="23"/>
        <v/>
      </c>
    </row>
    <row r="657" spans="1:18" x14ac:dyDescent="0.25">
      <c r="A657" s="23" t="s">
        <v>197</v>
      </c>
      <c r="B657" s="18" t="str">
        <f>IF(ISNA(VLOOKUP($A657,'Data Pull Sheet'!$B$2:$C$1795,2,0)),"",(VLOOKUP($A657,'Data Pull Sheet'!$B$2:$C$1795,2,0)))</f>
        <v>ETN</v>
      </c>
      <c r="C657" s="59" t="s">
        <v>418</v>
      </c>
      <c r="D657" s="356" t="s">
        <v>539</v>
      </c>
      <c r="E657" s="356" t="s">
        <v>540</v>
      </c>
      <c r="F657" s="23" t="s">
        <v>233</v>
      </c>
      <c r="G657" s="23" t="s">
        <v>417</v>
      </c>
      <c r="H657" s="353">
        <v>283462.5</v>
      </c>
      <c r="I657" s="59" t="s">
        <v>413</v>
      </c>
      <c r="J657" s="59" t="s">
        <v>1709</v>
      </c>
      <c r="K657" s="20">
        <v>4</v>
      </c>
      <c r="L657" s="20">
        <v>1</v>
      </c>
      <c r="M657" s="357">
        <f>H657</f>
        <v>283462.5</v>
      </c>
      <c r="N657" s="411">
        <f>IFERROR((M657/(VLOOKUP(B657,'Data Pull Sheet'!$C:$H,6,FALSE))),"DC")</f>
        <v>2.8346250000000001E-4</v>
      </c>
      <c r="O657" s="23" t="s">
        <v>1</v>
      </c>
      <c r="P657" s="92" t="s">
        <v>632</v>
      </c>
      <c r="Q657" s="92" t="s">
        <v>633</v>
      </c>
      <c r="R657" s="372" t="str">
        <f t="shared" si="23"/>
        <v>FF</v>
      </c>
    </row>
    <row r="658" spans="1:18" ht="30" x14ac:dyDescent="0.25">
      <c r="A658" s="23" t="s">
        <v>197</v>
      </c>
      <c r="B658" s="18" t="str">
        <f>IF(ISNA(VLOOKUP($A658,'Data Pull Sheet'!$B$2:$C$1795,2,0)),"",(VLOOKUP($A658,'Data Pull Sheet'!$B$2:$C$1795,2,0)))</f>
        <v>ETN</v>
      </c>
      <c r="C658" s="59" t="s">
        <v>418</v>
      </c>
      <c r="D658" s="356" t="s">
        <v>539</v>
      </c>
      <c r="E658" s="356" t="s">
        <v>540</v>
      </c>
      <c r="F658" s="23" t="s">
        <v>195</v>
      </c>
      <c r="G658" s="23" t="s">
        <v>417</v>
      </c>
      <c r="H658" s="353">
        <v>141641</v>
      </c>
      <c r="I658" s="59" t="s">
        <v>476</v>
      </c>
      <c r="J658" s="59" t="s">
        <v>1710</v>
      </c>
      <c r="K658" s="20"/>
      <c r="L658" s="20">
        <v>1</v>
      </c>
      <c r="M658" s="357">
        <f>H658</f>
        <v>141641</v>
      </c>
      <c r="N658" s="411">
        <f>IFERROR((M658/(VLOOKUP(B658,'Data Pull Sheet'!$C:$H,6,FALSE))),"DC")</f>
        <v>1.4164099999999999E-4</v>
      </c>
      <c r="O658" s="23" t="s">
        <v>196</v>
      </c>
      <c r="P658" s="92" t="s">
        <v>632</v>
      </c>
      <c r="Q658" s="92" t="s">
        <v>633</v>
      </c>
      <c r="R658" s="372" t="str">
        <f t="shared" si="23"/>
        <v>FF</v>
      </c>
    </row>
    <row r="659" spans="1:18" x14ac:dyDescent="0.25">
      <c r="A659" s="23" t="s">
        <v>197</v>
      </c>
      <c r="B659" s="18" t="str">
        <f>IF(ISNA(VLOOKUP($A659,'Data Pull Sheet'!$B$2:$C$1795,2,0)),"",(VLOOKUP($A659,'Data Pull Sheet'!$B$2:$C$1795,2,0)))</f>
        <v>ETN</v>
      </c>
      <c r="C659" s="59" t="s">
        <v>418</v>
      </c>
      <c r="D659" s="356" t="s">
        <v>539</v>
      </c>
      <c r="E659" s="356" t="s">
        <v>540</v>
      </c>
      <c r="F659" s="23" t="s">
        <v>1711</v>
      </c>
      <c r="G659" s="23" t="s">
        <v>417</v>
      </c>
      <c r="H659" s="353">
        <v>1413191.47</v>
      </c>
      <c r="I659" s="59" t="s">
        <v>406</v>
      </c>
      <c r="J659" s="59" t="s">
        <v>1712</v>
      </c>
      <c r="K659" s="20"/>
      <c r="L659" s="20">
        <v>1</v>
      </c>
      <c r="M659" s="357">
        <f>H659</f>
        <v>1413191.47</v>
      </c>
      <c r="N659" s="411">
        <f>IFERROR((M659/(VLOOKUP(B659,'Data Pull Sheet'!$C:$H,6,FALSE))),"DC")</f>
        <v>1.4131914699999999E-3</v>
      </c>
      <c r="O659" s="23" t="s">
        <v>56</v>
      </c>
      <c r="P659" s="92" t="s">
        <v>632</v>
      </c>
      <c r="Q659" s="92" t="s">
        <v>633</v>
      </c>
      <c r="R659" s="372" t="str">
        <f t="shared" si="23"/>
        <v/>
      </c>
    </row>
    <row r="660" spans="1:18" ht="45" x14ac:dyDescent="0.25">
      <c r="A660" s="23" t="s">
        <v>197</v>
      </c>
      <c r="B660" s="18" t="str">
        <f>IF(ISNA(VLOOKUP($A660,'Data Pull Sheet'!$B$2:$C$1795,2,0)),"",(VLOOKUP($A660,'Data Pull Sheet'!$B$2:$C$1795,2,0)))</f>
        <v>ETN</v>
      </c>
      <c r="C660" s="59" t="s">
        <v>418</v>
      </c>
      <c r="D660" s="356" t="s">
        <v>539</v>
      </c>
      <c r="E660" s="356" t="s">
        <v>540</v>
      </c>
      <c r="F660" s="23" t="s">
        <v>1713</v>
      </c>
      <c r="G660" s="23" t="s">
        <v>417</v>
      </c>
      <c r="H660" s="353">
        <v>1174799.28</v>
      </c>
      <c r="I660" s="59"/>
      <c r="J660" s="59" t="s">
        <v>1714</v>
      </c>
      <c r="K660" s="20"/>
      <c r="L660" s="20">
        <v>1</v>
      </c>
      <c r="M660" s="357">
        <f>H660</f>
        <v>1174799.28</v>
      </c>
      <c r="N660" s="411">
        <f>IFERROR((M660/(VLOOKUP(B660,'Data Pull Sheet'!$C:$H,6,FALSE))),"DC")</f>
        <v>1.17479928E-3</v>
      </c>
      <c r="O660" s="23" t="s">
        <v>7</v>
      </c>
      <c r="P660" s="92" t="s">
        <v>632</v>
      </c>
      <c r="Q660" s="92" t="s">
        <v>633</v>
      </c>
      <c r="R660" s="372" t="str">
        <f t="shared" si="23"/>
        <v/>
      </c>
    </row>
    <row r="661" spans="1:18" x14ac:dyDescent="0.25">
      <c r="A661" s="23" t="s">
        <v>3321</v>
      </c>
      <c r="B661" s="18" t="str">
        <f>IF(ISNA(VLOOKUP($A661,'Data Pull Sheet'!$B$2:$C$1795,2,0)),"",(VLOOKUP($A661,'Data Pull Sheet'!$B$2:$C$1795,2,0)))</f>
        <v>RITT</v>
      </c>
      <c r="C661" s="59" t="s">
        <v>424</v>
      </c>
      <c r="D661" s="356" t="s">
        <v>3322</v>
      </c>
      <c r="E661" s="356" t="s">
        <v>577</v>
      </c>
      <c r="F661" s="23" t="s">
        <v>3323</v>
      </c>
      <c r="G661" s="23" t="s">
        <v>403</v>
      </c>
      <c r="H661" s="353">
        <v>2847</v>
      </c>
      <c r="I661" s="59"/>
      <c r="J661" s="59" t="s">
        <v>3324</v>
      </c>
      <c r="K661" s="20">
        <v>3</v>
      </c>
      <c r="L661" s="20">
        <v>2</v>
      </c>
      <c r="M661" s="357">
        <f>SUM(H661:H662)</f>
        <v>49291</v>
      </c>
      <c r="N661" s="411">
        <f>IFERROR((M661/(VLOOKUP(B661,'Data Pull Sheet'!$C:$H,6,FALSE))),"DC")</f>
        <v>1.5166461538461538E-2</v>
      </c>
      <c r="O661" s="23" t="s">
        <v>561</v>
      </c>
      <c r="P661" s="92" t="s">
        <v>632</v>
      </c>
      <c r="Q661" s="92" t="s">
        <v>646</v>
      </c>
      <c r="R661" s="372" t="str">
        <f t="shared" si="23"/>
        <v/>
      </c>
    </row>
    <row r="662" spans="1:18" x14ac:dyDescent="0.25">
      <c r="A662" s="23" t="s">
        <v>3321</v>
      </c>
      <c r="B662" s="18" t="str">
        <f>IF(ISNA(VLOOKUP($A662,'Data Pull Sheet'!$B$2:$C$1795,2,0)),"",(VLOOKUP($A662,'Data Pull Sheet'!$B$2:$C$1795,2,0)))</f>
        <v>RITT</v>
      </c>
      <c r="C662" s="59" t="s">
        <v>424</v>
      </c>
      <c r="D662" s="356" t="s">
        <v>3322</v>
      </c>
      <c r="E662" s="356" t="s">
        <v>577</v>
      </c>
      <c r="F662" s="23" t="s">
        <v>3325</v>
      </c>
      <c r="G662" s="23" t="s">
        <v>403</v>
      </c>
      <c r="H662" s="353">
        <v>46444</v>
      </c>
      <c r="I662" s="59"/>
      <c r="J662" s="59" t="s">
        <v>3326</v>
      </c>
      <c r="K662" s="20"/>
      <c r="L662" s="20"/>
      <c r="M662" s="357"/>
      <c r="N662" s="411"/>
      <c r="O662" s="23" t="s">
        <v>561</v>
      </c>
      <c r="P662" s="92" t="s">
        <v>632</v>
      </c>
      <c r="Q662" s="92" t="s">
        <v>2581</v>
      </c>
      <c r="R662" s="372" t="str">
        <f t="shared" si="23"/>
        <v/>
      </c>
    </row>
    <row r="663" spans="1:18" x14ac:dyDescent="0.25">
      <c r="A663" s="23" t="s">
        <v>3321</v>
      </c>
      <c r="B663" s="18" t="str">
        <f>IF(ISNA(VLOOKUP($A663,'Data Pull Sheet'!$B$2:$C$1795,2,0)),"",(VLOOKUP($A663,'Data Pull Sheet'!$B$2:$C$1795,2,0)))</f>
        <v>RITT</v>
      </c>
      <c r="C663" s="59" t="s">
        <v>424</v>
      </c>
      <c r="D663" s="356" t="s">
        <v>3322</v>
      </c>
      <c r="E663" s="356" t="s">
        <v>577</v>
      </c>
      <c r="F663" s="23" t="s">
        <v>3327</v>
      </c>
      <c r="G663" s="23" t="s">
        <v>403</v>
      </c>
      <c r="H663" s="353">
        <v>13631.05</v>
      </c>
      <c r="I663" s="59"/>
      <c r="J663" s="59" t="s">
        <v>3328</v>
      </c>
      <c r="K663" s="20"/>
      <c r="L663" s="20">
        <v>1</v>
      </c>
      <c r="M663" s="357">
        <f>H663</f>
        <v>13631.05</v>
      </c>
      <c r="N663" s="411">
        <f>IFERROR((M663/(VLOOKUP(B663,'Data Pull Sheet'!$C:$H,6,FALSE))),"DC")</f>
        <v>4.1941692307692303E-3</v>
      </c>
      <c r="O663" s="23" t="s">
        <v>63</v>
      </c>
      <c r="P663" s="92" t="s">
        <v>632</v>
      </c>
      <c r="Q663" s="92" t="s">
        <v>637</v>
      </c>
      <c r="R663" s="372" t="str">
        <f t="shared" si="23"/>
        <v/>
      </c>
    </row>
    <row r="664" spans="1:18" x14ac:dyDescent="0.25">
      <c r="A664" s="23" t="s">
        <v>3321</v>
      </c>
      <c r="B664" s="18" t="str">
        <f>IF(ISNA(VLOOKUP($A664,'Data Pull Sheet'!$B$2:$C$1795,2,0)),"",(VLOOKUP($A664,'Data Pull Sheet'!$B$2:$C$1795,2,0)))</f>
        <v>RITT</v>
      </c>
      <c r="C664" s="59" t="s">
        <v>424</v>
      </c>
      <c r="D664" s="356" t="s">
        <v>3322</v>
      </c>
      <c r="E664" s="356" t="s">
        <v>577</v>
      </c>
      <c r="F664" s="23" t="s">
        <v>3329</v>
      </c>
      <c r="G664" s="23" t="s">
        <v>403</v>
      </c>
      <c r="H664" s="353">
        <v>965.15</v>
      </c>
      <c r="I664" s="59"/>
      <c r="J664" s="59" t="s">
        <v>3330</v>
      </c>
      <c r="K664" s="20"/>
      <c r="L664" s="20">
        <v>1</v>
      </c>
      <c r="M664" s="357">
        <f>H664</f>
        <v>965.15</v>
      </c>
      <c r="N664" s="411">
        <f>IFERROR((M664/(VLOOKUP(B664,'Data Pull Sheet'!$C:$H,6,FALSE))),"DC")</f>
        <v>2.9696923076923077E-4</v>
      </c>
      <c r="O664" s="23" t="s">
        <v>682</v>
      </c>
      <c r="P664" s="92" t="s">
        <v>632</v>
      </c>
      <c r="Q664" s="92" t="s">
        <v>637</v>
      </c>
      <c r="R664" s="372" t="str">
        <f t="shared" si="23"/>
        <v/>
      </c>
    </row>
    <row r="665" spans="1:18" ht="30" x14ac:dyDescent="0.25">
      <c r="A665" s="23" t="s">
        <v>1876</v>
      </c>
      <c r="B665" s="18" t="str">
        <f>IF(ISNA(VLOOKUP($A665,'Data Pull Sheet'!$B$2:$C$1795,2,0)),"",(VLOOKUP($A665,'Data Pull Sheet'!$B$2:$C$1795,2,0)))</f>
        <v>FCAU</v>
      </c>
      <c r="C665" s="59" t="s">
        <v>1632</v>
      </c>
      <c r="D665" s="356" t="s">
        <v>1877</v>
      </c>
      <c r="E665" s="356" t="s">
        <v>1878</v>
      </c>
      <c r="F665" s="23" t="s">
        <v>1879</v>
      </c>
      <c r="G665" s="23" t="s">
        <v>403</v>
      </c>
      <c r="H665" s="353">
        <v>130758.99</v>
      </c>
      <c r="I665" s="59"/>
      <c r="J665" s="59" t="s">
        <v>1880</v>
      </c>
      <c r="K665" s="20">
        <v>3</v>
      </c>
      <c r="L665" s="20">
        <v>1</v>
      </c>
      <c r="M665" s="357">
        <f>H665</f>
        <v>130758.99</v>
      </c>
      <c r="N665" s="411">
        <f>IFERROR((M665/(VLOOKUP(B665,'Data Pull Sheet'!$C:$H,6,FALSE))),"DC")</f>
        <v>1.8679855714285714E-4</v>
      </c>
      <c r="O665" s="23" t="s">
        <v>1789</v>
      </c>
      <c r="P665" s="92" t="s">
        <v>632</v>
      </c>
      <c r="Q665" s="92" t="s">
        <v>637</v>
      </c>
      <c r="R665" s="372" t="str">
        <f t="shared" si="23"/>
        <v/>
      </c>
    </row>
    <row r="666" spans="1:18" ht="30" x14ac:dyDescent="0.25">
      <c r="A666" s="23" t="s">
        <v>1876</v>
      </c>
      <c r="B666" s="18" t="str">
        <f>IF(ISNA(VLOOKUP($A666,'Data Pull Sheet'!$B$2:$C$1795,2,0)),"",(VLOOKUP($A666,'Data Pull Sheet'!$B$2:$C$1795,2,0)))</f>
        <v>FCAU</v>
      </c>
      <c r="C666" s="59" t="s">
        <v>1632</v>
      </c>
      <c r="D666" s="356" t="s">
        <v>1877</v>
      </c>
      <c r="E666" s="356" t="s">
        <v>1878</v>
      </c>
      <c r="F666" s="23" t="s">
        <v>1881</v>
      </c>
      <c r="G666" s="23" t="s">
        <v>403</v>
      </c>
      <c r="H666" s="353">
        <v>56702.82</v>
      </c>
      <c r="I666" s="59"/>
      <c r="J666" s="59" t="s">
        <v>1882</v>
      </c>
      <c r="K666" s="20"/>
      <c r="L666" s="20">
        <v>2</v>
      </c>
      <c r="M666" s="357">
        <f>SUM(H666:H667)</f>
        <v>246124.82</v>
      </c>
      <c r="N666" s="411">
        <f>IFERROR((M666/(VLOOKUP(B666,'Data Pull Sheet'!$C:$H,6,FALSE))),"DC")</f>
        <v>3.5160688571428574E-4</v>
      </c>
      <c r="O666" s="23" t="s">
        <v>10826</v>
      </c>
      <c r="P666" s="92" t="s">
        <v>632</v>
      </c>
      <c r="Q666" s="92" t="s">
        <v>646</v>
      </c>
      <c r="R666" s="372" t="str">
        <f t="shared" si="23"/>
        <v/>
      </c>
    </row>
    <row r="667" spans="1:18" ht="30" x14ac:dyDescent="0.25">
      <c r="A667" s="23" t="s">
        <v>1876</v>
      </c>
      <c r="B667" s="18" t="str">
        <f>IF(ISNA(VLOOKUP($A667,'Data Pull Sheet'!$B$2:$C$1795,2,0)),"",(VLOOKUP($A667,'Data Pull Sheet'!$B$2:$C$1795,2,0)))</f>
        <v>FCAU</v>
      </c>
      <c r="C667" s="59" t="s">
        <v>1632</v>
      </c>
      <c r="D667" s="356" t="s">
        <v>1877</v>
      </c>
      <c r="E667" s="356" t="s">
        <v>1878</v>
      </c>
      <c r="F667" s="23" t="s">
        <v>1884</v>
      </c>
      <c r="G667" s="23" t="s">
        <v>403</v>
      </c>
      <c r="H667" s="353">
        <v>189422</v>
      </c>
      <c r="I667" s="59" t="s">
        <v>1885</v>
      </c>
      <c r="J667" s="59" t="s">
        <v>1886</v>
      </c>
      <c r="K667" s="20"/>
      <c r="L667" s="20"/>
      <c r="M667" s="357"/>
      <c r="N667" s="411"/>
      <c r="O667" s="23" t="s">
        <v>10826</v>
      </c>
      <c r="P667" s="92" t="s">
        <v>632</v>
      </c>
      <c r="Q667" s="92" t="s">
        <v>646</v>
      </c>
      <c r="R667" s="372" t="str">
        <f t="shared" si="23"/>
        <v/>
      </c>
    </row>
    <row r="668" spans="1:18" x14ac:dyDescent="0.25">
      <c r="A668" s="23" t="s">
        <v>1876</v>
      </c>
      <c r="B668" s="18" t="str">
        <f>IF(ISNA(VLOOKUP($A668,'Data Pull Sheet'!$B$2:$C$1795,2,0)),"",(VLOOKUP($A668,'Data Pull Sheet'!$B$2:$C$1795,2,0)))</f>
        <v>FCAU</v>
      </c>
      <c r="C668" s="59" t="s">
        <v>1632</v>
      </c>
      <c r="D668" s="356" t="s">
        <v>1877</v>
      </c>
      <c r="E668" s="356" t="s">
        <v>1878</v>
      </c>
      <c r="F668" s="23" t="s">
        <v>1887</v>
      </c>
      <c r="G668" s="23" t="s">
        <v>403</v>
      </c>
      <c r="H668" s="353">
        <v>11770.5</v>
      </c>
      <c r="I668" s="59"/>
      <c r="J668" s="59" t="s">
        <v>1888</v>
      </c>
      <c r="K668" s="20"/>
      <c r="L668" s="20">
        <v>1</v>
      </c>
      <c r="M668" s="357">
        <f>H668</f>
        <v>11770.5</v>
      </c>
      <c r="N668" s="411">
        <f>IFERROR((M668/(VLOOKUP(B668,'Data Pull Sheet'!$C:$H,6,FALSE))),"DC")</f>
        <v>1.6815000000000001E-5</v>
      </c>
      <c r="O668" s="23" t="s">
        <v>1802</v>
      </c>
      <c r="P668" s="92" t="s">
        <v>632</v>
      </c>
      <c r="Q668" s="92" t="s">
        <v>637</v>
      </c>
      <c r="R668" s="372" t="str">
        <f t="shared" si="23"/>
        <v/>
      </c>
    </row>
    <row r="669" spans="1:18" x14ac:dyDescent="0.25">
      <c r="A669" s="23" t="s">
        <v>408</v>
      </c>
      <c r="B669" s="18" t="str">
        <f>IF(ISNA(VLOOKUP($A669,'Data Pull Sheet'!$B$2:$C$1795,2,0)),"",(VLOOKUP($A669,'Data Pull Sheet'!$B$2:$C$1795,2,0)))</f>
        <v>KERX</v>
      </c>
      <c r="C669" s="59" t="s">
        <v>409</v>
      </c>
      <c r="D669" s="356" t="s">
        <v>2504</v>
      </c>
      <c r="E669" s="356" t="s">
        <v>411</v>
      </c>
      <c r="F669" s="23" t="s">
        <v>402</v>
      </c>
      <c r="G669" s="23" t="s">
        <v>403</v>
      </c>
      <c r="H669" s="353">
        <v>1272092.6599999999</v>
      </c>
      <c r="I669" s="59"/>
      <c r="J669" s="59" t="s">
        <v>2505</v>
      </c>
      <c r="K669" s="20">
        <v>3</v>
      </c>
      <c r="L669" s="20">
        <v>2</v>
      </c>
      <c r="M669" s="357">
        <f>SUM(H669:H670)</f>
        <v>1303292.6599999999</v>
      </c>
      <c r="N669" s="411">
        <f>IFERROR((M669/(VLOOKUP(B669,'Data Pull Sheet'!$C:$H,6,FALSE))),"DC")</f>
        <v>2.8962059111111108E-2</v>
      </c>
      <c r="O669" s="23" t="s">
        <v>157</v>
      </c>
      <c r="P669" s="92" t="s">
        <v>632</v>
      </c>
      <c r="Q669" s="92" t="s">
        <v>646</v>
      </c>
      <c r="R669" s="372" t="str">
        <f t="shared" si="23"/>
        <v>FF</v>
      </c>
    </row>
    <row r="670" spans="1:18" x14ac:dyDescent="0.25">
      <c r="A670" s="23" t="s">
        <v>408</v>
      </c>
      <c r="B670" s="18" t="str">
        <f>IF(ISNA(VLOOKUP($A670,'Data Pull Sheet'!$B$2:$C$1795,2,0)),"",(VLOOKUP($A670,'Data Pull Sheet'!$B$2:$C$1795,2,0)))</f>
        <v>KERX</v>
      </c>
      <c r="C670" s="59" t="s">
        <v>409</v>
      </c>
      <c r="D670" s="356" t="s">
        <v>2504</v>
      </c>
      <c r="E670" s="356" t="s">
        <v>411</v>
      </c>
      <c r="F670" s="23" t="s">
        <v>2506</v>
      </c>
      <c r="G670" s="23" t="s">
        <v>403</v>
      </c>
      <c r="H670" s="353">
        <v>31200</v>
      </c>
      <c r="I670" s="59" t="s">
        <v>442</v>
      </c>
      <c r="J670" s="59" t="s">
        <v>2507</v>
      </c>
      <c r="K670" s="20"/>
      <c r="L670" s="20"/>
      <c r="M670" s="357"/>
      <c r="N670" s="411"/>
      <c r="O670" s="23" t="s">
        <v>157</v>
      </c>
      <c r="P670" s="92" t="s">
        <v>632</v>
      </c>
      <c r="Q670" s="92" t="s">
        <v>646</v>
      </c>
      <c r="R670" s="372" t="str">
        <f t="shared" si="23"/>
        <v/>
      </c>
    </row>
    <row r="671" spans="1:18" x14ac:dyDescent="0.25">
      <c r="A671" s="23" t="s">
        <v>408</v>
      </c>
      <c r="B671" s="18" t="str">
        <f>IF(ISNA(VLOOKUP($A671,'Data Pull Sheet'!$B$2:$C$1795,2,0)),"",(VLOOKUP($A671,'Data Pull Sheet'!$B$2:$C$1795,2,0)))</f>
        <v>KERX</v>
      </c>
      <c r="C671" s="59" t="s">
        <v>409</v>
      </c>
      <c r="D671" s="356" t="s">
        <v>410</v>
      </c>
      <c r="E671" s="356" t="s">
        <v>411</v>
      </c>
      <c r="F671" s="23" t="s">
        <v>2509</v>
      </c>
      <c r="G671" s="23" t="s">
        <v>403</v>
      </c>
      <c r="H671" s="353">
        <v>42762.59</v>
      </c>
      <c r="I671" s="59"/>
      <c r="J671" s="59" t="s">
        <v>2510</v>
      </c>
      <c r="K671" s="20"/>
      <c r="L671" s="20">
        <v>1</v>
      </c>
      <c r="M671" s="357">
        <f>H671</f>
        <v>42762.59</v>
      </c>
      <c r="N671" s="411">
        <f>IFERROR((M671/(VLOOKUP(B671,'Data Pull Sheet'!$C:$H,6,FALSE))),"DC")</f>
        <v>9.5027977777777768E-4</v>
      </c>
      <c r="O671" s="23" t="s">
        <v>1583</v>
      </c>
      <c r="P671" s="92" t="s">
        <v>632</v>
      </c>
      <c r="Q671" s="92" t="s">
        <v>637</v>
      </c>
      <c r="R671" s="372" t="str">
        <f t="shared" si="23"/>
        <v/>
      </c>
    </row>
    <row r="672" spans="1:18" x14ac:dyDescent="0.25">
      <c r="A672" s="23" t="s">
        <v>408</v>
      </c>
      <c r="B672" s="18" t="str">
        <f>IF(ISNA(VLOOKUP($A672,'Data Pull Sheet'!$B$2:$C$1795,2,0)),"",(VLOOKUP($A672,'Data Pull Sheet'!$B$2:$C$1795,2,0)))</f>
        <v>KERX</v>
      </c>
      <c r="C672" s="59" t="s">
        <v>409</v>
      </c>
      <c r="D672" s="356" t="s">
        <v>410</v>
      </c>
      <c r="E672" s="356" t="s">
        <v>411</v>
      </c>
      <c r="F672" s="23" t="s">
        <v>2511</v>
      </c>
      <c r="G672" s="23" t="s">
        <v>403</v>
      </c>
      <c r="H672" s="353">
        <v>2232</v>
      </c>
      <c r="I672" s="59"/>
      <c r="J672" s="59" t="s">
        <v>2512</v>
      </c>
      <c r="K672" s="20"/>
      <c r="L672" s="20">
        <v>2</v>
      </c>
      <c r="M672" s="357">
        <f>SUM(H672:H673)</f>
        <v>7900.8</v>
      </c>
      <c r="N672" s="411">
        <f>IFERROR((M672/(VLOOKUP(B672,'Data Pull Sheet'!$C:$H,6,FALSE))),"DC")</f>
        <v>1.7557333333333334E-4</v>
      </c>
      <c r="O672" s="23" t="s">
        <v>682</v>
      </c>
      <c r="P672" s="92" t="s">
        <v>632</v>
      </c>
      <c r="Q672" s="92" t="s">
        <v>646</v>
      </c>
      <c r="R672" s="372" t="str">
        <f t="shared" si="23"/>
        <v/>
      </c>
    </row>
    <row r="673" spans="1:18" x14ac:dyDescent="0.25">
      <c r="A673" s="23" t="s">
        <v>408</v>
      </c>
      <c r="B673" s="18" t="str">
        <f>IF(ISNA(VLOOKUP($A673,'Data Pull Sheet'!$B$2:$C$1795,2,0)),"",(VLOOKUP($A673,'Data Pull Sheet'!$B$2:$C$1795,2,0)))</f>
        <v>KERX</v>
      </c>
      <c r="C673" s="59" t="s">
        <v>409</v>
      </c>
      <c r="D673" s="356" t="s">
        <v>410</v>
      </c>
      <c r="E673" s="356" t="s">
        <v>411</v>
      </c>
      <c r="F673" s="23" t="s">
        <v>2513</v>
      </c>
      <c r="G673" s="23" t="s">
        <v>403</v>
      </c>
      <c r="H673" s="353">
        <v>5668.8</v>
      </c>
      <c r="I673" s="59"/>
      <c r="J673" s="59" t="s">
        <v>2514</v>
      </c>
      <c r="K673" s="20"/>
      <c r="L673" s="20"/>
      <c r="M673" s="357"/>
      <c r="N673" s="411"/>
      <c r="O673" s="23" t="s">
        <v>682</v>
      </c>
      <c r="P673" s="92" t="s">
        <v>632</v>
      </c>
      <c r="Q673" s="92" t="s">
        <v>646</v>
      </c>
      <c r="R673" s="372" t="str">
        <f t="shared" si="23"/>
        <v/>
      </c>
    </row>
    <row r="674" spans="1:18" x14ac:dyDescent="0.25">
      <c r="A674" s="23" t="s">
        <v>163</v>
      </c>
      <c r="B674" s="18" t="str">
        <f>IF(ISNA(VLOOKUP($A674,'Data Pull Sheet'!$B$2:$C$1795,2,0)),"",(VLOOKUP($A674,'Data Pull Sheet'!$B$2:$C$1795,2,0)))</f>
        <v>ERJ</v>
      </c>
      <c r="C674" s="59" t="s">
        <v>418</v>
      </c>
      <c r="D674" s="356" t="s">
        <v>519</v>
      </c>
      <c r="E674" s="356" t="s">
        <v>520</v>
      </c>
      <c r="F674" s="23" t="s">
        <v>230</v>
      </c>
      <c r="G674" s="23" t="s">
        <v>417</v>
      </c>
      <c r="H674" s="353">
        <v>50020</v>
      </c>
      <c r="I674" s="59"/>
      <c r="J674" s="59" t="s">
        <v>1731</v>
      </c>
      <c r="K674" s="20">
        <v>2</v>
      </c>
      <c r="L674" s="20">
        <v>2</v>
      </c>
      <c r="M674" s="357">
        <f>SUM(H674:H675)</f>
        <v>209368</v>
      </c>
      <c r="N674" s="411">
        <f>IFERROR((M674/(VLOOKUP(B674,'Data Pull Sheet'!$C:$H,6,FALSE))),"DC")</f>
        <v>6.9789333333333337E-4</v>
      </c>
      <c r="O674" s="23" t="s">
        <v>79</v>
      </c>
      <c r="P674" s="92" t="s">
        <v>632</v>
      </c>
      <c r="Q674" s="92" t="s">
        <v>640</v>
      </c>
      <c r="R674" s="372" t="str">
        <f t="shared" si="23"/>
        <v>FF</v>
      </c>
    </row>
    <row r="675" spans="1:18" ht="30" x14ac:dyDescent="0.25">
      <c r="A675" s="23" t="s">
        <v>163</v>
      </c>
      <c r="B675" s="18" t="str">
        <f>IF(ISNA(VLOOKUP($A675,'Data Pull Sheet'!$B$2:$C$1795,2,0)),"",(VLOOKUP($A675,'Data Pull Sheet'!$B$2:$C$1795,2,0)))</f>
        <v>ERJ</v>
      </c>
      <c r="C675" s="59" t="s">
        <v>418</v>
      </c>
      <c r="D675" s="356" t="s">
        <v>519</v>
      </c>
      <c r="E675" s="356" t="s">
        <v>520</v>
      </c>
      <c r="F675" s="23" t="s">
        <v>156</v>
      </c>
      <c r="G675" s="23" t="s">
        <v>417</v>
      </c>
      <c r="H675" s="353">
        <v>159348</v>
      </c>
      <c r="I675" s="59"/>
      <c r="J675" s="59" t="s">
        <v>1732</v>
      </c>
      <c r="K675" s="20"/>
      <c r="L675" s="20"/>
      <c r="M675" s="357"/>
      <c r="N675" s="411"/>
      <c r="O675" s="23" t="s">
        <v>79</v>
      </c>
      <c r="P675" s="92" t="s">
        <v>632</v>
      </c>
      <c r="Q675" s="92" t="s">
        <v>640</v>
      </c>
      <c r="R675" s="372" t="str">
        <f t="shared" si="23"/>
        <v>FF</v>
      </c>
    </row>
    <row r="676" spans="1:18" x14ac:dyDescent="0.25">
      <c r="A676" s="23" t="s">
        <v>163</v>
      </c>
      <c r="B676" s="18" t="str">
        <f>IF(ISNA(VLOOKUP($A676,'Data Pull Sheet'!$B$2:$C$1795,2,0)),"",(VLOOKUP($A676,'Data Pull Sheet'!$B$2:$C$1795,2,0)))</f>
        <v>ERJ</v>
      </c>
      <c r="C676" s="59" t="s">
        <v>418</v>
      </c>
      <c r="D676" s="356" t="s">
        <v>519</v>
      </c>
      <c r="E676" s="356" t="s">
        <v>520</v>
      </c>
      <c r="F676" s="23" t="s">
        <v>1733</v>
      </c>
      <c r="G676" s="23" t="s">
        <v>403</v>
      </c>
      <c r="H676" s="353">
        <v>1475.64</v>
      </c>
      <c r="I676" s="59"/>
      <c r="J676" s="59" t="s">
        <v>1734</v>
      </c>
      <c r="K676" s="20"/>
      <c r="L676" s="20">
        <v>1</v>
      </c>
      <c r="M676" s="357">
        <f>H676</f>
        <v>1475.64</v>
      </c>
      <c r="N676" s="411">
        <f>IFERROR((M676/(VLOOKUP(B676,'Data Pull Sheet'!$C:$H,6,FALSE))),"DC")</f>
        <v>4.9188000000000002E-6</v>
      </c>
      <c r="O676" s="23" t="s">
        <v>682</v>
      </c>
      <c r="P676" s="92" t="s">
        <v>632</v>
      </c>
      <c r="Q676" s="92" t="s">
        <v>637</v>
      </c>
      <c r="R676" s="372" t="str">
        <f t="shared" si="23"/>
        <v/>
      </c>
    </row>
    <row r="677" spans="1:18" x14ac:dyDescent="0.25">
      <c r="A677" s="23" t="s">
        <v>1941</v>
      </c>
      <c r="B677" s="18" t="str">
        <f>IF(ISNA(VLOOKUP($A677,'Data Pull Sheet'!$B$2:$C$1795,2,0)),"",(VLOOKUP($A677,'Data Pull Sheet'!$B$2:$C$1795,2,0)))</f>
        <v>FLO</v>
      </c>
      <c r="C677" s="59" t="s">
        <v>1116</v>
      </c>
      <c r="D677" s="356" t="s">
        <v>461</v>
      </c>
      <c r="E677" s="356" t="s">
        <v>462</v>
      </c>
      <c r="F677" s="23" t="s">
        <v>1942</v>
      </c>
      <c r="G677" s="23" t="s">
        <v>403</v>
      </c>
      <c r="H677" s="353">
        <v>67769.42</v>
      </c>
      <c r="I677" s="59" t="s">
        <v>406</v>
      </c>
      <c r="J677" s="59" t="s">
        <v>1943</v>
      </c>
      <c r="K677" s="20">
        <v>3</v>
      </c>
      <c r="L677" s="20">
        <v>1</v>
      </c>
      <c r="M677" s="357">
        <f>H677</f>
        <v>67769.42</v>
      </c>
      <c r="N677" s="411">
        <f>IFERROR((M677/(VLOOKUP(B677,'Data Pull Sheet'!$C:$H,6,FALSE))),"DC")</f>
        <v>1.505987111111111E-4</v>
      </c>
      <c r="O677" s="23" t="s">
        <v>1944</v>
      </c>
      <c r="P677" s="92" t="s">
        <v>632</v>
      </c>
      <c r="Q677" s="92" t="s">
        <v>637</v>
      </c>
      <c r="R677" s="372" t="str">
        <f t="shared" si="23"/>
        <v/>
      </c>
    </row>
    <row r="678" spans="1:18" ht="30" x14ac:dyDescent="0.25">
      <c r="A678" s="23" t="s">
        <v>1941</v>
      </c>
      <c r="B678" s="18" t="str">
        <f>IF(ISNA(VLOOKUP($A678,'Data Pull Sheet'!$B$2:$C$1795,2,0)),"",(VLOOKUP($A678,'Data Pull Sheet'!$B$2:$C$1795,2,0)))</f>
        <v>FLO</v>
      </c>
      <c r="C678" s="59" t="s">
        <v>1116</v>
      </c>
      <c r="D678" s="356" t="s">
        <v>461</v>
      </c>
      <c r="E678" s="356" t="s">
        <v>462</v>
      </c>
      <c r="F678" s="23" t="s">
        <v>1945</v>
      </c>
      <c r="G678" s="23" t="s">
        <v>403</v>
      </c>
      <c r="H678" s="353">
        <v>1205</v>
      </c>
      <c r="I678" s="59"/>
      <c r="J678" s="59" t="s">
        <v>1946</v>
      </c>
      <c r="K678" s="20"/>
      <c r="L678" s="20">
        <v>4</v>
      </c>
      <c r="M678" s="357">
        <f>SUM(H678:H681)</f>
        <v>13788</v>
      </c>
      <c r="N678" s="411">
        <f>IFERROR((M678/(VLOOKUP(B678,'Data Pull Sheet'!$C:$H,6,FALSE))),"DC")</f>
        <v>3.0639999999999998E-5</v>
      </c>
      <c r="O678" s="23" t="s">
        <v>11179</v>
      </c>
      <c r="P678" s="92" t="s">
        <v>632</v>
      </c>
      <c r="Q678" s="92" t="s">
        <v>646</v>
      </c>
      <c r="R678" s="372" t="str">
        <f t="shared" si="23"/>
        <v/>
      </c>
    </row>
    <row r="679" spans="1:18" ht="30" x14ac:dyDescent="0.25">
      <c r="A679" s="23" t="s">
        <v>1941</v>
      </c>
      <c r="B679" s="18" t="str">
        <f>IF(ISNA(VLOOKUP($A679,'Data Pull Sheet'!$B$2:$C$1795,2,0)),"",(VLOOKUP($A679,'Data Pull Sheet'!$B$2:$C$1795,2,0)))</f>
        <v>FLO</v>
      </c>
      <c r="C679" s="59" t="s">
        <v>1116</v>
      </c>
      <c r="D679" s="356" t="s">
        <v>461</v>
      </c>
      <c r="E679" s="356" t="s">
        <v>462</v>
      </c>
      <c r="F679" s="23" t="s">
        <v>1947</v>
      </c>
      <c r="G679" s="23" t="s">
        <v>403</v>
      </c>
      <c r="H679" s="353">
        <v>3823</v>
      </c>
      <c r="I679" s="59"/>
      <c r="J679" s="59" t="s">
        <v>1948</v>
      </c>
      <c r="K679" s="20"/>
      <c r="L679" s="20"/>
      <c r="M679" s="357"/>
      <c r="N679" s="411"/>
      <c r="O679" s="23" t="s">
        <v>11179</v>
      </c>
      <c r="P679" s="92" t="s">
        <v>632</v>
      </c>
      <c r="Q679" s="92" t="s">
        <v>646</v>
      </c>
      <c r="R679" s="372" t="str">
        <f t="shared" si="23"/>
        <v/>
      </c>
    </row>
    <row r="680" spans="1:18" ht="30" x14ac:dyDescent="0.25">
      <c r="A680" s="23" t="s">
        <v>1941</v>
      </c>
      <c r="B680" s="18" t="str">
        <f>IF(ISNA(VLOOKUP($A680,'Data Pull Sheet'!$B$2:$C$1795,2,0)),"",(VLOOKUP($A680,'Data Pull Sheet'!$B$2:$C$1795,2,0)))</f>
        <v>FLO</v>
      </c>
      <c r="C680" s="59" t="s">
        <v>1116</v>
      </c>
      <c r="D680" s="356" t="s">
        <v>461</v>
      </c>
      <c r="E680" s="356" t="s">
        <v>462</v>
      </c>
      <c r="F680" s="23" t="s">
        <v>1949</v>
      </c>
      <c r="G680" s="23" t="s">
        <v>403</v>
      </c>
      <c r="H680" s="353">
        <v>3903</v>
      </c>
      <c r="I680" s="59"/>
      <c r="J680" s="59" t="s">
        <v>1950</v>
      </c>
      <c r="K680" s="20"/>
      <c r="L680" s="20"/>
      <c r="M680" s="357"/>
      <c r="N680" s="411"/>
      <c r="O680" s="23" t="s">
        <v>11179</v>
      </c>
      <c r="P680" s="92" t="s">
        <v>632</v>
      </c>
      <c r="Q680" s="92" t="s">
        <v>646</v>
      </c>
      <c r="R680" s="372" t="str">
        <f t="shared" si="23"/>
        <v/>
      </c>
    </row>
    <row r="681" spans="1:18" ht="30" x14ac:dyDescent="0.25">
      <c r="A681" s="23" t="s">
        <v>1941</v>
      </c>
      <c r="B681" s="18" t="str">
        <f>IF(ISNA(VLOOKUP($A681,'Data Pull Sheet'!$B$2:$C$1795,2,0)),"",(VLOOKUP($A681,'Data Pull Sheet'!$B$2:$C$1795,2,0)))</f>
        <v>FLO</v>
      </c>
      <c r="C681" s="59" t="s">
        <v>1116</v>
      </c>
      <c r="D681" s="356" t="s">
        <v>461</v>
      </c>
      <c r="E681" s="356" t="s">
        <v>462</v>
      </c>
      <c r="F681" s="23" t="s">
        <v>1951</v>
      </c>
      <c r="G681" s="23" t="s">
        <v>403</v>
      </c>
      <c r="H681" s="353">
        <v>4857</v>
      </c>
      <c r="I681" s="59"/>
      <c r="J681" s="59" t="s">
        <v>1952</v>
      </c>
      <c r="K681" s="20"/>
      <c r="L681" s="20"/>
      <c r="M681" s="357"/>
      <c r="N681" s="411"/>
      <c r="O681" s="23" t="s">
        <v>11179</v>
      </c>
      <c r="P681" s="92" t="s">
        <v>632</v>
      </c>
      <c r="Q681" s="92" t="s">
        <v>646</v>
      </c>
      <c r="R681" s="372" t="str">
        <f t="shared" si="23"/>
        <v/>
      </c>
    </row>
    <row r="682" spans="1:18" x14ac:dyDescent="0.25">
      <c r="A682" s="23" t="s">
        <v>1941</v>
      </c>
      <c r="B682" s="18" t="str">
        <f>IF(ISNA(VLOOKUP($A682,'Data Pull Sheet'!$B$2:$C$1795,2,0)),"",(VLOOKUP($A682,'Data Pull Sheet'!$B$2:$C$1795,2,0)))</f>
        <v>FLO</v>
      </c>
      <c r="C682" s="59" t="s">
        <v>1116</v>
      </c>
      <c r="D682" s="356" t="s">
        <v>461</v>
      </c>
      <c r="E682" s="356" t="s">
        <v>462</v>
      </c>
      <c r="F682" s="23" t="s">
        <v>1953</v>
      </c>
      <c r="G682" s="23" t="s">
        <v>403</v>
      </c>
      <c r="H682" s="353">
        <v>3214.23</v>
      </c>
      <c r="I682" s="59"/>
      <c r="J682" s="59" t="s">
        <v>1954</v>
      </c>
      <c r="K682" s="20"/>
      <c r="L682" s="20">
        <v>2</v>
      </c>
      <c r="M682" s="357">
        <f>SUM(H682:H683)</f>
        <v>6450.84</v>
      </c>
      <c r="N682" s="411">
        <f>IFERROR((M682/(VLOOKUP(B682,'Data Pull Sheet'!$C:$H,6,FALSE))),"DC")</f>
        <v>1.43352E-5</v>
      </c>
      <c r="O682" s="23" t="s">
        <v>682</v>
      </c>
      <c r="P682" s="92" t="s">
        <v>632</v>
      </c>
      <c r="Q682" s="92" t="s">
        <v>646</v>
      </c>
      <c r="R682" s="372" t="str">
        <f t="shared" si="23"/>
        <v/>
      </c>
    </row>
    <row r="683" spans="1:18" x14ac:dyDescent="0.25">
      <c r="A683" s="23" t="s">
        <v>1941</v>
      </c>
      <c r="B683" s="18" t="str">
        <f>IF(ISNA(VLOOKUP($A683,'Data Pull Sheet'!$B$2:$C$1795,2,0)),"",(VLOOKUP($A683,'Data Pull Sheet'!$B$2:$C$1795,2,0)))</f>
        <v>FLO</v>
      </c>
      <c r="C683" s="59" t="s">
        <v>1116</v>
      </c>
      <c r="D683" s="356" t="s">
        <v>461</v>
      </c>
      <c r="E683" s="356" t="s">
        <v>462</v>
      </c>
      <c r="F683" s="23" t="s">
        <v>1955</v>
      </c>
      <c r="G683" s="23" t="s">
        <v>403</v>
      </c>
      <c r="H683" s="353">
        <v>3236.61</v>
      </c>
      <c r="I683" s="59"/>
      <c r="J683" s="59" t="s">
        <v>1956</v>
      </c>
      <c r="K683" s="20"/>
      <c r="L683" s="20"/>
      <c r="M683" s="357"/>
      <c r="N683" s="411"/>
      <c r="O683" s="23" t="s">
        <v>682</v>
      </c>
      <c r="P683" s="92" t="s">
        <v>632</v>
      </c>
      <c r="Q683" s="92" t="s">
        <v>646</v>
      </c>
      <c r="R683" s="372" t="str">
        <f t="shared" si="23"/>
        <v/>
      </c>
    </row>
    <row r="684" spans="1:18" ht="30" x14ac:dyDescent="0.25">
      <c r="A684" s="23" t="s">
        <v>54</v>
      </c>
      <c r="B684" s="18" t="str">
        <f>IF(ISNA(VLOOKUP($A684,'Data Pull Sheet'!$B$2:$C$1795,2,0)),"",(VLOOKUP($A684,'Data Pull Sheet'!$B$2:$C$1795,2,0)))</f>
        <v>OA</v>
      </c>
      <c r="C684" s="59" t="s">
        <v>460</v>
      </c>
      <c r="D684" s="356" t="s">
        <v>461</v>
      </c>
      <c r="E684" s="356" t="s">
        <v>462</v>
      </c>
      <c r="F684" s="23" t="s">
        <v>39</v>
      </c>
      <c r="G684" s="23" t="s">
        <v>417</v>
      </c>
      <c r="H684" s="353">
        <v>396501.1</v>
      </c>
      <c r="I684" s="59" t="s">
        <v>406</v>
      </c>
      <c r="J684" s="59" t="s">
        <v>2981</v>
      </c>
      <c r="K684" s="20">
        <v>3</v>
      </c>
      <c r="L684" s="20">
        <v>1</v>
      </c>
      <c r="M684" s="357">
        <f>H684</f>
        <v>396501.1</v>
      </c>
      <c r="N684" s="411">
        <f>IFERROR((M684/(VLOOKUP(B684,'Data Pull Sheet'!$C:$H,6,FALSE))),"DC")</f>
        <v>4.9562637500000001E-4</v>
      </c>
      <c r="O684" s="23" t="s">
        <v>10811</v>
      </c>
      <c r="P684" s="92" t="s">
        <v>632</v>
      </c>
      <c r="Q684" s="92" t="s">
        <v>633</v>
      </c>
      <c r="R684" s="372" t="str">
        <f t="shared" si="23"/>
        <v>FF</v>
      </c>
    </row>
    <row r="685" spans="1:18" ht="30" x14ac:dyDescent="0.25">
      <c r="A685" s="23" t="s">
        <v>54</v>
      </c>
      <c r="B685" s="18" t="str">
        <f>IF(ISNA(VLOOKUP($A685,'Data Pull Sheet'!$B$2:$C$1795,2,0)),"",(VLOOKUP($A685,'Data Pull Sheet'!$B$2:$C$1795,2,0)))</f>
        <v>OA</v>
      </c>
      <c r="C685" s="59" t="s">
        <v>460</v>
      </c>
      <c r="D685" s="356" t="s">
        <v>461</v>
      </c>
      <c r="E685" s="356" t="s">
        <v>462</v>
      </c>
      <c r="F685" s="23" t="s">
        <v>2983</v>
      </c>
      <c r="G685" s="23" t="s">
        <v>403</v>
      </c>
      <c r="H685" s="353">
        <v>10819</v>
      </c>
      <c r="I685" s="59"/>
      <c r="J685" s="59" t="s">
        <v>2984</v>
      </c>
      <c r="K685" s="20"/>
      <c r="L685" s="20">
        <v>2</v>
      </c>
      <c r="M685" s="357">
        <f>SUM(H685:H686)</f>
        <v>42444</v>
      </c>
      <c r="N685" s="411">
        <f>IFERROR((M685/(VLOOKUP(B685,'Data Pull Sheet'!$C:$H,6,FALSE))),"DC")</f>
        <v>5.3054999999999999E-5</v>
      </c>
      <c r="O685" s="23" t="s">
        <v>2985</v>
      </c>
      <c r="P685" s="92" t="s">
        <v>632</v>
      </c>
      <c r="Q685" s="92" t="s">
        <v>646</v>
      </c>
      <c r="R685" s="372" t="str">
        <f t="shared" si="23"/>
        <v/>
      </c>
    </row>
    <row r="686" spans="1:18" ht="30" x14ac:dyDescent="0.25">
      <c r="A686" s="23" t="s">
        <v>54</v>
      </c>
      <c r="B686" s="18" t="str">
        <f>IF(ISNA(VLOOKUP($A686,'Data Pull Sheet'!$B$2:$C$1795,2,0)),"",(VLOOKUP($A686,'Data Pull Sheet'!$B$2:$C$1795,2,0)))</f>
        <v>OA</v>
      </c>
      <c r="C686" s="59" t="s">
        <v>460</v>
      </c>
      <c r="D686" s="356" t="s">
        <v>461</v>
      </c>
      <c r="E686" s="356" t="s">
        <v>462</v>
      </c>
      <c r="F686" s="23" t="s">
        <v>2986</v>
      </c>
      <c r="G686" s="23" t="s">
        <v>403</v>
      </c>
      <c r="H686" s="353">
        <v>31625</v>
      </c>
      <c r="I686" s="59"/>
      <c r="J686" s="59" t="s">
        <v>2987</v>
      </c>
      <c r="K686" s="20"/>
      <c r="L686" s="20"/>
      <c r="M686" s="357"/>
      <c r="N686" s="411"/>
      <c r="O686" s="23" t="s">
        <v>2985</v>
      </c>
      <c r="P686" s="92" t="s">
        <v>632</v>
      </c>
      <c r="Q686" s="92" t="s">
        <v>646</v>
      </c>
      <c r="R686" s="372" t="str">
        <f t="shared" si="23"/>
        <v/>
      </c>
    </row>
    <row r="687" spans="1:18" ht="30" x14ac:dyDescent="0.25">
      <c r="A687" s="23" t="s">
        <v>54</v>
      </c>
      <c r="B687" s="18" t="str">
        <f>IF(ISNA(VLOOKUP($A687,'Data Pull Sheet'!$B$2:$C$1795,2,0)),"",(VLOOKUP($A687,'Data Pull Sheet'!$B$2:$C$1795,2,0)))</f>
        <v>OA</v>
      </c>
      <c r="C687" s="59" t="s">
        <v>460</v>
      </c>
      <c r="D687" s="356" t="s">
        <v>461</v>
      </c>
      <c r="E687" s="356" t="s">
        <v>462</v>
      </c>
      <c r="F687" s="23" t="s">
        <v>145</v>
      </c>
      <c r="G687" s="23" t="s">
        <v>417</v>
      </c>
      <c r="H687" s="353">
        <v>116762.1</v>
      </c>
      <c r="I687" s="59"/>
      <c r="J687" s="59" t="s">
        <v>2988</v>
      </c>
      <c r="K687" s="20"/>
      <c r="L687" s="20">
        <v>1</v>
      </c>
      <c r="M687" s="357">
        <f>H687</f>
        <v>116762.1</v>
      </c>
      <c r="N687" s="411">
        <f>IFERROR((M687/(VLOOKUP(B687,'Data Pull Sheet'!$C:$H,6,FALSE))),"DC")</f>
        <v>1.45952625E-4</v>
      </c>
      <c r="O687" s="23" t="s">
        <v>2989</v>
      </c>
      <c r="P687" s="92" t="s">
        <v>632</v>
      </c>
      <c r="Q687" s="92" t="s">
        <v>633</v>
      </c>
      <c r="R687" s="372" t="str">
        <f t="shared" si="23"/>
        <v>FF</v>
      </c>
    </row>
    <row r="688" spans="1:18" ht="30" x14ac:dyDescent="0.25">
      <c r="A688" s="23" t="s">
        <v>4107</v>
      </c>
      <c r="B688" s="18" t="str">
        <f>IF(ISNA(VLOOKUP($A688,'Data Pull Sheet'!$B$2:$C$1795,2,0)),"",(VLOOKUP($A688,'Data Pull Sheet'!$B$2:$C$1795,2,0)))</f>
        <v>WRES</v>
      </c>
      <c r="C688" s="59" t="s">
        <v>545</v>
      </c>
      <c r="D688" s="356" t="s">
        <v>4108</v>
      </c>
      <c r="E688" s="356" t="s">
        <v>462</v>
      </c>
      <c r="F688" s="23" t="s">
        <v>4109</v>
      </c>
      <c r="G688" s="23" t="s">
        <v>403</v>
      </c>
      <c r="H688" s="359">
        <f>M688/2</f>
        <v>42250</v>
      </c>
      <c r="I688" s="59"/>
      <c r="J688" s="59" t="s">
        <v>4110</v>
      </c>
      <c r="K688" s="20">
        <v>4</v>
      </c>
      <c r="L688" s="20">
        <v>2</v>
      </c>
      <c r="M688" s="357">
        <v>84500</v>
      </c>
      <c r="N688" s="411">
        <f>IFERROR((M688/(VLOOKUP(B688,'Data Pull Sheet'!$C:$H,6,FALSE))),"DC")</f>
        <v>4.2250000000000002E-4</v>
      </c>
      <c r="O688" s="23" t="s">
        <v>4111</v>
      </c>
      <c r="P688" s="92" t="s">
        <v>632</v>
      </c>
      <c r="Q688" s="92" t="s">
        <v>646</v>
      </c>
      <c r="R688" s="372" t="str">
        <f t="shared" si="23"/>
        <v/>
      </c>
    </row>
    <row r="689" spans="1:18" ht="30" x14ac:dyDescent="0.25">
      <c r="A689" s="23" t="s">
        <v>4107</v>
      </c>
      <c r="B689" s="18" t="str">
        <f>IF(ISNA(VLOOKUP($A689,'Data Pull Sheet'!$B$2:$C$1795,2,0)),"",(VLOOKUP($A689,'Data Pull Sheet'!$B$2:$C$1795,2,0)))</f>
        <v>WRES</v>
      </c>
      <c r="C689" s="59" t="s">
        <v>545</v>
      </c>
      <c r="D689" s="356" t="s">
        <v>4108</v>
      </c>
      <c r="E689" s="356" t="s">
        <v>462</v>
      </c>
      <c r="F689" s="23" t="s">
        <v>4112</v>
      </c>
      <c r="G689" s="23" t="s">
        <v>403</v>
      </c>
      <c r="H689" s="359">
        <f>M688/2</f>
        <v>42250</v>
      </c>
      <c r="I689" s="59"/>
      <c r="J689" s="59" t="s">
        <v>4113</v>
      </c>
      <c r="K689" s="20"/>
      <c r="L689" s="20"/>
      <c r="M689" s="357"/>
      <c r="N689" s="411"/>
      <c r="O689" s="23" t="s">
        <v>4111</v>
      </c>
      <c r="P689" s="92" t="s">
        <v>632</v>
      </c>
      <c r="Q689" s="92" t="s">
        <v>646</v>
      </c>
      <c r="R689" s="372" t="str">
        <f t="shared" si="23"/>
        <v/>
      </c>
    </row>
    <row r="690" spans="1:18" x14ac:dyDescent="0.25">
      <c r="A690" s="23" t="s">
        <v>4107</v>
      </c>
      <c r="B690" s="18" t="str">
        <f>IF(ISNA(VLOOKUP($A690,'Data Pull Sheet'!$B$2:$C$1795,2,0)),"",(VLOOKUP($A690,'Data Pull Sheet'!$B$2:$C$1795,2,0)))</f>
        <v>WRES</v>
      </c>
      <c r="C690" s="59" t="s">
        <v>545</v>
      </c>
      <c r="D690" s="356" t="s">
        <v>4108</v>
      </c>
      <c r="E690" s="356" t="s">
        <v>462</v>
      </c>
      <c r="F690" s="23" t="s">
        <v>4114</v>
      </c>
      <c r="G690" s="23" t="s">
        <v>403</v>
      </c>
      <c r="H690" s="353">
        <v>108681.76</v>
      </c>
      <c r="I690" s="59" t="s">
        <v>413</v>
      </c>
      <c r="J690" s="59" t="s">
        <v>4115</v>
      </c>
      <c r="K690" s="20"/>
      <c r="L690" s="20">
        <v>3</v>
      </c>
      <c r="M690" s="357">
        <f>SUM(H690:H692)</f>
        <v>452608.67000000004</v>
      </c>
      <c r="N690" s="411">
        <f>IFERROR((M690/(VLOOKUP(B690,'Data Pull Sheet'!$C:$H,6,FALSE))),"DC")</f>
        <v>2.2630433500000001E-3</v>
      </c>
      <c r="O690" s="23" t="s">
        <v>4116</v>
      </c>
      <c r="P690" s="92" t="s">
        <v>632</v>
      </c>
      <c r="Q690" s="92" t="s">
        <v>646</v>
      </c>
      <c r="R690" s="372" t="str">
        <f t="shared" si="23"/>
        <v/>
      </c>
    </row>
    <row r="691" spans="1:18" x14ac:dyDescent="0.25">
      <c r="A691" s="23" t="s">
        <v>4107</v>
      </c>
      <c r="B691" s="18" t="str">
        <f>IF(ISNA(VLOOKUP($A691,'Data Pull Sheet'!$B$2:$C$1795,2,0)),"",(VLOOKUP($A691,'Data Pull Sheet'!$B$2:$C$1795,2,0)))</f>
        <v>WRES</v>
      </c>
      <c r="C691" s="59" t="s">
        <v>545</v>
      </c>
      <c r="D691" s="356" t="s">
        <v>4108</v>
      </c>
      <c r="E691" s="356" t="s">
        <v>462</v>
      </c>
      <c r="F691" s="23" t="s">
        <v>4117</v>
      </c>
      <c r="G691" s="23" t="s">
        <v>403</v>
      </c>
      <c r="H691" s="353">
        <v>145154.88</v>
      </c>
      <c r="I691" s="59" t="s">
        <v>476</v>
      </c>
      <c r="J691" s="59" t="s">
        <v>4118</v>
      </c>
      <c r="K691" s="20"/>
      <c r="L691" s="20"/>
      <c r="M691" s="357"/>
      <c r="N691" s="411"/>
      <c r="O691" s="23" t="s">
        <v>4116</v>
      </c>
      <c r="P691" s="92" t="s">
        <v>632</v>
      </c>
      <c r="Q691" s="92" t="s">
        <v>646</v>
      </c>
      <c r="R691" s="372" t="str">
        <f t="shared" si="23"/>
        <v/>
      </c>
    </row>
    <row r="692" spans="1:18" x14ac:dyDescent="0.25">
      <c r="A692" s="23" t="s">
        <v>4107</v>
      </c>
      <c r="B692" s="18" t="str">
        <f>IF(ISNA(VLOOKUP($A692,'Data Pull Sheet'!$B$2:$C$1795,2,0)),"",(VLOOKUP($A692,'Data Pull Sheet'!$B$2:$C$1795,2,0)))</f>
        <v>WRES</v>
      </c>
      <c r="C692" s="59" t="s">
        <v>545</v>
      </c>
      <c r="D692" s="356" t="s">
        <v>4108</v>
      </c>
      <c r="E692" s="356" t="s">
        <v>462</v>
      </c>
      <c r="F692" s="23" t="s">
        <v>4119</v>
      </c>
      <c r="G692" s="23" t="s">
        <v>403</v>
      </c>
      <c r="H692" s="353">
        <v>198772.03</v>
      </c>
      <c r="I692" s="59" t="s">
        <v>476</v>
      </c>
      <c r="J692" s="59" t="s">
        <v>4120</v>
      </c>
      <c r="K692" s="20"/>
      <c r="L692" s="20"/>
      <c r="M692" s="357"/>
      <c r="N692" s="411"/>
      <c r="O692" s="23" t="s">
        <v>4116</v>
      </c>
      <c r="P692" s="92" t="s">
        <v>632</v>
      </c>
      <c r="Q692" s="92" t="s">
        <v>646</v>
      </c>
      <c r="R692" s="372" t="str">
        <f t="shared" si="23"/>
        <v/>
      </c>
    </row>
    <row r="693" spans="1:18" x14ac:dyDescent="0.25">
      <c r="A693" s="23" t="s">
        <v>4107</v>
      </c>
      <c r="B693" s="18" t="str">
        <f>IF(ISNA(VLOOKUP($A693,'Data Pull Sheet'!$B$2:$C$1795,2,0)),"",(VLOOKUP($A693,'Data Pull Sheet'!$B$2:$C$1795,2,0)))</f>
        <v>WRES</v>
      </c>
      <c r="C693" s="59" t="s">
        <v>545</v>
      </c>
      <c r="D693" s="356" t="s">
        <v>4108</v>
      </c>
      <c r="E693" s="356" t="s">
        <v>462</v>
      </c>
      <c r="F693" s="23" t="s">
        <v>4121</v>
      </c>
      <c r="G693" s="23" t="s">
        <v>403</v>
      </c>
      <c r="H693" s="359">
        <f>M693/3</f>
        <v>64435.83666666667</v>
      </c>
      <c r="I693" s="59"/>
      <c r="J693" s="59" t="s">
        <v>6716</v>
      </c>
      <c r="K693" s="20"/>
      <c r="L693" s="20">
        <v>3</v>
      </c>
      <c r="M693" s="357">
        <v>193307.51</v>
      </c>
      <c r="N693" s="411">
        <f>IFERROR((M693/(VLOOKUP(B693,'Data Pull Sheet'!$C:$H,6,FALSE))),"DC")</f>
        <v>9.6653755000000003E-4</v>
      </c>
      <c r="O693" s="23" t="s">
        <v>682</v>
      </c>
      <c r="P693" s="92" t="s">
        <v>632</v>
      </c>
      <c r="Q693" s="92" t="s">
        <v>646</v>
      </c>
      <c r="R693" s="372" t="str">
        <f t="shared" si="23"/>
        <v/>
      </c>
    </row>
    <row r="694" spans="1:18" x14ac:dyDescent="0.25">
      <c r="A694" s="23" t="s">
        <v>4107</v>
      </c>
      <c r="B694" s="18" t="str">
        <f>IF(ISNA(VLOOKUP($A694,'Data Pull Sheet'!$B$2:$C$1795,2,0)),"",(VLOOKUP($A694,'Data Pull Sheet'!$B$2:$C$1795,2,0)))</f>
        <v>WRES</v>
      </c>
      <c r="C694" s="59" t="s">
        <v>545</v>
      </c>
      <c r="D694" s="356" t="s">
        <v>4108</v>
      </c>
      <c r="E694" s="356" t="s">
        <v>462</v>
      </c>
      <c r="F694" s="23" t="s">
        <v>4122</v>
      </c>
      <c r="G694" s="23" t="s">
        <v>403</v>
      </c>
      <c r="H694" s="359">
        <f>M693/3</f>
        <v>64435.83666666667</v>
      </c>
      <c r="I694" s="59"/>
      <c r="J694" s="59" t="s">
        <v>6717</v>
      </c>
      <c r="K694" s="20"/>
      <c r="L694" s="20"/>
      <c r="M694" s="357"/>
      <c r="N694" s="411"/>
      <c r="O694" s="23" t="s">
        <v>682</v>
      </c>
      <c r="P694" s="92" t="s">
        <v>632</v>
      </c>
      <c r="Q694" s="92" t="s">
        <v>646</v>
      </c>
      <c r="R694" s="372" t="str">
        <f t="shared" si="23"/>
        <v/>
      </c>
    </row>
    <row r="695" spans="1:18" x14ac:dyDescent="0.25">
      <c r="A695" s="23" t="s">
        <v>4107</v>
      </c>
      <c r="B695" s="18" t="str">
        <f>IF(ISNA(VLOOKUP($A695,'Data Pull Sheet'!$B$2:$C$1795,2,0)),"",(VLOOKUP($A695,'Data Pull Sheet'!$B$2:$C$1795,2,0)))</f>
        <v>WRES</v>
      </c>
      <c r="C695" s="59" t="s">
        <v>545</v>
      </c>
      <c r="D695" s="356" t="s">
        <v>4108</v>
      </c>
      <c r="E695" s="356" t="s">
        <v>462</v>
      </c>
      <c r="F695" s="23" t="s">
        <v>4123</v>
      </c>
      <c r="G695" s="23" t="s">
        <v>403</v>
      </c>
      <c r="H695" s="359">
        <f>M693/3</f>
        <v>64435.83666666667</v>
      </c>
      <c r="I695" s="59"/>
      <c r="J695" s="59" t="s">
        <v>6718</v>
      </c>
      <c r="K695" s="20"/>
      <c r="L695" s="20"/>
      <c r="M695" s="357"/>
      <c r="N695" s="411"/>
      <c r="O695" s="23" t="s">
        <v>682</v>
      </c>
      <c r="P695" s="92" t="s">
        <v>632</v>
      </c>
      <c r="Q695" s="92" t="s">
        <v>646</v>
      </c>
      <c r="R695" s="372" t="str">
        <f t="shared" si="23"/>
        <v/>
      </c>
    </row>
    <row r="696" spans="1:18" ht="30" x14ac:dyDescent="0.25">
      <c r="A696" s="23" t="s">
        <v>4107</v>
      </c>
      <c r="B696" s="18" t="str">
        <f>IF(ISNA(VLOOKUP($A696,'Data Pull Sheet'!$B$2:$C$1795,2,0)),"",(VLOOKUP($A696,'Data Pull Sheet'!$B$2:$C$1795,2,0)))</f>
        <v>WRES</v>
      </c>
      <c r="C696" s="59" t="s">
        <v>545</v>
      </c>
      <c r="D696" s="356" t="s">
        <v>4108</v>
      </c>
      <c r="E696" s="356" t="s">
        <v>462</v>
      </c>
      <c r="F696" s="23" t="s">
        <v>4124</v>
      </c>
      <c r="G696" s="23" t="s">
        <v>403</v>
      </c>
      <c r="H696" s="353">
        <v>19894.8</v>
      </c>
      <c r="I696" s="59"/>
      <c r="J696" s="59" t="s">
        <v>6719</v>
      </c>
      <c r="K696" s="20"/>
      <c r="L696" s="20">
        <v>4</v>
      </c>
      <c r="M696" s="357">
        <f>SUM(H696:H699)</f>
        <v>116190.34</v>
      </c>
      <c r="N696" s="411">
        <f>IFERROR((M696/(VLOOKUP(B696,'Data Pull Sheet'!$C:$H,6,FALSE))),"DC")</f>
        <v>5.8095169999999993E-4</v>
      </c>
      <c r="O696" s="23" t="s">
        <v>2001</v>
      </c>
      <c r="P696" s="92" t="s">
        <v>632</v>
      </c>
      <c r="Q696" s="92" t="s">
        <v>646</v>
      </c>
      <c r="R696" s="372" t="str">
        <f t="shared" si="23"/>
        <v/>
      </c>
    </row>
    <row r="697" spans="1:18" ht="30" x14ac:dyDescent="0.25">
      <c r="A697" s="23" t="s">
        <v>4107</v>
      </c>
      <c r="B697" s="18" t="str">
        <f>IF(ISNA(VLOOKUP($A697,'Data Pull Sheet'!$B$2:$C$1795,2,0)),"",(VLOOKUP($A697,'Data Pull Sheet'!$B$2:$C$1795,2,0)))</f>
        <v>WRES</v>
      </c>
      <c r="C697" s="59" t="s">
        <v>545</v>
      </c>
      <c r="D697" s="356" t="s">
        <v>4108</v>
      </c>
      <c r="E697" s="356" t="s">
        <v>462</v>
      </c>
      <c r="F697" s="23" t="s">
        <v>4125</v>
      </c>
      <c r="G697" s="23" t="s">
        <v>403</v>
      </c>
      <c r="H697" s="353">
        <v>21823.99</v>
      </c>
      <c r="I697" s="59"/>
      <c r="J697" s="59" t="s">
        <v>6720</v>
      </c>
      <c r="K697" s="20"/>
      <c r="L697" s="20"/>
      <c r="M697" s="357"/>
      <c r="N697" s="411"/>
      <c r="O697" s="23" t="s">
        <v>2001</v>
      </c>
      <c r="P697" s="92" t="s">
        <v>632</v>
      </c>
      <c r="Q697" s="92" t="s">
        <v>646</v>
      </c>
      <c r="R697" s="372" t="str">
        <f t="shared" si="23"/>
        <v/>
      </c>
    </row>
    <row r="698" spans="1:18" ht="30" x14ac:dyDescent="0.25">
      <c r="A698" s="23" t="s">
        <v>4107</v>
      </c>
      <c r="B698" s="18" t="str">
        <f>IF(ISNA(VLOOKUP($A698,'Data Pull Sheet'!$B$2:$C$1795,2,0)),"",(VLOOKUP($A698,'Data Pull Sheet'!$B$2:$C$1795,2,0)))</f>
        <v>WRES</v>
      </c>
      <c r="C698" s="59" t="s">
        <v>545</v>
      </c>
      <c r="D698" s="356" t="s">
        <v>4108</v>
      </c>
      <c r="E698" s="356" t="s">
        <v>462</v>
      </c>
      <c r="F698" s="23" t="s">
        <v>4126</v>
      </c>
      <c r="G698" s="23" t="s">
        <v>403</v>
      </c>
      <c r="H698" s="353">
        <v>29638.46</v>
      </c>
      <c r="I698" s="59"/>
      <c r="J698" s="59" t="s">
        <v>6721</v>
      </c>
      <c r="K698" s="20"/>
      <c r="L698" s="20"/>
      <c r="M698" s="357"/>
      <c r="N698" s="411"/>
      <c r="O698" s="23" t="s">
        <v>2001</v>
      </c>
      <c r="P698" s="92" t="s">
        <v>632</v>
      </c>
      <c r="Q698" s="92" t="s">
        <v>646</v>
      </c>
      <c r="R698" s="372" t="str">
        <f t="shared" si="23"/>
        <v/>
      </c>
    </row>
    <row r="699" spans="1:18" ht="30" x14ac:dyDescent="0.25">
      <c r="A699" s="23" t="s">
        <v>4107</v>
      </c>
      <c r="B699" s="18" t="str">
        <f>IF(ISNA(VLOOKUP($A699,'Data Pull Sheet'!$B$2:$C$1795,2,0)),"",(VLOOKUP($A699,'Data Pull Sheet'!$B$2:$C$1795,2,0)))</f>
        <v>WRES</v>
      </c>
      <c r="C699" s="59" t="s">
        <v>545</v>
      </c>
      <c r="D699" s="356" t="s">
        <v>4108</v>
      </c>
      <c r="E699" s="356" t="s">
        <v>462</v>
      </c>
      <c r="F699" s="23" t="s">
        <v>4127</v>
      </c>
      <c r="G699" s="23" t="s">
        <v>403</v>
      </c>
      <c r="H699" s="353">
        <v>44833.09</v>
      </c>
      <c r="I699" s="59"/>
      <c r="J699" s="59" t="s">
        <v>6722</v>
      </c>
      <c r="K699" s="20"/>
      <c r="L699" s="20"/>
      <c r="M699" s="357"/>
      <c r="N699" s="411"/>
      <c r="O699" s="23" t="s">
        <v>2001</v>
      </c>
      <c r="P699" s="92" t="s">
        <v>632</v>
      </c>
      <c r="Q699" s="92" t="s">
        <v>646</v>
      </c>
      <c r="R699" s="372" t="str">
        <f t="shared" si="23"/>
        <v/>
      </c>
    </row>
    <row r="700" spans="1:18" x14ac:dyDescent="0.25">
      <c r="A700" s="23" t="s">
        <v>1486</v>
      </c>
      <c r="B700" s="18" t="str">
        <f>IF(ISNA(VLOOKUP($A700,'Data Pull Sheet'!$B$2:$C$1795,2,0)),"",(VLOOKUP($A700,'Data Pull Sheet'!$B$2:$C$1795,2,0)))</f>
        <v>CXR</v>
      </c>
      <c r="C700" s="59" t="s">
        <v>418</v>
      </c>
      <c r="D700" s="356" t="s">
        <v>589</v>
      </c>
      <c r="E700" s="356" t="s">
        <v>590</v>
      </c>
      <c r="F700" s="23" t="s">
        <v>1487</v>
      </c>
      <c r="G700" s="23" t="s">
        <v>403</v>
      </c>
      <c r="H700" s="353">
        <v>83621.279999999999</v>
      </c>
      <c r="I700" s="59"/>
      <c r="J700" s="59" t="s">
        <v>1488</v>
      </c>
      <c r="K700" s="20">
        <v>4</v>
      </c>
      <c r="L700" s="20">
        <v>1</v>
      </c>
      <c r="M700" s="357">
        <f>H700</f>
        <v>83621.279999999999</v>
      </c>
      <c r="N700" s="411">
        <f>IFERROR((M700/(VLOOKUP(B700,'Data Pull Sheet'!$C:$H,6,FALSE))),"DC")</f>
        <v>5.2924860759493667E-4</v>
      </c>
      <c r="O700" s="23" t="s">
        <v>597</v>
      </c>
      <c r="P700" s="92" t="s">
        <v>632</v>
      </c>
      <c r="Q700" s="92" t="s">
        <v>637</v>
      </c>
      <c r="R700" s="372" t="str">
        <f t="shared" si="23"/>
        <v/>
      </c>
    </row>
    <row r="701" spans="1:18" x14ac:dyDescent="0.25">
      <c r="A701" s="23" t="s">
        <v>1486</v>
      </c>
      <c r="B701" s="18" t="str">
        <f>IF(ISNA(VLOOKUP($A701,'Data Pull Sheet'!$B$2:$C$1795,2,0)),"",(VLOOKUP($A701,'Data Pull Sheet'!$B$2:$C$1795,2,0)))</f>
        <v>CXR</v>
      </c>
      <c r="C701" s="59" t="s">
        <v>418</v>
      </c>
      <c r="D701" s="356" t="s">
        <v>589</v>
      </c>
      <c r="E701" s="356" t="s">
        <v>590</v>
      </c>
      <c r="F701" s="23" t="s">
        <v>1489</v>
      </c>
      <c r="G701" s="23" t="s">
        <v>403</v>
      </c>
      <c r="H701" s="353">
        <v>90461</v>
      </c>
      <c r="I701" s="59"/>
      <c r="J701" s="59" t="s">
        <v>1490</v>
      </c>
      <c r="K701" s="20"/>
      <c r="L701" s="20">
        <v>3</v>
      </c>
      <c r="M701" s="357">
        <f>SUM(H701:H703)</f>
        <v>375146</v>
      </c>
      <c r="N701" s="411">
        <f>IFERROR((M701/(VLOOKUP(B701,'Data Pull Sheet'!$C:$H,6,FALSE))),"DC")</f>
        <v>2.3743417721518987E-3</v>
      </c>
      <c r="O701" s="23" t="s">
        <v>584</v>
      </c>
      <c r="P701" s="92" t="s">
        <v>632</v>
      </c>
      <c r="Q701" s="92" t="s">
        <v>646</v>
      </c>
      <c r="R701" s="372" t="str">
        <f t="shared" si="23"/>
        <v/>
      </c>
    </row>
    <row r="702" spans="1:18" x14ac:dyDescent="0.25">
      <c r="A702" s="23" t="s">
        <v>1486</v>
      </c>
      <c r="B702" s="18" t="str">
        <f>IF(ISNA(VLOOKUP($A702,'Data Pull Sheet'!$B$2:$C$1795,2,0)),"",(VLOOKUP($A702,'Data Pull Sheet'!$B$2:$C$1795,2,0)))</f>
        <v>CXR</v>
      </c>
      <c r="C702" s="59" t="s">
        <v>418</v>
      </c>
      <c r="D702" s="356" t="s">
        <v>589</v>
      </c>
      <c r="E702" s="356" t="s">
        <v>590</v>
      </c>
      <c r="F702" s="23" t="s">
        <v>1491</v>
      </c>
      <c r="G702" s="23" t="s">
        <v>403</v>
      </c>
      <c r="H702" s="353">
        <v>92694</v>
      </c>
      <c r="I702" s="59"/>
      <c r="J702" s="59" t="s">
        <v>1492</v>
      </c>
      <c r="K702" s="20"/>
      <c r="L702" s="20"/>
      <c r="M702" s="357"/>
      <c r="N702" s="411"/>
      <c r="O702" s="23" t="s">
        <v>584</v>
      </c>
      <c r="P702" s="92" t="s">
        <v>632</v>
      </c>
      <c r="Q702" s="92" t="s">
        <v>646</v>
      </c>
      <c r="R702" s="372" t="str">
        <f t="shared" si="23"/>
        <v/>
      </c>
    </row>
    <row r="703" spans="1:18" x14ac:dyDescent="0.25">
      <c r="A703" s="23" t="s">
        <v>1486</v>
      </c>
      <c r="B703" s="18" t="str">
        <f>IF(ISNA(VLOOKUP($A703,'Data Pull Sheet'!$B$2:$C$1795,2,0)),"",(VLOOKUP($A703,'Data Pull Sheet'!$B$2:$C$1795,2,0)))</f>
        <v>CXR</v>
      </c>
      <c r="C703" s="59" t="s">
        <v>418</v>
      </c>
      <c r="D703" s="356" t="s">
        <v>589</v>
      </c>
      <c r="E703" s="356" t="s">
        <v>590</v>
      </c>
      <c r="F703" s="23" t="s">
        <v>1493</v>
      </c>
      <c r="G703" s="23" t="s">
        <v>403</v>
      </c>
      <c r="H703" s="353">
        <v>191991</v>
      </c>
      <c r="I703" s="59"/>
      <c r="J703" s="59" t="s">
        <v>1494</v>
      </c>
      <c r="K703" s="20"/>
      <c r="L703" s="20"/>
      <c r="M703" s="357"/>
      <c r="N703" s="411"/>
      <c r="O703" s="23" t="s">
        <v>584</v>
      </c>
      <c r="P703" s="92" t="s">
        <v>632</v>
      </c>
      <c r="Q703" s="92" t="s">
        <v>646</v>
      </c>
      <c r="R703" s="372" t="str">
        <f t="shared" si="23"/>
        <v/>
      </c>
    </row>
    <row r="704" spans="1:18" x14ac:dyDescent="0.25">
      <c r="A704" s="23" t="s">
        <v>1486</v>
      </c>
      <c r="B704" s="18" t="str">
        <f>IF(ISNA(VLOOKUP($A704,'Data Pull Sheet'!$B$2:$C$1795,2,0)),"",(VLOOKUP($A704,'Data Pull Sheet'!$B$2:$C$1795,2,0)))</f>
        <v>CXR</v>
      </c>
      <c r="C704" s="59" t="s">
        <v>418</v>
      </c>
      <c r="D704" s="356" t="s">
        <v>589</v>
      </c>
      <c r="E704" s="356" t="s">
        <v>590</v>
      </c>
      <c r="F704" s="23" t="s">
        <v>1495</v>
      </c>
      <c r="G704" s="23" t="s">
        <v>403</v>
      </c>
      <c r="H704" s="353">
        <v>21861.32</v>
      </c>
      <c r="I704" s="59"/>
      <c r="J704" s="59" t="s">
        <v>1496</v>
      </c>
      <c r="K704" s="20"/>
      <c r="L704" s="20">
        <v>2</v>
      </c>
      <c r="M704" s="357">
        <f>SUM(H704:H705)</f>
        <v>52058.41</v>
      </c>
      <c r="N704" s="411">
        <f>IFERROR((M704/(VLOOKUP(B704,'Data Pull Sheet'!$C:$H,6,FALSE))),"DC")</f>
        <v>3.2948360759493676E-4</v>
      </c>
      <c r="O704" s="23" t="s">
        <v>63</v>
      </c>
      <c r="P704" s="92" t="s">
        <v>632</v>
      </c>
      <c r="Q704" s="92" t="s">
        <v>646</v>
      </c>
      <c r="R704" s="372" t="str">
        <f t="shared" si="23"/>
        <v/>
      </c>
    </row>
    <row r="705" spans="1:18" x14ac:dyDescent="0.25">
      <c r="A705" s="23" t="s">
        <v>1486</v>
      </c>
      <c r="B705" s="18" t="str">
        <f>IF(ISNA(VLOOKUP($A705,'Data Pull Sheet'!$B$2:$C$1795,2,0)),"",(VLOOKUP($A705,'Data Pull Sheet'!$B$2:$C$1795,2,0)))</f>
        <v>CXR</v>
      </c>
      <c r="C705" s="59" t="s">
        <v>418</v>
      </c>
      <c r="D705" s="356" t="s">
        <v>589</v>
      </c>
      <c r="E705" s="356" t="s">
        <v>590</v>
      </c>
      <c r="F705" s="23" t="s">
        <v>1497</v>
      </c>
      <c r="G705" s="23" t="s">
        <v>403</v>
      </c>
      <c r="H705" s="353">
        <v>30197.09</v>
      </c>
      <c r="I705" s="59"/>
      <c r="J705" s="59" t="s">
        <v>1498</v>
      </c>
      <c r="K705" s="20"/>
      <c r="L705" s="20"/>
      <c r="M705" s="357"/>
      <c r="N705" s="411"/>
      <c r="O705" s="23" t="s">
        <v>63</v>
      </c>
      <c r="P705" s="92" t="s">
        <v>632</v>
      </c>
      <c r="Q705" s="92" t="s">
        <v>646</v>
      </c>
      <c r="R705" s="372" t="str">
        <f t="shared" si="23"/>
        <v/>
      </c>
    </row>
    <row r="706" spans="1:18" x14ac:dyDescent="0.25">
      <c r="A706" s="23" t="s">
        <v>1486</v>
      </c>
      <c r="B706" s="18" t="str">
        <f>IF(ISNA(VLOOKUP($A706,'Data Pull Sheet'!$B$2:$C$1795,2,0)),"",(VLOOKUP($A706,'Data Pull Sheet'!$B$2:$C$1795,2,0)))</f>
        <v>CXR</v>
      </c>
      <c r="C706" s="59" t="s">
        <v>418</v>
      </c>
      <c r="D706" s="356" t="s">
        <v>589</v>
      </c>
      <c r="E706" s="356" t="s">
        <v>590</v>
      </c>
      <c r="F706" s="23" t="s">
        <v>1499</v>
      </c>
      <c r="G706" s="23" t="s">
        <v>403</v>
      </c>
      <c r="H706" s="353">
        <v>256308.29</v>
      </c>
      <c r="I706" s="59"/>
      <c r="J706" s="59" t="s">
        <v>1500</v>
      </c>
      <c r="K706" s="20"/>
      <c r="L706" s="20">
        <v>1</v>
      </c>
      <c r="M706" s="357">
        <f>H706</f>
        <v>256308.29</v>
      </c>
      <c r="N706" s="411">
        <f>IFERROR((M706/(VLOOKUP(B706,'Data Pull Sheet'!$C:$H,6,FALSE))),"DC")</f>
        <v>1.6222043670886077E-3</v>
      </c>
      <c r="O706" s="23" t="s">
        <v>682</v>
      </c>
      <c r="P706" s="92" t="s">
        <v>632</v>
      </c>
      <c r="Q706" s="92" t="s">
        <v>637</v>
      </c>
      <c r="R706" s="372" t="str">
        <f t="shared" ref="R706:R769" si="24">IF(COUNTIF(F:F,F706)&gt;=2,"FF","")</f>
        <v/>
      </c>
    </row>
    <row r="707" spans="1:18" ht="30" x14ac:dyDescent="0.25">
      <c r="A707" s="23" t="s">
        <v>311</v>
      </c>
      <c r="B707" s="18" t="str">
        <f>IF(ISNA(VLOOKUP($A707,'Data Pull Sheet'!$B$2:$C$1795,2,0)),"",(VLOOKUP($A707,'Data Pull Sheet'!$B$2:$C$1795,2,0)))</f>
        <v>SCTY</v>
      </c>
      <c r="C707" s="59" t="s">
        <v>457</v>
      </c>
      <c r="D707" s="356" t="s">
        <v>589</v>
      </c>
      <c r="E707" s="356" t="s">
        <v>590</v>
      </c>
      <c r="F707" s="23" t="s">
        <v>308</v>
      </c>
      <c r="G707" s="23" t="s">
        <v>417</v>
      </c>
      <c r="H707" s="353">
        <v>539153.05000000005</v>
      </c>
      <c r="I707" s="59" t="s">
        <v>406</v>
      </c>
      <c r="J707" s="59" t="s">
        <v>3435</v>
      </c>
      <c r="K707" s="20">
        <v>3</v>
      </c>
      <c r="L707" s="20">
        <v>1</v>
      </c>
      <c r="M707" s="357">
        <f>H707</f>
        <v>539153.05000000005</v>
      </c>
      <c r="N707" s="411">
        <f>IFERROR((M707/(VLOOKUP(B707,'Data Pull Sheet'!$C:$H,6,FALSE))),"DC")</f>
        <v>7.1887073333333344E-4</v>
      </c>
      <c r="O707" s="23" t="s">
        <v>2862</v>
      </c>
      <c r="P707" s="92" t="s">
        <v>632</v>
      </c>
      <c r="Q707" s="92" t="s">
        <v>633</v>
      </c>
      <c r="R707" s="372" t="str">
        <f t="shared" si="24"/>
        <v>FF</v>
      </c>
    </row>
    <row r="708" spans="1:18" x14ac:dyDescent="0.25">
      <c r="A708" s="23" t="s">
        <v>311</v>
      </c>
      <c r="B708" s="18" t="str">
        <f>IF(ISNA(VLOOKUP($A708,'Data Pull Sheet'!$B$2:$C$1795,2,0)),"",(VLOOKUP($A708,'Data Pull Sheet'!$B$2:$C$1795,2,0)))</f>
        <v>SCTY</v>
      </c>
      <c r="C708" s="59" t="s">
        <v>457</v>
      </c>
      <c r="D708" s="356" t="s">
        <v>589</v>
      </c>
      <c r="E708" s="356" t="s">
        <v>590</v>
      </c>
      <c r="F708" s="23" t="s">
        <v>3436</v>
      </c>
      <c r="G708" s="23" t="s">
        <v>403</v>
      </c>
      <c r="H708" s="353">
        <v>46412</v>
      </c>
      <c r="I708" s="59"/>
      <c r="J708" s="59" t="s">
        <v>3437</v>
      </c>
      <c r="K708" s="20"/>
      <c r="L708" s="20">
        <v>2</v>
      </c>
      <c r="M708" s="357">
        <f>SUM(H708:H709)</f>
        <v>141597</v>
      </c>
      <c r="N708" s="411">
        <f>IFERROR((M708/(VLOOKUP(B708,'Data Pull Sheet'!$C:$H,6,FALSE))),"DC")</f>
        <v>1.88796E-4</v>
      </c>
      <c r="O708" s="23" t="s">
        <v>584</v>
      </c>
      <c r="P708" s="92" t="s">
        <v>632</v>
      </c>
      <c r="Q708" s="92" t="s">
        <v>646</v>
      </c>
      <c r="R708" s="372" t="str">
        <f t="shared" si="24"/>
        <v/>
      </c>
    </row>
    <row r="709" spans="1:18" x14ac:dyDescent="0.25">
      <c r="A709" s="23" t="s">
        <v>311</v>
      </c>
      <c r="B709" s="18" t="str">
        <f>IF(ISNA(VLOOKUP($A709,'Data Pull Sheet'!$B$2:$C$1795,2,0)),"",(VLOOKUP($A709,'Data Pull Sheet'!$B$2:$C$1795,2,0)))</f>
        <v>SCTY</v>
      </c>
      <c r="C709" s="59" t="s">
        <v>457</v>
      </c>
      <c r="D709" s="356" t="s">
        <v>589</v>
      </c>
      <c r="E709" s="356" t="s">
        <v>590</v>
      </c>
      <c r="F709" s="23" t="s">
        <v>3438</v>
      </c>
      <c r="G709" s="23" t="s">
        <v>403</v>
      </c>
      <c r="H709" s="353">
        <v>95185</v>
      </c>
      <c r="I709" s="59"/>
      <c r="J709" s="59" t="s">
        <v>3439</v>
      </c>
      <c r="K709" s="20"/>
      <c r="L709" s="20"/>
      <c r="M709" s="357"/>
      <c r="N709" s="411"/>
      <c r="O709" s="23" t="s">
        <v>584</v>
      </c>
      <c r="P709" s="92" t="s">
        <v>632</v>
      </c>
      <c r="Q709" s="92" t="s">
        <v>646</v>
      </c>
      <c r="R709" s="372" t="str">
        <f t="shared" si="24"/>
        <v/>
      </c>
    </row>
    <row r="710" spans="1:18" x14ac:dyDescent="0.25">
      <c r="A710" s="23" t="s">
        <v>311</v>
      </c>
      <c r="B710" s="18" t="str">
        <f>IF(ISNA(VLOOKUP($A710,'Data Pull Sheet'!$B$2:$C$1795,2,0)),"",(VLOOKUP($A710,'Data Pull Sheet'!$B$2:$C$1795,2,0)))</f>
        <v>SCTY</v>
      </c>
      <c r="C710" s="59" t="s">
        <v>457</v>
      </c>
      <c r="D710" s="356" t="s">
        <v>589</v>
      </c>
      <c r="E710" s="356" t="s">
        <v>590</v>
      </c>
      <c r="F710" s="23" t="s">
        <v>3440</v>
      </c>
      <c r="G710" s="23" t="s">
        <v>403</v>
      </c>
      <c r="H710" s="353">
        <v>1563260.3</v>
      </c>
      <c r="I710" s="59"/>
      <c r="J710" s="59" t="s">
        <v>3441</v>
      </c>
      <c r="K710" s="20"/>
      <c r="L710" s="20">
        <v>1</v>
      </c>
      <c r="M710" s="357">
        <f>H710</f>
        <v>1563260.3</v>
      </c>
      <c r="N710" s="411">
        <f>IFERROR((M710/(VLOOKUP(B710,'Data Pull Sheet'!$C:$H,6,FALSE))),"DC")</f>
        <v>2.0843470666666668E-3</v>
      </c>
      <c r="O710" s="23" t="s">
        <v>3442</v>
      </c>
      <c r="P710" s="92" t="s">
        <v>632</v>
      </c>
      <c r="Q710" s="92" t="s">
        <v>637</v>
      </c>
      <c r="R710" s="372" t="str">
        <f t="shared" si="24"/>
        <v/>
      </c>
    </row>
    <row r="711" spans="1:18" x14ac:dyDescent="0.25">
      <c r="A711" s="23" t="s">
        <v>3783</v>
      </c>
      <c r="B711" s="18" t="str">
        <f>IF(ISNA(VLOOKUP($A711,'Data Pull Sheet'!$B$2:$C$1795,2,0)),"",(VLOOKUP($A711,'Data Pull Sheet'!$B$2:$C$1795,2,0)))</f>
        <v>HAIN</v>
      </c>
      <c r="C711" s="59" t="s">
        <v>1008</v>
      </c>
      <c r="D711" s="356" t="s">
        <v>3784</v>
      </c>
      <c r="E711" s="356" t="s">
        <v>581</v>
      </c>
      <c r="F711" s="23" t="s">
        <v>3785</v>
      </c>
      <c r="G711" s="23" t="s">
        <v>403</v>
      </c>
      <c r="H711" s="353">
        <v>822519.96</v>
      </c>
      <c r="I711" s="59"/>
      <c r="J711" s="59" t="s">
        <v>3786</v>
      </c>
      <c r="K711" s="20">
        <v>5</v>
      </c>
      <c r="L711" s="20">
        <v>1</v>
      </c>
      <c r="M711" s="357">
        <f>H711</f>
        <v>822519.96</v>
      </c>
      <c r="N711" s="411">
        <f>IFERROR((M711/(VLOOKUP(B711,'Data Pull Sheet'!$C:$H,6,FALSE))),"DC")</f>
        <v>1.9128371162790696E-3</v>
      </c>
      <c r="O711" s="23" t="s">
        <v>3787</v>
      </c>
      <c r="P711" s="92" t="s">
        <v>632</v>
      </c>
      <c r="Q711" s="92" t="s">
        <v>637</v>
      </c>
      <c r="R711" s="372" t="str">
        <f t="shared" si="24"/>
        <v/>
      </c>
    </row>
    <row r="712" spans="1:18" x14ac:dyDescent="0.25">
      <c r="A712" s="23" t="s">
        <v>3783</v>
      </c>
      <c r="B712" s="18" t="str">
        <f>IF(ISNA(VLOOKUP($A712,'Data Pull Sheet'!$B$2:$C$1795,2,0)),"",(VLOOKUP($A712,'Data Pull Sheet'!$B$2:$C$1795,2,0)))</f>
        <v>HAIN</v>
      </c>
      <c r="C712" s="59" t="s">
        <v>1008</v>
      </c>
      <c r="D712" s="356" t="s">
        <v>3784</v>
      </c>
      <c r="E712" s="356" t="s">
        <v>581</v>
      </c>
      <c r="F712" s="23" t="s">
        <v>3788</v>
      </c>
      <c r="G712" s="23" t="s">
        <v>417</v>
      </c>
      <c r="H712" s="353">
        <v>1548333.33</v>
      </c>
      <c r="I712" s="59" t="s">
        <v>476</v>
      </c>
      <c r="J712" s="59" t="s">
        <v>3789</v>
      </c>
      <c r="K712" s="20"/>
      <c r="L712" s="20">
        <v>1</v>
      </c>
      <c r="M712" s="357">
        <f>H712</f>
        <v>1548333.33</v>
      </c>
      <c r="N712" s="411">
        <f>IFERROR((M712/(VLOOKUP(B712,'Data Pull Sheet'!$C:$H,6,FALSE))),"DC")</f>
        <v>3.6007751860465116E-3</v>
      </c>
      <c r="O712" s="23" t="s">
        <v>3790</v>
      </c>
      <c r="P712" s="92" t="s">
        <v>632</v>
      </c>
      <c r="Q712" s="92" t="s">
        <v>633</v>
      </c>
      <c r="R712" s="372" t="str">
        <f t="shared" si="24"/>
        <v/>
      </c>
    </row>
    <row r="713" spans="1:18" ht="30" x14ac:dyDescent="0.25">
      <c r="A713" s="23" t="s">
        <v>3783</v>
      </c>
      <c r="B713" s="18" t="str">
        <f>IF(ISNA(VLOOKUP($A713,'Data Pull Sheet'!$B$2:$C$1795,2,0)),"",(VLOOKUP($A713,'Data Pull Sheet'!$B$2:$C$1795,2,0)))</f>
        <v>HAIN</v>
      </c>
      <c r="C713" s="59" t="s">
        <v>1008</v>
      </c>
      <c r="D713" s="356" t="s">
        <v>3784</v>
      </c>
      <c r="E713" s="356" t="s">
        <v>581</v>
      </c>
      <c r="F713" s="23" t="s">
        <v>3791</v>
      </c>
      <c r="G713" s="23" t="s">
        <v>403</v>
      </c>
      <c r="H713" s="353">
        <v>463804.31</v>
      </c>
      <c r="I713" s="59" t="s">
        <v>442</v>
      </c>
      <c r="J713" s="59" t="s">
        <v>3792</v>
      </c>
      <c r="K713" s="20"/>
      <c r="L713" s="20">
        <v>1</v>
      </c>
      <c r="M713" s="357">
        <f>H713</f>
        <v>463804.31</v>
      </c>
      <c r="N713" s="411">
        <f>IFERROR((M713/(VLOOKUP(B713,'Data Pull Sheet'!$C:$H,6,FALSE))),"DC")</f>
        <v>1.0786146744186046E-3</v>
      </c>
      <c r="O713" s="23" t="s">
        <v>10827</v>
      </c>
      <c r="P713" s="92" t="s">
        <v>632</v>
      </c>
      <c r="Q713" s="92" t="s">
        <v>637</v>
      </c>
      <c r="R713" s="372" t="str">
        <f t="shared" si="24"/>
        <v/>
      </c>
    </row>
    <row r="714" spans="1:18" x14ac:dyDescent="0.25">
      <c r="A714" s="23" t="s">
        <v>3783</v>
      </c>
      <c r="B714" s="18" t="str">
        <f>IF(ISNA(VLOOKUP($A714,'Data Pull Sheet'!$B$2:$C$1795,2,0)),"",(VLOOKUP($A714,'Data Pull Sheet'!$B$2:$C$1795,2,0)))</f>
        <v>HAIN</v>
      </c>
      <c r="C714" s="59" t="s">
        <v>1008</v>
      </c>
      <c r="D714" s="356" t="s">
        <v>3784</v>
      </c>
      <c r="E714" s="356" t="s">
        <v>581</v>
      </c>
      <c r="F714" s="23" t="s">
        <v>3794</v>
      </c>
      <c r="G714" s="23" t="s">
        <v>403</v>
      </c>
      <c r="H714" s="353">
        <v>125593</v>
      </c>
      <c r="I714" s="59"/>
      <c r="J714" s="59" t="s">
        <v>3795</v>
      </c>
      <c r="K714" s="20"/>
      <c r="L714" s="20">
        <v>1</v>
      </c>
      <c r="M714" s="357">
        <f>H714</f>
        <v>125593</v>
      </c>
      <c r="N714" s="411">
        <f>IFERROR((M714/(VLOOKUP(B714,'Data Pull Sheet'!$C:$H,6,FALSE))),"DC")</f>
        <v>2.920767441860465E-4</v>
      </c>
      <c r="O714" s="23" t="s">
        <v>1204</v>
      </c>
      <c r="P714" s="92" t="s">
        <v>632</v>
      </c>
      <c r="Q714" s="92" t="s">
        <v>637</v>
      </c>
      <c r="R714" s="372" t="str">
        <f t="shared" si="24"/>
        <v/>
      </c>
    </row>
    <row r="715" spans="1:18" x14ac:dyDescent="0.25">
      <c r="A715" s="23" t="s">
        <v>3783</v>
      </c>
      <c r="B715" s="18" t="str">
        <f>IF(ISNA(VLOOKUP($A715,'Data Pull Sheet'!$B$2:$C$1795,2,0)),"",(VLOOKUP($A715,'Data Pull Sheet'!$B$2:$C$1795,2,0)))</f>
        <v>HAIN</v>
      </c>
      <c r="C715" s="59" t="s">
        <v>1008</v>
      </c>
      <c r="D715" s="356" t="s">
        <v>3784</v>
      </c>
      <c r="E715" s="356" t="s">
        <v>581</v>
      </c>
      <c r="F715" s="23" t="s">
        <v>3796</v>
      </c>
      <c r="G715" s="23" t="s">
        <v>417</v>
      </c>
      <c r="H715" s="353">
        <v>1608.86</v>
      </c>
      <c r="I715" s="59"/>
      <c r="J715" s="59" t="s">
        <v>3797</v>
      </c>
      <c r="K715" s="20"/>
      <c r="L715" s="20">
        <v>6</v>
      </c>
      <c r="M715" s="357">
        <f>SUM(H715:H720)</f>
        <v>470488.05</v>
      </c>
      <c r="N715" s="411">
        <f>IFERROR((M715/(VLOOKUP(B715,'Data Pull Sheet'!$C:$H,6,FALSE))),"DC")</f>
        <v>1.0941582558139534E-3</v>
      </c>
      <c r="O715" s="23" t="s">
        <v>7</v>
      </c>
      <c r="P715" s="92" t="s">
        <v>632</v>
      </c>
      <c r="Q715" s="92" t="s">
        <v>640</v>
      </c>
      <c r="R715" s="372" t="str">
        <f t="shared" si="24"/>
        <v/>
      </c>
    </row>
    <row r="716" spans="1:18" x14ac:dyDescent="0.25">
      <c r="A716" s="23" t="s">
        <v>3783</v>
      </c>
      <c r="B716" s="18" t="str">
        <f>IF(ISNA(VLOOKUP($A716,'Data Pull Sheet'!$B$2:$C$1795,2,0)),"",(VLOOKUP($A716,'Data Pull Sheet'!$B$2:$C$1795,2,0)))</f>
        <v>HAIN</v>
      </c>
      <c r="C716" s="59" t="s">
        <v>1008</v>
      </c>
      <c r="D716" s="356" t="s">
        <v>3784</v>
      </c>
      <c r="E716" s="356" t="s">
        <v>581</v>
      </c>
      <c r="F716" s="23" t="s">
        <v>3798</v>
      </c>
      <c r="G716" s="23" t="s">
        <v>417</v>
      </c>
      <c r="H716" s="353">
        <v>20110.7</v>
      </c>
      <c r="I716" s="59"/>
      <c r="J716" s="59" t="s">
        <v>3799</v>
      </c>
      <c r="K716" s="20"/>
      <c r="L716" s="20"/>
      <c r="M716" s="357"/>
      <c r="N716" s="411"/>
      <c r="O716" s="23" t="s">
        <v>7</v>
      </c>
      <c r="P716" s="92" t="s">
        <v>632</v>
      </c>
      <c r="Q716" s="92" t="s">
        <v>640</v>
      </c>
      <c r="R716" s="372" t="str">
        <f t="shared" si="24"/>
        <v/>
      </c>
    </row>
    <row r="717" spans="1:18" x14ac:dyDescent="0.25">
      <c r="A717" s="23" t="s">
        <v>3783</v>
      </c>
      <c r="B717" s="18" t="str">
        <f>IF(ISNA(VLOOKUP($A717,'Data Pull Sheet'!$B$2:$C$1795,2,0)),"",(VLOOKUP($A717,'Data Pull Sheet'!$B$2:$C$1795,2,0)))</f>
        <v>HAIN</v>
      </c>
      <c r="C717" s="59" t="s">
        <v>1008</v>
      </c>
      <c r="D717" s="356" t="s">
        <v>3784</v>
      </c>
      <c r="E717" s="356" t="s">
        <v>581</v>
      </c>
      <c r="F717" s="23" t="s">
        <v>3800</v>
      </c>
      <c r="G717" s="23" t="s">
        <v>417</v>
      </c>
      <c r="H717" s="353">
        <v>28154.98</v>
      </c>
      <c r="I717" s="59"/>
      <c r="J717" s="59" t="s">
        <v>3801</v>
      </c>
      <c r="K717" s="20"/>
      <c r="L717" s="20"/>
      <c r="M717" s="357"/>
      <c r="N717" s="411"/>
      <c r="O717" s="23" t="s">
        <v>7</v>
      </c>
      <c r="P717" s="92" t="s">
        <v>632</v>
      </c>
      <c r="Q717" s="92" t="s">
        <v>640</v>
      </c>
      <c r="R717" s="372" t="str">
        <f t="shared" si="24"/>
        <v/>
      </c>
    </row>
    <row r="718" spans="1:18" x14ac:dyDescent="0.25">
      <c r="A718" s="23" t="s">
        <v>3783</v>
      </c>
      <c r="B718" s="18" t="str">
        <f>IF(ISNA(VLOOKUP($A718,'Data Pull Sheet'!$B$2:$C$1795,2,0)),"",(VLOOKUP($A718,'Data Pull Sheet'!$B$2:$C$1795,2,0)))</f>
        <v>HAIN</v>
      </c>
      <c r="C718" s="59" t="s">
        <v>1008</v>
      </c>
      <c r="D718" s="356" t="s">
        <v>3784</v>
      </c>
      <c r="E718" s="356" t="s">
        <v>581</v>
      </c>
      <c r="F718" s="23" t="s">
        <v>3802</v>
      </c>
      <c r="G718" s="23" t="s">
        <v>417</v>
      </c>
      <c r="H718" s="353">
        <v>37572.42</v>
      </c>
      <c r="I718" s="59"/>
      <c r="J718" s="59" t="s">
        <v>3803</v>
      </c>
      <c r="K718" s="20"/>
      <c r="L718" s="20"/>
      <c r="M718" s="357"/>
      <c r="N718" s="411"/>
      <c r="O718" s="23" t="s">
        <v>7</v>
      </c>
      <c r="P718" s="92" t="s">
        <v>632</v>
      </c>
      <c r="Q718" s="92" t="s">
        <v>640</v>
      </c>
      <c r="R718" s="372" t="str">
        <f t="shared" si="24"/>
        <v/>
      </c>
    </row>
    <row r="719" spans="1:18" x14ac:dyDescent="0.25">
      <c r="A719" s="23" t="s">
        <v>3783</v>
      </c>
      <c r="B719" s="18" t="str">
        <f>IF(ISNA(VLOOKUP($A719,'Data Pull Sheet'!$B$2:$C$1795,2,0)),"",(VLOOKUP($A719,'Data Pull Sheet'!$B$2:$C$1795,2,0)))</f>
        <v>HAIN</v>
      </c>
      <c r="C719" s="59" t="s">
        <v>1008</v>
      </c>
      <c r="D719" s="356" t="s">
        <v>3784</v>
      </c>
      <c r="E719" s="356" t="s">
        <v>581</v>
      </c>
      <c r="F719" s="23" t="s">
        <v>3804</v>
      </c>
      <c r="G719" s="23" t="s">
        <v>417</v>
      </c>
      <c r="H719" s="353">
        <v>375237.5</v>
      </c>
      <c r="I719" s="59"/>
      <c r="J719" s="59" t="s">
        <v>3805</v>
      </c>
      <c r="K719" s="20"/>
      <c r="L719" s="20"/>
      <c r="M719" s="357"/>
      <c r="N719" s="411"/>
      <c r="O719" s="23" t="s">
        <v>7</v>
      </c>
      <c r="P719" s="92" t="s">
        <v>632</v>
      </c>
      <c r="Q719" s="92" t="s">
        <v>640</v>
      </c>
      <c r="R719" s="372" t="str">
        <f t="shared" si="24"/>
        <v/>
      </c>
    </row>
    <row r="720" spans="1:18" x14ac:dyDescent="0.25">
      <c r="A720" s="23" t="s">
        <v>3783</v>
      </c>
      <c r="B720" s="18" t="str">
        <f>IF(ISNA(VLOOKUP($A720,'Data Pull Sheet'!$B$2:$C$1795,2,0)),"",(VLOOKUP($A720,'Data Pull Sheet'!$B$2:$C$1795,2,0)))</f>
        <v>HAIN</v>
      </c>
      <c r="C720" s="59" t="s">
        <v>1008</v>
      </c>
      <c r="D720" s="356" t="s">
        <v>3784</v>
      </c>
      <c r="E720" s="356" t="s">
        <v>581</v>
      </c>
      <c r="F720" s="23" t="s">
        <v>3806</v>
      </c>
      <c r="G720" s="23" t="s">
        <v>403</v>
      </c>
      <c r="H720" s="353">
        <v>7803.59</v>
      </c>
      <c r="I720" s="59"/>
      <c r="J720" s="59" t="s">
        <v>3807</v>
      </c>
      <c r="K720" s="20"/>
      <c r="L720" s="20"/>
      <c r="M720" s="357"/>
      <c r="N720" s="411"/>
      <c r="O720" s="23" t="s">
        <v>682</v>
      </c>
      <c r="P720" s="92" t="s">
        <v>632</v>
      </c>
      <c r="Q720" s="92" t="s">
        <v>637</v>
      </c>
      <c r="R720" s="372" t="str">
        <f t="shared" si="24"/>
        <v/>
      </c>
    </row>
    <row r="721" spans="1:18" x14ac:dyDescent="0.25">
      <c r="A721" s="23" t="s">
        <v>2876</v>
      </c>
      <c r="B721" s="18" t="str">
        <f>IF(ISNA(VLOOKUP($A721,'Data Pull Sheet'!$B$2:$C$1795,2,0)),"",(VLOOKUP($A721,'Data Pull Sheet'!$B$2:$C$1795,2,0)))</f>
        <v>NOG</v>
      </c>
      <c r="C721" s="59" t="s">
        <v>418</v>
      </c>
      <c r="D721" s="356" t="s">
        <v>2877</v>
      </c>
      <c r="E721" s="356" t="s">
        <v>581</v>
      </c>
      <c r="F721" s="23" t="s">
        <v>2878</v>
      </c>
      <c r="G721" s="23" t="s">
        <v>403</v>
      </c>
      <c r="H721" s="353">
        <v>35517</v>
      </c>
      <c r="I721" s="59"/>
      <c r="J721" s="59" t="s">
        <v>2879</v>
      </c>
      <c r="K721" s="20">
        <v>2</v>
      </c>
      <c r="L721" s="20">
        <v>2</v>
      </c>
      <c r="M721" s="357">
        <f>SUM(H721:H722)</f>
        <v>129292</v>
      </c>
      <c r="N721" s="411">
        <f>IFERROR((M721/(VLOOKUP(B721,'Data Pull Sheet'!$C:$H,6,FALSE))),"DC")</f>
        <v>1.29292E-2</v>
      </c>
      <c r="O721" s="23" t="s">
        <v>584</v>
      </c>
      <c r="P721" s="92" t="s">
        <v>632</v>
      </c>
      <c r="Q721" s="92" t="s">
        <v>646</v>
      </c>
      <c r="R721" s="372" t="str">
        <f t="shared" si="24"/>
        <v/>
      </c>
    </row>
    <row r="722" spans="1:18" x14ac:dyDescent="0.25">
      <c r="A722" s="23" t="s">
        <v>2876</v>
      </c>
      <c r="B722" s="18" t="str">
        <f>IF(ISNA(VLOOKUP($A722,'Data Pull Sheet'!$B$2:$C$1795,2,0)),"",(VLOOKUP($A722,'Data Pull Sheet'!$B$2:$C$1795,2,0)))</f>
        <v>NOG</v>
      </c>
      <c r="C722" s="59" t="s">
        <v>418</v>
      </c>
      <c r="D722" s="356" t="s">
        <v>2877</v>
      </c>
      <c r="E722" s="356" t="s">
        <v>581</v>
      </c>
      <c r="F722" s="23" t="s">
        <v>2880</v>
      </c>
      <c r="G722" s="23" t="s">
        <v>403</v>
      </c>
      <c r="H722" s="353">
        <v>93775</v>
      </c>
      <c r="I722" s="59"/>
      <c r="J722" s="59" t="s">
        <v>2881</v>
      </c>
      <c r="K722" s="20"/>
      <c r="L722" s="20"/>
      <c r="M722" s="357"/>
      <c r="N722" s="411"/>
      <c r="O722" s="23" t="s">
        <v>584</v>
      </c>
      <c r="P722" s="92" t="s">
        <v>632</v>
      </c>
      <c r="Q722" s="92" t="s">
        <v>2581</v>
      </c>
      <c r="R722" s="372" t="str">
        <f t="shared" si="24"/>
        <v/>
      </c>
    </row>
    <row r="723" spans="1:18" x14ac:dyDescent="0.25">
      <c r="A723" s="23" t="s">
        <v>2876</v>
      </c>
      <c r="B723" s="18" t="str">
        <f>IF(ISNA(VLOOKUP($A723,'Data Pull Sheet'!$B$2:$C$1795,2,0)),"",(VLOOKUP($A723,'Data Pull Sheet'!$B$2:$C$1795,2,0)))</f>
        <v>NOG</v>
      </c>
      <c r="C723" s="59" t="s">
        <v>418</v>
      </c>
      <c r="D723" s="356" t="s">
        <v>2877</v>
      </c>
      <c r="E723" s="356" t="s">
        <v>581</v>
      </c>
      <c r="F723" s="23" t="s">
        <v>2882</v>
      </c>
      <c r="G723" s="23" t="s">
        <v>403</v>
      </c>
      <c r="H723" s="353">
        <v>40506.949999999997</v>
      </c>
      <c r="I723" s="59"/>
      <c r="J723" s="59" t="s">
        <v>2883</v>
      </c>
      <c r="K723" s="20"/>
      <c r="L723" s="20">
        <v>1</v>
      </c>
      <c r="M723" s="357">
        <f>+H723</f>
        <v>40506.949999999997</v>
      </c>
      <c r="N723" s="411">
        <f>IFERROR((M723/(VLOOKUP(B723,'Data Pull Sheet'!$C:$H,6,FALSE))),"DC")</f>
        <v>4.050695E-3</v>
      </c>
      <c r="O723" s="23" t="s">
        <v>1002</v>
      </c>
      <c r="P723" s="92" t="s">
        <v>632</v>
      </c>
      <c r="Q723" s="92" t="s">
        <v>637</v>
      </c>
      <c r="R723" s="372" t="str">
        <f t="shared" si="24"/>
        <v/>
      </c>
    </row>
    <row r="724" spans="1:18" x14ac:dyDescent="0.25">
      <c r="A724" s="23" t="s">
        <v>579</v>
      </c>
      <c r="B724" s="18" t="str">
        <f>IF(ISNA(VLOOKUP($A724,'Data Pull Sheet'!$B$2:$C$1795,2,0)),"",(VLOOKUP($A724,'Data Pull Sheet'!$B$2:$C$1795,2,0)))</f>
        <v>SPWR</v>
      </c>
      <c r="C724" s="59" t="s">
        <v>457</v>
      </c>
      <c r="D724" s="356" t="s">
        <v>580</v>
      </c>
      <c r="E724" s="356" t="s">
        <v>581</v>
      </c>
      <c r="F724" s="23" t="s">
        <v>3591</v>
      </c>
      <c r="G724" s="23" t="s">
        <v>403</v>
      </c>
      <c r="H724" s="353">
        <v>287950</v>
      </c>
      <c r="I724" s="59" t="s">
        <v>1651</v>
      </c>
      <c r="J724" s="59" t="s">
        <v>3592</v>
      </c>
      <c r="K724" s="20">
        <v>5</v>
      </c>
      <c r="L724" s="20">
        <v>1</v>
      </c>
      <c r="M724" s="357">
        <f>H724</f>
        <v>287950</v>
      </c>
      <c r="N724" s="411">
        <f>IFERROR((M724/(VLOOKUP(B724,'Data Pull Sheet'!$C:$H,6,FALSE))),"DC")</f>
        <v>2.6177272727272729E-3</v>
      </c>
      <c r="O724" s="23" t="s">
        <v>3593</v>
      </c>
      <c r="P724" s="92" t="s">
        <v>632</v>
      </c>
      <c r="Q724" s="92" t="s">
        <v>637</v>
      </c>
      <c r="R724" s="372" t="str">
        <f t="shared" si="24"/>
        <v/>
      </c>
    </row>
    <row r="725" spans="1:18" x14ac:dyDescent="0.25">
      <c r="A725" s="23" t="s">
        <v>579</v>
      </c>
      <c r="B725" s="18" t="str">
        <f>IF(ISNA(VLOOKUP($A725,'Data Pull Sheet'!$B$2:$C$1795,2,0)),"",(VLOOKUP($A725,'Data Pull Sheet'!$B$2:$C$1795,2,0)))</f>
        <v>SPWR</v>
      </c>
      <c r="C725" s="59" t="s">
        <v>457</v>
      </c>
      <c r="D725" s="356" t="s">
        <v>580</v>
      </c>
      <c r="E725" s="356" t="s">
        <v>581</v>
      </c>
      <c r="F725" s="23" t="s">
        <v>582</v>
      </c>
      <c r="G725" s="23" t="s">
        <v>403</v>
      </c>
      <c r="H725" s="353">
        <v>97245</v>
      </c>
      <c r="I725" s="59"/>
      <c r="J725" s="59" t="s">
        <v>3594</v>
      </c>
      <c r="K725" s="20"/>
      <c r="L725" s="20">
        <v>2</v>
      </c>
      <c r="M725" s="357">
        <f>SUM(H725:H726)</f>
        <v>338885</v>
      </c>
      <c r="N725" s="411">
        <f>IFERROR((M725/(VLOOKUP(B725,'Data Pull Sheet'!$C:$H,6,FALSE))),"DC")</f>
        <v>3.0807727272727271E-3</v>
      </c>
      <c r="O725" s="23" t="s">
        <v>584</v>
      </c>
      <c r="P725" s="92" t="s">
        <v>632</v>
      </c>
      <c r="Q725" s="92" t="s">
        <v>646</v>
      </c>
      <c r="R725" s="372" t="str">
        <f t="shared" si="24"/>
        <v>FF</v>
      </c>
    </row>
    <row r="726" spans="1:18" x14ac:dyDescent="0.25">
      <c r="A726" s="23" t="s">
        <v>579</v>
      </c>
      <c r="B726" s="18" t="str">
        <f>IF(ISNA(VLOOKUP($A726,'Data Pull Sheet'!$B$2:$C$1795,2,0)),"",(VLOOKUP($A726,'Data Pull Sheet'!$B$2:$C$1795,2,0)))</f>
        <v>SPWR</v>
      </c>
      <c r="C726" s="59" t="s">
        <v>457</v>
      </c>
      <c r="D726" s="356" t="s">
        <v>580</v>
      </c>
      <c r="E726" s="356" t="s">
        <v>581</v>
      </c>
      <c r="F726" s="23" t="s">
        <v>3595</v>
      </c>
      <c r="G726" s="23" t="s">
        <v>403</v>
      </c>
      <c r="H726" s="353">
        <v>241640</v>
      </c>
      <c r="I726" s="59"/>
      <c r="J726" s="59" t="s">
        <v>3596</v>
      </c>
      <c r="K726" s="20"/>
      <c r="L726" s="20"/>
      <c r="M726" s="357"/>
      <c r="N726" s="411"/>
      <c r="O726" s="23" t="s">
        <v>584</v>
      </c>
      <c r="P726" s="92" t="s">
        <v>632</v>
      </c>
      <c r="Q726" s="92" t="s">
        <v>646</v>
      </c>
      <c r="R726" s="372" t="str">
        <f t="shared" si="24"/>
        <v>FF</v>
      </c>
    </row>
    <row r="727" spans="1:18" x14ac:dyDescent="0.25">
      <c r="A727" s="23" t="s">
        <v>579</v>
      </c>
      <c r="B727" s="18" t="str">
        <f>IF(ISNA(VLOOKUP($A727,'Data Pull Sheet'!$B$2:$C$1795,2,0)),"",(VLOOKUP($A727,'Data Pull Sheet'!$B$2:$C$1795,2,0)))</f>
        <v>SPWR</v>
      </c>
      <c r="C727" s="59" t="s">
        <v>457</v>
      </c>
      <c r="D727" s="356" t="s">
        <v>580</v>
      </c>
      <c r="E727" s="356" t="s">
        <v>581</v>
      </c>
      <c r="F727" s="23" t="s">
        <v>3597</v>
      </c>
      <c r="G727" s="23" t="s">
        <v>403</v>
      </c>
      <c r="H727" s="353">
        <v>45780</v>
      </c>
      <c r="I727" s="59"/>
      <c r="J727" s="59" t="s">
        <v>3598</v>
      </c>
      <c r="K727" s="20"/>
      <c r="L727" s="20">
        <v>3</v>
      </c>
      <c r="M727" s="357">
        <f>SUM(H727:H729)</f>
        <v>238015.54</v>
      </c>
      <c r="N727" s="411">
        <f>IFERROR((M727/(VLOOKUP(B727,'Data Pull Sheet'!$C:$H,6,FALSE))),"DC")</f>
        <v>2.1637776363636362E-3</v>
      </c>
      <c r="O727" s="23" t="s">
        <v>1002</v>
      </c>
      <c r="P727" s="92" t="s">
        <v>632</v>
      </c>
      <c r="Q727" s="92" t="s">
        <v>646</v>
      </c>
      <c r="R727" s="372" t="str">
        <f t="shared" si="24"/>
        <v/>
      </c>
    </row>
    <row r="728" spans="1:18" x14ac:dyDescent="0.25">
      <c r="A728" s="23" t="s">
        <v>579</v>
      </c>
      <c r="B728" s="18" t="str">
        <f>IF(ISNA(VLOOKUP($A728,'Data Pull Sheet'!$B$2:$C$1795,2,0)),"",(VLOOKUP($A728,'Data Pull Sheet'!$B$2:$C$1795,2,0)))</f>
        <v>SPWR</v>
      </c>
      <c r="C728" s="59" t="s">
        <v>457</v>
      </c>
      <c r="D728" s="356" t="s">
        <v>580</v>
      </c>
      <c r="E728" s="356" t="s">
        <v>581</v>
      </c>
      <c r="F728" s="23" t="s">
        <v>3599</v>
      </c>
      <c r="G728" s="23" t="s">
        <v>403</v>
      </c>
      <c r="H728" s="353">
        <v>84268.33</v>
      </c>
      <c r="I728" s="59"/>
      <c r="J728" s="59" t="s">
        <v>3600</v>
      </c>
      <c r="K728" s="20"/>
      <c r="L728" s="20"/>
      <c r="M728" s="357"/>
      <c r="N728" s="411"/>
      <c r="O728" s="23" t="s">
        <v>1002</v>
      </c>
      <c r="P728" s="92" t="s">
        <v>632</v>
      </c>
      <c r="Q728" s="92" t="s">
        <v>646</v>
      </c>
      <c r="R728" s="372" t="str">
        <f t="shared" si="24"/>
        <v/>
      </c>
    </row>
    <row r="729" spans="1:18" x14ac:dyDescent="0.25">
      <c r="A729" s="23" t="s">
        <v>579</v>
      </c>
      <c r="B729" s="18" t="str">
        <f>IF(ISNA(VLOOKUP($A729,'Data Pull Sheet'!$B$2:$C$1795,2,0)),"",(VLOOKUP($A729,'Data Pull Sheet'!$B$2:$C$1795,2,0)))</f>
        <v>SPWR</v>
      </c>
      <c r="C729" s="59" t="s">
        <v>457</v>
      </c>
      <c r="D729" s="356" t="s">
        <v>580</v>
      </c>
      <c r="E729" s="356" t="s">
        <v>581</v>
      </c>
      <c r="F729" s="23" t="s">
        <v>3601</v>
      </c>
      <c r="G729" s="23" t="s">
        <v>403</v>
      </c>
      <c r="H729" s="353">
        <v>107967.21</v>
      </c>
      <c r="I729" s="59"/>
      <c r="J729" s="59" t="s">
        <v>3602</v>
      </c>
      <c r="K729" s="20"/>
      <c r="L729" s="20"/>
      <c r="M729" s="357"/>
      <c r="N729" s="411"/>
      <c r="O729" s="23" t="s">
        <v>1002</v>
      </c>
      <c r="P729" s="92" t="s">
        <v>632</v>
      </c>
      <c r="Q729" s="92" t="s">
        <v>646</v>
      </c>
      <c r="R729" s="372" t="str">
        <f t="shared" si="24"/>
        <v/>
      </c>
    </row>
    <row r="730" spans="1:18" x14ac:dyDescent="0.25">
      <c r="A730" s="23" t="s">
        <v>579</v>
      </c>
      <c r="B730" s="18" t="str">
        <f>IF(ISNA(VLOOKUP($A730,'Data Pull Sheet'!$B$2:$C$1795,2,0)),"",(VLOOKUP($A730,'Data Pull Sheet'!$B$2:$C$1795,2,0)))</f>
        <v>SPWR</v>
      </c>
      <c r="C730" s="59" t="s">
        <v>457</v>
      </c>
      <c r="D730" s="356" t="s">
        <v>580</v>
      </c>
      <c r="E730" s="356" t="s">
        <v>581</v>
      </c>
      <c r="F730" s="23" t="s">
        <v>3603</v>
      </c>
      <c r="G730" s="23" t="s">
        <v>403</v>
      </c>
      <c r="H730" s="353">
        <v>171179.43</v>
      </c>
      <c r="I730" s="59"/>
      <c r="J730" s="59" t="s">
        <v>3604</v>
      </c>
      <c r="K730" s="20"/>
      <c r="L730" s="20">
        <v>1</v>
      </c>
      <c r="M730" s="357">
        <f>H730</f>
        <v>171179.43</v>
      </c>
      <c r="N730" s="411">
        <f>IFERROR((M730/(VLOOKUP(B730,'Data Pull Sheet'!$C:$H,6,FALSE))),"DC")</f>
        <v>1.5561766363636363E-3</v>
      </c>
      <c r="O730" s="23" t="s">
        <v>63</v>
      </c>
      <c r="P730" s="92" t="s">
        <v>632</v>
      </c>
      <c r="Q730" s="92" t="s">
        <v>637</v>
      </c>
      <c r="R730" s="372" t="str">
        <f t="shared" si="24"/>
        <v>FF</v>
      </c>
    </row>
    <row r="731" spans="1:18" x14ac:dyDescent="0.25">
      <c r="A731" s="23" t="s">
        <v>579</v>
      </c>
      <c r="B731" s="18" t="str">
        <f>IF(ISNA(VLOOKUP($A731,'Data Pull Sheet'!$B$2:$C$1795,2,0)),"",(VLOOKUP($A731,'Data Pull Sheet'!$B$2:$C$1795,2,0)))</f>
        <v>SPWR</v>
      </c>
      <c r="C731" s="59" t="s">
        <v>457</v>
      </c>
      <c r="D731" s="356" t="s">
        <v>580</v>
      </c>
      <c r="E731" s="356" t="s">
        <v>581</v>
      </c>
      <c r="F731" s="23" t="s">
        <v>3605</v>
      </c>
      <c r="G731" s="23" t="s">
        <v>403</v>
      </c>
      <c r="H731" s="353">
        <v>17692.04</v>
      </c>
      <c r="I731" s="59"/>
      <c r="J731" s="59" t="s">
        <v>3606</v>
      </c>
      <c r="K731" s="20"/>
      <c r="L731" s="20">
        <v>5</v>
      </c>
      <c r="M731" s="357">
        <f>SUM(H731:H735)</f>
        <v>354909.42</v>
      </c>
      <c r="N731" s="411">
        <f>IFERROR((M731/(VLOOKUP(B731,'Data Pull Sheet'!$C:$H,6,FALSE))),"DC")</f>
        <v>3.2264492727272728E-3</v>
      </c>
      <c r="O731" s="23" t="s">
        <v>3607</v>
      </c>
      <c r="P731" s="92" t="s">
        <v>632</v>
      </c>
      <c r="Q731" s="92" t="s">
        <v>646</v>
      </c>
      <c r="R731" s="372" t="str">
        <f t="shared" si="24"/>
        <v>FF</v>
      </c>
    </row>
    <row r="732" spans="1:18" x14ac:dyDescent="0.25">
      <c r="A732" s="23" t="s">
        <v>579</v>
      </c>
      <c r="B732" s="18" t="str">
        <f>IF(ISNA(VLOOKUP($A732,'Data Pull Sheet'!$B$2:$C$1795,2,0)),"",(VLOOKUP($A732,'Data Pull Sheet'!$B$2:$C$1795,2,0)))</f>
        <v>SPWR</v>
      </c>
      <c r="C732" s="59" t="s">
        <v>457</v>
      </c>
      <c r="D732" s="356" t="s">
        <v>580</v>
      </c>
      <c r="E732" s="356" t="s">
        <v>581</v>
      </c>
      <c r="F732" s="23" t="s">
        <v>3608</v>
      </c>
      <c r="G732" s="23" t="s">
        <v>403</v>
      </c>
      <c r="H732" s="353">
        <v>31885.15</v>
      </c>
      <c r="I732" s="59"/>
      <c r="J732" s="59" t="s">
        <v>3609</v>
      </c>
      <c r="K732" s="20"/>
      <c r="L732" s="20"/>
      <c r="M732" s="357"/>
      <c r="N732" s="411"/>
      <c r="O732" s="23" t="s">
        <v>3607</v>
      </c>
      <c r="P732" s="92" t="s">
        <v>632</v>
      </c>
      <c r="Q732" s="92" t="s">
        <v>646</v>
      </c>
      <c r="R732" s="372" t="str">
        <f t="shared" si="24"/>
        <v>FF</v>
      </c>
    </row>
    <row r="733" spans="1:18" x14ac:dyDescent="0.25">
      <c r="A733" s="23" t="s">
        <v>579</v>
      </c>
      <c r="B733" s="18" t="str">
        <f>IF(ISNA(VLOOKUP($A733,'Data Pull Sheet'!$B$2:$C$1795,2,0)),"",(VLOOKUP($A733,'Data Pull Sheet'!$B$2:$C$1795,2,0)))</f>
        <v>SPWR</v>
      </c>
      <c r="C733" s="59" t="s">
        <v>457</v>
      </c>
      <c r="D733" s="356" t="s">
        <v>580</v>
      </c>
      <c r="E733" s="356" t="s">
        <v>581</v>
      </c>
      <c r="F733" s="23" t="s">
        <v>3610</v>
      </c>
      <c r="G733" s="23" t="s">
        <v>403</v>
      </c>
      <c r="H733" s="353">
        <v>36144.68</v>
      </c>
      <c r="I733" s="59"/>
      <c r="J733" s="59" t="s">
        <v>3611</v>
      </c>
      <c r="K733" s="20"/>
      <c r="L733" s="20"/>
      <c r="M733" s="357"/>
      <c r="N733" s="411"/>
      <c r="O733" s="23" t="s">
        <v>3607</v>
      </c>
      <c r="P733" s="92" t="s">
        <v>632</v>
      </c>
      <c r="Q733" s="92" t="s">
        <v>646</v>
      </c>
      <c r="R733" s="372" t="str">
        <f t="shared" si="24"/>
        <v>FF</v>
      </c>
    </row>
    <row r="734" spans="1:18" x14ac:dyDescent="0.25">
      <c r="A734" s="23" t="s">
        <v>579</v>
      </c>
      <c r="B734" s="18" t="str">
        <f>IF(ISNA(VLOOKUP($A734,'Data Pull Sheet'!$B$2:$C$1795,2,0)),"",(VLOOKUP($A734,'Data Pull Sheet'!$B$2:$C$1795,2,0)))</f>
        <v>SPWR</v>
      </c>
      <c r="C734" s="59" t="s">
        <v>457</v>
      </c>
      <c r="D734" s="356" t="s">
        <v>580</v>
      </c>
      <c r="E734" s="356" t="s">
        <v>581</v>
      </c>
      <c r="F734" s="23" t="s">
        <v>3612</v>
      </c>
      <c r="G734" s="23" t="s">
        <v>403</v>
      </c>
      <c r="H734" s="353">
        <v>83513.05</v>
      </c>
      <c r="I734" s="59"/>
      <c r="J734" s="59" t="s">
        <v>3613</v>
      </c>
      <c r="K734" s="20"/>
      <c r="L734" s="20"/>
      <c r="M734" s="357"/>
      <c r="N734" s="411"/>
      <c r="O734" s="23" t="s">
        <v>3607</v>
      </c>
      <c r="P734" s="92" t="s">
        <v>632</v>
      </c>
      <c r="Q734" s="92" t="s">
        <v>646</v>
      </c>
      <c r="R734" s="372" t="str">
        <f t="shared" si="24"/>
        <v>FF</v>
      </c>
    </row>
    <row r="735" spans="1:18" x14ac:dyDescent="0.25">
      <c r="A735" s="23" t="s">
        <v>579</v>
      </c>
      <c r="B735" s="18" t="str">
        <f>IF(ISNA(VLOOKUP($A735,'Data Pull Sheet'!$B$2:$C$1795,2,0)),"",(VLOOKUP($A735,'Data Pull Sheet'!$B$2:$C$1795,2,0)))</f>
        <v>SPWR</v>
      </c>
      <c r="C735" s="59" t="s">
        <v>457</v>
      </c>
      <c r="D735" s="356" t="s">
        <v>580</v>
      </c>
      <c r="E735" s="356" t="s">
        <v>581</v>
      </c>
      <c r="F735" s="23" t="s">
        <v>3614</v>
      </c>
      <c r="G735" s="23" t="s">
        <v>403</v>
      </c>
      <c r="H735" s="353">
        <v>185674.5</v>
      </c>
      <c r="I735" s="59"/>
      <c r="J735" s="59" t="s">
        <v>3615</v>
      </c>
      <c r="K735" s="20"/>
      <c r="L735" s="20"/>
      <c r="M735" s="357"/>
      <c r="N735" s="411"/>
      <c r="O735" s="23" t="s">
        <v>3607</v>
      </c>
      <c r="P735" s="92" t="s">
        <v>632</v>
      </c>
      <c r="Q735" s="92" t="s">
        <v>646</v>
      </c>
      <c r="R735" s="372" t="str">
        <f t="shared" si="24"/>
        <v>FF</v>
      </c>
    </row>
    <row r="736" spans="1:18" ht="30" x14ac:dyDescent="0.25">
      <c r="A736" s="23" t="s">
        <v>3148</v>
      </c>
      <c r="B736" s="18" t="str">
        <f>IF(ISNA(VLOOKUP($A736,'Data Pull Sheet'!$B$2:$C$1795,2,0)),"",(VLOOKUP($A736,'Data Pull Sheet'!$B$2:$C$1795,2,0)))</f>
        <v>PSIX</v>
      </c>
      <c r="C736" s="59" t="s">
        <v>465</v>
      </c>
      <c r="D736" s="356" t="s">
        <v>3149</v>
      </c>
      <c r="E736" s="356" t="s">
        <v>448</v>
      </c>
      <c r="F736" s="23" t="s">
        <v>3150</v>
      </c>
      <c r="G736" s="23" t="s">
        <v>403</v>
      </c>
      <c r="H736" s="353">
        <v>63629.11</v>
      </c>
      <c r="I736" s="59"/>
      <c r="J736" s="59" t="s">
        <v>3151</v>
      </c>
      <c r="K736" s="20">
        <v>2</v>
      </c>
      <c r="L736" s="20">
        <v>1</v>
      </c>
      <c r="M736" s="357">
        <f>H736</f>
        <v>63629.11</v>
      </c>
      <c r="N736" s="411">
        <f>IFERROR((M736/(VLOOKUP(B736,'Data Pull Sheet'!$C:$H,6,FALSE))),"DC")</f>
        <v>1.4139802222222223E-2</v>
      </c>
      <c r="O736" s="23" t="s">
        <v>3152</v>
      </c>
      <c r="P736" s="92" t="s">
        <v>632</v>
      </c>
      <c r="Q736" s="92" t="s">
        <v>637</v>
      </c>
      <c r="R736" s="372" t="str">
        <f t="shared" si="24"/>
        <v/>
      </c>
    </row>
    <row r="737" spans="1:18" x14ac:dyDescent="0.25">
      <c r="A737" s="23" t="s">
        <v>3148</v>
      </c>
      <c r="B737" s="18" t="str">
        <f>IF(ISNA(VLOOKUP($A737,'Data Pull Sheet'!$B$2:$C$1795,2,0)),"",(VLOOKUP($A737,'Data Pull Sheet'!$B$2:$C$1795,2,0)))</f>
        <v>PSIX</v>
      </c>
      <c r="C737" s="59" t="s">
        <v>465</v>
      </c>
      <c r="D737" s="356" t="s">
        <v>3149</v>
      </c>
      <c r="E737" s="356" t="s">
        <v>448</v>
      </c>
      <c r="F737" s="23" t="s">
        <v>3153</v>
      </c>
      <c r="G737" s="23" t="s">
        <v>403</v>
      </c>
      <c r="H737" s="353">
        <v>1798</v>
      </c>
      <c r="I737" s="59"/>
      <c r="J737" s="59" t="s">
        <v>3154</v>
      </c>
      <c r="K737" s="20"/>
      <c r="L737" s="20">
        <v>2</v>
      </c>
      <c r="M737" s="357">
        <f>SUM(H737:H738)</f>
        <v>4606</v>
      </c>
      <c r="N737" s="411">
        <f>IFERROR((M737/(VLOOKUP(B737,'Data Pull Sheet'!$C:$H,6,FALSE))),"DC")</f>
        <v>1.0235555555555555E-3</v>
      </c>
      <c r="O737" s="23" t="s">
        <v>79</v>
      </c>
      <c r="P737" s="92" t="s">
        <v>632</v>
      </c>
      <c r="Q737" s="92" t="s">
        <v>646</v>
      </c>
      <c r="R737" s="372" t="str">
        <f t="shared" si="24"/>
        <v/>
      </c>
    </row>
    <row r="738" spans="1:18" x14ac:dyDescent="0.25">
      <c r="A738" s="23" t="s">
        <v>3148</v>
      </c>
      <c r="B738" s="18" t="str">
        <f>IF(ISNA(VLOOKUP($A738,'Data Pull Sheet'!$B$2:$C$1795,2,0)),"",(VLOOKUP($A738,'Data Pull Sheet'!$B$2:$C$1795,2,0)))</f>
        <v>PSIX</v>
      </c>
      <c r="C738" s="59" t="s">
        <v>465</v>
      </c>
      <c r="D738" s="356" t="s">
        <v>3149</v>
      </c>
      <c r="E738" s="356" t="s">
        <v>448</v>
      </c>
      <c r="F738" s="23" t="s">
        <v>3155</v>
      </c>
      <c r="G738" s="23" t="s">
        <v>403</v>
      </c>
      <c r="H738" s="353">
        <v>2808</v>
      </c>
      <c r="I738" s="59"/>
      <c r="J738" s="59" t="s">
        <v>3156</v>
      </c>
      <c r="K738" s="20"/>
      <c r="L738" s="20"/>
      <c r="M738" s="357"/>
      <c r="N738" s="411"/>
      <c r="O738" s="23" t="s">
        <v>79</v>
      </c>
      <c r="P738" s="92" t="s">
        <v>632</v>
      </c>
      <c r="Q738" s="92" t="s">
        <v>646</v>
      </c>
      <c r="R738" s="372" t="str">
        <f t="shared" si="24"/>
        <v/>
      </c>
    </row>
    <row r="739" spans="1:18" ht="30" x14ac:dyDescent="0.25">
      <c r="A739" s="23" t="s">
        <v>24</v>
      </c>
      <c r="B739" s="18" t="str">
        <f>IF(ISNA(VLOOKUP($A739,'Data Pull Sheet'!$B$2:$C$1795,2,0)),"",(VLOOKUP($A739,'Data Pull Sheet'!$B$2:$C$1795,2,0)))</f>
        <v>CXW</v>
      </c>
      <c r="C739" s="59" t="s">
        <v>431</v>
      </c>
      <c r="D739" s="356" t="s">
        <v>432</v>
      </c>
      <c r="E739" s="356" t="s">
        <v>433</v>
      </c>
      <c r="F739" s="23" t="s">
        <v>1501</v>
      </c>
      <c r="G739" s="23" t="s">
        <v>403</v>
      </c>
      <c r="H739" s="353">
        <v>99047.16</v>
      </c>
      <c r="I739" s="59" t="s">
        <v>442</v>
      </c>
      <c r="J739" s="59" t="s">
        <v>1502</v>
      </c>
      <c r="K739" s="20">
        <v>4</v>
      </c>
      <c r="L739" s="20">
        <v>1</v>
      </c>
      <c r="M739" s="357">
        <f>H739</f>
        <v>99047.16</v>
      </c>
      <c r="N739" s="411">
        <f>IFERROR((M739/(VLOOKUP(B739,'Data Pull Sheet'!$C:$H,6,FALSE))),"DC")</f>
        <v>9.904716E-5</v>
      </c>
      <c r="O739" s="23" t="s">
        <v>10828</v>
      </c>
      <c r="P739" s="92" t="s">
        <v>632</v>
      </c>
      <c r="Q739" s="92" t="s">
        <v>637</v>
      </c>
      <c r="R739" s="372" t="str">
        <f t="shared" si="24"/>
        <v/>
      </c>
    </row>
    <row r="740" spans="1:18" ht="30" x14ac:dyDescent="0.25">
      <c r="A740" s="23" t="s">
        <v>24</v>
      </c>
      <c r="B740" s="18" t="str">
        <f>IF(ISNA(VLOOKUP($A740,'Data Pull Sheet'!$B$2:$C$1795,2,0)),"",(VLOOKUP($A740,'Data Pull Sheet'!$B$2:$C$1795,2,0)))</f>
        <v>CXW</v>
      </c>
      <c r="C740" s="59" t="s">
        <v>431</v>
      </c>
      <c r="D740" s="356" t="s">
        <v>432</v>
      </c>
      <c r="E740" s="356" t="s">
        <v>433</v>
      </c>
      <c r="F740" s="23" t="s">
        <v>1504</v>
      </c>
      <c r="G740" s="23" t="s">
        <v>403</v>
      </c>
      <c r="H740" s="353">
        <v>30903.64</v>
      </c>
      <c r="I740" s="59"/>
      <c r="J740" s="59" t="s">
        <v>1505</v>
      </c>
      <c r="K740" s="20"/>
      <c r="L740" s="20">
        <v>1</v>
      </c>
      <c r="M740" s="357">
        <f>H740</f>
        <v>30903.64</v>
      </c>
      <c r="N740" s="411">
        <f>IFERROR((M740/(VLOOKUP(B740,'Data Pull Sheet'!$C:$H,6,FALSE))),"DC")</f>
        <v>3.0903639999999996E-5</v>
      </c>
      <c r="O740" s="23" t="s">
        <v>1506</v>
      </c>
      <c r="P740" s="92" t="s">
        <v>632</v>
      </c>
      <c r="Q740" s="92" t="s">
        <v>637</v>
      </c>
      <c r="R740" s="372" t="str">
        <f t="shared" si="24"/>
        <v/>
      </c>
    </row>
    <row r="741" spans="1:18" ht="30" x14ac:dyDescent="0.25">
      <c r="A741" s="23" t="s">
        <v>24</v>
      </c>
      <c r="B741" s="18" t="str">
        <f>IF(ISNA(VLOOKUP($A741,'Data Pull Sheet'!$B$2:$C$1795,2,0)),"",(VLOOKUP($A741,'Data Pull Sheet'!$B$2:$C$1795,2,0)))</f>
        <v>CXW</v>
      </c>
      <c r="C741" s="59" t="s">
        <v>431</v>
      </c>
      <c r="D741" s="356" t="s">
        <v>432</v>
      </c>
      <c r="E741" s="356" t="s">
        <v>433</v>
      </c>
      <c r="F741" s="23" t="s">
        <v>1507</v>
      </c>
      <c r="G741" s="23" t="s">
        <v>403</v>
      </c>
      <c r="H741" s="353">
        <v>46703</v>
      </c>
      <c r="I741" s="59"/>
      <c r="J741" s="59" t="s">
        <v>1508</v>
      </c>
      <c r="K741" s="20"/>
      <c r="L741" s="20">
        <v>3</v>
      </c>
      <c r="M741" s="357">
        <f>SUM(H741:H743)</f>
        <v>159010</v>
      </c>
      <c r="N741" s="411">
        <f>IFERROR((M741/(VLOOKUP(B741,'Data Pull Sheet'!$C:$H,6,FALSE))),"DC")</f>
        <v>1.5901000000000001E-4</v>
      </c>
      <c r="O741" s="23" t="s">
        <v>1509</v>
      </c>
      <c r="P741" s="92" t="s">
        <v>632</v>
      </c>
      <c r="Q741" s="92" t="s">
        <v>646</v>
      </c>
      <c r="R741" s="372" t="str">
        <f t="shared" si="24"/>
        <v/>
      </c>
    </row>
    <row r="742" spans="1:18" ht="30" x14ac:dyDescent="0.25">
      <c r="A742" s="23" t="s">
        <v>24</v>
      </c>
      <c r="B742" s="18" t="str">
        <f>IF(ISNA(VLOOKUP($A742,'Data Pull Sheet'!$B$2:$C$1795,2,0)),"",(VLOOKUP($A742,'Data Pull Sheet'!$B$2:$C$1795,2,0)))</f>
        <v>CXW</v>
      </c>
      <c r="C742" s="59" t="s">
        <v>431</v>
      </c>
      <c r="D742" s="356" t="s">
        <v>432</v>
      </c>
      <c r="E742" s="356" t="s">
        <v>433</v>
      </c>
      <c r="F742" s="23" t="s">
        <v>1510</v>
      </c>
      <c r="G742" s="23" t="s">
        <v>403</v>
      </c>
      <c r="H742" s="353">
        <v>55972</v>
      </c>
      <c r="I742" s="59"/>
      <c r="J742" s="59" t="s">
        <v>1511</v>
      </c>
      <c r="K742" s="20"/>
      <c r="L742" s="20"/>
      <c r="M742" s="357"/>
      <c r="N742" s="411"/>
      <c r="O742" s="23" t="s">
        <v>1509</v>
      </c>
      <c r="P742" s="92" t="s">
        <v>632</v>
      </c>
      <c r="Q742" s="92" t="s">
        <v>646</v>
      </c>
      <c r="R742" s="372" t="str">
        <f t="shared" si="24"/>
        <v/>
      </c>
    </row>
    <row r="743" spans="1:18" ht="30" x14ac:dyDescent="0.25">
      <c r="A743" s="23" t="s">
        <v>24</v>
      </c>
      <c r="B743" s="18" t="str">
        <f>IF(ISNA(VLOOKUP($A743,'Data Pull Sheet'!$B$2:$C$1795,2,0)),"",(VLOOKUP($A743,'Data Pull Sheet'!$B$2:$C$1795,2,0)))</f>
        <v>CXW</v>
      </c>
      <c r="C743" s="59" t="s">
        <v>431</v>
      </c>
      <c r="D743" s="356" t="s">
        <v>432</v>
      </c>
      <c r="E743" s="356" t="s">
        <v>433</v>
      </c>
      <c r="F743" s="23" t="s">
        <v>1512</v>
      </c>
      <c r="G743" s="23" t="s">
        <v>403</v>
      </c>
      <c r="H743" s="353">
        <v>56335</v>
      </c>
      <c r="I743" s="59"/>
      <c r="J743" s="59" t="s">
        <v>1513</v>
      </c>
      <c r="K743" s="20"/>
      <c r="L743" s="20"/>
      <c r="M743" s="357"/>
      <c r="N743" s="411"/>
      <c r="O743" s="23" t="s">
        <v>1509</v>
      </c>
      <c r="P743" s="92" t="s">
        <v>632</v>
      </c>
      <c r="Q743" s="92" t="s">
        <v>646</v>
      </c>
      <c r="R743" s="372" t="str">
        <f t="shared" si="24"/>
        <v/>
      </c>
    </row>
    <row r="744" spans="1:18" ht="30" x14ac:dyDescent="0.25">
      <c r="A744" s="23" t="s">
        <v>24</v>
      </c>
      <c r="B744" s="18" t="str">
        <f>IF(ISNA(VLOOKUP($A744,'Data Pull Sheet'!$B$2:$C$1795,2,0)),"",(VLOOKUP($A744,'Data Pull Sheet'!$B$2:$C$1795,2,0)))</f>
        <v>CXW</v>
      </c>
      <c r="C744" s="59" t="s">
        <v>431</v>
      </c>
      <c r="D744" s="356" t="s">
        <v>432</v>
      </c>
      <c r="E744" s="356" t="s">
        <v>433</v>
      </c>
      <c r="F744" s="23" t="s">
        <v>12</v>
      </c>
      <c r="G744" s="23" t="s">
        <v>417</v>
      </c>
      <c r="H744" s="353">
        <v>1218651.21</v>
      </c>
      <c r="I744" s="59"/>
      <c r="J744" s="59" t="s">
        <v>1514</v>
      </c>
      <c r="K744" s="20"/>
      <c r="L744" s="20">
        <v>1</v>
      </c>
      <c r="M744" s="357">
        <f>H744</f>
        <v>1218651.21</v>
      </c>
      <c r="N744" s="411">
        <f>IFERROR((M744/(VLOOKUP(B744,'Data Pull Sheet'!$C:$H,6,FALSE))),"DC")</f>
        <v>1.2186512099999999E-3</v>
      </c>
      <c r="O744" s="23" t="s">
        <v>1515</v>
      </c>
      <c r="P744" s="92" t="s">
        <v>632</v>
      </c>
      <c r="Q744" s="92" t="s">
        <v>633</v>
      </c>
      <c r="R744" s="372" t="str">
        <f t="shared" si="24"/>
        <v>FF</v>
      </c>
    </row>
    <row r="745" spans="1:18" x14ac:dyDescent="0.25">
      <c r="A745" s="23" t="s">
        <v>2124</v>
      </c>
      <c r="B745" s="18" t="str">
        <f>IF(ISNA(VLOOKUP($A745,'Data Pull Sheet'!$B$2:$C$1795,2,0)),"",(VLOOKUP($A745,'Data Pull Sheet'!$B$2:$C$1795,2,0)))</f>
        <v>GDSI</v>
      </c>
      <c r="C745" s="59" t="s">
        <v>424</v>
      </c>
      <c r="D745" s="356" t="s">
        <v>2125</v>
      </c>
      <c r="E745" s="356" t="s">
        <v>433</v>
      </c>
      <c r="F745" s="23" t="s">
        <v>2126</v>
      </c>
      <c r="G745" s="23" t="s">
        <v>403</v>
      </c>
      <c r="H745" s="353">
        <v>14867.4</v>
      </c>
      <c r="I745" s="59"/>
      <c r="J745" s="59" t="s">
        <v>2127</v>
      </c>
      <c r="K745" s="20">
        <v>4</v>
      </c>
      <c r="L745" s="20">
        <v>3</v>
      </c>
      <c r="M745" s="357">
        <f>SUM(H745:H747)</f>
        <v>61949.67</v>
      </c>
      <c r="N745" s="411">
        <f>IFERROR((M745/(VLOOKUP(B745,'Data Pull Sheet'!$C:$H,6,FALSE))),"DC")</f>
        <v>0.12389934</v>
      </c>
      <c r="O745" s="23" t="s">
        <v>561</v>
      </c>
      <c r="P745" s="92" t="s">
        <v>632</v>
      </c>
      <c r="Q745" s="92" t="s">
        <v>646</v>
      </c>
      <c r="R745" s="372" t="str">
        <f t="shared" si="24"/>
        <v/>
      </c>
    </row>
    <row r="746" spans="1:18" x14ac:dyDescent="0.25">
      <c r="A746" s="23" t="s">
        <v>2124</v>
      </c>
      <c r="B746" s="18" t="str">
        <f>IF(ISNA(VLOOKUP($A746,'Data Pull Sheet'!$B$2:$C$1795,2,0)),"",(VLOOKUP($A746,'Data Pull Sheet'!$B$2:$C$1795,2,0)))</f>
        <v>GDSI</v>
      </c>
      <c r="C746" s="59" t="s">
        <v>424</v>
      </c>
      <c r="D746" s="356" t="s">
        <v>2125</v>
      </c>
      <c r="E746" s="356" t="s">
        <v>433</v>
      </c>
      <c r="F746" s="23" t="s">
        <v>2128</v>
      </c>
      <c r="G746" s="23" t="s">
        <v>403</v>
      </c>
      <c r="H746" s="353">
        <v>20183.400000000001</v>
      </c>
      <c r="I746" s="59"/>
      <c r="J746" s="59" t="s">
        <v>2129</v>
      </c>
      <c r="K746" s="20"/>
      <c r="L746" s="20"/>
      <c r="M746" s="357"/>
      <c r="N746" s="411"/>
      <c r="O746" s="23" t="s">
        <v>561</v>
      </c>
      <c r="P746" s="92" t="s">
        <v>632</v>
      </c>
      <c r="Q746" s="92" t="s">
        <v>646</v>
      </c>
      <c r="R746" s="372" t="str">
        <f t="shared" si="24"/>
        <v/>
      </c>
    </row>
    <row r="747" spans="1:18" x14ac:dyDescent="0.25">
      <c r="A747" s="23" t="s">
        <v>2124</v>
      </c>
      <c r="B747" s="18" t="str">
        <f>IF(ISNA(VLOOKUP($A747,'Data Pull Sheet'!$B$2:$C$1795,2,0)),"",(VLOOKUP($A747,'Data Pull Sheet'!$B$2:$C$1795,2,0)))</f>
        <v>GDSI</v>
      </c>
      <c r="C747" s="59" t="s">
        <v>424</v>
      </c>
      <c r="D747" s="356" t="s">
        <v>2125</v>
      </c>
      <c r="E747" s="356" t="s">
        <v>433</v>
      </c>
      <c r="F747" s="23" t="s">
        <v>2130</v>
      </c>
      <c r="G747" s="23" t="s">
        <v>403</v>
      </c>
      <c r="H747" s="353">
        <v>26898.87</v>
      </c>
      <c r="I747" s="59"/>
      <c r="J747" s="59" t="s">
        <v>2131</v>
      </c>
      <c r="K747" s="20"/>
      <c r="L747" s="20"/>
      <c r="M747" s="357"/>
      <c r="N747" s="411"/>
      <c r="O747" s="23" t="s">
        <v>561</v>
      </c>
      <c r="P747" s="92" t="s">
        <v>632</v>
      </c>
      <c r="Q747" s="92" t="s">
        <v>646</v>
      </c>
      <c r="R747" s="372" t="str">
        <f t="shared" si="24"/>
        <v/>
      </c>
    </row>
    <row r="748" spans="1:18" x14ac:dyDescent="0.25">
      <c r="A748" s="23" t="s">
        <v>2124</v>
      </c>
      <c r="B748" s="18" t="str">
        <f>IF(ISNA(VLOOKUP($A748,'Data Pull Sheet'!$B$2:$C$1795,2,0)),"",(VLOOKUP($A748,'Data Pull Sheet'!$B$2:$C$1795,2,0)))</f>
        <v>GDSI</v>
      </c>
      <c r="C748" s="59" t="s">
        <v>424</v>
      </c>
      <c r="D748" s="356" t="s">
        <v>2125</v>
      </c>
      <c r="E748" s="356" t="s">
        <v>433</v>
      </c>
      <c r="F748" s="23" t="s">
        <v>2132</v>
      </c>
      <c r="G748" s="23" t="s">
        <v>403</v>
      </c>
      <c r="H748" s="353">
        <v>10433.57</v>
      </c>
      <c r="I748" s="59"/>
      <c r="J748" s="59" t="s">
        <v>2133</v>
      </c>
      <c r="K748" s="20"/>
      <c r="L748" s="20">
        <v>1</v>
      </c>
      <c r="M748" s="357">
        <f>H748</f>
        <v>10433.57</v>
      </c>
      <c r="N748" s="411">
        <f>IFERROR((M748/(VLOOKUP(B748,'Data Pull Sheet'!$C:$H,6,FALSE))),"DC")</f>
        <v>2.0867139999999999E-2</v>
      </c>
      <c r="O748" s="23" t="s">
        <v>63</v>
      </c>
      <c r="P748" s="92" t="s">
        <v>632</v>
      </c>
      <c r="Q748" s="92" t="s">
        <v>637</v>
      </c>
      <c r="R748" s="372" t="str">
        <f t="shared" si="24"/>
        <v/>
      </c>
    </row>
    <row r="749" spans="1:18" x14ac:dyDescent="0.25">
      <c r="A749" s="23" t="s">
        <v>2124</v>
      </c>
      <c r="B749" s="18" t="str">
        <f>IF(ISNA(VLOOKUP($A749,'Data Pull Sheet'!$B$2:$C$1795,2,0)),"",(VLOOKUP($A749,'Data Pull Sheet'!$B$2:$C$1795,2,0)))</f>
        <v>GDSI</v>
      </c>
      <c r="C749" s="59" t="s">
        <v>424</v>
      </c>
      <c r="D749" s="356" t="s">
        <v>2125</v>
      </c>
      <c r="E749" s="356" t="s">
        <v>433</v>
      </c>
      <c r="F749" s="23" t="s">
        <v>2134</v>
      </c>
      <c r="G749" s="23" t="s">
        <v>403</v>
      </c>
      <c r="H749" s="353">
        <v>24289.23</v>
      </c>
      <c r="I749" s="59"/>
      <c r="J749" s="59" t="s">
        <v>2135</v>
      </c>
      <c r="K749" s="20"/>
      <c r="L749" s="20">
        <v>1</v>
      </c>
      <c r="M749" s="357">
        <f>H749</f>
        <v>24289.23</v>
      </c>
      <c r="N749" s="411">
        <f>IFERROR((M749/(VLOOKUP(B749,'Data Pull Sheet'!$C:$H,6,FALSE))),"DC")</f>
        <v>4.8578459999999997E-2</v>
      </c>
      <c r="O749" s="23" t="s">
        <v>682</v>
      </c>
      <c r="P749" s="92" t="s">
        <v>632</v>
      </c>
      <c r="Q749" s="92" t="s">
        <v>637</v>
      </c>
      <c r="R749" s="372" t="str">
        <f t="shared" si="24"/>
        <v/>
      </c>
    </row>
    <row r="750" spans="1:18" x14ac:dyDescent="0.25">
      <c r="A750" s="23" t="s">
        <v>2124</v>
      </c>
      <c r="B750" s="18" t="str">
        <f>IF(ISNA(VLOOKUP($A750,'Data Pull Sheet'!$B$2:$C$1795,2,0)),"",(VLOOKUP($A750,'Data Pull Sheet'!$B$2:$C$1795,2,0)))</f>
        <v>GDSI</v>
      </c>
      <c r="C750" s="59" t="s">
        <v>424</v>
      </c>
      <c r="D750" s="356" t="s">
        <v>2125</v>
      </c>
      <c r="E750" s="356" t="s">
        <v>433</v>
      </c>
      <c r="F750" s="23" t="s">
        <v>2136</v>
      </c>
      <c r="G750" s="23" t="s">
        <v>403</v>
      </c>
      <c r="H750" s="353">
        <v>974</v>
      </c>
      <c r="I750" s="59"/>
      <c r="J750" s="59" t="s">
        <v>2137</v>
      </c>
      <c r="K750" s="20"/>
      <c r="L750" s="20">
        <v>2</v>
      </c>
      <c r="M750" s="357">
        <f>SUM(H750:H751)</f>
        <v>2498</v>
      </c>
      <c r="N750" s="411">
        <f>IFERROR((M750/(VLOOKUP(B750,'Data Pull Sheet'!$C:$H,6,FALSE))),"DC")</f>
        <v>4.9959999999999996E-3</v>
      </c>
      <c r="O750" s="23" t="s">
        <v>192</v>
      </c>
      <c r="P750" s="92" t="s">
        <v>632</v>
      </c>
      <c r="Q750" s="92" t="s">
        <v>646</v>
      </c>
      <c r="R750" s="372" t="str">
        <f t="shared" si="24"/>
        <v/>
      </c>
    </row>
    <row r="751" spans="1:18" x14ac:dyDescent="0.25">
      <c r="A751" s="23" t="s">
        <v>2124</v>
      </c>
      <c r="B751" s="18" t="str">
        <f>IF(ISNA(VLOOKUP($A751,'Data Pull Sheet'!$B$2:$C$1795,2,0)),"",(VLOOKUP($A751,'Data Pull Sheet'!$B$2:$C$1795,2,0)))</f>
        <v>GDSI</v>
      </c>
      <c r="C751" s="59" t="s">
        <v>424</v>
      </c>
      <c r="D751" s="356" t="s">
        <v>2125</v>
      </c>
      <c r="E751" s="356" t="s">
        <v>433</v>
      </c>
      <c r="F751" s="23" t="s">
        <v>2138</v>
      </c>
      <c r="G751" s="23" t="s">
        <v>403</v>
      </c>
      <c r="H751" s="353">
        <v>1524</v>
      </c>
      <c r="I751" s="59"/>
      <c r="J751" s="59" t="s">
        <v>2139</v>
      </c>
      <c r="K751" s="20"/>
      <c r="L751" s="20"/>
      <c r="M751" s="357"/>
      <c r="N751" s="411"/>
      <c r="O751" s="23" t="s">
        <v>192</v>
      </c>
      <c r="P751" s="92" t="s">
        <v>632</v>
      </c>
      <c r="Q751" s="92" t="s">
        <v>646</v>
      </c>
      <c r="R751" s="372" t="str">
        <f t="shared" si="24"/>
        <v/>
      </c>
    </row>
    <row r="752" spans="1:18" x14ac:dyDescent="0.25">
      <c r="A752" s="23" t="s">
        <v>3772</v>
      </c>
      <c r="B752" s="18" t="str">
        <f>IF(ISNA(VLOOKUP($A752,'Data Pull Sheet'!$B$2:$C$1795,2,0)),"",(VLOOKUP($A752,'Data Pull Sheet'!$B$2:$C$1795,2,0)))</f>
        <v>GEO</v>
      </c>
      <c r="C752" s="59" t="s">
        <v>603</v>
      </c>
      <c r="D752" s="356" t="s">
        <v>497</v>
      </c>
      <c r="E752" s="356" t="s">
        <v>433</v>
      </c>
      <c r="F752" s="23" t="s">
        <v>3775</v>
      </c>
      <c r="G752" s="92" t="s">
        <v>403</v>
      </c>
      <c r="H752" s="353">
        <v>207321</v>
      </c>
      <c r="I752" s="59"/>
      <c r="J752" s="59" t="s">
        <v>3776</v>
      </c>
      <c r="K752" s="20">
        <v>3</v>
      </c>
      <c r="L752" s="20">
        <v>2</v>
      </c>
      <c r="M752" s="357">
        <f>SUM(H752:H753)</f>
        <v>564417</v>
      </c>
      <c r="N752" s="411">
        <f>IFERROR((M752/(VLOOKUP(B752,'Data Pull Sheet'!$C:$H,6,FALSE))),"DC")</f>
        <v>8.683338461538462E-4</v>
      </c>
      <c r="O752" s="23" t="s">
        <v>79</v>
      </c>
      <c r="P752" s="92" t="s">
        <v>632</v>
      </c>
      <c r="Q752" s="92" t="s">
        <v>646</v>
      </c>
      <c r="R752" s="372" t="str">
        <f t="shared" si="24"/>
        <v/>
      </c>
    </row>
    <row r="753" spans="1:18" x14ac:dyDescent="0.25">
      <c r="A753" s="23" t="s">
        <v>3772</v>
      </c>
      <c r="B753" s="18" t="str">
        <f>IF(ISNA(VLOOKUP($A753,'Data Pull Sheet'!$B$2:$C$1795,2,0)),"",(VLOOKUP($A753,'Data Pull Sheet'!$B$2:$C$1795,2,0)))</f>
        <v>GEO</v>
      </c>
      <c r="C753" s="59" t="s">
        <v>603</v>
      </c>
      <c r="D753" s="356" t="s">
        <v>497</v>
      </c>
      <c r="E753" s="356" t="s">
        <v>433</v>
      </c>
      <c r="F753" s="23" t="s">
        <v>3777</v>
      </c>
      <c r="G753" s="23" t="s">
        <v>403</v>
      </c>
      <c r="H753" s="353">
        <v>357096</v>
      </c>
      <c r="I753" s="59"/>
      <c r="J753" s="59" t="s">
        <v>3778</v>
      </c>
      <c r="K753" s="20"/>
      <c r="L753" s="20"/>
      <c r="M753" s="357"/>
      <c r="N753" s="411"/>
      <c r="O753" s="23" t="s">
        <v>79</v>
      </c>
      <c r="P753" s="92" t="s">
        <v>632</v>
      </c>
      <c r="Q753" s="92" t="s">
        <v>646</v>
      </c>
      <c r="R753" s="372" t="str">
        <f t="shared" si="24"/>
        <v/>
      </c>
    </row>
    <row r="754" spans="1:18" x14ac:dyDescent="0.25">
      <c r="A754" s="23" t="s">
        <v>3772</v>
      </c>
      <c r="B754" s="18" t="str">
        <f>IF(ISNA(VLOOKUP($A754,'Data Pull Sheet'!$B$2:$C$1795,2,0)),"",(VLOOKUP($A754,'Data Pull Sheet'!$B$2:$C$1795,2,0)))</f>
        <v>GEO</v>
      </c>
      <c r="C754" s="59" t="s">
        <v>603</v>
      </c>
      <c r="D754" s="356" t="s">
        <v>497</v>
      </c>
      <c r="E754" s="356" t="s">
        <v>433</v>
      </c>
      <c r="F754" s="23" t="s">
        <v>3779</v>
      </c>
      <c r="G754" s="23" t="s">
        <v>403</v>
      </c>
      <c r="H754" s="353">
        <v>13928</v>
      </c>
      <c r="I754" s="59"/>
      <c r="J754" s="59" t="s">
        <v>3780</v>
      </c>
      <c r="K754" s="20"/>
      <c r="L754" s="20">
        <v>2</v>
      </c>
      <c r="M754" s="357">
        <f>SUM(H754:H755)</f>
        <v>33091.160000000003</v>
      </c>
      <c r="N754" s="411">
        <f>IFERROR((M754/(VLOOKUP(B754,'Data Pull Sheet'!$C:$H,6,FALSE))),"DC")</f>
        <v>5.0909476923076928E-5</v>
      </c>
      <c r="O754" s="23" t="s">
        <v>682</v>
      </c>
      <c r="P754" s="92" t="s">
        <v>632</v>
      </c>
      <c r="Q754" s="92" t="s">
        <v>646</v>
      </c>
      <c r="R754" s="372" t="str">
        <f t="shared" si="24"/>
        <v/>
      </c>
    </row>
    <row r="755" spans="1:18" x14ac:dyDescent="0.25">
      <c r="A755" s="23" t="s">
        <v>3772</v>
      </c>
      <c r="B755" s="18" t="str">
        <f>IF(ISNA(VLOOKUP($A755,'Data Pull Sheet'!$B$2:$C$1795,2,0)),"",(VLOOKUP($A755,'Data Pull Sheet'!$B$2:$C$1795,2,0)))</f>
        <v>GEO</v>
      </c>
      <c r="C755" s="59" t="s">
        <v>603</v>
      </c>
      <c r="D755" s="356" t="s">
        <v>497</v>
      </c>
      <c r="E755" s="356" t="s">
        <v>433</v>
      </c>
      <c r="F755" s="23" t="s">
        <v>3781</v>
      </c>
      <c r="G755" s="23" t="s">
        <v>403</v>
      </c>
      <c r="H755" s="353">
        <v>19163.16</v>
      </c>
      <c r="I755" s="59"/>
      <c r="J755" s="59" t="s">
        <v>3782</v>
      </c>
      <c r="K755" s="20"/>
      <c r="L755" s="20"/>
      <c r="M755" s="357"/>
      <c r="N755" s="411"/>
      <c r="O755" s="23" t="s">
        <v>682</v>
      </c>
      <c r="P755" s="92" t="s">
        <v>632</v>
      </c>
      <c r="Q755" s="92" t="s">
        <v>646</v>
      </c>
      <c r="R755" s="372" t="str">
        <f t="shared" si="24"/>
        <v/>
      </c>
    </row>
    <row r="756" spans="1:18" x14ac:dyDescent="0.25">
      <c r="A756" s="23" t="s">
        <v>3772</v>
      </c>
      <c r="B756" s="18" t="str">
        <f>IF(ISNA(VLOOKUP($A756,'Data Pull Sheet'!$B$2:$C$1795,2,0)),"",(VLOOKUP($A756,'Data Pull Sheet'!$B$2:$C$1795,2,0)))</f>
        <v>GEO</v>
      </c>
      <c r="C756" s="59" t="s">
        <v>603</v>
      </c>
      <c r="D756" s="356" t="s">
        <v>497</v>
      </c>
      <c r="E756" s="356" t="s">
        <v>433</v>
      </c>
      <c r="F756" s="23" t="s">
        <v>3773</v>
      </c>
      <c r="G756" s="23" t="s">
        <v>403</v>
      </c>
      <c r="H756" s="353">
        <v>64567.199999999997</v>
      </c>
      <c r="I756" s="59" t="s">
        <v>442</v>
      </c>
      <c r="J756" s="59" t="s">
        <v>6715</v>
      </c>
      <c r="K756" s="20"/>
      <c r="L756" s="20">
        <v>1</v>
      </c>
      <c r="M756" s="357">
        <f>H756</f>
        <v>64567.199999999997</v>
      </c>
      <c r="N756" s="411">
        <f>IFERROR((M756/(VLOOKUP(B756,'Data Pull Sheet'!$C:$H,6,FALSE))),"DC")</f>
        <v>9.9334153846153842E-5</v>
      </c>
      <c r="O756" s="23" t="s">
        <v>10829</v>
      </c>
      <c r="P756" s="92" t="s">
        <v>632</v>
      </c>
      <c r="Q756" s="92" t="s">
        <v>637</v>
      </c>
      <c r="R756" s="372" t="str">
        <f t="shared" si="24"/>
        <v/>
      </c>
    </row>
    <row r="757" spans="1:18" x14ac:dyDescent="0.25">
      <c r="A757" s="23" t="s">
        <v>129</v>
      </c>
      <c r="B757" s="18" t="str">
        <f>IF(ISNA(VLOOKUP($A757,'Data Pull Sheet'!$B$2:$C$1795,2,0)),"",(VLOOKUP($A757,'Data Pull Sheet'!$B$2:$C$1795,2,0)))</f>
        <v>GG</v>
      </c>
      <c r="C757" s="59" t="s">
        <v>446</v>
      </c>
      <c r="D757" s="356" t="s">
        <v>497</v>
      </c>
      <c r="E757" s="356" t="s">
        <v>433</v>
      </c>
      <c r="F757" s="23" t="s">
        <v>2140</v>
      </c>
      <c r="G757" s="23" t="s">
        <v>403</v>
      </c>
      <c r="H757" s="353">
        <v>385308.98</v>
      </c>
      <c r="I757" s="59"/>
      <c r="J757" s="59" t="s">
        <v>2141</v>
      </c>
      <c r="K757" s="20">
        <v>6</v>
      </c>
      <c r="L757" s="20">
        <v>2</v>
      </c>
      <c r="M757" s="357">
        <f>SUM(H757:H758)</f>
        <v>950986.16</v>
      </c>
      <c r="N757" s="411">
        <f>IFERROR((M757/(VLOOKUP(B757,'Data Pull Sheet'!$C:$H,6,FALSE))),"DC")</f>
        <v>8.6453287272727272E-4</v>
      </c>
      <c r="O757" s="23" t="s">
        <v>597</v>
      </c>
      <c r="P757" s="92" t="s">
        <v>632</v>
      </c>
      <c r="Q757" s="92" t="s">
        <v>646</v>
      </c>
      <c r="R757" s="372" t="str">
        <f t="shared" si="24"/>
        <v/>
      </c>
    </row>
    <row r="758" spans="1:18" x14ac:dyDescent="0.25">
      <c r="A758" s="23" t="s">
        <v>129</v>
      </c>
      <c r="B758" s="18" t="str">
        <f>IF(ISNA(VLOOKUP($A758,'Data Pull Sheet'!$B$2:$C$1795,2,0)),"",(VLOOKUP($A758,'Data Pull Sheet'!$B$2:$C$1795,2,0)))</f>
        <v>GG</v>
      </c>
      <c r="C758" s="59" t="s">
        <v>446</v>
      </c>
      <c r="D758" s="356" t="s">
        <v>497</v>
      </c>
      <c r="E758" s="356" t="s">
        <v>433</v>
      </c>
      <c r="F758" s="23" t="s">
        <v>2142</v>
      </c>
      <c r="G758" s="23" t="s">
        <v>403</v>
      </c>
      <c r="H758" s="353">
        <v>565677.18000000005</v>
      </c>
      <c r="I758" s="59"/>
      <c r="J758" s="59" t="s">
        <v>2143</v>
      </c>
      <c r="K758" s="20"/>
      <c r="L758" s="20"/>
      <c r="M758" s="357"/>
      <c r="N758" s="411"/>
      <c r="O758" s="23" t="s">
        <v>597</v>
      </c>
      <c r="P758" s="92" t="s">
        <v>632</v>
      </c>
      <c r="Q758" s="92" t="s">
        <v>646</v>
      </c>
      <c r="R758" s="372" t="str">
        <f t="shared" si="24"/>
        <v/>
      </c>
    </row>
    <row r="759" spans="1:18" x14ac:dyDescent="0.25">
      <c r="A759" s="23" t="s">
        <v>129</v>
      </c>
      <c r="B759" s="18" t="str">
        <f>IF(ISNA(VLOOKUP($A759,'Data Pull Sheet'!$B$2:$C$1795,2,0)),"",(VLOOKUP($A759,'Data Pull Sheet'!$B$2:$C$1795,2,0)))</f>
        <v>GG</v>
      </c>
      <c r="C759" s="59" t="s">
        <v>446</v>
      </c>
      <c r="D759" s="356" t="s">
        <v>497</v>
      </c>
      <c r="E759" s="356" t="s">
        <v>433</v>
      </c>
      <c r="F759" s="23" t="s">
        <v>2144</v>
      </c>
      <c r="G759" s="23" t="s">
        <v>403</v>
      </c>
      <c r="H759" s="353">
        <v>13387.59</v>
      </c>
      <c r="I759" s="59"/>
      <c r="J759" s="59" t="s">
        <v>2145</v>
      </c>
      <c r="K759" s="20"/>
      <c r="L759" s="20">
        <v>1</v>
      </c>
      <c r="M759" s="357">
        <f>H759</f>
        <v>13387.59</v>
      </c>
      <c r="N759" s="411">
        <f>IFERROR((M759/(VLOOKUP(B759,'Data Pull Sheet'!$C:$H,6,FALSE))),"DC")</f>
        <v>1.2170536363636364E-5</v>
      </c>
      <c r="O759" s="23" t="s">
        <v>1002</v>
      </c>
      <c r="P759" s="92" t="s">
        <v>632</v>
      </c>
      <c r="Q759" s="92" t="s">
        <v>637</v>
      </c>
      <c r="R759" s="372" t="str">
        <f t="shared" si="24"/>
        <v/>
      </c>
    </row>
    <row r="760" spans="1:18" x14ac:dyDescent="0.25">
      <c r="A760" s="23" t="s">
        <v>129</v>
      </c>
      <c r="B760" s="18" t="str">
        <f>IF(ISNA(VLOOKUP($A760,'Data Pull Sheet'!$B$2:$C$1795,2,0)),"",(VLOOKUP($A760,'Data Pull Sheet'!$B$2:$C$1795,2,0)))</f>
        <v>GG</v>
      </c>
      <c r="C760" s="59" t="s">
        <v>446</v>
      </c>
      <c r="D760" s="356" t="s">
        <v>497</v>
      </c>
      <c r="E760" s="356" t="s">
        <v>433</v>
      </c>
      <c r="F760" s="23" t="s">
        <v>2146</v>
      </c>
      <c r="G760" s="23" t="s">
        <v>403</v>
      </c>
      <c r="H760" s="353">
        <v>9813.2099999999991</v>
      </c>
      <c r="I760" s="59"/>
      <c r="J760" s="59" t="s">
        <v>2147</v>
      </c>
      <c r="K760" s="20"/>
      <c r="L760" s="20">
        <v>1</v>
      </c>
      <c r="M760" s="357">
        <f>H760</f>
        <v>9813.2099999999991</v>
      </c>
      <c r="N760" s="411">
        <f>IFERROR((M760/(VLOOKUP(B760,'Data Pull Sheet'!$C:$H,6,FALSE))),"DC")</f>
        <v>8.9211E-6</v>
      </c>
      <c r="O760" s="23" t="s">
        <v>63</v>
      </c>
      <c r="P760" s="92" t="s">
        <v>632</v>
      </c>
      <c r="Q760" s="92" t="s">
        <v>637</v>
      </c>
      <c r="R760" s="372" t="str">
        <f t="shared" si="24"/>
        <v/>
      </c>
    </row>
    <row r="761" spans="1:18" x14ac:dyDescent="0.25">
      <c r="A761" s="23" t="s">
        <v>129</v>
      </c>
      <c r="B761" s="18" t="str">
        <f>IF(ISNA(VLOOKUP($A761,'Data Pull Sheet'!$B$2:$C$1795,2,0)),"",(VLOOKUP($A761,'Data Pull Sheet'!$B$2:$C$1795,2,0)))</f>
        <v>GG</v>
      </c>
      <c r="C761" s="59" t="s">
        <v>446</v>
      </c>
      <c r="D761" s="356" t="s">
        <v>497</v>
      </c>
      <c r="E761" s="356" t="s">
        <v>433</v>
      </c>
      <c r="F761" s="23" t="s">
        <v>2148</v>
      </c>
      <c r="G761" s="23" t="s">
        <v>403</v>
      </c>
      <c r="H761" s="353">
        <v>53066</v>
      </c>
      <c r="I761" s="59"/>
      <c r="J761" s="59" t="s">
        <v>2149</v>
      </c>
      <c r="K761" s="20"/>
      <c r="L761" s="20">
        <v>1</v>
      </c>
      <c r="M761" s="357">
        <f>H761</f>
        <v>53066</v>
      </c>
      <c r="N761" s="411">
        <f>IFERROR((M761/(VLOOKUP(B761,'Data Pull Sheet'!$C:$H,6,FALSE))),"DC")</f>
        <v>4.8241818181818182E-5</v>
      </c>
      <c r="O761" s="23" t="s">
        <v>79</v>
      </c>
      <c r="P761" s="92" t="s">
        <v>632</v>
      </c>
      <c r="Q761" s="92" t="s">
        <v>637</v>
      </c>
      <c r="R761" s="372" t="str">
        <f t="shared" si="24"/>
        <v/>
      </c>
    </row>
    <row r="762" spans="1:18" x14ac:dyDescent="0.25">
      <c r="A762" s="23" t="s">
        <v>129</v>
      </c>
      <c r="B762" s="18" t="str">
        <f>IF(ISNA(VLOOKUP($A762,'Data Pull Sheet'!$B$2:$C$1795,2,0)),"",(VLOOKUP($A762,'Data Pull Sheet'!$B$2:$C$1795,2,0)))</f>
        <v>GG</v>
      </c>
      <c r="C762" s="59" t="s">
        <v>446</v>
      </c>
      <c r="D762" s="356" t="s">
        <v>497</v>
      </c>
      <c r="E762" s="356" t="s">
        <v>433</v>
      </c>
      <c r="F762" s="23" t="s">
        <v>128</v>
      </c>
      <c r="G762" s="23" t="s">
        <v>417</v>
      </c>
      <c r="H762" s="353">
        <v>280729.78000000003</v>
      </c>
      <c r="I762" s="59" t="s">
        <v>406</v>
      </c>
      <c r="J762" s="59" t="s">
        <v>2150</v>
      </c>
      <c r="K762" s="20"/>
      <c r="L762" s="20">
        <v>1</v>
      </c>
      <c r="M762" s="357">
        <f>H762</f>
        <v>280729.78000000003</v>
      </c>
      <c r="N762" s="411">
        <f>IFERROR((M762/(VLOOKUP(B762,'Data Pull Sheet'!$C:$H,6,FALSE))),"DC")</f>
        <v>2.5520889090909095E-4</v>
      </c>
      <c r="O762" s="23" t="s">
        <v>8986</v>
      </c>
      <c r="P762" s="92" t="s">
        <v>632</v>
      </c>
      <c r="Q762" s="92" t="s">
        <v>633</v>
      </c>
      <c r="R762" s="372" t="str">
        <f t="shared" si="24"/>
        <v>FF</v>
      </c>
    </row>
    <row r="763" spans="1:18" x14ac:dyDescent="0.25">
      <c r="A763" s="23" t="s">
        <v>129</v>
      </c>
      <c r="B763" s="18" t="str">
        <f>IF(ISNA(VLOOKUP($A763,'Data Pull Sheet'!$B$2:$C$1795,2,0)),"",(VLOOKUP($A763,'Data Pull Sheet'!$B$2:$C$1795,2,0)))</f>
        <v>GG</v>
      </c>
      <c r="C763" s="59" t="s">
        <v>446</v>
      </c>
      <c r="D763" s="356" t="s">
        <v>497</v>
      </c>
      <c r="E763" s="356" t="s">
        <v>433</v>
      </c>
      <c r="F763" s="23" t="s">
        <v>2151</v>
      </c>
      <c r="G763" s="23" t="s">
        <v>403</v>
      </c>
      <c r="H763" s="353">
        <v>3004.88</v>
      </c>
      <c r="I763" s="59"/>
      <c r="J763" s="59" t="s">
        <v>2152</v>
      </c>
      <c r="K763" s="20"/>
      <c r="L763" s="20">
        <v>1</v>
      </c>
      <c r="M763" s="357">
        <f>H763</f>
        <v>3004.88</v>
      </c>
      <c r="N763" s="411">
        <f>IFERROR((M763/(VLOOKUP(B763,'Data Pull Sheet'!$C:$H,6,FALSE))),"DC")</f>
        <v>2.731709090909091E-6</v>
      </c>
      <c r="O763" s="23" t="s">
        <v>682</v>
      </c>
      <c r="P763" s="92" t="s">
        <v>632</v>
      </c>
      <c r="Q763" s="92" t="s">
        <v>637</v>
      </c>
      <c r="R763" s="372" t="str">
        <f t="shared" si="24"/>
        <v/>
      </c>
    </row>
    <row r="764" spans="1:18" x14ac:dyDescent="0.25">
      <c r="A764" s="23" t="s">
        <v>3411</v>
      </c>
      <c r="B764" s="18" t="str">
        <f>IF(ISNA(VLOOKUP($A764,'Data Pull Sheet'!$B$2:$C$1795,2,0)),"",(VLOOKUP($A764,'Data Pull Sheet'!$B$2:$C$1795,2,0)))</f>
        <v>SIG</v>
      </c>
      <c r="C764" s="59" t="s">
        <v>418</v>
      </c>
      <c r="D764" s="356" t="s">
        <v>497</v>
      </c>
      <c r="E764" s="356" t="s">
        <v>433</v>
      </c>
      <c r="F764" s="23" t="s">
        <v>3412</v>
      </c>
      <c r="G764" s="23" t="s">
        <v>403</v>
      </c>
      <c r="H764" s="353">
        <v>1050.8</v>
      </c>
      <c r="I764" s="59"/>
      <c r="J764" s="59" t="s">
        <v>3413</v>
      </c>
      <c r="K764" s="20">
        <v>1</v>
      </c>
      <c r="L764" s="20">
        <v>2</v>
      </c>
      <c r="M764" s="357">
        <f>SUM(H764:H765)</f>
        <v>3076.3199999999997</v>
      </c>
      <c r="N764" s="411">
        <f>IFERROR((M764/(VLOOKUP(B764,'Data Pull Sheet'!$C:$H,6,FALSE))),"DC")</f>
        <v>5.1271999999999998E-6</v>
      </c>
      <c r="O764" s="23" t="s">
        <v>885</v>
      </c>
      <c r="P764" s="92" t="s">
        <v>676</v>
      </c>
      <c r="Q764" s="92" t="s">
        <v>646</v>
      </c>
      <c r="R764" s="372" t="str">
        <f t="shared" si="24"/>
        <v>FF</v>
      </c>
    </row>
    <row r="765" spans="1:18" x14ac:dyDescent="0.25">
      <c r="A765" s="23" t="s">
        <v>3411</v>
      </c>
      <c r="B765" s="18" t="str">
        <f>IF(ISNA(VLOOKUP($A765,'Data Pull Sheet'!$B$2:$C$1795,2,0)),"",(VLOOKUP($A765,'Data Pull Sheet'!$B$2:$C$1795,2,0)))</f>
        <v>SIG</v>
      </c>
      <c r="C765" s="59" t="s">
        <v>418</v>
      </c>
      <c r="D765" s="356" t="s">
        <v>497</v>
      </c>
      <c r="E765" s="356" t="s">
        <v>433</v>
      </c>
      <c r="F765" s="23" t="s">
        <v>3414</v>
      </c>
      <c r="G765" s="23" t="s">
        <v>403</v>
      </c>
      <c r="H765" s="353">
        <v>2025.52</v>
      </c>
      <c r="I765" s="59"/>
      <c r="J765" s="59" t="s">
        <v>3415</v>
      </c>
      <c r="K765" s="20"/>
      <c r="L765" s="20"/>
      <c r="M765" s="357"/>
      <c r="N765" s="411"/>
      <c r="O765" s="23" t="s">
        <v>885</v>
      </c>
      <c r="P765" s="92" t="s">
        <v>676</v>
      </c>
      <c r="Q765" s="92" t="s">
        <v>646</v>
      </c>
      <c r="R765" s="372" t="str">
        <f t="shared" si="24"/>
        <v>FF</v>
      </c>
    </row>
    <row r="766" spans="1:18" x14ac:dyDescent="0.25">
      <c r="A766" s="23" t="s">
        <v>4185</v>
      </c>
      <c r="B766" s="18" t="str">
        <f>IF(ISNA(VLOOKUP($A766,'Data Pull Sheet'!$B$2:$C$1795,2,0)),"",(VLOOKUP($A766,'Data Pull Sheet'!$B$2:$C$1795,2,0)))</f>
        <v>YRD</v>
      </c>
      <c r="C766" s="59" t="s">
        <v>446</v>
      </c>
      <c r="D766" s="356" t="s">
        <v>2504</v>
      </c>
      <c r="E766" s="356" t="s">
        <v>490</v>
      </c>
      <c r="F766" s="23" t="s">
        <v>4186</v>
      </c>
      <c r="G766" s="23" t="s">
        <v>403</v>
      </c>
      <c r="H766" s="353">
        <v>39522.949999999997</v>
      </c>
      <c r="I766" s="59"/>
      <c r="J766" s="59" t="s">
        <v>4187</v>
      </c>
      <c r="K766" s="20">
        <v>2</v>
      </c>
      <c r="L766" s="20">
        <v>2</v>
      </c>
      <c r="M766" s="357">
        <f>SUM(H766:H767)</f>
        <v>79776.160000000003</v>
      </c>
      <c r="N766" s="411">
        <f>IFERROR((M766/(VLOOKUP(B766,'Data Pull Sheet'!$C:$H,6,FALSE))),"DC")</f>
        <v>1.1396594285714287E-3</v>
      </c>
      <c r="O766" s="23" t="s">
        <v>986</v>
      </c>
      <c r="P766" s="92" t="s">
        <v>632</v>
      </c>
      <c r="Q766" s="92" t="s">
        <v>646</v>
      </c>
      <c r="R766" s="372" t="str">
        <f t="shared" si="24"/>
        <v/>
      </c>
    </row>
    <row r="767" spans="1:18" x14ac:dyDescent="0.25">
      <c r="A767" s="23" t="s">
        <v>4185</v>
      </c>
      <c r="B767" s="18" t="str">
        <f>IF(ISNA(VLOOKUP($A767,'Data Pull Sheet'!$B$2:$C$1795,2,0)),"",(VLOOKUP($A767,'Data Pull Sheet'!$B$2:$C$1795,2,0)))</f>
        <v>YRD</v>
      </c>
      <c r="C767" s="59" t="s">
        <v>446</v>
      </c>
      <c r="D767" s="356" t="s">
        <v>2504</v>
      </c>
      <c r="E767" s="356" t="s">
        <v>490</v>
      </c>
      <c r="F767" s="23" t="s">
        <v>4188</v>
      </c>
      <c r="G767" s="23" t="s">
        <v>403</v>
      </c>
      <c r="H767" s="353">
        <v>40253.21</v>
      </c>
      <c r="I767" s="59"/>
      <c r="J767" s="59" t="s">
        <v>4189</v>
      </c>
      <c r="K767" s="20"/>
      <c r="L767" s="20"/>
      <c r="M767" s="357"/>
      <c r="N767" s="411"/>
      <c r="O767" s="23" t="s">
        <v>986</v>
      </c>
      <c r="P767" s="92" t="s">
        <v>632</v>
      </c>
      <c r="Q767" s="92" t="s">
        <v>646</v>
      </c>
      <c r="R767" s="372" t="str">
        <f t="shared" si="24"/>
        <v/>
      </c>
    </row>
    <row r="768" spans="1:18" ht="30" x14ac:dyDescent="0.25">
      <c r="A768" s="23" t="s">
        <v>4185</v>
      </c>
      <c r="B768" s="18" t="str">
        <f>IF(ISNA(VLOOKUP($A768,'Data Pull Sheet'!$B$2:$C$1795,2,0)),"",(VLOOKUP($A768,'Data Pull Sheet'!$B$2:$C$1795,2,0)))</f>
        <v>YRD</v>
      </c>
      <c r="C768" s="59" t="s">
        <v>446</v>
      </c>
      <c r="D768" s="356" t="s">
        <v>2504</v>
      </c>
      <c r="E768" s="356" t="s">
        <v>490</v>
      </c>
      <c r="F768" s="23" t="s">
        <v>4190</v>
      </c>
      <c r="G768" s="23" t="s">
        <v>403</v>
      </c>
      <c r="H768" s="353">
        <v>123865</v>
      </c>
      <c r="I768" s="59"/>
      <c r="J768" s="59" t="s">
        <v>4191</v>
      </c>
      <c r="K768" s="20"/>
      <c r="L768" s="20">
        <v>2</v>
      </c>
      <c r="M768" s="357">
        <f>SUM(H768:H769)</f>
        <v>342009</v>
      </c>
      <c r="N768" s="411">
        <f>IFERROR((M768/(VLOOKUP(B768,'Data Pull Sheet'!$C:$H,6,FALSE))),"DC")</f>
        <v>4.8858428571428572E-3</v>
      </c>
      <c r="O768" s="23" t="s">
        <v>11179</v>
      </c>
      <c r="P768" s="92" t="s">
        <v>632</v>
      </c>
      <c r="Q768" s="92" t="s">
        <v>646</v>
      </c>
      <c r="R768" s="372" t="str">
        <f t="shared" si="24"/>
        <v/>
      </c>
    </row>
    <row r="769" spans="1:18" ht="30" x14ac:dyDescent="0.25">
      <c r="A769" s="23" t="s">
        <v>4185</v>
      </c>
      <c r="B769" s="18" t="str">
        <f>IF(ISNA(VLOOKUP($A769,'Data Pull Sheet'!$B$2:$C$1795,2,0)),"",(VLOOKUP($A769,'Data Pull Sheet'!$B$2:$C$1795,2,0)))</f>
        <v>YRD</v>
      </c>
      <c r="C769" s="59" t="s">
        <v>446</v>
      </c>
      <c r="D769" s="356" t="s">
        <v>2504</v>
      </c>
      <c r="E769" s="356" t="s">
        <v>490</v>
      </c>
      <c r="F769" s="23" t="s">
        <v>4192</v>
      </c>
      <c r="G769" s="23" t="s">
        <v>403</v>
      </c>
      <c r="H769" s="353">
        <v>218144</v>
      </c>
      <c r="I769" s="59"/>
      <c r="J769" s="59" t="s">
        <v>4193</v>
      </c>
      <c r="K769" s="20"/>
      <c r="L769" s="20"/>
      <c r="M769" s="357"/>
      <c r="N769" s="411"/>
      <c r="O769" s="23" t="s">
        <v>11179</v>
      </c>
      <c r="P769" s="92" t="s">
        <v>632</v>
      </c>
      <c r="Q769" s="92" t="s">
        <v>646</v>
      </c>
      <c r="R769" s="372" t="str">
        <f t="shared" si="24"/>
        <v/>
      </c>
    </row>
    <row r="770" spans="1:18" x14ac:dyDescent="0.25">
      <c r="A770" s="23" t="s">
        <v>670</v>
      </c>
      <c r="B770" s="18" t="str">
        <f>IF(ISNA(VLOOKUP($A770,'Data Pull Sheet'!$B$2:$C$1795,2,0)),"",(VLOOKUP($A770,'Data Pull Sheet'!$B$2:$C$1795,2,0)))</f>
        <v>ACM</v>
      </c>
      <c r="C770" s="59" t="s">
        <v>446</v>
      </c>
      <c r="D770" s="356" t="s">
        <v>671</v>
      </c>
      <c r="E770" s="356" t="s">
        <v>672</v>
      </c>
      <c r="F770" s="23" t="s">
        <v>673</v>
      </c>
      <c r="G770" s="23" t="s">
        <v>403</v>
      </c>
      <c r="H770" s="353">
        <v>242</v>
      </c>
      <c r="I770" s="59"/>
      <c r="J770" s="59" t="s">
        <v>674</v>
      </c>
      <c r="K770" s="20">
        <v>1</v>
      </c>
      <c r="L770" s="20">
        <v>2</v>
      </c>
      <c r="M770" s="357">
        <f>SUM(H770:H771)</f>
        <v>797</v>
      </c>
      <c r="N770" s="411">
        <f>IFERROR((M770/(VLOOKUP(B770,'Data Pull Sheet'!$C:$H,6,FALSE))),"DC")</f>
        <v>2.2771428571428572E-5</v>
      </c>
      <c r="O770" s="23" t="s">
        <v>675</v>
      </c>
      <c r="P770" s="92" t="s">
        <v>676</v>
      </c>
      <c r="Q770" s="92" t="s">
        <v>646</v>
      </c>
      <c r="R770" s="372" t="str">
        <f t="shared" ref="R770:R833" si="25">IF(COUNTIF(F:F,F770)&gt;=2,"FF","")</f>
        <v/>
      </c>
    </row>
    <row r="771" spans="1:18" x14ac:dyDescent="0.25">
      <c r="A771" s="23" t="s">
        <v>670</v>
      </c>
      <c r="B771" s="18" t="str">
        <f>IF(ISNA(VLOOKUP($A771,'Data Pull Sheet'!$B$2:$C$1795,2,0)),"",(VLOOKUP($A771,'Data Pull Sheet'!$B$2:$C$1795,2,0)))</f>
        <v>ACM</v>
      </c>
      <c r="C771" s="59" t="s">
        <v>446</v>
      </c>
      <c r="D771" s="356" t="s">
        <v>671</v>
      </c>
      <c r="E771" s="356" t="s">
        <v>672</v>
      </c>
      <c r="F771" s="23" t="s">
        <v>677</v>
      </c>
      <c r="G771" s="23" t="s">
        <v>403</v>
      </c>
      <c r="H771" s="353">
        <v>555</v>
      </c>
      <c r="I771" s="59"/>
      <c r="J771" s="59" t="s">
        <v>678</v>
      </c>
      <c r="K771" s="20"/>
      <c r="L771" s="20"/>
      <c r="M771" s="357"/>
      <c r="N771" s="411"/>
      <c r="O771" s="23" t="s">
        <v>675</v>
      </c>
      <c r="P771" s="92" t="s">
        <v>676</v>
      </c>
      <c r="Q771" s="92" t="s">
        <v>646</v>
      </c>
      <c r="R771" s="372" t="str">
        <f t="shared" si="25"/>
        <v/>
      </c>
    </row>
    <row r="772" spans="1:18" ht="30" x14ac:dyDescent="0.25">
      <c r="A772" s="23" t="s">
        <v>824</v>
      </c>
      <c r="B772" s="18" t="str">
        <f>IF(ISNA(VLOOKUP($A772,'Data Pull Sheet'!$B$2:$C$1795,2,0)),"",(VLOOKUP($A772,'Data Pull Sheet'!$B$2:$C$1795,2,0)))</f>
        <v>ARA</v>
      </c>
      <c r="C772" s="59" t="s">
        <v>409</v>
      </c>
      <c r="D772" s="356" t="s">
        <v>572</v>
      </c>
      <c r="E772" s="356" t="s">
        <v>672</v>
      </c>
      <c r="F772" s="23" t="s">
        <v>825</v>
      </c>
      <c r="G772" s="23" t="s">
        <v>403</v>
      </c>
      <c r="H772" s="353">
        <v>869</v>
      </c>
      <c r="I772" s="59"/>
      <c r="J772" s="59" t="s">
        <v>826</v>
      </c>
      <c r="K772" s="20">
        <v>4</v>
      </c>
      <c r="L772" s="20">
        <v>1</v>
      </c>
      <c r="M772" s="357">
        <f>H772</f>
        <v>869</v>
      </c>
      <c r="N772" s="411">
        <f>IFERROR((M772/(VLOOKUP(B772,'Data Pull Sheet'!$C:$H,6,FALSE))),"DC")</f>
        <v>2.8966666666666668E-5</v>
      </c>
      <c r="O772" s="23" t="s">
        <v>827</v>
      </c>
      <c r="P772" s="92" t="s">
        <v>632</v>
      </c>
      <c r="Q772" s="92" t="s">
        <v>637</v>
      </c>
      <c r="R772" s="372" t="str">
        <f t="shared" si="25"/>
        <v/>
      </c>
    </row>
    <row r="773" spans="1:18" x14ac:dyDescent="0.25">
      <c r="A773" s="23" t="s">
        <v>824</v>
      </c>
      <c r="B773" s="18" t="str">
        <f>IF(ISNA(VLOOKUP($A773,'Data Pull Sheet'!$B$2:$C$1795,2,0)),"",(VLOOKUP($A773,'Data Pull Sheet'!$B$2:$C$1795,2,0)))</f>
        <v>ARA</v>
      </c>
      <c r="C773" s="59" t="s">
        <v>409</v>
      </c>
      <c r="D773" s="356" t="s">
        <v>572</v>
      </c>
      <c r="E773" s="356" t="s">
        <v>672</v>
      </c>
      <c r="F773" s="23" t="s">
        <v>828</v>
      </c>
      <c r="G773" s="23" t="s">
        <v>403</v>
      </c>
      <c r="H773" s="353">
        <v>85673</v>
      </c>
      <c r="I773" s="59"/>
      <c r="J773" s="59" t="s">
        <v>829</v>
      </c>
      <c r="K773" s="20"/>
      <c r="L773" s="20">
        <v>2</v>
      </c>
      <c r="M773" s="357">
        <f>SUM(H773:H774)</f>
        <v>790290</v>
      </c>
      <c r="N773" s="411">
        <f>IFERROR((M773/(VLOOKUP(B773,'Data Pull Sheet'!$C:$H,6,FALSE))),"DC")</f>
        <v>2.6342999999999998E-2</v>
      </c>
      <c r="O773" s="23" t="s">
        <v>830</v>
      </c>
      <c r="P773" s="92" t="s">
        <v>632</v>
      </c>
      <c r="Q773" s="92" t="s">
        <v>662</v>
      </c>
      <c r="R773" s="372" t="str">
        <f t="shared" si="25"/>
        <v/>
      </c>
    </row>
    <row r="774" spans="1:18" x14ac:dyDescent="0.25">
      <c r="A774" s="23" t="s">
        <v>824</v>
      </c>
      <c r="B774" s="18" t="str">
        <f>IF(ISNA(VLOOKUP($A774,'Data Pull Sheet'!$B$2:$C$1795,2,0)),"",(VLOOKUP($A774,'Data Pull Sheet'!$B$2:$C$1795,2,0)))</f>
        <v>ARA</v>
      </c>
      <c r="C774" s="59" t="s">
        <v>409</v>
      </c>
      <c r="D774" s="356" t="s">
        <v>572</v>
      </c>
      <c r="E774" s="356" t="s">
        <v>672</v>
      </c>
      <c r="F774" s="23" t="s">
        <v>831</v>
      </c>
      <c r="G774" s="23" t="s">
        <v>417</v>
      </c>
      <c r="H774" s="353">
        <v>704617</v>
      </c>
      <c r="I774" s="59"/>
      <c r="J774" s="59" t="s">
        <v>832</v>
      </c>
      <c r="K774" s="20"/>
      <c r="L774" s="20"/>
      <c r="M774" s="357"/>
      <c r="N774" s="411"/>
      <c r="O774" s="23" t="s">
        <v>830</v>
      </c>
      <c r="P774" s="92" t="s">
        <v>632</v>
      </c>
      <c r="Q774" s="92" t="s">
        <v>662</v>
      </c>
      <c r="R774" s="372" t="str">
        <f t="shared" si="25"/>
        <v/>
      </c>
    </row>
    <row r="775" spans="1:18" ht="30" x14ac:dyDescent="0.25">
      <c r="A775" s="23" t="s">
        <v>824</v>
      </c>
      <c r="B775" s="18" t="str">
        <f>IF(ISNA(VLOOKUP($A775,'Data Pull Sheet'!$B$2:$C$1795,2,0)),"",(VLOOKUP($A775,'Data Pull Sheet'!$B$2:$C$1795,2,0)))</f>
        <v>ARA</v>
      </c>
      <c r="C775" s="59" t="s">
        <v>409</v>
      </c>
      <c r="D775" s="356" t="s">
        <v>572</v>
      </c>
      <c r="E775" s="356" t="s">
        <v>672</v>
      </c>
      <c r="F775" s="23" t="s">
        <v>833</v>
      </c>
      <c r="G775" s="23" t="s">
        <v>403</v>
      </c>
      <c r="H775" s="353">
        <v>53137</v>
      </c>
      <c r="I775" s="59"/>
      <c r="J775" s="59" t="s">
        <v>834</v>
      </c>
      <c r="K775" s="20"/>
      <c r="L775" s="20">
        <v>1</v>
      </c>
      <c r="M775" s="357">
        <f>H775</f>
        <v>53137</v>
      </c>
      <c r="N775" s="411">
        <f>IFERROR((M775/(VLOOKUP(B775,'Data Pull Sheet'!$C:$H,6,FALSE))),"DC")</f>
        <v>1.7712333333333333E-3</v>
      </c>
      <c r="O775" s="23" t="s">
        <v>835</v>
      </c>
      <c r="P775" s="92" t="s">
        <v>632</v>
      </c>
      <c r="Q775" s="92" t="s">
        <v>637</v>
      </c>
      <c r="R775" s="372" t="str">
        <f t="shared" si="25"/>
        <v/>
      </c>
    </row>
    <row r="776" spans="1:18" x14ac:dyDescent="0.25">
      <c r="A776" s="23" t="s">
        <v>824</v>
      </c>
      <c r="B776" s="18" t="str">
        <f>IF(ISNA(VLOOKUP($A776,'Data Pull Sheet'!$B$2:$C$1795,2,0)),"",(VLOOKUP($A776,'Data Pull Sheet'!$B$2:$C$1795,2,0)))</f>
        <v>ARA</v>
      </c>
      <c r="C776" s="59" t="s">
        <v>409</v>
      </c>
      <c r="D776" s="356" t="s">
        <v>572</v>
      </c>
      <c r="E776" s="356" t="s">
        <v>672</v>
      </c>
      <c r="F776" s="23" t="s">
        <v>836</v>
      </c>
      <c r="G776" s="23" t="s">
        <v>403</v>
      </c>
      <c r="H776" s="353">
        <v>3630</v>
      </c>
      <c r="I776" s="59"/>
      <c r="J776" s="59" t="s">
        <v>837</v>
      </c>
      <c r="K776" s="20"/>
      <c r="L776" s="20">
        <v>1</v>
      </c>
      <c r="M776" s="357">
        <f>H776</f>
        <v>3630</v>
      </c>
      <c r="N776" s="411">
        <f>IFERROR((M776/(VLOOKUP(B776,'Data Pull Sheet'!$C:$H,6,FALSE))),"DC")</f>
        <v>1.21E-4</v>
      </c>
      <c r="O776" s="23" t="s">
        <v>838</v>
      </c>
      <c r="P776" s="92" t="s">
        <v>632</v>
      </c>
      <c r="Q776" s="92" t="s">
        <v>637</v>
      </c>
      <c r="R776" s="372" t="str">
        <f t="shared" si="25"/>
        <v/>
      </c>
    </row>
    <row r="777" spans="1:18" ht="30" x14ac:dyDescent="0.25">
      <c r="A777" s="23" t="s">
        <v>2707</v>
      </c>
      <c r="B777" s="18" t="str">
        <f>IF(ISNA(VLOOKUP($A777,'Data Pull Sheet'!$B$2:$C$1795,2,0)),"",(VLOOKUP($A777,'Data Pull Sheet'!$B$2:$C$1795,2,0)))</f>
        <v>MILLQ</v>
      </c>
      <c r="C777" s="59" t="s">
        <v>515</v>
      </c>
      <c r="D777" s="356" t="s">
        <v>2708</v>
      </c>
      <c r="E777" s="356" t="s">
        <v>1826</v>
      </c>
      <c r="F777" s="23" t="s">
        <v>2709</v>
      </c>
      <c r="G777" s="23" t="s">
        <v>403</v>
      </c>
      <c r="H777" s="353">
        <v>6480355.3399999999</v>
      </c>
      <c r="I777" s="59"/>
      <c r="J777" s="59" t="s">
        <v>2710</v>
      </c>
      <c r="K777" s="20">
        <v>2</v>
      </c>
      <c r="L777" s="20">
        <v>2</v>
      </c>
      <c r="M777" s="357">
        <f>SUM(H777:H778)</f>
        <v>6481255.3399999999</v>
      </c>
      <c r="N777" s="411">
        <f>IFERROR((M777/(VLOOKUP(B777,'Data Pull Sheet'!$C:$H,6,FALSE))),"DC")</f>
        <v>0.4320836893333333</v>
      </c>
      <c r="O777" s="23" t="s">
        <v>2711</v>
      </c>
      <c r="P777" s="363" t="s">
        <v>632</v>
      </c>
      <c r="Q777" s="92" t="s">
        <v>646</v>
      </c>
      <c r="R777" s="372" t="str">
        <f t="shared" si="25"/>
        <v/>
      </c>
    </row>
    <row r="778" spans="1:18" x14ac:dyDescent="0.25">
      <c r="A778" s="23" t="s">
        <v>2707</v>
      </c>
      <c r="B778" s="18" t="str">
        <f>IF(ISNA(VLOOKUP($A778,'Data Pull Sheet'!$B$2:$C$1795,2,0)),"",(VLOOKUP($A778,'Data Pull Sheet'!$B$2:$C$1795,2,0)))</f>
        <v>MILLQ</v>
      </c>
      <c r="C778" s="59" t="s">
        <v>515</v>
      </c>
      <c r="D778" s="356" t="s">
        <v>2708</v>
      </c>
      <c r="E778" s="356" t="s">
        <v>1826</v>
      </c>
      <c r="F778" s="23" t="s">
        <v>2712</v>
      </c>
      <c r="G778" s="23" t="s">
        <v>403</v>
      </c>
      <c r="H778" s="353">
        <v>900</v>
      </c>
      <c r="I778" s="59"/>
      <c r="J778" s="59" t="s">
        <v>2713</v>
      </c>
      <c r="K778" s="20"/>
      <c r="L778" s="20"/>
      <c r="M778" s="357"/>
      <c r="N778" s="411"/>
      <c r="O778" s="23" t="s">
        <v>2711</v>
      </c>
      <c r="P778" s="363" t="s">
        <v>632</v>
      </c>
      <c r="Q778" s="92" t="s">
        <v>646</v>
      </c>
      <c r="R778" s="372" t="str">
        <f t="shared" si="25"/>
        <v/>
      </c>
    </row>
    <row r="779" spans="1:18" ht="45" x14ac:dyDescent="0.25">
      <c r="A779" s="23" t="s">
        <v>2707</v>
      </c>
      <c r="B779" s="18" t="str">
        <f>IF(ISNA(VLOOKUP($A779,'Data Pull Sheet'!$B$2:$C$1795,2,0)),"",(VLOOKUP($A779,'Data Pull Sheet'!$B$2:$C$1795,2,0)))</f>
        <v>MILLQ</v>
      </c>
      <c r="C779" s="59" t="s">
        <v>515</v>
      </c>
      <c r="D779" s="356" t="s">
        <v>2708</v>
      </c>
      <c r="E779" s="356" t="s">
        <v>1826</v>
      </c>
      <c r="F779" s="23" t="s">
        <v>2714</v>
      </c>
      <c r="G779" s="23" t="s">
        <v>403</v>
      </c>
      <c r="H779" s="353">
        <v>900439.59</v>
      </c>
      <c r="I779" s="59"/>
      <c r="J779" s="59" t="s">
        <v>2715</v>
      </c>
      <c r="K779" s="20"/>
      <c r="L779" s="20">
        <v>4</v>
      </c>
      <c r="M779" s="357">
        <f>SUM(H779:H782)</f>
        <v>1267405.0899999999</v>
      </c>
      <c r="N779" s="411">
        <f>IFERROR((M779/(VLOOKUP(B779,'Data Pull Sheet'!$C:$H,6,FALSE))),"DC")</f>
        <v>8.4493672666666658E-2</v>
      </c>
      <c r="O779" s="23" t="s">
        <v>11069</v>
      </c>
      <c r="P779" s="363" t="s">
        <v>632</v>
      </c>
      <c r="Q779" s="92" t="s">
        <v>646</v>
      </c>
      <c r="R779" s="372" t="str">
        <f t="shared" si="25"/>
        <v/>
      </c>
    </row>
    <row r="780" spans="1:18" ht="45" x14ac:dyDescent="0.25">
      <c r="A780" s="23" t="s">
        <v>2707</v>
      </c>
      <c r="B780" s="18" t="str">
        <f>IF(ISNA(VLOOKUP($A780,'Data Pull Sheet'!$B$2:$C$1795,2,0)),"",(VLOOKUP($A780,'Data Pull Sheet'!$B$2:$C$1795,2,0)))</f>
        <v>MILLQ</v>
      </c>
      <c r="C780" s="59" t="s">
        <v>515</v>
      </c>
      <c r="D780" s="356" t="s">
        <v>2708</v>
      </c>
      <c r="E780" s="356" t="s">
        <v>1826</v>
      </c>
      <c r="F780" s="23" t="s">
        <v>2717</v>
      </c>
      <c r="G780" s="23" t="s">
        <v>403</v>
      </c>
      <c r="H780" s="353">
        <v>337800</v>
      </c>
      <c r="I780" s="59"/>
      <c r="J780" s="59" t="s">
        <v>2718</v>
      </c>
      <c r="K780" s="20"/>
      <c r="L780" s="20"/>
      <c r="M780" s="357"/>
      <c r="N780" s="411"/>
      <c r="O780" s="23" t="s">
        <v>11069</v>
      </c>
      <c r="P780" s="363" t="s">
        <v>632</v>
      </c>
      <c r="Q780" s="92" t="s">
        <v>646</v>
      </c>
      <c r="R780" s="372" t="str">
        <f t="shared" si="25"/>
        <v/>
      </c>
    </row>
    <row r="781" spans="1:18" ht="45" x14ac:dyDescent="0.25">
      <c r="A781" s="23" t="s">
        <v>2707</v>
      </c>
      <c r="B781" s="18" t="str">
        <f>IF(ISNA(VLOOKUP($A781,'Data Pull Sheet'!$B$2:$C$1795,2,0)),"",(VLOOKUP($A781,'Data Pull Sheet'!$B$2:$C$1795,2,0)))</f>
        <v>MILLQ</v>
      </c>
      <c r="C781" s="59" t="s">
        <v>515</v>
      </c>
      <c r="D781" s="356" t="s">
        <v>2708</v>
      </c>
      <c r="E781" s="356" t="s">
        <v>1826</v>
      </c>
      <c r="F781" s="23" t="s">
        <v>2719</v>
      </c>
      <c r="G781" s="23" t="s">
        <v>403</v>
      </c>
      <c r="H781" s="353">
        <v>5065.5</v>
      </c>
      <c r="I781" s="59"/>
      <c r="J781" s="59" t="s">
        <v>2720</v>
      </c>
      <c r="K781" s="20"/>
      <c r="L781" s="20"/>
      <c r="M781" s="357"/>
      <c r="N781" s="411"/>
      <c r="O781" s="23" t="s">
        <v>11069</v>
      </c>
      <c r="P781" s="363" t="s">
        <v>632</v>
      </c>
      <c r="Q781" s="92" t="s">
        <v>646</v>
      </c>
      <c r="R781" s="372" t="str">
        <f t="shared" si="25"/>
        <v/>
      </c>
    </row>
    <row r="782" spans="1:18" ht="45" x14ac:dyDescent="0.25">
      <c r="A782" s="23" t="s">
        <v>2707</v>
      </c>
      <c r="B782" s="18" t="str">
        <f>IF(ISNA(VLOOKUP($A782,'Data Pull Sheet'!$B$2:$C$1795,2,0)),"",(VLOOKUP($A782,'Data Pull Sheet'!$B$2:$C$1795,2,0)))</f>
        <v>MILLQ</v>
      </c>
      <c r="C782" s="59" t="s">
        <v>515</v>
      </c>
      <c r="D782" s="356" t="s">
        <v>2708</v>
      </c>
      <c r="E782" s="356" t="s">
        <v>1826</v>
      </c>
      <c r="F782" s="23" t="s">
        <v>2721</v>
      </c>
      <c r="G782" s="23" t="s">
        <v>403</v>
      </c>
      <c r="H782" s="353">
        <v>24100</v>
      </c>
      <c r="I782" s="59"/>
      <c r="J782" s="59" t="s">
        <v>2722</v>
      </c>
      <c r="K782" s="20"/>
      <c r="L782" s="20"/>
      <c r="M782" s="357"/>
      <c r="N782" s="411"/>
      <c r="O782" s="23" t="s">
        <v>11069</v>
      </c>
      <c r="P782" s="363" t="s">
        <v>632</v>
      </c>
      <c r="Q782" s="92" t="s">
        <v>646</v>
      </c>
      <c r="R782" s="372" t="str">
        <f t="shared" si="25"/>
        <v/>
      </c>
    </row>
    <row r="783" spans="1:18" ht="30" x14ac:dyDescent="0.25">
      <c r="A783" s="23" t="s">
        <v>3239</v>
      </c>
      <c r="B783" s="18" t="str">
        <f>IF(ISNA(VLOOKUP($A783,'Data Pull Sheet'!$B$2:$C$1795,2,0)),"",(VLOOKUP($A783,'Data Pull Sheet'!$B$2:$C$1795,2,0)))</f>
        <v>QHC</v>
      </c>
      <c r="C783" s="59" t="s">
        <v>431</v>
      </c>
      <c r="D783" s="356" t="s">
        <v>1825</v>
      </c>
      <c r="E783" s="356" t="s">
        <v>1826</v>
      </c>
      <c r="F783" s="23" t="s">
        <v>3240</v>
      </c>
      <c r="G783" s="23" t="s">
        <v>417</v>
      </c>
      <c r="H783" s="353">
        <v>37243.019999999997</v>
      </c>
      <c r="I783" s="59"/>
      <c r="J783" s="59" t="s">
        <v>3241</v>
      </c>
      <c r="K783" s="20">
        <v>5</v>
      </c>
      <c r="L783" s="20">
        <v>1</v>
      </c>
      <c r="M783" s="357">
        <f t="shared" ref="M783:M788" si="26">H783</f>
        <v>37243.019999999997</v>
      </c>
      <c r="N783" s="411">
        <f>IFERROR((M783/(VLOOKUP(B783,'Data Pull Sheet'!$C:$H,6,FALSE))),"DC")</f>
        <v>3.9203178947368417E-4</v>
      </c>
      <c r="O783" s="23" t="s">
        <v>3242</v>
      </c>
      <c r="P783" s="92" t="s">
        <v>632</v>
      </c>
      <c r="Q783" s="92" t="s">
        <v>633</v>
      </c>
      <c r="R783" s="372" t="str">
        <f t="shared" si="25"/>
        <v/>
      </c>
    </row>
    <row r="784" spans="1:18" x14ac:dyDescent="0.25">
      <c r="A784" s="23" t="s">
        <v>3239</v>
      </c>
      <c r="B784" s="18" t="str">
        <f>IF(ISNA(VLOOKUP($A784,'Data Pull Sheet'!$B$2:$C$1795,2,0)),"",(VLOOKUP($A784,'Data Pull Sheet'!$B$2:$C$1795,2,0)))</f>
        <v>QHC</v>
      </c>
      <c r="C784" s="59" t="s">
        <v>431</v>
      </c>
      <c r="D784" s="356" t="s">
        <v>1825</v>
      </c>
      <c r="E784" s="356" t="s">
        <v>1826</v>
      </c>
      <c r="F784" s="23" t="s">
        <v>3243</v>
      </c>
      <c r="G784" s="23" t="s">
        <v>403</v>
      </c>
      <c r="H784" s="353">
        <v>20802.2</v>
      </c>
      <c r="I784" s="59"/>
      <c r="J784" s="59" t="s">
        <v>3244</v>
      </c>
      <c r="K784" s="20"/>
      <c r="L784" s="20">
        <v>1</v>
      </c>
      <c r="M784" s="357">
        <f t="shared" si="26"/>
        <v>20802.2</v>
      </c>
      <c r="N784" s="411">
        <f>IFERROR((M784/(VLOOKUP(B784,'Data Pull Sheet'!$C:$H,6,FALSE))),"DC")</f>
        <v>2.1897052631578948E-4</v>
      </c>
      <c r="O784" s="23" t="s">
        <v>3245</v>
      </c>
      <c r="P784" s="92" t="s">
        <v>632</v>
      </c>
      <c r="Q784" s="92" t="s">
        <v>637</v>
      </c>
      <c r="R784" s="372" t="str">
        <f t="shared" si="25"/>
        <v/>
      </c>
    </row>
    <row r="785" spans="1:18" x14ac:dyDescent="0.25">
      <c r="A785" s="23" t="s">
        <v>3239</v>
      </c>
      <c r="B785" s="18" t="str">
        <f>IF(ISNA(VLOOKUP($A785,'Data Pull Sheet'!$B$2:$C$1795,2,0)),"",(VLOOKUP($A785,'Data Pull Sheet'!$B$2:$C$1795,2,0)))</f>
        <v>QHC</v>
      </c>
      <c r="C785" s="59" t="s">
        <v>431</v>
      </c>
      <c r="D785" s="356" t="s">
        <v>1825</v>
      </c>
      <c r="E785" s="356" t="s">
        <v>1826</v>
      </c>
      <c r="F785" s="23" t="s">
        <v>3246</v>
      </c>
      <c r="G785" s="23" t="s">
        <v>417</v>
      </c>
      <c r="H785" s="353">
        <v>162909</v>
      </c>
      <c r="I785" s="59"/>
      <c r="J785" s="59" t="s">
        <v>3247</v>
      </c>
      <c r="K785" s="20"/>
      <c r="L785" s="20">
        <v>1</v>
      </c>
      <c r="M785" s="357">
        <f t="shared" si="26"/>
        <v>162909</v>
      </c>
      <c r="N785" s="411">
        <f>IFERROR((M785/(VLOOKUP(B785,'Data Pull Sheet'!$C:$H,6,FALSE))),"DC")</f>
        <v>1.7148315789473683E-3</v>
      </c>
      <c r="O785" s="23" t="s">
        <v>3248</v>
      </c>
      <c r="P785" s="92" t="s">
        <v>632</v>
      </c>
      <c r="Q785" s="92" t="s">
        <v>633</v>
      </c>
      <c r="R785" s="372" t="str">
        <f t="shared" si="25"/>
        <v/>
      </c>
    </row>
    <row r="786" spans="1:18" ht="30" x14ac:dyDescent="0.25">
      <c r="A786" s="23" t="s">
        <v>3239</v>
      </c>
      <c r="B786" s="18" t="str">
        <f>IF(ISNA(VLOOKUP($A786,'Data Pull Sheet'!$B$2:$C$1795,2,0)),"",(VLOOKUP($A786,'Data Pull Sheet'!$B$2:$C$1795,2,0)))</f>
        <v>QHC</v>
      </c>
      <c r="C786" s="59" t="s">
        <v>431</v>
      </c>
      <c r="D786" s="356" t="s">
        <v>1825</v>
      </c>
      <c r="E786" s="356" t="s">
        <v>1826</v>
      </c>
      <c r="F786" s="23" t="s">
        <v>3249</v>
      </c>
      <c r="G786" s="23" t="s">
        <v>403</v>
      </c>
      <c r="H786" s="353">
        <v>39755.5</v>
      </c>
      <c r="I786" s="59"/>
      <c r="J786" s="59" t="s">
        <v>3250</v>
      </c>
      <c r="K786" s="20"/>
      <c r="L786" s="20">
        <v>1</v>
      </c>
      <c r="M786" s="357">
        <f t="shared" si="26"/>
        <v>39755.5</v>
      </c>
      <c r="N786" s="411">
        <f>IFERROR((M786/(VLOOKUP(B786,'Data Pull Sheet'!$C:$H,6,FALSE))),"DC")</f>
        <v>4.1847894736842103E-4</v>
      </c>
      <c r="O786" s="23" t="s">
        <v>3251</v>
      </c>
      <c r="P786" s="92" t="s">
        <v>632</v>
      </c>
      <c r="Q786" s="92" t="s">
        <v>637</v>
      </c>
      <c r="R786" s="372" t="str">
        <f t="shared" si="25"/>
        <v/>
      </c>
    </row>
    <row r="787" spans="1:18" ht="30" x14ac:dyDescent="0.25">
      <c r="A787" s="23" t="s">
        <v>3239</v>
      </c>
      <c r="B787" s="18" t="str">
        <f>IF(ISNA(VLOOKUP($A787,'Data Pull Sheet'!$B$2:$C$1795,2,0)),"",(VLOOKUP($A787,'Data Pull Sheet'!$B$2:$C$1795,2,0)))</f>
        <v>QHC</v>
      </c>
      <c r="C787" s="59" t="s">
        <v>431</v>
      </c>
      <c r="D787" s="356" t="s">
        <v>1825</v>
      </c>
      <c r="E787" s="356" t="s">
        <v>1826</v>
      </c>
      <c r="F787" s="23" t="s">
        <v>3252</v>
      </c>
      <c r="G787" s="23" t="s">
        <v>403</v>
      </c>
      <c r="H787" s="353">
        <v>12039.74</v>
      </c>
      <c r="I787" s="59"/>
      <c r="J787" s="59" t="s">
        <v>3253</v>
      </c>
      <c r="K787" s="20"/>
      <c r="L787" s="20">
        <v>1</v>
      </c>
      <c r="M787" s="357">
        <f t="shared" si="26"/>
        <v>12039.74</v>
      </c>
      <c r="N787" s="411">
        <f>IFERROR((M787/(VLOOKUP(B787,'Data Pull Sheet'!$C:$H,6,FALSE))),"DC")</f>
        <v>1.267341052631579E-4</v>
      </c>
      <c r="O787" s="23" t="s">
        <v>1506</v>
      </c>
      <c r="P787" s="92" t="s">
        <v>632</v>
      </c>
      <c r="Q787" s="92" t="s">
        <v>637</v>
      </c>
      <c r="R787" s="372" t="str">
        <f t="shared" si="25"/>
        <v/>
      </c>
    </row>
    <row r="788" spans="1:18" x14ac:dyDescent="0.25">
      <c r="A788" s="23" t="s">
        <v>2571</v>
      </c>
      <c r="B788" s="18" t="str">
        <f>IF(ISNA(VLOOKUP($A788,'Data Pull Sheet'!$B$2:$C$1795,2,0)),"",(VLOOKUP($A788,'Data Pull Sheet'!$B$2:$C$1795,2,0)))</f>
        <v>LFVN</v>
      </c>
      <c r="C788" s="59" t="s">
        <v>536</v>
      </c>
      <c r="D788" s="356" t="s">
        <v>2572</v>
      </c>
      <c r="E788" s="356" t="s">
        <v>555</v>
      </c>
      <c r="F788" s="23" t="s">
        <v>2573</v>
      </c>
      <c r="G788" s="23" t="s">
        <v>403</v>
      </c>
      <c r="H788" s="353">
        <v>7563.43</v>
      </c>
      <c r="I788" s="59" t="s">
        <v>442</v>
      </c>
      <c r="J788" s="59" t="s">
        <v>2574</v>
      </c>
      <c r="K788" s="20">
        <v>3</v>
      </c>
      <c r="L788" s="20">
        <v>1</v>
      </c>
      <c r="M788" s="357">
        <f t="shared" si="26"/>
        <v>7563.43</v>
      </c>
      <c r="N788" s="411">
        <f>IFERROR((M788/(VLOOKUP(B788,'Data Pull Sheet'!$C:$H,6,FALSE))),"DC")</f>
        <v>1.4270622641509435E-3</v>
      </c>
      <c r="O788" s="23" t="s">
        <v>2575</v>
      </c>
      <c r="P788" s="92" t="s">
        <v>632</v>
      </c>
      <c r="Q788" s="92" t="s">
        <v>637</v>
      </c>
      <c r="R788" s="372" t="str">
        <f t="shared" si="25"/>
        <v/>
      </c>
    </row>
    <row r="789" spans="1:18" ht="45" x14ac:dyDescent="0.25">
      <c r="A789" s="23" t="s">
        <v>2571</v>
      </c>
      <c r="B789" s="18" t="str">
        <f>IF(ISNA(VLOOKUP($A789,'Data Pull Sheet'!$B$2:$C$1795,2,0)),"",(VLOOKUP($A789,'Data Pull Sheet'!$B$2:$C$1795,2,0)))</f>
        <v>LFVN</v>
      </c>
      <c r="C789" s="59" t="s">
        <v>536</v>
      </c>
      <c r="D789" s="356" t="s">
        <v>2572</v>
      </c>
      <c r="E789" s="356" t="s">
        <v>555</v>
      </c>
      <c r="F789" s="23" t="s">
        <v>2576</v>
      </c>
      <c r="G789" s="23" t="s">
        <v>403</v>
      </c>
      <c r="H789" s="353">
        <v>15392</v>
      </c>
      <c r="I789" s="59"/>
      <c r="J789" s="59" t="s">
        <v>2577</v>
      </c>
      <c r="K789" s="20"/>
      <c r="L789" s="20">
        <v>2</v>
      </c>
      <c r="M789" s="357">
        <f>SUM(H789:H790)</f>
        <v>41673</v>
      </c>
      <c r="N789" s="411">
        <f>IFERROR((M789/(VLOOKUP(B789,'Data Pull Sheet'!$C:$H,6,FALSE))),"DC")</f>
        <v>7.8628301886792453E-3</v>
      </c>
      <c r="O789" s="23" t="s">
        <v>11065</v>
      </c>
      <c r="P789" s="92" t="s">
        <v>632</v>
      </c>
      <c r="Q789" s="92" t="s">
        <v>646</v>
      </c>
      <c r="R789" s="372" t="str">
        <f t="shared" si="25"/>
        <v/>
      </c>
    </row>
    <row r="790" spans="1:18" ht="45" x14ac:dyDescent="0.25">
      <c r="A790" s="23" t="s">
        <v>2571</v>
      </c>
      <c r="B790" s="18" t="str">
        <f>IF(ISNA(VLOOKUP($A790,'Data Pull Sheet'!$B$2:$C$1795,2,0)),"",(VLOOKUP($A790,'Data Pull Sheet'!$B$2:$C$1795,2,0)))</f>
        <v>LFVN</v>
      </c>
      <c r="C790" s="59" t="s">
        <v>536</v>
      </c>
      <c r="D790" s="356" t="s">
        <v>2572</v>
      </c>
      <c r="E790" s="356" t="s">
        <v>555</v>
      </c>
      <c r="F790" s="23" t="s">
        <v>2579</v>
      </c>
      <c r="G790" s="23" t="s">
        <v>403</v>
      </c>
      <c r="H790" s="353">
        <v>26281</v>
      </c>
      <c r="I790" s="59"/>
      <c r="J790" s="59" t="s">
        <v>2580</v>
      </c>
      <c r="K790" s="20"/>
      <c r="L790" s="20"/>
      <c r="M790" s="357"/>
      <c r="N790" s="411"/>
      <c r="O790" s="23" t="s">
        <v>11065</v>
      </c>
      <c r="P790" s="92" t="s">
        <v>632</v>
      </c>
      <c r="Q790" s="92" t="s">
        <v>2581</v>
      </c>
      <c r="R790" s="372" t="str">
        <f t="shared" si="25"/>
        <v/>
      </c>
    </row>
    <row r="791" spans="1:18" x14ac:dyDescent="0.25">
      <c r="A791" s="23" t="s">
        <v>2571</v>
      </c>
      <c r="B791" s="18" t="str">
        <f>IF(ISNA(VLOOKUP($A791,'Data Pull Sheet'!$B$2:$C$1795,2,0)),"",(VLOOKUP($A791,'Data Pull Sheet'!$B$2:$C$1795,2,0)))</f>
        <v>LFVN</v>
      </c>
      <c r="C791" s="59" t="s">
        <v>536</v>
      </c>
      <c r="D791" s="356" t="s">
        <v>2572</v>
      </c>
      <c r="E791" s="356" t="s">
        <v>555</v>
      </c>
      <c r="F791" s="23" t="s">
        <v>2582</v>
      </c>
      <c r="G791" s="23" t="s">
        <v>403</v>
      </c>
      <c r="H791" s="353">
        <v>10185</v>
      </c>
      <c r="I791" s="59"/>
      <c r="J791" s="59" t="s">
        <v>2583</v>
      </c>
      <c r="K791" s="20"/>
      <c r="L791" s="20">
        <v>1</v>
      </c>
      <c r="M791" s="357">
        <f>H791</f>
        <v>10185</v>
      </c>
      <c r="N791" s="411">
        <f>IFERROR((M791/(VLOOKUP(B791,'Data Pull Sheet'!$C:$H,6,FALSE))),"DC")</f>
        <v>1.9216981132075472E-3</v>
      </c>
      <c r="O791" s="23" t="s">
        <v>2584</v>
      </c>
      <c r="P791" s="92" t="s">
        <v>632</v>
      </c>
      <c r="Q791" s="92" t="s">
        <v>637</v>
      </c>
      <c r="R791" s="372" t="str">
        <f t="shared" si="25"/>
        <v/>
      </c>
    </row>
    <row r="792" spans="1:18" ht="30" x14ac:dyDescent="0.25">
      <c r="A792" s="23" t="s">
        <v>2728</v>
      </c>
      <c r="B792" s="18" t="s">
        <v>11732</v>
      </c>
      <c r="C792" s="59" t="s">
        <v>437</v>
      </c>
      <c r="D792" s="356" t="s">
        <v>2729</v>
      </c>
      <c r="E792" s="356" t="s">
        <v>555</v>
      </c>
      <c r="F792" s="23" t="s">
        <v>2730</v>
      </c>
      <c r="G792" s="23" t="s">
        <v>417</v>
      </c>
      <c r="H792" s="353">
        <v>83424.31</v>
      </c>
      <c r="I792" s="59" t="s">
        <v>406</v>
      </c>
      <c r="J792" s="59" t="s">
        <v>2731</v>
      </c>
      <c r="K792" s="20">
        <v>1</v>
      </c>
      <c r="L792" s="20">
        <v>1</v>
      </c>
      <c r="M792" s="357">
        <f>H792</f>
        <v>83424.31</v>
      </c>
      <c r="N792" s="411">
        <f>IFERROR((M792/(VLOOKUP(B792,'Data Pull Sheet'!$C:$H,6,FALSE))),"DC")</f>
        <v>1.2268280882352942E-3</v>
      </c>
      <c r="O792" s="23" t="s">
        <v>56</v>
      </c>
      <c r="P792" s="92" t="s">
        <v>676</v>
      </c>
      <c r="Q792" s="92" t="s">
        <v>633</v>
      </c>
      <c r="R792" s="372" t="str">
        <f t="shared" si="25"/>
        <v/>
      </c>
    </row>
    <row r="793" spans="1:18" ht="30" x14ac:dyDescent="0.25">
      <c r="A793" s="23" t="s">
        <v>113</v>
      </c>
      <c r="B793" s="18" t="str">
        <f>IF(ISNA(VLOOKUP($A793,'Data Pull Sheet'!$B$2:$C$1795,2,0)),"",(VLOOKUP($A793,'Data Pull Sheet'!$B$2:$C$1795,2,0)))</f>
        <v>PII</v>
      </c>
      <c r="C793" s="59" t="s">
        <v>491</v>
      </c>
      <c r="D793" s="356" t="s">
        <v>492</v>
      </c>
      <c r="E793" s="356" t="s">
        <v>493</v>
      </c>
      <c r="F793" s="23" t="s">
        <v>3131</v>
      </c>
      <c r="G793" s="23" t="s">
        <v>417</v>
      </c>
      <c r="H793" s="353">
        <v>89172.75</v>
      </c>
      <c r="I793" s="59" t="s">
        <v>413</v>
      </c>
      <c r="J793" s="59" t="s">
        <v>3132</v>
      </c>
      <c r="K793" s="20">
        <v>4</v>
      </c>
      <c r="L793" s="20">
        <v>2</v>
      </c>
      <c r="M793" s="357">
        <f>SUM(H793:H794)</f>
        <v>355913.41</v>
      </c>
      <c r="N793" s="411">
        <f>IFERROR((M793/(VLOOKUP(B793,'Data Pull Sheet'!$C:$H,6,FALSE))),"DC")</f>
        <v>2.7377954615384614E-3</v>
      </c>
      <c r="O793" s="23" t="s">
        <v>10830</v>
      </c>
      <c r="P793" s="92" t="s">
        <v>632</v>
      </c>
      <c r="Q793" s="92" t="s">
        <v>633</v>
      </c>
      <c r="R793" s="372" t="str">
        <f t="shared" si="25"/>
        <v/>
      </c>
    </row>
    <row r="794" spans="1:18" ht="30" x14ac:dyDescent="0.25">
      <c r="A794" s="23" t="s">
        <v>113</v>
      </c>
      <c r="B794" s="18" t="str">
        <f>IF(ISNA(VLOOKUP($A794,'Data Pull Sheet'!$B$2:$C$1795,2,0)),"",(VLOOKUP($A794,'Data Pull Sheet'!$B$2:$C$1795,2,0)))</f>
        <v>PII</v>
      </c>
      <c r="C794" s="59" t="s">
        <v>491</v>
      </c>
      <c r="D794" s="356" t="s">
        <v>492</v>
      </c>
      <c r="E794" s="356" t="s">
        <v>493</v>
      </c>
      <c r="F794" s="23" t="s">
        <v>332</v>
      </c>
      <c r="G794" s="23" t="s">
        <v>417</v>
      </c>
      <c r="H794" s="353">
        <v>266740.65999999997</v>
      </c>
      <c r="I794" s="59" t="s">
        <v>442</v>
      </c>
      <c r="J794" s="59" t="s">
        <v>3133</v>
      </c>
      <c r="K794" s="20"/>
      <c r="L794" s="20"/>
      <c r="M794" s="357"/>
      <c r="N794" s="411"/>
      <c r="O794" s="23" t="s">
        <v>10830</v>
      </c>
      <c r="P794" s="92" t="s">
        <v>632</v>
      </c>
      <c r="Q794" s="92" t="s">
        <v>633</v>
      </c>
      <c r="R794" s="372" t="str">
        <f t="shared" si="25"/>
        <v>FF</v>
      </c>
    </row>
    <row r="795" spans="1:18" ht="30" x14ac:dyDescent="0.25">
      <c r="A795" s="23" t="s">
        <v>113</v>
      </c>
      <c r="B795" s="18" t="str">
        <f>IF(ISNA(VLOOKUP($A795,'Data Pull Sheet'!$B$2:$C$1795,2,0)),"",(VLOOKUP($A795,'Data Pull Sheet'!$B$2:$C$1795,2,0)))</f>
        <v>PII</v>
      </c>
      <c r="C795" s="59" t="s">
        <v>491</v>
      </c>
      <c r="D795" s="356" t="s">
        <v>492</v>
      </c>
      <c r="E795" s="356" t="s">
        <v>493</v>
      </c>
      <c r="F795" s="23" t="s">
        <v>3134</v>
      </c>
      <c r="G795" s="23" t="s">
        <v>403</v>
      </c>
      <c r="H795" s="353">
        <v>366731.87</v>
      </c>
      <c r="I795" s="59"/>
      <c r="J795" s="59" t="s">
        <v>3135</v>
      </c>
      <c r="K795" s="20"/>
      <c r="L795" s="20">
        <v>1</v>
      </c>
      <c r="M795" s="357">
        <f>H795</f>
        <v>366731.87</v>
      </c>
      <c r="N795" s="411">
        <f>IFERROR((M795/(VLOOKUP(B795,'Data Pull Sheet'!$C:$H,6,FALSE))),"DC")</f>
        <v>2.8210143846153844E-3</v>
      </c>
      <c r="O795" s="23" t="s">
        <v>3136</v>
      </c>
      <c r="P795" s="92" t="s">
        <v>632</v>
      </c>
      <c r="Q795" s="92" t="s">
        <v>662</v>
      </c>
      <c r="R795" s="372" t="str">
        <f t="shared" si="25"/>
        <v/>
      </c>
    </row>
    <row r="796" spans="1:18" ht="30" x14ac:dyDescent="0.25">
      <c r="A796" s="23" t="s">
        <v>113</v>
      </c>
      <c r="B796" s="18" t="str">
        <f>IF(ISNA(VLOOKUP($A796,'Data Pull Sheet'!$B$2:$C$1795,2,0)),"",(VLOOKUP($A796,'Data Pull Sheet'!$B$2:$C$1795,2,0)))</f>
        <v>PII</v>
      </c>
      <c r="C796" s="59" t="s">
        <v>491</v>
      </c>
      <c r="D796" s="356" t="s">
        <v>492</v>
      </c>
      <c r="E796" s="356" t="s">
        <v>493</v>
      </c>
      <c r="F796" s="23" t="s">
        <v>3137</v>
      </c>
      <c r="G796" s="23" t="s">
        <v>403</v>
      </c>
      <c r="H796" s="353">
        <v>4077</v>
      </c>
      <c r="I796" s="59"/>
      <c r="J796" s="59" t="s">
        <v>3138</v>
      </c>
      <c r="K796" s="20"/>
      <c r="L796" s="20">
        <v>4</v>
      </c>
      <c r="M796" s="357">
        <f>SUM(H796:H799)</f>
        <v>18217</v>
      </c>
      <c r="N796" s="411">
        <f>IFERROR((M796/(VLOOKUP(B796,'Data Pull Sheet'!$C:$H,6,FALSE))),"DC")</f>
        <v>1.4013076923076923E-4</v>
      </c>
      <c r="O796" s="23" t="s">
        <v>3139</v>
      </c>
      <c r="P796" s="92" t="s">
        <v>632</v>
      </c>
      <c r="Q796" s="92" t="s">
        <v>662</v>
      </c>
      <c r="R796" s="372" t="str">
        <f t="shared" si="25"/>
        <v/>
      </c>
    </row>
    <row r="797" spans="1:18" ht="30" x14ac:dyDescent="0.25">
      <c r="A797" s="23" t="s">
        <v>113</v>
      </c>
      <c r="B797" s="18" t="str">
        <f>IF(ISNA(VLOOKUP($A797,'Data Pull Sheet'!$B$2:$C$1795,2,0)),"",(VLOOKUP($A797,'Data Pull Sheet'!$B$2:$C$1795,2,0)))</f>
        <v>PII</v>
      </c>
      <c r="C797" s="59" t="s">
        <v>491</v>
      </c>
      <c r="D797" s="356" t="s">
        <v>492</v>
      </c>
      <c r="E797" s="356" t="s">
        <v>493</v>
      </c>
      <c r="F797" s="23" t="s">
        <v>3140</v>
      </c>
      <c r="G797" s="23" t="s">
        <v>403</v>
      </c>
      <c r="H797" s="353">
        <v>4493</v>
      </c>
      <c r="I797" s="59"/>
      <c r="J797" s="59" t="s">
        <v>3141</v>
      </c>
      <c r="K797" s="20"/>
      <c r="L797" s="20"/>
      <c r="M797" s="357"/>
      <c r="N797" s="411"/>
      <c r="O797" s="23" t="s">
        <v>3139</v>
      </c>
      <c r="P797" s="92" t="s">
        <v>632</v>
      </c>
      <c r="Q797" s="92" t="s">
        <v>662</v>
      </c>
      <c r="R797" s="372" t="str">
        <f t="shared" si="25"/>
        <v/>
      </c>
    </row>
    <row r="798" spans="1:18" ht="30" x14ac:dyDescent="0.25">
      <c r="A798" s="23" t="s">
        <v>113</v>
      </c>
      <c r="B798" s="18" t="str">
        <f>IF(ISNA(VLOOKUP($A798,'Data Pull Sheet'!$B$2:$C$1795,2,0)),"",(VLOOKUP($A798,'Data Pull Sheet'!$B$2:$C$1795,2,0)))</f>
        <v>PII</v>
      </c>
      <c r="C798" s="59" t="s">
        <v>491</v>
      </c>
      <c r="D798" s="356" t="s">
        <v>492</v>
      </c>
      <c r="E798" s="356" t="s">
        <v>493</v>
      </c>
      <c r="F798" s="23" t="s">
        <v>3142</v>
      </c>
      <c r="G798" s="23" t="s">
        <v>403</v>
      </c>
      <c r="H798" s="353">
        <v>4688</v>
      </c>
      <c r="I798" s="59"/>
      <c r="J798" s="59" t="s">
        <v>3143</v>
      </c>
      <c r="K798" s="20"/>
      <c r="L798" s="20"/>
      <c r="M798" s="357"/>
      <c r="N798" s="411"/>
      <c r="O798" s="23" t="s">
        <v>3139</v>
      </c>
      <c r="P798" s="92" t="s">
        <v>632</v>
      </c>
      <c r="Q798" s="92" t="s">
        <v>662</v>
      </c>
      <c r="R798" s="372" t="str">
        <f t="shared" si="25"/>
        <v/>
      </c>
    </row>
    <row r="799" spans="1:18" ht="30" x14ac:dyDescent="0.25">
      <c r="A799" s="23" t="s">
        <v>113</v>
      </c>
      <c r="B799" s="18" t="str">
        <f>IF(ISNA(VLOOKUP($A799,'Data Pull Sheet'!$B$2:$C$1795,2,0)),"",(VLOOKUP($A799,'Data Pull Sheet'!$B$2:$C$1795,2,0)))</f>
        <v>PII</v>
      </c>
      <c r="C799" s="59" t="s">
        <v>491</v>
      </c>
      <c r="D799" s="356" t="s">
        <v>492</v>
      </c>
      <c r="E799" s="356" t="s">
        <v>493</v>
      </c>
      <c r="F799" s="23" t="s">
        <v>3144</v>
      </c>
      <c r="G799" s="23" t="s">
        <v>417</v>
      </c>
      <c r="H799" s="353">
        <v>4959</v>
      </c>
      <c r="I799" s="59"/>
      <c r="J799" s="59" t="s">
        <v>3145</v>
      </c>
      <c r="K799" s="20"/>
      <c r="L799" s="20"/>
      <c r="M799" s="357"/>
      <c r="N799" s="411"/>
      <c r="O799" s="23" t="s">
        <v>3139</v>
      </c>
      <c r="P799" s="92" t="s">
        <v>632</v>
      </c>
      <c r="Q799" s="92" t="s">
        <v>662</v>
      </c>
      <c r="R799" s="372" t="str">
        <f t="shared" si="25"/>
        <v/>
      </c>
    </row>
    <row r="800" spans="1:18" ht="30" x14ac:dyDescent="0.25">
      <c r="A800" s="23" t="s">
        <v>113</v>
      </c>
      <c r="B800" s="18" t="str">
        <f>IF(ISNA(VLOOKUP($A800,'Data Pull Sheet'!$B$2:$C$1795,2,0)),"",(VLOOKUP($A800,'Data Pull Sheet'!$B$2:$C$1795,2,0)))</f>
        <v>PII</v>
      </c>
      <c r="C800" s="59" t="s">
        <v>491</v>
      </c>
      <c r="D800" s="356" t="s">
        <v>492</v>
      </c>
      <c r="E800" s="356" t="s">
        <v>493</v>
      </c>
      <c r="F800" s="23" t="s">
        <v>111</v>
      </c>
      <c r="G800" s="23" t="s">
        <v>417</v>
      </c>
      <c r="H800" s="353">
        <v>780479.54</v>
      </c>
      <c r="I800" s="59"/>
      <c r="J800" s="59" t="s">
        <v>3146</v>
      </c>
      <c r="K800" s="20"/>
      <c r="L800" s="20">
        <v>1</v>
      </c>
      <c r="M800" s="357">
        <f>H800</f>
        <v>780479.54</v>
      </c>
      <c r="N800" s="411">
        <f>IFERROR((M800/(VLOOKUP(B800,'Data Pull Sheet'!$C:$H,6,FALSE))),"DC")</f>
        <v>6.0036887692307694E-3</v>
      </c>
      <c r="O800" s="23" t="s">
        <v>3147</v>
      </c>
      <c r="P800" s="92" t="s">
        <v>632</v>
      </c>
      <c r="Q800" s="92" t="s">
        <v>633</v>
      </c>
      <c r="R800" s="372" t="str">
        <f t="shared" si="25"/>
        <v>FF</v>
      </c>
    </row>
    <row r="801" spans="1:18" x14ac:dyDescent="0.25">
      <c r="A801" s="23" t="s">
        <v>221</v>
      </c>
      <c r="B801" s="18" t="str">
        <f>IF(ISNA(VLOOKUP($A801,'Data Pull Sheet'!$B$2:$C$1795,2,0)),"",(VLOOKUP($A801,'Data Pull Sheet'!$B$2:$C$1795,2,0)))</f>
        <v>TWTR</v>
      </c>
      <c r="C801" s="59" t="s">
        <v>457</v>
      </c>
      <c r="D801" s="356" t="s">
        <v>492</v>
      </c>
      <c r="E801" s="356" t="s">
        <v>493</v>
      </c>
      <c r="F801" s="23" t="s">
        <v>3924</v>
      </c>
      <c r="G801" s="23" t="s">
        <v>403</v>
      </c>
      <c r="H801" s="353">
        <v>139589.67000000001</v>
      </c>
      <c r="I801" s="59" t="s">
        <v>1651</v>
      </c>
      <c r="J801" s="59" t="s">
        <v>3925</v>
      </c>
      <c r="K801" s="20">
        <v>7</v>
      </c>
      <c r="L801" s="20">
        <v>1</v>
      </c>
      <c r="M801" s="357">
        <f>H801</f>
        <v>139589.67000000001</v>
      </c>
      <c r="N801" s="411">
        <f>IFERROR((M801/(VLOOKUP(B801,'Data Pull Sheet'!$C:$H,6,FALSE))),"DC")</f>
        <v>9.3059780000000005E-5</v>
      </c>
      <c r="O801" s="23" t="s">
        <v>3593</v>
      </c>
      <c r="P801" s="92" t="s">
        <v>632</v>
      </c>
      <c r="Q801" s="92" t="s">
        <v>637</v>
      </c>
      <c r="R801" s="372" t="str">
        <f t="shared" si="25"/>
        <v/>
      </c>
    </row>
    <row r="802" spans="1:18" x14ac:dyDescent="0.25">
      <c r="A802" s="23" t="s">
        <v>221</v>
      </c>
      <c r="B802" s="18" t="str">
        <f>IF(ISNA(VLOOKUP($A802,'Data Pull Sheet'!$B$2:$C$1795,2,0)),"",(VLOOKUP($A802,'Data Pull Sheet'!$B$2:$C$1795,2,0)))</f>
        <v>TWTR</v>
      </c>
      <c r="C802" s="59" t="s">
        <v>457</v>
      </c>
      <c r="D802" s="356" t="s">
        <v>492</v>
      </c>
      <c r="E802" s="356" t="s">
        <v>493</v>
      </c>
      <c r="F802" s="23" t="s">
        <v>3926</v>
      </c>
      <c r="G802" s="23" t="s">
        <v>403</v>
      </c>
      <c r="H802" s="353">
        <v>101089.14</v>
      </c>
      <c r="I802" s="59"/>
      <c r="J802" s="59" t="s">
        <v>3927</v>
      </c>
      <c r="K802" s="20"/>
      <c r="L802" s="20">
        <v>3</v>
      </c>
      <c r="M802" s="357">
        <f>SUM(H802:H804)</f>
        <v>848876.64</v>
      </c>
      <c r="N802" s="411">
        <f>IFERROR((M802/(VLOOKUP(B802,'Data Pull Sheet'!$C:$H,6,FALSE))),"DC")</f>
        <v>5.6591775999999998E-4</v>
      </c>
      <c r="O802" s="23" t="s">
        <v>849</v>
      </c>
      <c r="P802" s="92" t="s">
        <v>632</v>
      </c>
      <c r="Q802" s="92" t="s">
        <v>646</v>
      </c>
      <c r="R802" s="372" t="str">
        <f t="shared" si="25"/>
        <v/>
      </c>
    </row>
    <row r="803" spans="1:18" x14ac:dyDescent="0.25">
      <c r="A803" s="23" t="s">
        <v>221</v>
      </c>
      <c r="B803" s="18" t="str">
        <f>IF(ISNA(VLOOKUP($A803,'Data Pull Sheet'!$B$2:$C$1795,2,0)),"",(VLOOKUP($A803,'Data Pull Sheet'!$B$2:$C$1795,2,0)))</f>
        <v>TWTR</v>
      </c>
      <c r="C803" s="59" t="s">
        <v>457</v>
      </c>
      <c r="D803" s="356" t="s">
        <v>492</v>
      </c>
      <c r="E803" s="356" t="s">
        <v>493</v>
      </c>
      <c r="F803" s="23" t="s">
        <v>3928</v>
      </c>
      <c r="G803" s="23" t="s">
        <v>403</v>
      </c>
      <c r="H803" s="353">
        <v>368697.36</v>
      </c>
      <c r="I803" s="59"/>
      <c r="J803" s="59" t="s">
        <v>3929</v>
      </c>
      <c r="K803" s="20"/>
      <c r="L803" s="20"/>
      <c r="M803" s="357"/>
      <c r="N803" s="411"/>
      <c r="O803" s="23" t="s">
        <v>849</v>
      </c>
      <c r="P803" s="92" t="s">
        <v>632</v>
      </c>
      <c r="Q803" s="92" t="s">
        <v>646</v>
      </c>
      <c r="R803" s="372" t="str">
        <f t="shared" si="25"/>
        <v/>
      </c>
    </row>
    <row r="804" spans="1:18" x14ac:dyDescent="0.25">
      <c r="A804" s="23" t="s">
        <v>221</v>
      </c>
      <c r="B804" s="18" t="str">
        <f>IF(ISNA(VLOOKUP($A804,'Data Pull Sheet'!$B$2:$C$1795,2,0)),"",(VLOOKUP($A804,'Data Pull Sheet'!$B$2:$C$1795,2,0)))</f>
        <v>TWTR</v>
      </c>
      <c r="C804" s="59" t="s">
        <v>457</v>
      </c>
      <c r="D804" s="356" t="s">
        <v>492</v>
      </c>
      <c r="E804" s="356" t="s">
        <v>493</v>
      </c>
      <c r="F804" s="23" t="s">
        <v>3930</v>
      </c>
      <c r="G804" s="23" t="s">
        <v>403</v>
      </c>
      <c r="H804" s="353">
        <v>379090.14</v>
      </c>
      <c r="I804" s="59"/>
      <c r="J804" s="59" t="s">
        <v>3931</v>
      </c>
      <c r="K804" s="20"/>
      <c r="L804" s="20"/>
      <c r="M804" s="357"/>
      <c r="N804" s="411"/>
      <c r="O804" s="23" t="s">
        <v>849</v>
      </c>
      <c r="P804" s="92" t="s">
        <v>632</v>
      </c>
      <c r="Q804" s="92" t="s">
        <v>646</v>
      </c>
      <c r="R804" s="372" t="str">
        <f t="shared" si="25"/>
        <v/>
      </c>
    </row>
    <row r="805" spans="1:18" x14ac:dyDescent="0.25">
      <c r="A805" s="23" t="s">
        <v>221</v>
      </c>
      <c r="B805" s="18" t="str">
        <f>IF(ISNA(VLOOKUP($A805,'Data Pull Sheet'!$B$2:$C$1795,2,0)),"",(VLOOKUP($A805,'Data Pull Sheet'!$B$2:$C$1795,2,0)))</f>
        <v>TWTR</v>
      </c>
      <c r="C805" s="59" t="s">
        <v>457</v>
      </c>
      <c r="D805" s="356" t="s">
        <v>492</v>
      </c>
      <c r="E805" s="356" t="s">
        <v>493</v>
      </c>
      <c r="F805" s="23" t="s">
        <v>3932</v>
      </c>
      <c r="G805" s="23" t="s">
        <v>403</v>
      </c>
      <c r="H805" s="353">
        <v>7179573.3600000003</v>
      </c>
      <c r="I805" s="59" t="s">
        <v>406</v>
      </c>
      <c r="J805" s="59" t="s">
        <v>3933</v>
      </c>
      <c r="K805" s="20"/>
      <c r="L805" s="20">
        <v>1</v>
      </c>
      <c r="M805" s="357">
        <f>H805</f>
        <v>7179573.3600000003</v>
      </c>
      <c r="N805" s="411">
        <f>IFERROR((M805/(VLOOKUP(B805,'Data Pull Sheet'!$C:$H,6,FALSE))),"DC")</f>
        <v>4.7863822400000004E-3</v>
      </c>
      <c r="O805" s="23" t="s">
        <v>56</v>
      </c>
      <c r="P805" s="92" t="s">
        <v>632</v>
      </c>
      <c r="Q805" s="92" t="s">
        <v>637</v>
      </c>
      <c r="R805" s="372" t="str">
        <f t="shared" si="25"/>
        <v/>
      </c>
    </row>
    <row r="806" spans="1:18" x14ac:dyDescent="0.25">
      <c r="A806" s="23" t="s">
        <v>221</v>
      </c>
      <c r="B806" s="18" t="str">
        <f>IF(ISNA(VLOOKUP($A806,'Data Pull Sheet'!$B$2:$C$1795,2,0)),"",(VLOOKUP($A806,'Data Pull Sheet'!$B$2:$C$1795,2,0)))</f>
        <v>TWTR</v>
      </c>
      <c r="C806" s="59" t="s">
        <v>457</v>
      </c>
      <c r="D806" s="356" t="s">
        <v>492</v>
      </c>
      <c r="E806" s="356" t="s">
        <v>493</v>
      </c>
      <c r="F806" s="23" t="s">
        <v>218</v>
      </c>
      <c r="G806" s="23" t="s">
        <v>417</v>
      </c>
      <c r="H806" s="353">
        <v>9799353.5500000007</v>
      </c>
      <c r="I806" s="59" t="s">
        <v>413</v>
      </c>
      <c r="J806" s="59" t="s">
        <v>3934</v>
      </c>
      <c r="K806" s="20"/>
      <c r="L806" s="20">
        <v>1</v>
      </c>
      <c r="M806" s="357">
        <f>H806</f>
        <v>9799353.5500000007</v>
      </c>
      <c r="N806" s="411">
        <f>IFERROR((M806/(VLOOKUP(B806,'Data Pull Sheet'!$C:$H,6,FALSE))),"DC")</f>
        <v>6.5329023666666668E-3</v>
      </c>
      <c r="O806" s="23" t="s">
        <v>3935</v>
      </c>
      <c r="P806" s="92" t="s">
        <v>632</v>
      </c>
      <c r="Q806" s="92" t="s">
        <v>633</v>
      </c>
      <c r="R806" s="372" t="str">
        <f t="shared" si="25"/>
        <v>FF</v>
      </c>
    </row>
    <row r="807" spans="1:18" ht="30" x14ac:dyDescent="0.25">
      <c r="A807" s="23" t="s">
        <v>221</v>
      </c>
      <c r="B807" s="18" t="str">
        <f>IF(ISNA(VLOOKUP($A807,'Data Pull Sheet'!$B$2:$C$1795,2,0)),"",(VLOOKUP($A807,'Data Pull Sheet'!$B$2:$C$1795,2,0)))</f>
        <v>TWTR</v>
      </c>
      <c r="C807" s="59" t="s">
        <v>457</v>
      </c>
      <c r="D807" s="356" t="s">
        <v>492</v>
      </c>
      <c r="E807" s="356" t="s">
        <v>493</v>
      </c>
      <c r="F807" s="23" t="s">
        <v>3936</v>
      </c>
      <c r="G807" s="23" t="s">
        <v>417</v>
      </c>
      <c r="H807" s="353">
        <v>127903</v>
      </c>
      <c r="I807" s="59"/>
      <c r="J807" s="59" t="s">
        <v>3937</v>
      </c>
      <c r="K807" s="20"/>
      <c r="L807" s="20">
        <v>4</v>
      </c>
      <c r="M807" s="357">
        <f>SUM(H807:H810)</f>
        <v>617115</v>
      </c>
      <c r="N807" s="411">
        <f>IFERROR((M807/(VLOOKUP(B807,'Data Pull Sheet'!$C:$H,6,FALSE))),"DC")</f>
        <v>4.1141000000000002E-4</v>
      </c>
      <c r="O807" s="23" t="s">
        <v>11179</v>
      </c>
      <c r="P807" s="92" t="s">
        <v>632</v>
      </c>
      <c r="Q807" s="92" t="s">
        <v>662</v>
      </c>
      <c r="R807" s="372" t="str">
        <f t="shared" si="25"/>
        <v/>
      </c>
    </row>
    <row r="808" spans="1:18" ht="30" x14ac:dyDescent="0.25">
      <c r="A808" s="23" t="s">
        <v>221</v>
      </c>
      <c r="B808" s="18" t="str">
        <f>IF(ISNA(VLOOKUP($A808,'Data Pull Sheet'!$B$2:$C$1795,2,0)),"",(VLOOKUP($A808,'Data Pull Sheet'!$B$2:$C$1795,2,0)))</f>
        <v>TWTR</v>
      </c>
      <c r="C808" s="59" t="s">
        <v>457</v>
      </c>
      <c r="D808" s="356" t="s">
        <v>492</v>
      </c>
      <c r="E808" s="356" t="s">
        <v>493</v>
      </c>
      <c r="F808" s="23" t="s">
        <v>3938</v>
      </c>
      <c r="G808" s="23" t="s">
        <v>403</v>
      </c>
      <c r="H808" s="353">
        <v>140888</v>
      </c>
      <c r="I808" s="59"/>
      <c r="J808" s="59" t="s">
        <v>3939</v>
      </c>
      <c r="K808" s="20"/>
      <c r="L808" s="20"/>
      <c r="M808" s="357"/>
      <c r="N808" s="411"/>
      <c r="O808" s="23" t="s">
        <v>11179</v>
      </c>
      <c r="P808" s="92" t="s">
        <v>632</v>
      </c>
      <c r="Q808" s="92" t="s">
        <v>662</v>
      </c>
      <c r="R808" s="372" t="str">
        <f t="shared" si="25"/>
        <v/>
      </c>
    </row>
    <row r="809" spans="1:18" ht="30" x14ac:dyDescent="0.25">
      <c r="A809" s="23" t="s">
        <v>221</v>
      </c>
      <c r="B809" s="18" t="str">
        <f>IF(ISNA(VLOOKUP($A809,'Data Pull Sheet'!$B$2:$C$1795,2,0)),"",(VLOOKUP($A809,'Data Pull Sheet'!$B$2:$C$1795,2,0)))</f>
        <v>TWTR</v>
      </c>
      <c r="C809" s="59" t="s">
        <v>457</v>
      </c>
      <c r="D809" s="356" t="s">
        <v>492</v>
      </c>
      <c r="E809" s="356" t="s">
        <v>493</v>
      </c>
      <c r="F809" s="23" t="s">
        <v>3940</v>
      </c>
      <c r="G809" s="23" t="s">
        <v>403</v>
      </c>
      <c r="H809" s="353">
        <v>170882</v>
      </c>
      <c r="I809" s="59"/>
      <c r="J809" s="59" t="s">
        <v>3941</v>
      </c>
      <c r="K809" s="20"/>
      <c r="L809" s="20"/>
      <c r="M809" s="357"/>
      <c r="N809" s="411"/>
      <c r="O809" s="23" t="s">
        <v>11179</v>
      </c>
      <c r="P809" s="92" t="s">
        <v>632</v>
      </c>
      <c r="Q809" s="92" t="s">
        <v>662</v>
      </c>
      <c r="R809" s="372" t="str">
        <f t="shared" si="25"/>
        <v/>
      </c>
    </row>
    <row r="810" spans="1:18" ht="30" x14ac:dyDescent="0.25">
      <c r="A810" s="23" t="s">
        <v>221</v>
      </c>
      <c r="B810" s="18" t="str">
        <f>IF(ISNA(VLOOKUP($A810,'Data Pull Sheet'!$B$2:$C$1795,2,0)),"",(VLOOKUP($A810,'Data Pull Sheet'!$B$2:$C$1795,2,0)))</f>
        <v>TWTR</v>
      </c>
      <c r="C810" s="59" t="s">
        <v>457</v>
      </c>
      <c r="D810" s="356" t="s">
        <v>492</v>
      </c>
      <c r="E810" s="356" t="s">
        <v>493</v>
      </c>
      <c r="F810" s="23" t="s">
        <v>3942</v>
      </c>
      <c r="G810" s="23" t="s">
        <v>403</v>
      </c>
      <c r="H810" s="353">
        <v>177442</v>
      </c>
      <c r="I810" s="59"/>
      <c r="J810" s="59" t="s">
        <v>3943</v>
      </c>
      <c r="K810" s="20"/>
      <c r="L810" s="20"/>
      <c r="M810" s="357"/>
      <c r="N810" s="411"/>
      <c r="O810" s="23" t="s">
        <v>11179</v>
      </c>
      <c r="P810" s="92" t="s">
        <v>632</v>
      </c>
      <c r="Q810" s="92" t="s">
        <v>662</v>
      </c>
      <c r="R810" s="372" t="str">
        <f t="shared" si="25"/>
        <v/>
      </c>
    </row>
    <row r="811" spans="1:18" ht="30" x14ac:dyDescent="0.25">
      <c r="A811" s="23" t="s">
        <v>221</v>
      </c>
      <c r="B811" s="18" t="str">
        <f>IF(ISNA(VLOOKUP($A811,'Data Pull Sheet'!$B$2:$C$1795,2,0)),"",(VLOOKUP($A811,'Data Pull Sheet'!$B$2:$C$1795,2,0)))</f>
        <v>TWTR</v>
      </c>
      <c r="C811" s="59" t="s">
        <v>457</v>
      </c>
      <c r="D811" s="356" t="s">
        <v>492</v>
      </c>
      <c r="E811" s="356" t="s">
        <v>493</v>
      </c>
      <c r="F811" s="23" t="s">
        <v>3944</v>
      </c>
      <c r="G811" s="23" t="s">
        <v>417</v>
      </c>
      <c r="H811" s="353">
        <v>1558133.51</v>
      </c>
      <c r="I811" s="59"/>
      <c r="J811" s="59" t="s">
        <v>3945</v>
      </c>
      <c r="K811" s="20"/>
      <c r="L811" s="20">
        <v>1</v>
      </c>
      <c r="M811" s="357">
        <f>H811</f>
        <v>1558133.51</v>
      </c>
      <c r="N811" s="411">
        <f>IFERROR((M811/(VLOOKUP(B811,'Data Pull Sheet'!$C:$H,6,FALSE))),"DC")</f>
        <v>1.0387556733333332E-3</v>
      </c>
      <c r="O811" s="23" t="s">
        <v>1191</v>
      </c>
      <c r="P811" s="92" t="s">
        <v>632</v>
      </c>
      <c r="Q811" s="92" t="s">
        <v>633</v>
      </c>
      <c r="R811" s="372" t="str">
        <f t="shared" si="25"/>
        <v/>
      </c>
    </row>
    <row r="812" spans="1:18" x14ac:dyDescent="0.25">
      <c r="A812" s="23" t="s">
        <v>221</v>
      </c>
      <c r="B812" s="18" t="str">
        <f>IF(ISNA(VLOOKUP($A812,'Data Pull Sheet'!$B$2:$C$1795,2,0)),"",(VLOOKUP($A812,'Data Pull Sheet'!$B$2:$C$1795,2,0)))</f>
        <v>TWTR</v>
      </c>
      <c r="C812" s="59" t="s">
        <v>457</v>
      </c>
      <c r="D812" s="356" t="s">
        <v>492</v>
      </c>
      <c r="E812" s="356" t="s">
        <v>493</v>
      </c>
      <c r="F812" s="23" t="s">
        <v>3946</v>
      </c>
      <c r="G812" s="23" t="s">
        <v>403</v>
      </c>
      <c r="H812" s="353">
        <v>106577.46</v>
      </c>
      <c r="I812" s="59"/>
      <c r="J812" s="59" t="s">
        <v>3947</v>
      </c>
      <c r="K812" s="20"/>
      <c r="L812" s="20">
        <v>1</v>
      </c>
      <c r="M812" s="357">
        <f>H812</f>
        <v>106577.46</v>
      </c>
      <c r="N812" s="411">
        <f>IFERROR((M812/(VLOOKUP(B812,'Data Pull Sheet'!$C:$H,6,FALSE))),"DC")</f>
        <v>7.1051639999999999E-5</v>
      </c>
      <c r="O812" s="23" t="s">
        <v>682</v>
      </c>
      <c r="P812" s="92" t="s">
        <v>632</v>
      </c>
      <c r="Q812" s="92" t="s">
        <v>637</v>
      </c>
      <c r="R812" s="372" t="str">
        <f t="shared" si="25"/>
        <v/>
      </c>
    </row>
    <row r="813" spans="1:18" x14ac:dyDescent="0.25">
      <c r="A813" s="23" t="s">
        <v>2723</v>
      </c>
      <c r="B813" s="18" t="str">
        <f>IF(ISNA(VLOOKUP($A813,'Data Pull Sheet'!$B$2:$C$1795,2,0)),"",(VLOOKUP($A813,'Data Pull Sheet'!$B$2:$C$1795,2,0)))</f>
        <v>MSON</v>
      </c>
      <c r="C813" s="59" t="s">
        <v>1008</v>
      </c>
      <c r="D813" s="356" t="s">
        <v>1743</v>
      </c>
      <c r="E813" s="356" t="s">
        <v>1685</v>
      </c>
      <c r="F813" s="23" t="s">
        <v>2724</v>
      </c>
      <c r="G813" s="23" t="s">
        <v>403</v>
      </c>
      <c r="H813" s="353">
        <v>12052.77</v>
      </c>
      <c r="I813" s="59"/>
      <c r="J813" s="59" t="s">
        <v>2725</v>
      </c>
      <c r="K813" s="20">
        <v>1</v>
      </c>
      <c r="L813" s="20">
        <v>2</v>
      </c>
      <c r="M813" s="357">
        <f>SUM(H813:H814)</f>
        <v>38030.339999999997</v>
      </c>
      <c r="N813" s="411">
        <f>IFERROR((M813/(VLOOKUP(B813,'Data Pull Sheet'!$C:$H,6,FALSE))),"DC")</f>
        <v>9.1639373493975895E-3</v>
      </c>
      <c r="O813" s="23" t="s">
        <v>682</v>
      </c>
      <c r="P813" s="92" t="s">
        <v>676</v>
      </c>
      <c r="Q813" s="92" t="s">
        <v>646</v>
      </c>
      <c r="R813" s="372" t="str">
        <f t="shared" si="25"/>
        <v/>
      </c>
    </row>
    <row r="814" spans="1:18" x14ac:dyDescent="0.25">
      <c r="A814" s="23" t="s">
        <v>2723</v>
      </c>
      <c r="B814" s="18" t="str">
        <f>IF(ISNA(VLOOKUP($A814,'Data Pull Sheet'!$B$2:$C$1795,2,0)),"",(VLOOKUP($A814,'Data Pull Sheet'!$B$2:$C$1795,2,0)))</f>
        <v>MSON</v>
      </c>
      <c r="C814" s="59" t="s">
        <v>1008</v>
      </c>
      <c r="D814" s="356" t="s">
        <v>1743</v>
      </c>
      <c r="E814" s="356" t="s">
        <v>1685</v>
      </c>
      <c r="F814" s="23" t="s">
        <v>2726</v>
      </c>
      <c r="G814" s="23" t="s">
        <v>403</v>
      </c>
      <c r="H814" s="353">
        <v>25977.57</v>
      </c>
      <c r="I814" s="59"/>
      <c r="J814" s="59" t="s">
        <v>2727</v>
      </c>
      <c r="K814" s="20"/>
      <c r="L814" s="20"/>
      <c r="M814" s="357"/>
      <c r="N814" s="411"/>
      <c r="O814" s="23" t="s">
        <v>682</v>
      </c>
      <c r="P814" s="92" t="s">
        <v>676</v>
      </c>
      <c r="Q814" s="92" t="s">
        <v>646</v>
      </c>
      <c r="R814" s="372" t="str">
        <f t="shared" si="25"/>
        <v/>
      </c>
    </row>
    <row r="815" spans="1:18" ht="30" x14ac:dyDescent="0.25">
      <c r="A815" s="23" t="s">
        <v>2698</v>
      </c>
      <c r="B815" s="18" t="str">
        <f>IF(ISNA(VLOOKUP($A815,'Data Pull Sheet'!$B$2:$C$1795,2,0)),"",(VLOOKUP($A815,'Data Pull Sheet'!$B$2:$C$1795,2,0)))</f>
        <v>MGT</v>
      </c>
      <c r="C815" s="59" t="s">
        <v>418</v>
      </c>
      <c r="D815" s="356" t="s">
        <v>2699</v>
      </c>
      <c r="E815" s="356" t="s">
        <v>967</v>
      </c>
      <c r="F815" s="23" t="s">
        <v>2700</v>
      </c>
      <c r="G815" s="23" t="s">
        <v>403</v>
      </c>
      <c r="H815" s="353">
        <v>44853.27</v>
      </c>
      <c r="I815" s="59" t="s">
        <v>476</v>
      </c>
      <c r="J815" s="59" t="s">
        <v>2701</v>
      </c>
      <c r="K815" s="20">
        <v>3</v>
      </c>
      <c r="L815" s="20">
        <v>1</v>
      </c>
      <c r="M815" s="357">
        <f>H815</f>
        <v>44853.27</v>
      </c>
      <c r="N815" s="411">
        <f>IFERROR((M815/(VLOOKUP(B815,'Data Pull Sheet'!$C:$H,6,FALSE))),"DC")</f>
        <v>1.6019024999999998E-3</v>
      </c>
      <c r="O815" s="23" t="s">
        <v>2702</v>
      </c>
      <c r="P815" s="92" t="s">
        <v>632</v>
      </c>
      <c r="Q815" s="92" t="s">
        <v>637</v>
      </c>
      <c r="R815" s="372" t="str">
        <f t="shared" si="25"/>
        <v/>
      </c>
    </row>
    <row r="816" spans="1:18" x14ac:dyDescent="0.25">
      <c r="A816" s="23" t="s">
        <v>2698</v>
      </c>
      <c r="B816" s="18" t="str">
        <f>IF(ISNA(VLOOKUP($A816,'Data Pull Sheet'!$B$2:$C$1795,2,0)),"",(VLOOKUP($A816,'Data Pull Sheet'!$B$2:$C$1795,2,0)))</f>
        <v>MGT</v>
      </c>
      <c r="C816" s="59" t="s">
        <v>418</v>
      </c>
      <c r="D816" s="356" t="s">
        <v>2699</v>
      </c>
      <c r="E816" s="356" t="s">
        <v>967</v>
      </c>
      <c r="F816" s="23" t="s">
        <v>2703</v>
      </c>
      <c r="G816" s="23" t="s">
        <v>403</v>
      </c>
      <c r="H816" s="353">
        <v>67933</v>
      </c>
      <c r="I816" s="59"/>
      <c r="J816" s="59" t="s">
        <v>6744</v>
      </c>
      <c r="K816" s="20"/>
      <c r="L816" s="20">
        <v>2</v>
      </c>
      <c r="M816" s="357">
        <f>H816+H817</f>
        <v>150859</v>
      </c>
      <c r="N816" s="411">
        <f>IFERROR((M816/(VLOOKUP(B816,'Data Pull Sheet'!$C:$H,6,FALSE))),"DC")</f>
        <v>5.3878214285714284E-3</v>
      </c>
      <c r="O816" s="23" t="s">
        <v>584</v>
      </c>
      <c r="P816" s="92" t="s">
        <v>632</v>
      </c>
      <c r="Q816" s="92" t="s">
        <v>646</v>
      </c>
      <c r="R816" s="372" t="str">
        <f t="shared" si="25"/>
        <v/>
      </c>
    </row>
    <row r="817" spans="1:18" x14ac:dyDescent="0.25">
      <c r="A817" s="23" t="s">
        <v>2698</v>
      </c>
      <c r="B817" s="18" t="str">
        <f>IF(ISNA(VLOOKUP($A817,'Data Pull Sheet'!$B$2:$C$1795,2,0)),"",(VLOOKUP($A817,'Data Pull Sheet'!$B$2:$C$1795,2,0)))</f>
        <v>MGT</v>
      </c>
      <c r="C817" s="59" t="s">
        <v>418</v>
      </c>
      <c r="D817" s="356" t="s">
        <v>2699</v>
      </c>
      <c r="E817" s="356" t="s">
        <v>967</v>
      </c>
      <c r="F817" s="23" t="s">
        <v>2704</v>
      </c>
      <c r="G817" s="23" t="s">
        <v>403</v>
      </c>
      <c r="H817" s="353">
        <v>82926</v>
      </c>
      <c r="I817" s="59"/>
      <c r="J817" s="59" t="s">
        <v>6745</v>
      </c>
      <c r="K817" s="20"/>
      <c r="L817" s="20"/>
      <c r="M817" s="357"/>
      <c r="N817" s="411"/>
      <c r="O817" s="23" t="s">
        <v>584</v>
      </c>
      <c r="P817" s="92" t="s">
        <v>632</v>
      </c>
      <c r="Q817" s="92" t="s">
        <v>646</v>
      </c>
      <c r="R817" s="372" t="str">
        <f t="shared" si="25"/>
        <v/>
      </c>
    </row>
    <row r="818" spans="1:18" x14ac:dyDescent="0.25">
      <c r="A818" s="23" t="s">
        <v>2698</v>
      </c>
      <c r="B818" s="18" t="str">
        <f>IF(ISNA(VLOOKUP($A818,'Data Pull Sheet'!$B$2:$C$1795,2,0)),"",(VLOOKUP($A818,'Data Pull Sheet'!$B$2:$C$1795,2,0)))</f>
        <v>MGT</v>
      </c>
      <c r="C818" s="59" t="s">
        <v>418</v>
      </c>
      <c r="D818" s="356" t="s">
        <v>2699</v>
      </c>
      <c r="E818" s="356" t="s">
        <v>967</v>
      </c>
      <c r="F818" s="23" t="s">
        <v>2705</v>
      </c>
      <c r="G818" s="23" t="s">
        <v>403</v>
      </c>
      <c r="H818" s="353">
        <v>9905.1200000000008</v>
      </c>
      <c r="I818" s="59"/>
      <c r="J818" s="59" t="s">
        <v>2706</v>
      </c>
      <c r="K818" s="20"/>
      <c r="L818" s="20">
        <v>1</v>
      </c>
      <c r="M818" s="357">
        <f>H818</f>
        <v>9905.1200000000008</v>
      </c>
      <c r="N818" s="411">
        <f>IFERROR((M818/(VLOOKUP(B818,'Data Pull Sheet'!$C:$H,6,FALSE))),"DC")</f>
        <v>3.5375428571428574E-4</v>
      </c>
      <c r="O818" s="23" t="s">
        <v>682</v>
      </c>
      <c r="P818" s="92" t="s">
        <v>632</v>
      </c>
      <c r="Q818" s="92" t="s">
        <v>637</v>
      </c>
      <c r="R818" s="372" t="str">
        <f t="shared" si="25"/>
        <v/>
      </c>
    </row>
    <row r="819" spans="1:18" ht="30" x14ac:dyDescent="0.25">
      <c r="A819" s="23" t="s">
        <v>3448</v>
      </c>
      <c r="B819" s="18" t="str">
        <f>IF(ISNA(VLOOKUP($A819,'Data Pull Sheet'!$B$2:$C$1795,2,0)),"",(VLOOKUP($A819,'Data Pull Sheet'!$B$2:$C$1795,2,0)))</f>
        <v>SPPI</v>
      </c>
      <c r="C819" s="59" t="s">
        <v>3449</v>
      </c>
      <c r="D819" s="356" t="s">
        <v>3450</v>
      </c>
      <c r="E819" s="356" t="s">
        <v>967</v>
      </c>
      <c r="F819" s="23" t="s">
        <v>3451</v>
      </c>
      <c r="G819" s="23" t="s">
        <v>417</v>
      </c>
      <c r="H819" s="353">
        <v>23789.06</v>
      </c>
      <c r="I819" s="59" t="s">
        <v>442</v>
      </c>
      <c r="J819" s="59" t="s">
        <v>3452</v>
      </c>
      <c r="K819" s="20">
        <v>2</v>
      </c>
      <c r="L819" s="20">
        <v>1</v>
      </c>
      <c r="M819" s="357">
        <f>H819</f>
        <v>23789.06</v>
      </c>
      <c r="N819" s="411">
        <f>IFERROR((M819/(VLOOKUP(B819,'Data Pull Sheet'!$C:$H,6,FALSE))),"DC")</f>
        <v>6.7968742857142856E-4</v>
      </c>
      <c r="O819" s="23" t="s">
        <v>3453</v>
      </c>
      <c r="P819" s="92" t="s">
        <v>632</v>
      </c>
      <c r="Q819" s="92" t="s">
        <v>633</v>
      </c>
      <c r="R819" s="372" t="str">
        <f t="shared" si="25"/>
        <v/>
      </c>
    </row>
    <row r="820" spans="1:18" ht="30" x14ac:dyDescent="0.25">
      <c r="A820" s="23" t="s">
        <v>3448</v>
      </c>
      <c r="B820" s="18" t="str">
        <f>IF(ISNA(VLOOKUP($A820,'Data Pull Sheet'!$B$2:$C$1795,2,0)),"",(VLOOKUP($A820,'Data Pull Sheet'!$B$2:$C$1795,2,0)))</f>
        <v>SPPI</v>
      </c>
      <c r="C820" s="59" t="s">
        <v>3449</v>
      </c>
      <c r="D820" s="356" t="s">
        <v>3450</v>
      </c>
      <c r="E820" s="356" t="s">
        <v>967</v>
      </c>
      <c r="F820" s="23" t="s">
        <v>3454</v>
      </c>
      <c r="G820" s="23" t="s">
        <v>403</v>
      </c>
      <c r="H820" s="353">
        <v>257606.16</v>
      </c>
      <c r="I820" s="59"/>
      <c r="J820" s="59" t="s">
        <v>3455</v>
      </c>
      <c r="K820" s="20"/>
      <c r="L820" s="20">
        <v>2</v>
      </c>
      <c r="M820" s="357">
        <f>SUM(H820:H821)</f>
        <v>930015.78</v>
      </c>
      <c r="N820" s="411">
        <f>IFERROR((M820/(VLOOKUP(B820,'Data Pull Sheet'!$C:$H,6,FALSE))),"DC")</f>
        <v>2.6571879428571428E-2</v>
      </c>
      <c r="O820" s="23" t="s">
        <v>3456</v>
      </c>
      <c r="P820" s="92" t="s">
        <v>632</v>
      </c>
      <c r="Q820" s="92" t="s">
        <v>646</v>
      </c>
      <c r="R820" s="372" t="str">
        <f t="shared" si="25"/>
        <v/>
      </c>
    </row>
    <row r="821" spans="1:18" ht="30" x14ac:dyDescent="0.25">
      <c r="A821" s="23" t="s">
        <v>3448</v>
      </c>
      <c r="B821" s="18" t="str">
        <f>IF(ISNA(VLOOKUP($A821,'Data Pull Sheet'!$B$2:$C$1795,2,0)),"",(VLOOKUP($A821,'Data Pull Sheet'!$B$2:$C$1795,2,0)))</f>
        <v>SPPI</v>
      </c>
      <c r="C821" s="59" t="s">
        <v>3449</v>
      </c>
      <c r="D821" s="356" t="s">
        <v>3450</v>
      </c>
      <c r="E821" s="356" t="s">
        <v>967</v>
      </c>
      <c r="F821" s="23" t="s">
        <v>3457</v>
      </c>
      <c r="G821" s="23" t="s">
        <v>403</v>
      </c>
      <c r="H821" s="353">
        <v>672409.62</v>
      </c>
      <c r="I821" s="59"/>
      <c r="J821" s="59" t="s">
        <v>3458</v>
      </c>
      <c r="K821" s="20"/>
      <c r="L821" s="20"/>
      <c r="M821" s="357"/>
      <c r="N821" s="411"/>
      <c r="O821" s="23" t="s">
        <v>3456</v>
      </c>
      <c r="P821" s="92" t="s">
        <v>632</v>
      </c>
      <c r="Q821" s="92" t="s">
        <v>646</v>
      </c>
      <c r="R821" s="372" t="str">
        <f t="shared" si="25"/>
        <v/>
      </c>
    </row>
    <row r="822" spans="1:18" x14ac:dyDescent="0.25">
      <c r="A822" s="23" t="s">
        <v>289</v>
      </c>
      <c r="B822" s="18" t="s">
        <v>10720</v>
      </c>
      <c r="C822" s="59" t="s">
        <v>457</v>
      </c>
      <c r="D822" s="356" t="s">
        <v>577</v>
      </c>
      <c r="E822" s="356" t="s">
        <v>578</v>
      </c>
      <c r="F822" s="23" t="s">
        <v>323</v>
      </c>
      <c r="G822" s="23" t="s">
        <v>417</v>
      </c>
      <c r="H822" s="353">
        <v>3027824.65</v>
      </c>
      <c r="I822" s="59" t="s">
        <v>406</v>
      </c>
      <c r="J822" s="59" t="s">
        <v>10725</v>
      </c>
      <c r="K822" s="20">
        <v>4</v>
      </c>
      <c r="L822" s="20">
        <v>1</v>
      </c>
      <c r="M822" s="357">
        <f>H822</f>
        <v>3027824.65</v>
      </c>
      <c r="N822" s="411">
        <f>IFERROR((M822/(VLOOKUP(B822,'Data Pull Sheet'!$C:$H,6,FALSE))),"DC")</f>
        <v>4.3254637857142856E-4</v>
      </c>
      <c r="O822" s="23" t="s">
        <v>4392</v>
      </c>
      <c r="P822" s="92" t="s">
        <v>632</v>
      </c>
      <c r="Q822" s="92" t="s">
        <v>633</v>
      </c>
      <c r="R822" s="372" t="str">
        <f t="shared" si="25"/>
        <v>FF</v>
      </c>
    </row>
    <row r="823" spans="1:18" x14ac:dyDescent="0.25">
      <c r="A823" s="23" t="s">
        <v>289</v>
      </c>
      <c r="B823" s="18" t="s">
        <v>10720</v>
      </c>
      <c r="C823" s="59" t="s">
        <v>457</v>
      </c>
      <c r="D823" s="356" t="s">
        <v>577</v>
      </c>
      <c r="E823" s="356" t="s">
        <v>578</v>
      </c>
      <c r="F823" s="23" t="s">
        <v>373</v>
      </c>
      <c r="G823" s="23" t="s">
        <v>417</v>
      </c>
      <c r="H823" s="353">
        <v>11041699.35</v>
      </c>
      <c r="I823" s="59" t="s">
        <v>413</v>
      </c>
      <c r="J823" s="59" t="s">
        <v>10726</v>
      </c>
      <c r="K823" s="20"/>
      <c r="L823" s="20">
        <v>1</v>
      </c>
      <c r="M823" s="357">
        <f>H823</f>
        <v>11041699.35</v>
      </c>
      <c r="N823" s="411">
        <f>IFERROR((M823/(VLOOKUP(B823,'Data Pull Sheet'!$C:$H,6,FALSE))),"DC")</f>
        <v>1.5773856214285713E-3</v>
      </c>
      <c r="O823" s="23" t="s">
        <v>1166</v>
      </c>
      <c r="P823" s="92" t="s">
        <v>632</v>
      </c>
      <c r="Q823" s="92" t="s">
        <v>633</v>
      </c>
      <c r="R823" s="372" t="str">
        <f t="shared" si="25"/>
        <v>FF</v>
      </c>
    </row>
    <row r="824" spans="1:18" x14ac:dyDescent="0.25">
      <c r="A824" s="23" t="s">
        <v>289</v>
      </c>
      <c r="B824" s="18" t="s">
        <v>10720</v>
      </c>
      <c r="C824" s="59" t="s">
        <v>457</v>
      </c>
      <c r="D824" s="356" t="s">
        <v>577</v>
      </c>
      <c r="E824" s="356" t="s">
        <v>578</v>
      </c>
      <c r="F824" s="23" t="s">
        <v>4128</v>
      </c>
      <c r="G824" s="23" t="s">
        <v>403</v>
      </c>
      <c r="H824" s="353">
        <v>117169</v>
      </c>
      <c r="I824" s="59"/>
      <c r="J824" s="59" t="s">
        <v>10727</v>
      </c>
      <c r="K824" s="20"/>
      <c r="L824" s="20">
        <v>7</v>
      </c>
      <c r="M824" s="357">
        <f>SUM(H824:H830)</f>
        <v>501680</v>
      </c>
      <c r="N824" s="411">
        <f>IFERROR((M824/(VLOOKUP(B824,'Data Pull Sheet'!$C:$H,6,FALSE))),"DC")</f>
        <v>7.1668571428571432E-5</v>
      </c>
      <c r="O824" s="23" t="s">
        <v>79</v>
      </c>
      <c r="P824" s="92" t="s">
        <v>632</v>
      </c>
      <c r="Q824" s="92" t="s">
        <v>646</v>
      </c>
      <c r="R824" s="372" t="str">
        <f t="shared" si="25"/>
        <v/>
      </c>
    </row>
    <row r="825" spans="1:18" x14ac:dyDescent="0.25">
      <c r="A825" s="23" t="s">
        <v>289</v>
      </c>
      <c r="B825" s="18" t="s">
        <v>10720</v>
      </c>
      <c r="C825" s="59" t="s">
        <v>457</v>
      </c>
      <c r="D825" s="356" t="s">
        <v>577</v>
      </c>
      <c r="E825" s="356" t="s">
        <v>578</v>
      </c>
      <c r="F825" s="23" t="s">
        <v>4130</v>
      </c>
      <c r="G825" s="23" t="s">
        <v>403</v>
      </c>
      <c r="H825" s="353">
        <v>42356</v>
      </c>
      <c r="I825" s="59"/>
      <c r="J825" s="59" t="s">
        <v>10728</v>
      </c>
      <c r="K825" s="20"/>
      <c r="L825" s="20"/>
      <c r="M825" s="357"/>
      <c r="N825" s="411"/>
      <c r="O825" s="23" t="s">
        <v>79</v>
      </c>
      <c r="P825" s="92" t="s">
        <v>632</v>
      </c>
      <c r="Q825" s="92" t="s">
        <v>646</v>
      </c>
      <c r="R825" s="372" t="str">
        <f t="shared" si="25"/>
        <v/>
      </c>
    </row>
    <row r="826" spans="1:18" x14ac:dyDescent="0.25">
      <c r="A826" s="23" t="s">
        <v>289</v>
      </c>
      <c r="B826" s="18" t="s">
        <v>10720</v>
      </c>
      <c r="C826" s="59" t="s">
        <v>457</v>
      </c>
      <c r="D826" s="356" t="s">
        <v>577</v>
      </c>
      <c r="E826" s="356" t="s">
        <v>578</v>
      </c>
      <c r="F826" s="23" t="s">
        <v>4131</v>
      </c>
      <c r="G826" s="23" t="s">
        <v>403</v>
      </c>
      <c r="H826" s="353">
        <v>123345</v>
      </c>
      <c r="I826" s="59"/>
      <c r="J826" s="59" t="s">
        <v>10729</v>
      </c>
      <c r="K826" s="20"/>
      <c r="L826" s="20"/>
      <c r="M826" s="357"/>
      <c r="N826" s="411"/>
      <c r="O826" s="23" t="s">
        <v>79</v>
      </c>
      <c r="P826" s="92" t="s">
        <v>632</v>
      </c>
      <c r="Q826" s="92" t="s">
        <v>646</v>
      </c>
      <c r="R826" s="372" t="str">
        <f t="shared" si="25"/>
        <v/>
      </c>
    </row>
    <row r="827" spans="1:18" x14ac:dyDescent="0.25">
      <c r="A827" s="23" t="s">
        <v>289</v>
      </c>
      <c r="B827" s="18" t="s">
        <v>10720</v>
      </c>
      <c r="C827" s="59" t="s">
        <v>457</v>
      </c>
      <c r="D827" s="356" t="s">
        <v>577</v>
      </c>
      <c r="E827" s="356" t="s">
        <v>578</v>
      </c>
      <c r="F827" s="23" t="s">
        <v>4132</v>
      </c>
      <c r="G827" s="23" t="s">
        <v>403</v>
      </c>
      <c r="H827" s="353">
        <v>31554</v>
      </c>
      <c r="I827" s="59"/>
      <c r="J827" s="59" t="s">
        <v>10730</v>
      </c>
      <c r="K827" s="20"/>
      <c r="L827" s="20"/>
      <c r="M827" s="357"/>
      <c r="N827" s="411"/>
      <c r="O827" s="23" t="s">
        <v>79</v>
      </c>
      <c r="P827" s="92" t="s">
        <v>632</v>
      </c>
      <c r="Q827" s="92" t="s">
        <v>646</v>
      </c>
      <c r="R827" s="372" t="str">
        <f t="shared" si="25"/>
        <v/>
      </c>
    </row>
    <row r="828" spans="1:18" x14ac:dyDescent="0.25">
      <c r="A828" s="23" t="s">
        <v>289</v>
      </c>
      <c r="B828" s="18" t="s">
        <v>10720</v>
      </c>
      <c r="C828" s="59" t="s">
        <v>457</v>
      </c>
      <c r="D828" s="356" t="s">
        <v>577</v>
      </c>
      <c r="E828" s="356" t="s">
        <v>578</v>
      </c>
      <c r="F828" s="23" t="s">
        <v>4133</v>
      </c>
      <c r="G828" s="23" t="s">
        <v>403</v>
      </c>
      <c r="H828" s="353">
        <v>57783</v>
      </c>
      <c r="I828" s="59"/>
      <c r="J828" s="59" t="s">
        <v>10731</v>
      </c>
      <c r="K828" s="20"/>
      <c r="L828" s="20"/>
      <c r="M828" s="357"/>
      <c r="N828" s="411"/>
      <c r="O828" s="23" t="s">
        <v>79</v>
      </c>
      <c r="P828" s="92" t="s">
        <v>632</v>
      </c>
      <c r="Q828" s="92" t="s">
        <v>646</v>
      </c>
      <c r="R828" s="372" t="str">
        <f t="shared" si="25"/>
        <v/>
      </c>
    </row>
    <row r="829" spans="1:18" x14ac:dyDescent="0.25">
      <c r="A829" s="23" t="s">
        <v>289</v>
      </c>
      <c r="B829" s="18" t="s">
        <v>10720</v>
      </c>
      <c r="C829" s="59" t="s">
        <v>457</v>
      </c>
      <c r="D829" s="356" t="s">
        <v>577</v>
      </c>
      <c r="E829" s="356" t="s">
        <v>578</v>
      </c>
      <c r="F829" s="23" t="s">
        <v>4134</v>
      </c>
      <c r="G829" s="23" t="s">
        <v>403</v>
      </c>
      <c r="H829" s="353">
        <v>12912</v>
      </c>
      <c r="I829" s="59"/>
      <c r="J829" s="59" t="s">
        <v>10732</v>
      </c>
      <c r="K829" s="20"/>
      <c r="L829" s="20"/>
      <c r="M829" s="357"/>
      <c r="N829" s="411"/>
      <c r="O829" s="23" t="s">
        <v>79</v>
      </c>
      <c r="P829" s="92" t="s">
        <v>632</v>
      </c>
      <c r="Q829" s="92" t="s">
        <v>646</v>
      </c>
      <c r="R829" s="372" t="str">
        <f t="shared" si="25"/>
        <v/>
      </c>
    </row>
    <row r="830" spans="1:18" x14ac:dyDescent="0.25">
      <c r="A830" s="23" t="s">
        <v>289</v>
      </c>
      <c r="B830" s="18" t="s">
        <v>10720</v>
      </c>
      <c r="C830" s="59" t="s">
        <v>457</v>
      </c>
      <c r="D830" s="356" t="s">
        <v>577</v>
      </c>
      <c r="E830" s="356" t="s">
        <v>578</v>
      </c>
      <c r="F830" s="23" t="s">
        <v>4135</v>
      </c>
      <c r="G830" s="23" t="s">
        <v>403</v>
      </c>
      <c r="H830" s="353">
        <v>116561</v>
      </c>
      <c r="I830" s="59"/>
      <c r="J830" s="59" t="s">
        <v>10733</v>
      </c>
      <c r="K830" s="20"/>
      <c r="L830" s="20"/>
      <c r="M830" s="357"/>
      <c r="N830" s="411"/>
      <c r="O830" s="23" t="s">
        <v>79</v>
      </c>
      <c r="P830" s="92" t="s">
        <v>632</v>
      </c>
      <c r="Q830" s="92" t="s">
        <v>646</v>
      </c>
      <c r="R830" s="372" t="str">
        <f t="shared" si="25"/>
        <v/>
      </c>
    </row>
    <row r="831" spans="1:18" x14ac:dyDescent="0.25">
      <c r="A831" s="23" t="s">
        <v>289</v>
      </c>
      <c r="B831" s="18" t="s">
        <v>10720</v>
      </c>
      <c r="C831" s="59" t="s">
        <v>457</v>
      </c>
      <c r="D831" s="356" t="s">
        <v>577</v>
      </c>
      <c r="E831" s="356" t="s">
        <v>578</v>
      </c>
      <c r="F831" s="23" t="s">
        <v>285</v>
      </c>
      <c r="G831" s="23" t="s">
        <v>417</v>
      </c>
      <c r="H831" s="353">
        <v>5642096.6200000001</v>
      </c>
      <c r="I831" s="59" t="s">
        <v>413</v>
      </c>
      <c r="J831" s="59" t="s">
        <v>10734</v>
      </c>
      <c r="K831" s="20"/>
      <c r="L831" s="20">
        <v>1</v>
      </c>
      <c r="M831" s="357">
        <f>H831</f>
        <v>5642096.6200000001</v>
      </c>
      <c r="N831" s="411">
        <f>IFERROR((M831/(VLOOKUP(B831,'Data Pull Sheet'!$C:$H,6,FALSE))),"DC")</f>
        <v>8.0601380285714292E-4</v>
      </c>
      <c r="O831" s="23" t="s">
        <v>4136</v>
      </c>
      <c r="P831" s="92" t="s">
        <v>632</v>
      </c>
      <c r="Q831" s="92" t="s">
        <v>633</v>
      </c>
      <c r="R831" s="372" t="str">
        <f t="shared" si="25"/>
        <v>FF</v>
      </c>
    </row>
    <row r="832" spans="1:18" x14ac:dyDescent="0.25">
      <c r="A832" s="23" t="s">
        <v>180</v>
      </c>
      <c r="B832" s="18" t="str">
        <f>IF(ISNA(VLOOKUP($A832,'Data Pull Sheet'!$B$2:$C$1795,2,0)),"",(VLOOKUP($A832,'Data Pull Sheet'!$B$2:$C$1795,2,0)))</f>
        <v>MCRB</v>
      </c>
      <c r="C832" s="59" t="s">
        <v>409</v>
      </c>
      <c r="D832" s="356" t="s">
        <v>529</v>
      </c>
      <c r="E832" s="356" t="s">
        <v>530</v>
      </c>
      <c r="F832" s="23" t="s">
        <v>3396</v>
      </c>
      <c r="G832" s="23" t="s">
        <v>403</v>
      </c>
      <c r="H832" s="353">
        <v>141391.5</v>
      </c>
      <c r="I832" s="59"/>
      <c r="J832" s="59" t="s">
        <v>3397</v>
      </c>
      <c r="K832" s="20">
        <v>4</v>
      </c>
      <c r="L832" s="20">
        <v>3</v>
      </c>
      <c r="M832" s="357">
        <f>SUM(H832:H834)</f>
        <v>507173.8</v>
      </c>
      <c r="N832" s="411">
        <f>IFERROR((M832/(VLOOKUP(B832,'Data Pull Sheet'!$C:$H,6,FALSE))),"DC")</f>
        <v>1.0143476000000001E-3</v>
      </c>
      <c r="O832" s="23" t="s">
        <v>3398</v>
      </c>
      <c r="P832" s="92" t="s">
        <v>632</v>
      </c>
      <c r="Q832" s="92" t="s">
        <v>3399</v>
      </c>
      <c r="R832" s="372" t="str">
        <f t="shared" si="25"/>
        <v/>
      </c>
    </row>
    <row r="833" spans="1:18" x14ac:dyDescent="0.25">
      <c r="A833" s="23" t="s">
        <v>180</v>
      </c>
      <c r="B833" s="18" t="str">
        <f>IF(ISNA(VLOOKUP($A833,'Data Pull Sheet'!$B$2:$C$1795,2,0)),"",(VLOOKUP($A833,'Data Pull Sheet'!$B$2:$C$1795,2,0)))</f>
        <v>MCRB</v>
      </c>
      <c r="C833" s="59" t="s">
        <v>409</v>
      </c>
      <c r="D833" s="356" t="s">
        <v>529</v>
      </c>
      <c r="E833" s="356" t="s">
        <v>530</v>
      </c>
      <c r="F833" s="23" t="s">
        <v>3400</v>
      </c>
      <c r="G833" s="23" t="s">
        <v>403</v>
      </c>
      <c r="H833" s="353">
        <v>145062.79999999999</v>
      </c>
      <c r="I833" s="59"/>
      <c r="J833" s="59" t="s">
        <v>3401</v>
      </c>
      <c r="K833" s="20"/>
      <c r="L833" s="20"/>
      <c r="M833" s="357"/>
      <c r="N833" s="411"/>
      <c r="O833" s="23" t="s">
        <v>3398</v>
      </c>
      <c r="P833" s="92" t="s">
        <v>632</v>
      </c>
      <c r="Q833" s="92" t="s">
        <v>3399</v>
      </c>
      <c r="R833" s="372" t="str">
        <f t="shared" si="25"/>
        <v/>
      </c>
    </row>
    <row r="834" spans="1:18" x14ac:dyDescent="0.25">
      <c r="A834" s="23" t="s">
        <v>180</v>
      </c>
      <c r="B834" s="18" t="str">
        <f>IF(ISNA(VLOOKUP($A834,'Data Pull Sheet'!$B$2:$C$1795,2,0)),"",(VLOOKUP($A834,'Data Pull Sheet'!$B$2:$C$1795,2,0)))</f>
        <v>MCRB</v>
      </c>
      <c r="C834" s="59" t="s">
        <v>409</v>
      </c>
      <c r="D834" s="356" t="s">
        <v>529</v>
      </c>
      <c r="E834" s="356" t="s">
        <v>530</v>
      </c>
      <c r="F834" s="23" t="s">
        <v>3402</v>
      </c>
      <c r="G834" s="23" t="s">
        <v>417</v>
      </c>
      <c r="H834" s="353">
        <v>220719.5</v>
      </c>
      <c r="I834" s="59" t="s">
        <v>406</v>
      </c>
      <c r="J834" s="59" t="s">
        <v>3403</v>
      </c>
      <c r="K834" s="20"/>
      <c r="L834" s="20"/>
      <c r="M834" s="357"/>
      <c r="N834" s="411"/>
      <c r="O834" s="23" t="s">
        <v>3398</v>
      </c>
      <c r="P834" s="92" t="s">
        <v>632</v>
      </c>
      <c r="Q834" s="92" t="s">
        <v>3399</v>
      </c>
      <c r="R834" s="372" t="str">
        <f t="shared" ref="R834:R897" si="27">IF(COUNTIF(F:F,F834)&gt;=2,"FF","")</f>
        <v>FF</v>
      </c>
    </row>
    <row r="835" spans="1:18" x14ac:dyDescent="0.25">
      <c r="A835" s="23" t="s">
        <v>180</v>
      </c>
      <c r="B835" s="18" t="str">
        <f>IF(ISNA(VLOOKUP($A835,'Data Pull Sheet'!$B$2:$C$1795,2,0)),"",(VLOOKUP($A835,'Data Pull Sheet'!$B$2:$C$1795,2,0)))</f>
        <v>MCRB</v>
      </c>
      <c r="C835" s="59" t="s">
        <v>409</v>
      </c>
      <c r="D835" s="356" t="s">
        <v>529</v>
      </c>
      <c r="E835" s="356" t="s">
        <v>530</v>
      </c>
      <c r="F835" s="23" t="s">
        <v>3404</v>
      </c>
      <c r="G835" s="23" t="s">
        <v>403</v>
      </c>
      <c r="H835" s="353">
        <v>22244.09</v>
      </c>
      <c r="I835" s="59"/>
      <c r="J835" s="59" t="s">
        <v>3405</v>
      </c>
      <c r="K835" s="20"/>
      <c r="L835" s="20">
        <v>1</v>
      </c>
      <c r="M835" s="357">
        <f>H835</f>
        <v>22244.09</v>
      </c>
      <c r="N835" s="411">
        <f>IFERROR((M835/(VLOOKUP(B835,'Data Pull Sheet'!$C:$H,6,FALSE))),"DC")</f>
        <v>4.4488179999999997E-5</v>
      </c>
      <c r="O835" s="23" t="s">
        <v>3406</v>
      </c>
      <c r="P835" s="92" t="s">
        <v>632</v>
      </c>
      <c r="Q835" s="92" t="s">
        <v>637</v>
      </c>
      <c r="R835" s="372" t="str">
        <f t="shared" si="27"/>
        <v/>
      </c>
    </row>
    <row r="836" spans="1:18" x14ac:dyDescent="0.25">
      <c r="A836" s="23" t="s">
        <v>180</v>
      </c>
      <c r="B836" s="18" t="str">
        <f>IF(ISNA(VLOOKUP($A836,'Data Pull Sheet'!$B$2:$C$1795,2,0)),"",(VLOOKUP($A836,'Data Pull Sheet'!$B$2:$C$1795,2,0)))</f>
        <v>MCRB</v>
      </c>
      <c r="C836" s="59" t="s">
        <v>409</v>
      </c>
      <c r="D836" s="356" t="s">
        <v>529</v>
      </c>
      <c r="E836" s="356" t="s">
        <v>530</v>
      </c>
      <c r="F836" s="23" t="s">
        <v>175</v>
      </c>
      <c r="G836" s="23" t="s">
        <v>417</v>
      </c>
      <c r="H836" s="353">
        <v>371038.5</v>
      </c>
      <c r="I836" s="59" t="s">
        <v>413</v>
      </c>
      <c r="J836" s="59" t="s">
        <v>3407</v>
      </c>
      <c r="K836" s="20"/>
      <c r="L836" s="20">
        <v>1</v>
      </c>
      <c r="M836" s="357">
        <f>H836</f>
        <v>371038.5</v>
      </c>
      <c r="N836" s="411">
        <f>IFERROR((M836/(VLOOKUP(B836,'Data Pull Sheet'!$C:$H,6,FALSE))),"DC")</f>
        <v>7.4207699999999995E-4</v>
      </c>
      <c r="O836" s="23" t="s">
        <v>161</v>
      </c>
      <c r="P836" s="92" t="s">
        <v>632</v>
      </c>
      <c r="Q836" s="92" t="s">
        <v>633</v>
      </c>
      <c r="R836" s="372" t="str">
        <f t="shared" si="27"/>
        <v>FF</v>
      </c>
    </row>
    <row r="837" spans="1:18" x14ac:dyDescent="0.25">
      <c r="A837" s="23" t="s">
        <v>180</v>
      </c>
      <c r="B837" s="18" t="str">
        <f>IF(ISNA(VLOOKUP($A837,'Data Pull Sheet'!$B$2:$C$1795,2,0)),"",(VLOOKUP($A837,'Data Pull Sheet'!$B$2:$C$1795,2,0)))</f>
        <v>MCRB</v>
      </c>
      <c r="C837" s="59" t="s">
        <v>409</v>
      </c>
      <c r="D837" s="356" t="s">
        <v>529</v>
      </c>
      <c r="E837" s="356" t="s">
        <v>530</v>
      </c>
      <c r="F837" s="23" t="s">
        <v>3408</v>
      </c>
      <c r="G837" s="23" t="s">
        <v>403</v>
      </c>
      <c r="H837" s="353">
        <v>176559.52</v>
      </c>
      <c r="I837" s="59"/>
      <c r="J837" s="59" t="s">
        <v>3409</v>
      </c>
      <c r="K837" s="20"/>
      <c r="L837" s="20">
        <v>1</v>
      </c>
      <c r="M837" s="357">
        <f>H837</f>
        <v>176559.52</v>
      </c>
      <c r="N837" s="411">
        <f>IFERROR((M837/(VLOOKUP(B837,'Data Pull Sheet'!$C:$H,6,FALSE))),"DC")</f>
        <v>3.5311903999999999E-4</v>
      </c>
      <c r="O837" s="23" t="s">
        <v>3410</v>
      </c>
      <c r="P837" s="92" t="s">
        <v>632</v>
      </c>
      <c r="Q837" s="92" t="s">
        <v>637</v>
      </c>
      <c r="R837" s="372" t="str">
        <f t="shared" si="27"/>
        <v/>
      </c>
    </row>
    <row r="838" spans="1:18" ht="30" x14ac:dyDescent="0.25">
      <c r="A838" s="23" t="s">
        <v>380</v>
      </c>
      <c r="B838" s="18" t="str">
        <f>IF(ISNA(VLOOKUP($A838,'Data Pull Sheet'!$B$2:$C$1795,2,0)),"",(VLOOKUP($A838,'Data Pull Sheet'!$B$2:$C$1795,2,0)))</f>
        <v>CHK</v>
      </c>
      <c r="C838" s="59" t="s">
        <v>609</v>
      </c>
      <c r="D838" s="356" t="s">
        <v>610</v>
      </c>
      <c r="E838" s="356" t="s">
        <v>430</v>
      </c>
      <c r="F838" s="23" t="s">
        <v>1291</v>
      </c>
      <c r="G838" s="23" t="s">
        <v>403</v>
      </c>
      <c r="H838" s="353">
        <v>118740.5</v>
      </c>
      <c r="I838" s="59" t="s">
        <v>442</v>
      </c>
      <c r="J838" s="59" t="s">
        <v>1292</v>
      </c>
      <c r="K838" s="20">
        <v>5</v>
      </c>
      <c r="L838" s="20">
        <v>2</v>
      </c>
      <c r="M838" s="357">
        <f>SUM(H838:H839)</f>
        <v>455249.25</v>
      </c>
      <c r="N838" s="411">
        <f>IFERROR((M838/(VLOOKUP(B838,'Data Pull Sheet'!$C:$H,6,FALSE))),"DC")</f>
        <v>2.5291624999999999E-3</v>
      </c>
      <c r="O838" s="23" t="s">
        <v>10831</v>
      </c>
      <c r="P838" s="92" t="s">
        <v>632</v>
      </c>
      <c r="Q838" s="92" t="s">
        <v>646</v>
      </c>
      <c r="R838" s="372" t="str">
        <f t="shared" si="27"/>
        <v/>
      </c>
    </row>
    <row r="839" spans="1:18" ht="30" x14ac:dyDescent="0.25">
      <c r="A839" s="23" t="s">
        <v>380</v>
      </c>
      <c r="B839" s="18" t="str">
        <f>IF(ISNA(VLOOKUP($A839,'Data Pull Sheet'!$B$2:$C$1795,2,0)),"",(VLOOKUP($A839,'Data Pull Sheet'!$B$2:$C$1795,2,0)))</f>
        <v>CHK</v>
      </c>
      <c r="C839" s="59" t="s">
        <v>609</v>
      </c>
      <c r="D839" s="356" t="s">
        <v>610</v>
      </c>
      <c r="E839" s="356" t="s">
        <v>430</v>
      </c>
      <c r="F839" s="23" t="s">
        <v>1294</v>
      </c>
      <c r="G839" s="23" t="s">
        <v>403</v>
      </c>
      <c r="H839" s="353">
        <v>336508.75</v>
      </c>
      <c r="I839" s="59" t="s">
        <v>442</v>
      </c>
      <c r="J839" s="59" t="s">
        <v>1295</v>
      </c>
      <c r="K839" s="20"/>
      <c r="L839" s="20"/>
      <c r="M839" s="357"/>
      <c r="N839" s="411"/>
      <c r="O839" s="23" t="s">
        <v>10831</v>
      </c>
      <c r="P839" s="92" t="s">
        <v>632</v>
      </c>
      <c r="Q839" s="92" t="s">
        <v>646</v>
      </c>
      <c r="R839" s="372" t="str">
        <f t="shared" si="27"/>
        <v/>
      </c>
    </row>
    <row r="840" spans="1:18" x14ac:dyDescent="0.25">
      <c r="A840" s="23" t="s">
        <v>380</v>
      </c>
      <c r="B840" s="18" t="str">
        <f>IF(ISNA(VLOOKUP($A840,'Data Pull Sheet'!$B$2:$C$1795,2,0)),"",(VLOOKUP($A840,'Data Pull Sheet'!$B$2:$C$1795,2,0)))</f>
        <v>CHK</v>
      </c>
      <c r="C840" s="59" t="s">
        <v>609</v>
      </c>
      <c r="D840" s="356" t="s">
        <v>610</v>
      </c>
      <c r="E840" s="356" t="s">
        <v>430</v>
      </c>
      <c r="F840" s="23" t="s">
        <v>1296</v>
      </c>
      <c r="G840" s="23" t="s">
        <v>403</v>
      </c>
      <c r="H840" s="353">
        <v>65094.04</v>
      </c>
      <c r="I840" s="59"/>
      <c r="J840" s="59" t="s">
        <v>1297</v>
      </c>
      <c r="K840" s="20"/>
      <c r="L840" s="20">
        <v>1</v>
      </c>
      <c r="M840" s="357">
        <f>H840</f>
        <v>65094.04</v>
      </c>
      <c r="N840" s="411">
        <f>IFERROR((M840/(VLOOKUP(B840,'Data Pull Sheet'!$C:$H,6,FALSE))),"DC")</f>
        <v>3.6163355555555554E-4</v>
      </c>
      <c r="O840" s="23" t="s">
        <v>1298</v>
      </c>
      <c r="P840" s="92" t="s">
        <v>632</v>
      </c>
      <c r="Q840" s="92" t="s">
        <v>637</v>
      </c>
      <c r="R840" s="372" t="str">
        <f t="shared" si="27"/>
        <v/>
      </c>
    </row>
    <row r="841" spans="1:18" ht="30" x14ac:dyDescent="0.25">
      <c r="A841" s="23" t="s">
        <v>380</v>
      </c>
      <c r="B841" s="18" t="str">
        <f>IF(ISNA(VLOOKUP($A841,'Data Pull Sheet'!$B$2:$C$1795,2,0)),"",(VLOOKUP($A841,'Data Pull Sheet'!$B$2:$C$1795,2,0)))</f>
        <v>CHK</v>
      </c>
      <c r="C841" s="59" t="s">
        <v>609</v>
      </c>
      <c r="D841" s="356" t="s">
        <v>610</v>
      </c>
      <c r="E841" s="356" t="s">
        <v>430</v>
      </c>
      <c r="F841" s="23" t="s">
        <v>1299</v>
      </c>
      <c r="G841" s="23" t="s">
        <v>403</v>
      </c>
      <c r="H841" s="353">
        <v>117195</v>
      </c>
      <c r="I841" s="59"/>
      <c r="J841" s="59" t="s">
        <v>1300</v>
      </c>
      <c r="K841" s="20"/>
      <c r="L841" s="20">
        <v>3</v>
      </c>
      <c r="M841" s="357">
        <f>SUM(H841:H843)</f>
        <v>835381</v>
      </c>
      <c r="N841" s="411">
        <f>IFERROR((M841/(VLOOKUP(B841,'Data Pull Sheet'!$C:$H,6,FALSE))),"DC")</f>
        <v>4.6410055555555557E-3</v>
      </c>
      <c r="O841" s="23" t="s">
        <v>11180</v>
      </c>
      <c r="P841" s="92" t="s">
        <v>632</v>
      </c>
      <c r="Q841" s="92" t="s">
        <v>646</v>
      </c>
      <c r="R841" s="372" t="str">
        <f t="shared" si="27"/>
        <v/>
      </c>
    </row>
    <row r="842" spans="1:18" ht="30" x14ac:dyDescent="0.25">
      <c r="A842" s="23" t="s">
        <v>380</v>
      </c>
      <c r="B842" s="18" t="str">
        <f>IF(ISNA(VLOOKUP($A842,'Data Pull Sheet'!$B$2:$C$1795,2,0)),"",(VLOOKUP($A842,'Data Pull Sheet'!$B$2:$C$1795,2,0)))</f>
        <v>CHK</v>
      </c>
      <c r="C842" s="59" t="s">
        <v>609</v>
      </c>
      <c r="D842" s="356" t="s">
        <v>610</v>
      </c>
      <c r="E842" s="356" t="s">
        <v>430</v>
      </c>
      <c r="F842" s="23" t="s">
        <v>1302</v>
      </c>
      <c r="G842" s="23" t="s">
        <v>403</v>
      </c>
      <c r="H842" s="353">
        <v>197348</v>
      </c>
      <c r="I842" s="59"/>
      <c r="J842" s="59" t="s">
        <v>1303</v>
      </c>
      <c r="K842" s="20"/>
      <c r="L842" s="20"/>
      <c r="M842" s="357"/>
      <c r="N842" s="411"/>
      <c r="O842" s="23" t="s">
        <v>11180</v>
      </c>
      <c r="P842" s="92" t="s">
        <v>632</v>
      </c>
      <c r="Q842" s="92" t="s">
        <v>646</v>
      </c>
      <c r="R842" s="372" t="str">
        <f t="shared" si="27"/>
        <v/>
      </c>
    </row>
    <row r="843" spans="1:18" ht="30" x14ac:dyDescent="0.25">
      <c r="A843" s="23" t="s">
        <v>380</v>
      </c>
      <c r="B843" s="18" t="str">
        <f>IF(ISNA(VLOOKUP($A843,'Data Pull Sheet'!$B$2:$C$1795,2,0)),"",(VLOOKUP($A843,'Data Pull Sheet'!$B$2:$C$1795,2,0)))</f>
        <v>CHK</v>
      </c>
      <c r="C843" s="59" t="s">
        <v>609</v>
      </c>
      <c r="D843" s="356" t="s">
        <v>610</v>
      </c>
      <c r="E843" s="356" t="s">
        <v>430</v>
      </c>
      <c r="F843" s="23" t="s">
        <v>1304</v>
      </c>
      <c r="G843" s="23" t="s">
        <v>403</v>
      </c>
      <c r="H843" s="353">
        <v>520838</v>
      </c>
      <c r="I843" s="59"/>
      <c r="J843" s="59" t="s">
        <v>1305</v>
      </c>
      <c r="K843" s="20"/>
      <c r="L843" s="20"/>
      <c r="M843" s="357"/>
      <c r="N843" s="411"/>
      <c r="O843" s="23" t="s">
        <v>11180</v>
      </c>
      <c r="P843" s="92" t="s">
        <v>632</v>
      </c>
      <c r="Q843" s="92" t="s">
        <v>646</v>
      </c>
      <c r="R843" s="372" t="str">
        <f t="shared" si="27"/>
        <v/>
      </c>
    </row>
    <row r="844" spans="1:18" ht="30" x14ac:dyDescent="0.25">
      <c r="A844" s="23" t="s">
        <v>380</v>
      </c>
      <c r="B844" s="18" t="str">
        <f>IF(ISNA(VLOOKUP($A844,'Data Pull Sheet'!$B$2:$C$1795,2,0)),"",(VLOOKUP($A844,'Data Pull Sheet'!$B$2:$C$1795,2,0)))</f>
        <v>CHK</v>
      </c>
      <c r="C844" s="59" t="s">
        <v>609</v>
      </c>
      <c r="D844" s="356" t="s">
        <v>610</v>
      </c>
      <c r="E844" s="356" t="s">
        <v>430</v>
      </c>
      <c r="F844" s="23" t="s">
        <v>378</v>
      </c>
      <c r="G844" s="23" t="s">
        <v>417</v>
      </c>
      <c r="H844" s="353">
        <v>11577603.26</v>
      </c>
      <c r="I844" s="59" t="s">
        <v>406</v>
      </c>
      <c r="J844" s="59" t="s">
        <v>1306</v>
      </c>
      <c r="K844" s="20"/>
      <c r="L844" s="20">
        <v>1</v>
      </c>
      <c r="M844" s="357">
        <f>H844</f>
        <v>11577603.26</v>
      </c>
      <c r="N844" s="411">
        <f>IFERROR((M844/(VLOOKUP(B844,'Data Pull Sheet'!$C:$H,6,FALSE))),"DC")</f>
        <v>6.4320018111111113E-2</v>
      </c>
      <c r="O844" s="23" t="s">
        <v>1307</v>
      </c>
      <c r="P844" s="92" t="s">
        <v>632</v>
      </c>
      <c r="Q844" s="92" t="s">
        <v>633</v>
      </c>
      <c r="R844" s="372" t="str">
        <f t="shared" si="27"/>
        <v>FF</v>
      </c>
    </row>
    <row r="845" spans="1:18" x14ac:dyDescent="0.25">
      <c r="A845" s="23" t="s">
        <v>380</v>
      </c>
      <c r="B845" s="18" t="str">
        <f>IF(ISNA(VLOOKUP($A845,'Data Pull Sheet'!$B$2:$C$1795,2,0)),"",(VLOOKUP($A845,'Data Pull Sheet'!$B$2:$C$1795,2,0)))</f>
        <v>CHK</v>
      </c>
      <c r="C845" s="59" t="s">
        <v>609</v>
      </c>
      <c r="D845" s="356" t="s">
        <v>610</v>
      </c>
      <c r="E845" s="356" t="s">
        <v>430</v>
      </c>
      <c r="F845" s="23" t="s">
        <v>1308</v>
      </c>
      <c r="G845" s="23" t="s">
        <v>403</v>
      </c>
      <c r="H845" s="353">
        <v>27330</v>
      </c>
      <c r="I845" s="59"/>
      <c r="J845" s="59" t="s">
        <v>1309</v>
      </c>
      <c r="K845" s="20"/>
      <c r="L845" s="20">
        <v>1</v>
      </c>
      <c r="M845" s="357">
        <f>H845</f>
        <v>27330</v>
      </c>
      <c r="N845" s="411">
        <f>IFERROR((M845/(VLOOKUP(B845,'Data Pull Sheet'!$C:$H,6,FALSE))),"DC")</f>
        <v>1.5183333333333333E-4</v>
      </c>
      <c r="O845" s="23" t="s">
        <v>1310</v>
      </c>
      <c r="P845" s="92" t="s">
        <v>632</v>
      </c>
      <c r="Q845" s="92" t="s">
        <v>637</v>
      </c>
      <c r="R845" s="372" t="str">
        <f t="shared" si="27"/>
        <v/>
      </c>
    </row>
    <row r="846" spans="1:18" ht="30" x14ac:dyDescent="0.25">
      <c r="A846" s="23" t="s">
        <v>16</v>
      </c>
      <c r="B846" s="18" t="str">
        <f>IF(ISNA(VLOOKUP($A846,'Data Pull Sheet'!$B$2:$C$1795,2,0)),"",(VLOOKUP($A846,'Data Pull Sheet'!$B$2:$C$1795,2,0)))</f>
        <v>CTSH</v>
      </c>
      <c r="C846" s="59" t="s">
        <v>424</v>
      </c>
      <c r="D846" s="356" t="s">
        <v>429</v>
      </c>
      <c r="E846" s="356" t="s">
        <v>430</v>
      </c>
      <c r="F846" s="23" t="s">
        <v>1448</v>
      </c>
      <c r="G846" s="23" t="s">
        <v>417</v>
      </c>
      <c r="H846" s="353">
        <v>565150.41</v>
      </c>
      <c r="I846" s="59" t="s">
        <v>413</v>
      </c>
      <c r="J846" s="59" t="s">
        <v>1449</v>
      </c>
      <c r="K846" s="20">
        <v>5</v>
      </c>
      <c r="L846" s="20">
        <v>3</v>
      </c>
      <c r="M846" s="357">
        <f>SUM(H846:H848)</f>
        <v>28241118.580000002</v>
      </c>
      <c r="N846" s="411">
        <f>IFERROR((M846/(VLOOKUP(B846,'Data Pull Sheet'!$C:$H,6,FALSE))),"DC")</f>
        <v>1.4120559290000001E-2</v>
      </c>
      <c r="O846" s="23" t="s">
        <v>1450</v>
      </c>
      <c r="P846" s="92" t="s">
        <v>632</v>
      </c>
      <c r="Q846" s="92" t="s">
        <v>640</v>
      </c>
      <c r="R846" s="372" t="str">
        <f t="shared" si="27"/>
        <v/>
      </c>
    </row>
    <row r="847" spans="1:18" ht="30" x14ac:dyDescent="0.25">
      <c r="A847" s="23" t="s">
        <v>16</v>
      </c>
      <c r="B847" s="18" t="str">
        <f>IF(ISNA(VLOOKUP($A847,'Data Pull Sheet'!$B$2:$C$1795,2,0)),"",(VLOOKUP($A847,'Data Pull Sheet'!$B$2:$C$1795,2,0)))</f>
        <v>CTSH</v>
      </c>
      <c r="C847" s="59" t="s">
        <v>424</v>
      </c>
      <c r="D847" s="356" t="s">
        <v>429</v>
      </c>
      <c r="E847" s="356" t="s">
        <v>430</v>
      </c>
      <c r="F847" s="23" t="s">
        <v>12</v>
      </c>
      <c r="G847" s="23" t="s">
        <v>417</v>
      </c>
      <c r="H847" s="353">
        <v>628011.80000000005</v>
      </c>
      <c r="I847" s="59" t="s">
        <v>413</v>
      </c>
      <c r="J847" s="59" t="s">
        <v>1451</v>
      </c>
      <c r="K847" s="20"/>
      <c r="L847" s="20"/>
      <c r="M847" s="357"/>
      <c r="N847" s="411"/>
      <c r="O847" s="23" t="s">
        <v>1450</v>
      </c>
      <c r="P847" s="92" t="s">
        <v>632</v>
      </c>
      <c r="Q847" s="92" t="s">
        <v>640</v>
      </c>
      <c r="R847" s="372" t="str">
        <f t="shared" si="27"/>
        <v>FF</v>
      </c>
    </row>
    <row r="848" spans="1:18" ht="30" x14ac:dyDescent="0.25">
      <c r="A848" s="23" t="s">
        <v>16</v>
      </c>
      <c r="B848" s="18" t="str">
        <f>IF(ISNA(VLOOKUP($A848,'Data Pull Sheet'!$B$2:$C$1795,2,0)),"",(VLOOKUP($A848,'Data Pull Sheet'!$B$2:$C$1795,2,0)))</f>
        <v>CTSH</v>
      </c>
      <c r="C848" s="59" t="s">
        <v>424</v>
      </c>
      <c r="D848" s="356" t="s">
        <v>429</v>
      </c>
      <c r="E848" s="356" t="s">
        <v>430</v>
      </c>
      <c r="F848" s="23" t="s">
        <v>373</v>
      </c>
      <c r="G848" s="23" t="s">
        <v>417</v>
      </c>
      <c r="H848" s="353">
        <v>27047956.370000001</v>
      </c>
      <c r="I848" s="59" t="s">
        <v>413</v>
      </c>
      <c r="J848" s="59" t="s">
        <v>1452</v>
      </c>
      <c r="K848" s="20"/>
      <c r="L848" s="20"/>
      <c r="M848" s="357"/>
      <c r="N848" s="411"/>
      <c r="O848" s="23" t="s">
        <v>1450</v>
      </c>
      <c r="P848" s="92" t="s">
        <v>632</v>
      </c>
      <c r="Q848" s="92" t="s">
        <v>640</v>
      </c>
      <c r="R848" s="372" t="str">
        <f t="shared" si="27"/>
        <v>FF</v>
      </c>
    </row>
    <row r="849" spans="1:18" ht="30" x14ac:dyDescent="0.25">
      <c r="A849" s="23" t="s">
        <v>16</v>
      </c>
      <c r="B849" s="18" t="str">
        <f>IF(ISNA(VLOOKUP($A849,'Data Pull Sheet'!$B$2:$C$1795,2,0)),"",(VLOOKUP($A849,'Data Pull Sheet'!$B$2:$C$1795,2,0)))</f>
        <v>CTSH</v>
      </c>
      <c r="C849" s="59" t="s">
        <v>424</v>
      </c>
      <c r="D849" s="356" t="s">
        <v>429</v>
      </c>
      <c r="E849" s="356" t="s">
        <v>430</v>
      </c>
      <c r="F849" s="23" t="s">
        <v>1453</v>
      </c>
      <c r="G849" s="23" t="s">
        <v>403</v>
      </c>
      <c r="H849" s="353">
        <v>2950</v>
      </c>
      <c r="I849" s="59" t="s">
        <v>406</v>
      </c>
      <c r="J849" s="59" t="s">
        <v>1454</v>
      </c>
      <c r="K849" s="20"/>
      <c r="L849" s="20">
        <v>2</v>
      </c>
      <c r="M849" s="357">
        <f>SUM(H849:H850)</f>
        <v>9853</v>
      </c>
      <c r="N849" s="411">
        <f>IFERROR((M849/(VLOOKUP(B849,'Data Pull Sheet'!$C:$H,6,FALSE))),"DC")</f>
        <v>4.9265000000000002E-6</v>
      </c>
      <c r="O849" s="23" t="s">
        <v>1455</v>
      </c>
      <c r="P849" s="92" t="s">
        <v>632</v>
      </c>
      <c r="Q849" s="92" t="s">
        <v>646</v>
      </c>
      <c r="R849" s="372" t="str">
        <f t="shared" si="27"/>
        <v/>
      </c>
    </row>
    <row r="850" spans="1:18" ht="30" x14ac:dyDescent="0.25">
      <c r="A850" s="23" t="s">
        <v>16</v>
      </c>
      <c r="B850" s="18" t="str">
        <f>IF(ISNA(VLOOKUP($A850,'Data Pull Sheet'!$B$2:$C$1795,2,0)),"",(VLOOKUP($A850,'Data Pull Sheet'!$B$2:$C$1795,2,0)))</f>
        <v>CTSH</v>
      </c>
      <c r="C850" s="59" t="s">
        <v>424</v>
      </c>
      <c r="D850" s="356" t="s">
        <v>429</v>
      </c>
      <c r="E850" s="356" t="s">
        <v>430</v>
      </c>
      <c r="F850" s="23" t="s">
        <v>1456</v>
      </c>
      <c r="G850" s="23" t="s">
        <v>403</v>
      </c>
      <c r="H850" s="353">
        <v>6903</v>
      </c>
      <c r="I850" s="59" t="s">
        <v>442</v>
      </c>
      <c r="J850" s="59" t="s">
        <v>1457</v>
      </c>
      <c r="K850" s="20"/>
      <c r="L850" s="20"/>
      <c r="M850" s="357"/>
      <c r="N850" s="411"/>
      <c r="O850" s="23" t="s">
        <v>1455</v>
      </c>
      <c r="P850" s="92" t="s">
        <v>632</v>
      </c>
      <c r="Q850" s="92" t="s">
        <v>646</v>
      </c>
      <c r="R850" s="372" t="str">
        <f t="shared" si="27"/>
        <v/>
      </c>
    </row>
    <row r="851" spans="1:18" ht="30" x14ac:dyDescent="0.25">
      <c r="A851" s="23" t="s">
        <v>16</v>
      </c>
      <c r="B851" s="18" t="str">
        <f>IF(ISNA(VLOOKUP($A851,'Data Pull Sheet'!$B$2:$C$1795,2,0)),"",(VLOOKUP($A851,'Data Pull Sheet'!$B$2:$C$1795,2,0)))</f>
        <v>CTSH</v>
      </c>
      <c r="C851" s="59" t="s">
        <v>424</v>
      </c>
      <c r="D851" s="356" t="s">
        <v>429</v>
      </c>
      <c r="E851" s="356" t="s">
        <v>430</v>
      </c>
      <c r="F851" s="23" t="s">
        <v>1458</v>
      </c>
      <c r="G851" s="23" t="s">
        <v>417</v>
      </c>
      <c r="H851" s="353">
        <v>3872591.3</v>
      </c>
      <c r="I851" s="59" t="s">
        <v>413</v>
      </c>
      <c r="J851" s="59" t="s">
        <v>1459</v>
      </c>
      <c r="K851" s="20"/>
      <c r="L851" s="20">
        <v>1</v>
      </c>
      <c r="M851" s="357">
        <f>H851</f>
        <v>3872591.3</v>
      </c>
      <c r="N851" s="411">
        <f>IFERROR((M851/(VLOOKUP(B851,'Data Pull Sheet'!$C:$H,6,FALSE))),"DC")</f>
        <v>1.93629565E-3</v>
      </c>
      <c r="O851" s="23" t="s">
        <v>10832</v>
      </c>
      <c r="P851" s="92" t="s">
        <v>632</v>
      </c>
      <c r="Q851" s="92" t="s">
        <v>633</v>
      </c>
      <c r="R851" s="372" t="str">
        <f t="shared" si="27"/>
        <v/>
      </c>
    </row>
    <row r="852" spans="1:18" x14ac:dyDescent="0.25">
      <c r="A852" s="23" t="s">
        <v>16</v>
      </c>
      <c r="B852" s="18" t="str">
        <f>IF(ISNA(VLOOKUP($A852,'Data Pull Sheet'!$B$2:$C$1795,2,0)),"",(VLOOKUP($A852,'Data Pull Sheet'!$B$2:$C$1795,2,0)))</f>
        <v>CTSH</v>
      </c>
      <c r="C852" s="59" t="s">
        <v>424</v>
      </c>
      <c r="D852" s="356" t="s">
        <v>429</v>
      </c>
      <c r="E852" s="356" t="s">
        <v>430</v>
      </c>
      <c r="F852" s="23" t="s">
        <v>1461</v>
      </c>
      <c r="G852" s="23" t="s">
        <v>417</v>
      </c>
      <c r="H852" s="353">
        <v>318274.53999999998</v>
      </c>
      <c r="I852" s="59" t="s">
        <v>406</v>
      </c>
      <c r="J852" s="59" t="s">
        <v>1462</v>
      </c>
      <c r="K852" s="20"/>
      <c r="L852" s="20">
        <v>1</v>
      </c>
      <c r="M852" s="357">
        <f>H852</f>
        <v>318274.53999999998</v>
      </c>
      <c r="N852" s="411">
        <f>IFERROR((M852/(VLOOKUP(B852,'Data Pull Sheet'!$C:$H,6,FALSE))),"DC")</f>
        <v>1.5913726999999998E-4</v>
      </c>
      <c r="O852" s="23" t="s">
        <v>1463</v>
      </c>
      <c r="P852" s="92" t="s">
        <v>632</v>
      </c>
      <c r="Q852" s="92" t="s">
        <v>633</v>
      </c>
      <c r="R852" s="372" t="str">
        <f t="shared" si="27"/>
        <v>FF</v>
      </c>
    </row>
    <row r="853" spans="1:18" x14ac:dyDescent="0.25">
      <c r="A853" s="23" t="s">
        <v>16</v>
      </c>
      <c r="B853" s="18" t="str">
        <f>IF(ISNA(VLOOKUP($A853,'Data Pull Sheet'!$B$2:$C$1795,2,0)),"",(VLOOKUP($A853,'Data Pull Sheet'!$B$2:$C$1795,2,0)))</f>
        <v>CTSH</v>
      </c>
      <c r="C853" s="59" t="s">
        <v>424</v>
      </c>
      <c r="D853" s="356" t="s">
        <v>429</v>
      </c>
      <c r="E853" s="356" t="s">
        <v>430</v>
      </c>
      <c r="F853" s="23" t="s">
        <v>1464</v>
      </c>
      <c r="G853" s="23" t="s">
        <v>403</v>
      </c>
      <c r="H853" s="353">
        <v>344.75</v>
      </c>
      <c r="I853" s="59"/>
      <c r="J853" s="59" t="s">
        <v>1465</v>
      </c>
      <c r="K853" s="20"/>
      <c r="L853" s="20">
        <v>5</v>
      </c>
      <c r="M853" s="357">
        <f>SUM(H853:H857)</f>
        <v>10630.01</v>
      </c>
      <c r="N853" s="411">
        <f>IFERROR((M853/(VLOOKUP(B853,'Data Pull Sheet'!$C:$H,6,FALSE))),"DC")</f>
        <v>5.3150050000000003E-6</v>
      </c>
      <c r="O853" s="23" t="s">
        <v>1466</v>
      </c>
      <c r="P853" s="92" t="s">
        <v>632</v>
      </c>
      <c r="Q853" s="92" t="s">
        <v>662</v>
      </c>
      <c r="R853" s="372" t="str">
        <f t="shared" si="27"/>
        <v/>
      </c>
    </row>
    <row r="854" spans="1:18" x14ac:dyDescent="0.25">
      <c r="A854" s="23" t="s">
        <v>16</v>
      </c>
      <c r="B854" s="18" t="str">
        <f>IF(ISNA(VLOOKUP($A854,'Data Pull Sheet'!$B$2:$C$1795,2,0)),"",(VLOOKUP($A854,'Data Pull Sheet'!$B$2:$C$1795,2,0)))</f>
        <v>CTSH</v>
      </c>
      <c r="C854" s="59" t="s">
        <v>424</v>
      </c>
      <c r="D854" s="356" t="s">
        <v>429</v>
      </c>
      <c r="E854" s="356" t="s">
        <v>430</v>
      </c>
      <c r="F854" s="23" t="s">
        <v>1467</v>
      </c>
      <c r="G854" s="23" t="s">
        <v>403</v>
      </c>
      <c r="H854" s="353">
        <v>1729.2</v>
      </c>
      <c r="I854" s="59"/>
      <c r="J854" s="59" t="s">
        <v>1468</v>
      </c>
      <c r="K854" s="20"/>
      <c r="L854" s="20"/>
      <c r="M854" s="357"/>
      <c r="N854" s="411"/>
      <c r="O854" s="23" t="s">
        <v>1466</v>
      </c>
      <c r="P854" s="92" t="s">
        <v>632</v>
      </c>
      <c r="Q854" s="92" t="s">
        <v>662</v>
      </c>
      <c r="R854" s="372" t="str">
        <f t="shared" si="27"/>
        <v/>
      </c>
    </row>
    <row r="855" spans="1:18" x14ac:dyDescent="0.25">
      <c r="A855" s="23" t="s">
        <v>16</v>
      </c>
      <c r="B855" s="18" t="str">
        <f>IF(ISNA(VLOOKUP($A855,'Data Pull Sheet'!$B$2:$C$1795,2,0)),"",(VLOOKUP($A855,'Data Pull Sheet'!$B$2:$C$1795,2,0)))</f>
        <v>CTSH</v>
      </c>
      <c r="C855" s="59" t="s">
        <v>424</v>
      </c>
      <c r="D855" s="356" t="s">
        <v>429</v>
      </c>
      <c r="E855" s="356" t="s">
        <v>430</v>
      </c>
      <c r="F855" s="23" t="s">
        <v>1469</v>
      </c>
      <c r="G855" s="23" t="s">
        <v>403</v>
      </c>
      <c r="H855" s="353">
        <v>2517.56</v>
      </c>
      <c r="I855" s="59"/>
      <c r="J855" s="59" t="s">
        <v>1470</v>
      </c>
      <c r="K855" s="20"/>
      <c r="L855" s="20"/>
      <c r="M855" s="357"/>
      <c r="N855" s="411"/>
      <c r="O855" s="23" t="s">
        <v>1466</v>
      </c>
      <c r="P855" s="92" t="s">
        <v>632</v>
      </c>
      <c r="Q855" s="92" t="s">
        <v>662</v>
      </c>
      <c r="R855" s="372" t="str">
        <f t="shared" si="27"/>
        <v/>
      </c>
    </row>
    <row r="856" spans="1:18" ht="30" x14ac:dyDescent="0.25">
      <c r="A856" s="23" t="s">
        <v>16</v>
      </c>
      <c r="B856" s="18" t="str">
        <f>IF(ISNA(VLOOKUP($A856,'Data Pull Sheet'!$B$2:$C$1795,2,0)),"",(VLOOKUP($A856,'Data Pull Sheet'!$B$2:$C$1795,2,0)))</f>
        <v>CTSH</v>
      </c>
      <c r="C856" s="59" t="s">
        <v>424</v>
      </c>
      <c r="D856" s="356" t="s">
        <v>429</v>
      </c>
      <c r="E856" s="356" t="s">
        <v>430</v>
      </c>
      <c r="F856" s="23" t="s">
        <v>1471</v>
      </c>
      <c r="G856" s="23" t="s">
        <v>403</v>
      </c>
      <c r="H856" s="353">
        <v>2589.3000000000002</v>
      </c>
      <c r="I856" s="59"/>
      <c r="J856" s="59" t="s">
        <v>1472</v>
      </c>
      <c r="K856" s="20"/>
      <c r="L856" s="20"/>
      <c r="M856" s="357"/>
      <c r="N856" s="411"/>
      <c r="O856" s="23" t="s">
        <v>1466</v>
      </c>
      <c r="P856" s="92" t="s">
        <v>632</v>
      </c>
      <c r="Q856" s="92" t="s">
        <v>662</v>
      </c>
      <c r="R856" s="372" t="str">
        <f t="shared" si="27"/>
        <v/>
      </c>
    </row>
    <row r="857" spans="1:18" x14ac:dyDescent="0.25">
      <c r="A857" s="23" t="s">
        <v>16</v>
      </c>
      <c r="B857" s="18" t="str">
        <f>IF(ISNA(VLOOKUP($A857,'Data Pull Sheet'!$B$2:$C$1795,2,0)),"",(VLOOKUP($A857,'Data Pull Sheet'!$B$2:$C$1795,2,0)))</f>
        <v>CTSH</v>
      </c>
      <c r="C857" s="59" t="s">
        <v>424</v>
      </c>
      <c r="D857" s="356" t="s">
        <v>429</v>
      </c>
      <c r="E857" s="356" t="s">
        <v>430</v>
      </c>
      <c r="F857" s="23" t="s">
        <v>1473</v>
      </c>
      <c r="G857" s="23" t="s">
        <v>417</v>
      </c>
      <c r="H857" s="353">
        <v>3449.2</v>
      </c>
      <c r="I857" s="59"/>
      <c r="J857" s="59" t="s">
        <v>1474</v>
      </c>
      <c r="K857" s="20"/>
      <c r="L857" s="20"/>
      <c r="M857" s="357"/>
      <c r="N857" s="411"/>
      <c r="O857" s="23" t="s">
        <v>1466</v>
      </c>
      <c r="P857" s="92" t="s">
        <v>632</v>
      </c>
      <c r="Q857" s="92" t="s">
        <v>662</v>
      </c>
      <c r="R857" s="372" t="str">
        <f t="shared" si="27"/>
        <v/>
      </c>
    </row>
    <row r="858" spans="1:18" x14ac:dyDescent="0.25">
      <c r="A858" s="23" t="s">
        <v>1841</v>
      </c>
      <c r="B858" s="18" t="str">
        <f>IF(ISNA(VLOOKUP($A858,'Data Pull Sheet'!$B$2:$C$1795,2,0)),"",(VLOOKUP($A858,'Data Pull Sheet'!$B$2:$C$1795,2,0)))</f>
        <v>FGP</v>
      </c>
      <c r="C858" s="59" t="s">
        <v>418</v>
      </c>
      <c r="D858" s="356" t="s">
        <v>1842</v>
      </c>
      <c r="E858" s="356" t="s">
        <v>430</v>
      </c>
      <c r="F858" s="23" t="s">
        <v>1843</v>
      </c>
      <c r="G858" s="23" t="s">
        <v>403</v>
      </c>
      <c r="H858" s="353">
        <v>76652</v>
      </c>
      <c r="I858" s="59"/>
      <c r="J858" s="59" t="s">
        <v>1844</v>
      </c>
      <c r="K858" s="20">
        <v>6</v>
      </c>
      <c r="L858" s="20">
        <v>4</v>
      </c>
      <c r="M858" s="357">
        <f>SUM(H858:H861)</f>
        <v>1049313.9100000001</v>
      </c>
      <c r="N858" s="411">
        <f>IFERROR((M858/(VLOOKUP(B858,'Data Pull Sheet'!$C:$H,6,FALSE))),"DC")</f>
        <v>4.8805298139534894E-3</v>
      </c>
      <c r="O858" s="23" t="s">
        <v>1617</v>
      </c>
      <c r="P858" s="92" t="s">
        <v>632</v>
      </c>
      <c r="Q858" s="92" t="s">
        <v>646</v>
      </c>
      <c r="R858" s="372" t="str">
        <f t="shared" si="27"/>
        <v/>
      </c>
    </row>
    <row r="859" spans="1:18" x14ac:dyDescent="0.25">
      <c r="A859" s="23" t="s">
        <v>1841</v>
      </c>
      <c r="B859" s="18" t="str">
        <f>IF(ISNA(VLOOKUP($A859,'Data Pull Sheet'!$B$2:$C$1795,2,0)),"",(VLOOKUP($A859,'Data Pull Sheet'!$B$2:$C$1795,2,0)))</f>
        <v>FGP</v>
      </c>
      <c r="C859" s="59" t="s">
        <v>418</v>
      </c>
      <c r="D859" s="356" t="s">
        <v>1842</v>
      </c>
      <c r="E859" s="356" t="s">
        <v>430</v>
      </c>
      <c r="F859" s="23" t="s">
        <v>1845</v>
      </c>
      <c r="G859" s="23" t="s">
        <v>403</v>
      </c>
      <c r="H859" s="353">
        <v>141865</v>
      </c>
      <c r="I859" s="59"/>
      <c r="J859" s="59" t="s">
        <v>1846</v>
      </c>
      <c r="K859" s="20"/>
      <c r="L859" s="20"/>
      <c r="M859" s="357"/>
      <c r="N859" s="411"/>
      <c r="O859" s="23" t="s">
        <v>1617</v>
      </c>
      <c r="P859" s="92" t="s">
        <v>632</v>
      </c>
      <c r="Q859" s="92" t="s">
        <v>646</v>
      </c>
      <c r="R859" s="372" t="str">
        <f t="shared" si="27"/>
        <v/>
      </c>
    </row>
    <row r="860" spans="1:18" x14ac:dyDescent="0.25">
      <c r="A860" s="23" t="s">
        <v>1841</v>
      </c>
      <c r="B860" s="18" t="str">
        <f>IF(ISNA(VLOOKUP($A860,'Data Pull Sheet'!$B$2:$C$1795,2,0)),"",(VLOOKUP($A860,'Data Pull Sheet'!$B$2:$C$1795,2,0)))</f>
        <v>FGP</v>
      </c>
      <c r="C860" s="59" t="s">
        <v>418</v>
      </c>
      <c r="D860" s="356" t="s">
        <v>1842</v>
      </c>
      <c r="E860" s="356" t="s">
        <v>430</v>
      </c>
      <c r="F860" s="23" t="s">
        <v>1847</v>
      </c>
      <c r="G860" s="23" t="s">
        <v>403</v>
      </c>
      <c r="H860" s="353">
        <v>215239.63</v>
      </c>
      <c r="I860" s="59"/>
      <c r="J860" s="59" t="s">
        <v>1848</v>
      </c>
      <c r="K860" s="20"/>
      <c r="L860" s="20"/>
      <c r="M860" s="357"/>
      <c r="N860" s="411"/>
      <c r="O860" s="23" t="s">
        <v>1617</v>
      </c>
      <c r="P860" s="92" t="s">
        <v>632</v>
      </c>
      <c r="Q860" s="92" t="s">
        <v>646</v>
      </c>
      <c r="R860" s="372" t="str">
        <f t="shared" si="27"/>
        <v/>
      </c>
    </row>
    <row r="861" spans="1:18" x14ac:dyDescent="0.25">
      <c r="A861" s="23" t="s">
        <v>1841</v>
      </c>
      <c r="B861" s="18" t="str">
        <f>IF(ISNA(VLOOKUP($A861,'Data Pull Sheet'!$B$2:$C$1795,2,0)),"",(VLOOKUP($A861,'Data Pull Sheet'!$B$2:$C$1795,2,0)))</f>
        <v>FGP</v>
      </c>
      <c r="C861" s="59" t="s">
        <v>418</v>
      </c>
      <c r="D861" s="356" t="s">
        <v>1842</v>
      </c>
      <c r="E861" s="356" t="s">
        <v>430</v>
      </c>
      <c r="F861" s="23" t="s">
        <v>1849</v>
      </c>
      <c r="G861" s="23" t="s">
        <v>403</v>
      </c>
      <c r="H861" s="353">
        <v>615557.28</v>
      </c>
      <c r="I861" s="59"/>
      <c r="J861" s="59" t="s">
        <v>1850</v>
      </c>
      <c r="K861" s="20"/>
      <c r="L861" s="20"/>
      <c r="M861" s="357"/>
      <c r="N861" s="411"/>
      <c r="O861" s="23" t="s">
        <v>1617</v>
      </c>
      <c r="P861" s="92" t="s">
        <v>632</v>
      </c>
      <c r="Q861" s="92" t="s">
        <v>646</v>
      </c>
      <c r="R861" s="372" t="str">
        <f t="shared" si="27"/>
        <v/>
      </c>
    </row>
    <row r="862" spans="1:18" x14ac:dyDescent="0.25">
      <c r="A862" s="23" t="s">
        <v>1841</v>
      </c>
      <c r="B862" s="18" t="str">
        <f>IF(ISNA(VLOOKUP($A862,'Data Pull Sheet'!$B$2:$C$1795,2,0)),"",(VLOOKUP($A862,'Data Pull Sheet'!$B$2:$C$1795,2,0)))</f>
        <v>FGP</v>
      </c>
      <c r="C862" s="59" t="s">
        <v>418</v>
      </c>
      <c r="D862" s="356" t="s">
        <v>1842</v>
      </c>
      <c r="E862" s="356" t="s">
        <v>430</v>
      </c>
      <c r="F862" s="23" t="s">
        <v>1851</v>
      </c>
      <c r="G862" s="23" t="s">
        <v>403</v>
      </c>
      <c r="H862" s="353">
        <v>130809.5</v>
      </c>
      <c r="I862" s="59" t="s">
        <v>406</v>
      </c>
      <c r="J862" s="59" t="s">
        <v>1852</v>
      </c>
      <c r="K862" s="20"/>
      <c r="L862" s="20">
        <v>1</v>
      </c>
      <c r="M862" s="357">
        <f>+H862</f>
        <v>130809.5</v>
      </c>
      <c r="N862" s="411">
        <f>IFERROR((M862/(VLOOKUP(B862,'Data Pull Sheet'!$C:$H,6,FALSE))),"DC")</f>
        <v>6.0841627906976748E-4</v>
      </c>
      <c r="O862" s="23" t="s">
        <v>407</v>
      </c>
      <c r="P862" s="92" t="s">
        <v>632</v>
      </c>
      <c r="Q862" s="92" t="s">
        <v>637</v>
      </c>
      <c r="R862" s="372" t="str">
        <f t="shared" si="27"/>
        <v/>
      </c>
    </row>
    <row r="863" spans="1:18" ht="30" x14ac:dyDescent="0.25">
      <c r="A863" s="23" t="s">
        <v>1841</v>
      </c>
      <c r="B863" s="18" t="str">
        <f>IF(ISNA(VLOOKUP($A863,'Data Pull Sheet'!$B$2:$C$1795,2,0)),"",(VLOOKUP($A863,'Data Pull Sheet'!$B$2:$C$1795,2,0)))</f>
        <v>FGP</v>
      </c>
      <c r="C863" s="59" t="s">
        <v>418</v>
      </c>
      <c r="D863" s="356" t="s">
        <v>1842</v>
      </c>
      <c r="E863" s="356" t="s">
        <v>430</v>
      </c>
      <c r="F863" s="23" t="s">
        <v>1853</v>
      </c>
      <c r="G863" s="23" t="s">
        <v>403</v>
      </c>
      <c r="H863" s="353">
        <v>48660</v>
      </c>
      <c r="I863" s="59" t="s">
        <v>406</v>
      </c>
      <c r="J863" s="59" t="s">
        <v>1854</v>
      </c>
      <c r="K863" s="20"/>
      <c r="L863" s="20">
        <v>4</v>
      </c>
      <c r="M863" s="357">
        <f>SUM(H863:H866)</f>
        <v>758295</v>
      </c>
      <c r="N863" s="411">
        <f>IFERROR((M863/(VLOOKUP(B863,'Data Pull Sheet'!$C:$H,6,FALSE))),"DC")</f>
        <v>3.526953488372093E-3</v>
      </c>
      <c r="O863" s="23" t="s">
        <v>1855</v>
      </c>
      <c r="P863" s="92" t="s">
        <v>632</v>
      </c>
      <c r="Q863" s="92" t="s">
        <v>646</v>
      </c>
      <c r="R863" s="372" t="str">
        <f t="shared" si="27"/>
        <v/>
      </c>
    </row>
    <row r="864" spans="1:18" ht="30" x14ac:dyDescent="0.25">
      <c r="A864" s="23" t="s">
        <v>1841</v>
      </c>
      <c r="B864" s="18" t="str">
        <f>IF(ISNA(VLOOKUP($A864,'Data Pull Sheet'!$B$2:$C$1795,2,0)),"",(VLOOKUP($A864,'Data Pull Sheet'!$B$2:$C$1795,2,0)))</f>
        <v>FGP</v>
      </c>
      <c r="C864" s="59" t="s">
        <v>418</v>
      </c>
      <c r="D864" s="356" t="s">
        <v>1842</v>
      </c>
      <c r="E864" s="356" t="s">
        <v>430</v>
      </c>
      <c r="F864" s="23" t="s">
        <v>1856</v>
      </c>
      <c r="G864" s="23" t="s">
        <v>403</v>
      </c>
      <c r="H864" s="353">
        <v>122273</v>
      </c>
      <c r="I864" s="59" t="s">
        <v>406</v>
      </c>
      <c r="J864" s="59" t="s">
        <v>1857</v>
      </c>
      <c r="K864" s="20"/>
      <c r="L864" s="20"/>
      <c r="M864" s="357"/>
      <c r="N864" s="411"/>
      <c r="O864" s="23" t="s">
        <v>1855</v>
      </c>
      <c r="P864" s="92" t="s">
        <v>632</v>
      </c>
      <c r="Q864" s="92" t="s">
        <v>646</v>
      </c>
      <c r="R864" s="372" t="str">
        <f t="shared" si="27"/>
        <v/>
      </c>
    </row>
    <row r="865" spans="1:18" ht="30" x14ac:dyDescent="0.25">
      <c r="A865" s="23" t="s">
        <v>1841</v>
      </c>
      <c r="B865" s="18" t="str">
        <f>IF(ISNA(VLOOKUP($A865,'Data Pull Sheet'!$B$2:$C$1795,2,0)),"",(VLOOKUP($A865,'Data Pull Sheet'!$B$2:$C$1795,2,0)))</f>
        <v>FGP</v>
      </c>
      <c r="C865" s="59" t="s">
        <v>418</v>
      </c>
      <c r="D865" s="356" t="s">
        <v>1842</v>
      </c>
      <c r="E865" s="356" t="s">
        <v>430</v>
      </c>
      <c r="F865" s="23" t="s">
        <v>1858</v>
      </c>
      <c r="G865" s="23" t="s">
        <v>403</v>
      </c>
      <c r="H865" s="353">
        <v>274900</v>
      </c>
      <c r="I865" s="59" t="s">
        <v>406</v>
      </c>
      <c r="J865" s="59" t="s">
        <v>1859</v>
      </c>
      <c r="K865" s="20"/>
      <c r="L865" s="20"/>
      <c r="M865" s="357"/>
      <c r="N865" s="411"/>
      <c r="O865" s="23" t="s">
        <v>1855</v>
      </c>
      <c r="P865" s="92" t="s">
        <v>632</v>
      </c>
      <c r="Q865" s="92" t="s">
        <v>646</v>
      </c>
      <c r="R865" s="372" t="str">
        <f t="shared" si="27"/>
        <v>FF</v>
      </c>
    </row>
    <row r="866" spans="1:18" ht="30" x14ac:dyDescent="0.25">
      <c r="A866" s="23" t="s">
        <v>1841</v>
      </c>
      <c r="B866" s="18" t="str">
        <f>IF(ISNA(VLOOKUP($A866,'Data Pull Sheet'!$B$2:$C$1795,2,0)),"",(VLOOKUP($A866,'Data Pull Sheet'!$B$2:$C$1795,2,0)))</f>
        <v>FGP</v>
      </c>
      <c r="C866" s="59" t="s">
        <v>418</v>
      </c>
      <c r="D866" s="356" t="s">
        <v>1842</v>
      </c>
      <c r="E866" s="356" t="s">
        <v>430</v>
      </c>
      <c r="F866" s="23" t="s">
        <v>1860</v>
      </c>
      <c r="G866" s="23" t="s">
        <v>403</v>
      </c>
      <c r="H866" s="353">
        <v>312462</v>
      </c>
      <c r="I866" s="59" t="s">
        <v>406</v>
      </c>
      <c r="J866" s="59" t="s">
        <v>1861</v>
      </c>
      <c r="K866" s="20"/>
      <c r="L866" s="20"/>
      <c r="M866" s="357"/>
      <c r="N866" s="411"/>
      <c r="O866" s="23" t="s">
        <v>1855</v>
      </c>
      <c r="P866" s="92" t="s">
        <v>632</v>
      </c>
      <c r="Q866" s="92" t="s">
        <v>646</v>
      </c>
      <c r="R866" s="372" t="str">
        <f t="shared" si="27"/>
        <v/>
      </c>
    </row>
    <row r="867" spans="1:18" x14ac:dyDescent="0.25">
      <c r="A867" s="23" t="s">
        <v>1841</v>
      </c>
      <c r="B867" s="18" t="str">
        <f>IF(ISNA(VLOOKUP($A867,'Data Pull Sheet'!$B$2:$C$1795,2,0)),"",(VLOOKUP($A867,'Data Pull Sheet'!$B$2:$C$1795,2,0)))</f>
        <v>FGP</v>
      </c>
      <c r="C867" s="59" t="s">
        <v>418</v>
      </c>
      <c r="D867" s="356" t="s">
        <v>1842</v>
      </c>
      <c r="E867" s="356" t="s">
        <v>430</v>
      </c>
      <c r="F867" s="23" t="s">
        <v>1862</v>
      </c>
      <c r="G867" s="23" t="s">
        <v>403</v>
      </c>
      <c r="H867" s="353">
        <v>370663.04</v>
      </c>
      <c r="I867" s="59"/>
      <c r="J867" s="59" t="s">
        <v>1863</v>
      </c>
      <c r="K867" s="20"/>
      <c r="L867" s="20">
        <v>1</v>
      </c>
      <c r="M867" s="357">
        <f>SUM(H867)</f>
        <v>370663.04</v>
      </c>
      <c r="N867" s="411">
        <f>IFERROR((M867/(VLOOKUP(B867,'Data Pull Sheet'!$C:$H,6,FALSE))),"DC")</f>
        <v>1.7240141395348837E-3</v>
      </c>
      <c r="O867" s="23" t="s">
        <v>1002</v>
      </c>
      <c r="P867" s="92" t="s">
        <v>632</v>
      </c>
      <c r="Q867" s="92" t="s">
        <v>637</v>
      </c>
      <c r="R867" s="372" t="str">
        <f t="shared" si="27"/>
        <v/>
      </c>
    </row>
    <row r="868" spans="1:18" x14ac:dyDescent="0.25">
      <c r="A868" s="23" t="s">
        <v>1841</v>
      </c>
      <c r="B868" s="18" t="str">
        <f>IF(ISNA(VLOOKUP($A868,'Data Pull Sheet'!$B$2:$C$1795,2,0)),"",(VLOOKUP($A868,'Data Pull Sheet'!$B$2:$C$1795,2,0)))</f>
        <v>FGP</v>
      </c>
      <c r="C868" s="59" t="s">
        <v>418</v>
      </c>
      <c r="D868" s="356" t="s">
        <v>1842</v>
      </c>
      <c r="E868" s="356" t="s">
        <v>430</v>
      </c>
      <c r="F868" s="23" t="s">
        <v>1864</v>
      </c>
      <c r="G868" s="23" t="s">
        <v>403</v>
      </c>
      <c r="H868" s="353">
        <v>212937.15</v>
      </c>
      <c r="I868" s="59"/>
      <c r="J868" s="59" t="s">
        <v>1865</v>
      </c>
      <c r="K868" s="20"/>
      <c r="L868" s="20">
        <v>1</v>
      </c>
      <c r="M868" s="357">
        <f>H868</f>
        <v>212937.15</v>
      </c>
      <c r="N868" s="411">
        <f>IFERROR((M868/(VLOOKUP(B868,'Data Pull Sheet'!$C:$H,6,FALSE))),"DC")</f>
        <v>9.9040534883720931E-4</v>
      </c>
      <c r="O868" s="23" t="s">
        <v>849</v>
      </c>
      <c r="P868" s="92" t="s">
        <v>632</v>
      </c>
      <c r="Q868" s="92" t="s">
        <v>637</v>
      </c>
      <c r="R868" s="372" t="str">
        <f t="shared" si="27"/>
        <v/>
      </c>
    </row>
    <row r="869" spans="1:18" ht="30" x14ac:dyDescent="0.25">
      <c r="A869" s="23" t="s">
        <v>1841</v>
      </c>
      <c r="B869" s="18" t="str">
        <f>IF(ISNA(VLOOKUP($A869,'Data Pull Sheet'!$B$2:$C$1795,2,0)),"",(VLOOKUP($A869,'Data Pull Sheet'!$B$2:$C$1795,2,0)))</f>
        <v>FGP</v>
      </c>
      <c r="C869" s="59" t="s">
        <v>418</v>
      </c>
      <c r="D869" s="356" t="s">
        <v>1842</v>
      </c>
      <c r="E869" s="356" t="s">
        <v>430</v>
      </c>
      <c r="F869" s="23" t="s">
        <v>1866</v>
      </c>
      <c r="G869" s="23" t="s">
        <v>403</v>
      </c>
      <c r="H869" s="353">
        <v>20847</v>
      </c>
      <c r="I869" s="59" t="s">
        <v>442</v>
      </c>
      <c r="J869" s="59" t="s">
        <v>1867</v>
      </c>
      <c r="K869" s="20"/>
      <c r="L869" s="20">
        <v>5</v>
      </c>
      <c r="M869" s="357">
        <f>SUM(H869:H873)</f>
        <v>1123788.18</v>
      </c>
      <c r="N869" s="411">
        <f>IFERROR((M869/(VLOOKUP(B869,'Data Pull Sheet'!$C:$H,6,FALSE))),"DC")</f>
        <v>5.2269217674418599E-3</v>
      </c>
      <c r="O869" s="23" t="s">
        <v>4392</v>
      </c>
      <c r="P869" s="92" t="s">
        <v>632</v>
      </c>
      <c r="Q869" s="92" t="s">
        <v>662</v>
      </c>
      <c r="R869" s="372" t="str">
        <f t="shared" si="27"/>
        <v/>
      </c>
    </row>
    <row r="870" spans="1:18" x14ac:dyDescent="0.25">
      <c r="A870" s="23" t="s">
        <v>1841</v>
      </c>
      <c r="B870" s="18" t="str">
        <f>IF(ISNA(VLOOKUP($A870,'Data Pull Sheet'!$B$2:$C$1795,2,0)),"",(VLOOKUP($A870,'Data Pull Sheet'!$B$2:$C$1795,2,0)))</f>
        <v>FGP</v>
      </c>
      <c r="C870" s="59" t="s">
        <v>418</v>
      </c>
      <c r="D870" s="356" t="s">
        <v>1842</v>
      </c>
      <c r="E870" s="356" t="s">
        <v>430</v>
      </c>
      <c r="F870" s="23" t="s">
        <v>1868</v>
      </c>
      <c r="G870" s="23" t="s">
        <v>403</v>
      </c>
      <c r="H870" s="353">
        <v>140714</v>
      </c>
      <c r="I870" s="59" t="s">
        <v>442</v>
      </c>
      <c r="J870" s="59" t="s">
        <v>1869</v>
      </c>
      <c r="K870" s="20"/>
      <c r="L870" s="20"/>
      <c r="M870" s="357"/>
      <c r="N870" s="411"/>
      <c r="O870" s="23" t="s">
        <v>4392</v>
      </c>
      <c r="P870" s="92" t="s">
        <v>632</v>
      </c>
      <c r="Q870" s="92" t="s">
        <v>662</v>
      </c>
      <c r="R870" s="372" t="str">
        <f t="shared" si="27"/>
        <v/>
      </c>
    </row>
    <row r="871" spans="1:18" x14ac:dyDescent="0.25">
      <c r="A871" s="23" t="s">
        <v>1841</v>
      </c>
      <c r="B871" s="18" t="str">
        <f>IF(ISNA(VLOOKUP($A871,'Data Pull Sheet'!$B$2:$C$1795,2,0)),"",(VLOOKUP($A871,'Data Pull Sheet'!$B$2:$C$1795,2,0)))</f>
        <v>FGP</v>
      </c>
      <c r="C871" s="59" t="s">
        <v>418</v>
      </c>
      <c r="D871" s="356" t="s">
        <v>1842</v>
      </c>
      <c r="E871" s="356" t="s">
        <v>430</v>
      </c>
      <c r="F871" s="23" t="s">
        <v>1870</v>
      </c>
      <c r="G871" s="23" t="s">
        <v>403</v>
      </c>
      <c r="H871" s="353">
        <v>312521.3</v>
      </c>
      <c r="I871" s="59" t="s">
        <v>442</v>
      </c>
      <c r="J871" s="59" t="s">
        <v>1871</v>
      </c>
      <c r="K871" s="20"/>
      <c r="L871" s="20"/>
      <c r="M871" s="357"/>
      <c r="N871" s="411"/>
      <c r="O871" s="23" t="s">
        <v>4392</v>
      </c>
      <c r="P871" s="92" t="s">
        <v>632</v>
      </c>
      <c r="Q871" s="92" t="s">
        <v>662</v>
      </c>
      <c r="R871" s="372" t="str">
        <f t="shared" si="27"/>
        <v/>
      </c>
    </row>
    <row r="872" spans="1:18" x14ac:dyDescent="0.25">
      <c r="A872" s="23" t="s">
        <v>1841</v>
      </c>
      <c r="B872" s="18" t="str">
        <f>IF(ISNA(VLOOKUP($A872,'Data Pull Sheet'!$B$2:$C$1795,2,0)),"",(VLOOKUP($A872,'Data Pull Sheet'!$B$2:$C$1795,2,0)))</f>
        <v>FGP</v>
      </c>
      <c r="C872" s="59" t="s">
        <v>418</v>
      </c>
      <c r="D872" s="356" t="s">
        <v>1842</v>
      </c>
      <c r="E872" s="356" t="s">
        <v>430</v>
      </c>
      <c r="F872" s="23" t="s">
        <v>1872</v>
      </c>
      <c r="G872" s="23" t="s">
        <v>417</v>
      </c>
      <c r="H872" s="353">
        <v>314985.3</v>
      </c>
      <c r="I872" s="59" t="s">
        <v>442</v>
      </c>
      <c r="J872" s="59" t="s">
        <v>1873</v>
      </c>
      <c r="K872" s="20"/>
      <c r="L872" s="20"/>
      <c r="M872" s="357"/>
      <c r="N872" s="411"/>
      <c r="O872" s="23" t="s">
        <v>4392</v>
      </c>
      <c r="P872" s="92" t="s">
        <v>632</v>
      </c>
      <c r="Q872" s="92" t="s">
        <v>662</v>
      </c>
      <c r="R872" s="372" t="str">
        <f t="shared" si="27"/>
        <v/>
      </c>
    </row>
    <row r="873" spans="1:18" x14ac:dyDescent="0.25">
      <c r="A873" s="23" t="s">
        <v>1841</v>
      </c>
      <c r="B873" s="18" t="str">
        <f>IF(ISNA(VLOOKUP($A873,'Data Pull Sheet'!$B$2:$C$1795,2,0)),"",(VLOOKUP($A873,'Data Pull Sheet'!$B$2:$C$1795,2,0)))</f>
        <v>FGP</v>
      </c>
      <c r="C873" s="59" t="s">
        <v>418</v>
      </c>
      <c r="D873" s="356" t="s">
        <v>1842</v>
      </c>
      <c r="E873" s="356" t="s">
        <v>430</v>
      </c>
      <c r="F873" s="23" t="s">
        <v>1874</v>
      </c>
      <c r="G873" s="23" t="s">
        <v>403</v>
      </c>
      <c r="H873" s="353">
        <v>334720.58</v>
      </c>
      <c r="I873" s="59" t="s">
        <v>442</v>
      </c>
      <c r="J873" s="59" t="s">
        <v>1875</v>
      </c>
      <c r="K873" s="20"/>
      <c r="L873" s="20"/>
      <c r="M873" s="357"/>
      <c r="N873" s="411"/>
      <c r="O873" s="23" t="s">
        <v>4392</v>
      </c>
      <c r="P873" s="92" t="s">
        <v>632</v>
      </c>
      <c r="Q873" s="92" t="s">
        <v>662</v>
      </c>
      <c r="R873" s="372" t="str">
        <f t="shared" si="27"/>
        <v/>
      </c>
    </row>
    <row r="874" spans="1:18" x14ac:dyDescent="0.25">
      <c r="A874" s="23" t="s">
        <v>2768</v>
      </c>
      <c r="B874" s="18" t="s">
        <v>10774</v>
      </c>
      <c r="C874" s="59" t="s">
        <v>446</v>
      </c>
      <c r="D874" s="356" t="s">
        <v>1842</v>
      </c>
      <c r="E874" s="356" t="s">
        <v>430</v>
      </c>
      <c r="F874" s="23" t="s">
        <v>2769</v>
      </c>
      <c r="G874" s="23" t="s">
        <v>403</v>
      </c>
      <c r="H874" s="353">
        <v>19803.88</v>
      </c>
      <c r="I874" s="59"/>
      <c r="J874" s="59" t="s">
        <v>10776</v>
      </c>
      <c r="K874" s="20">
        <v>1</v>
      </c>
      <c r="L874" s="20">
        <f>1</f>
        <v>1</v>
      </c>
      <c r="M874" s="357">
        <f>SUM(H874)</f>
        <v>19803.88</v>
      </c>
      <c r="N874" s="411">
        <f>IFERROR((M874/(VLOOKUP(B874,'Data Pull Sheet'!$C:$H,6,FALSE))),"DC")</f>
        <v>9.9019400000000001E-4</v>
      </c>
      <c r="O874" s="23" t="s">
        <v>877</v>
      </c>
      <c r="P874" s="92" t="s">
        <v>676</v>
      </c>
      <c r="Q874" s="92" t="s">
        <v>637</v>
      </c>
      <c r="R874" s="372" t="str">
        <f t="shared" si="27"/>
        <v/>
      </c>
    </row>
    <row r="875" spans="1:18" x14ac:dyDescent="0.25">
      <c r="A875" s="23" t="s">
        <v>3715</v>
      </c>
      <c r="B875" s="18" t="str">
        <f>IF(ISNA(VLOOKUP($A875,'Data Pull Sheet'!$B$2:$C$1795,2,0)),"",(VLOOKUP($A875,'Data Pull Sheet'!$B$2:$C$1795,2,0)))</f>
        <v>THC</v>
      </c>
      <c r="C875" s="59" t="s">
        <v>1815</v>
      </c>
      <c r="D875" s="356" t="s">
        <v>3716</v>
      </c>
      <c r="E875" s="356" t="s">
        <v>3717</v>
      </c>
      <c r="F875" s="23" t="s">
        <v>3718</v>
      </c>
      <c r="G875" s="23" t="s">
        <v>403</v>
      </c>
      <c r="H875" s="353">
        <v>27844</v>
      </c>
      <c r="I875" s="59"/>
      <c r="J875" s="59" t="s">
        <v>3719</v>
      </c>
      <c r="K875" s="20">
        <v>1</v>
      </c>
      <c r="L875" s="20">
        <v>4</v>
      </c>
      <c r="M875" s="357">
        <f>SUM(H875:H878)</f>
        <v>186136.88</v>
      </c>
      <c r="N875" s="411">
        <f>IFERROR((M875/(VLOOKUP(B875,'Data Pull Sheet'!$C:$H,6,FALSE))),"DC")</f>
        <v>1.329549142857143E-3</v>
      </c>
      <c r="O875" s="23" t="s">
        <v>3720</v>
      </c>
      <c r="P875" s="92" t="s">
        <v>676</v>
      </c>
      <c r="Q875" s="92" t="s">
        <v>646</v>
      </c>
      <c r="R875" s="372" t="str">
        <f t="shared" si="27"/>
        <v/>
      </c>
    </row>
    <row r="876" spans="1:18" x14ac:dyDescent="0.25">
      <c r="A876" s="23" t="s">
        <v>3715</v>
      </c>
      <c r="B876" s="18" t="str">
        <f>IF(ISNA(VLOOKUP($A876,'Data Pull Sheet'!$B$2:$C$1795,2,0)),"",(VLOOKUP($A876,'Data Pull Sheet'!$B$2:$C$1795,2,0)))</f>
        <v>THC</v>
      </c>
      <c r="C876" s="59" t="s">
        <v>1815</v>
      </c>
      <c r="D876" s="356" t="s">
        <v>3716</v>
      </c>
      <c r="E876" s="356" t="s">
        <v>3717</v>
      </c>
      <c r="F876" s="23" t="s">
        <v>3721</v>
      </c>
      <c r="G876" s="23" t="s">
        <v>403</v>
      </c>
      <c r="H876" s="353">
        <v>32234</v>
      </c>
      <c r="I876" s="59"/>
      <c r="J876" s="59" t="s">
        <v>3722</v>
      </c>
      <c r="K876" s="20"/>
      <c r="L876" s="20"/>
      <c r="M876" s="357"/>
      <c r="N876" s="411"/>
      <c r="O876" s="23" t="s">
        <v>3720</v>
      </c>
      <c r="P876" s="92" t="s">
        <v>676</v>
      </c>
      <c r="Q876" s="92" t="s">
        <v>646</v>
      </c>
      <c r="R876" s="372" t="str">
        <f t="shared" si="27"/>
        <v/>
      </c>
    </row>
    <row r="877" spans="1:18" x14ac:dyDescent="0.25">
      <c r="A877" s="23" t="s">
        <v>3715</v>
      </c>
      <c r="B877" s="18" t="str">
        <f>IF(ISNA(VLOOKUP($A877,'Data Pull Sheet'!$B$2:$C$1795,2,0)),"",(VLOOKUP($A877,'Data Pull Sheet'!$B$2:$C$1795,2,0)))</f>
        <v>THC</v>
      </c>
      <c r="C877" s="59" t="s">
        <v>1815</v>
      </c>
      <c r="D877" s="356" t="s">
        <v>3716</v>
      </c>
      <c r="E877" s="356" t="s">
        <v>3717</v>
      </c>
      <c r="F877" s="23" t="s">
        <v>3723</v>
      </c>
      <c r="G877" s="23" t="s">
        <v>403</v>
      </c>
      <c r="H877" s="353">
        <v>40617</v>
      </c>
      <c r="I877" s="59"/>
      <c r="J877" s="59" t="s">
        <v>3724</v>
      </c>
      <c r="K877" s="20"/>
      <c r="L877" s="20"/>
      <c r="M877" s="357"/>
      <c r="N877" s="411"/>
      <c r="O877" s="23" t="s">
        <v>3720</v>
      </c>
      <c r="P877" s="92" t="s">
        <v>676</v>
      </c>
      <c r="Q877" s="92" t="s">
        <v>646</v>
      </c>
      <c r="R877" s="372" t="str">
        <f t="shared" si="27"/>
        <v/>
      </c>
    </row>
    <row r="878" spans="1:18" x14ac:dyDescent="0.25">
      <c r="A878" s="23" t="s">
        <v>3715</v>
      </c>
      <c r="B878" s="18" t="str">
        <f>IF(ISNA(VLOOKUP($A878,'Data Pull Sheet'!$B$2:$C$1795,2,0)),"",(VLOOKUP($A878,'Data Pull Sheet'!$B$2:$C$1795,2,0)))</f>
        <v>THC</v>
      </c>
      <c r="C878" s="59" t="s">
        <v>1815</v>
      </c>
      <c r="D878" s="356" t="s">
        <v>3716</v>
      </c>
      <c r="E878" s="356" t="s">
        <v>3717</v>
      </c>
      <c r="F878" s="23" t="s">
        <v>3725</v>
      </c>
      <c r="G878" s="23" t="s">
        <v>403</v>
      </c>
      <c r="H878" s="353">
        <v>85441.88</v>
      </c>
      <c r="I878" s="59"/>
      <c r="J878" s="59" t="s">
        <v>3726</v>
      </c>
      <c r="K878" s="20"/>
      <c r="L878" s="20"/>
      <c r="M878" s="357"/>
      <c r="N878" s="411"/>
      <c r="O878" s="23" t="s">
        <v>3720</v>
      </c>
      <c r="P878" s="92" t="s">
        <v>676</v>
      </c>
      <c r="Q878" s="92" t="s">
        <v>646</v>
      </c>
      <c r="R878" s="372" t="str">
        <f t="shared" si="27"/>
        <v/>
      </c>
    </row>
    <row r="879" spans="1:18" x14ac:dyDescent="0.25">
      <c r="A879" s="23" t="s">
        <v>241</v>
      </c>
      <c r="B879" s="18" t="str">
        <f>IF(ISNA(VLOOKUP($A879,'Data Pull Sheet'!$B$2:$C$1795,2,0)),"",(VLOOKUP($A879,'Data Pull Sheet'!$B$2:$C$1795,2,0)))</f>
        <v>MYL</v>
      </c>
      <c r="C879" s="59" t="s">
        <v>418</v>
      </c>
      <c r="D879" s="356" t="s">
        <v>462</v>
      </c>
      <c r="E879" s="356" t="s">
        <v>505</v>
      </c>
      <c r="F879" s="23" t="s">
        <v>2736</v>
      </c>
      <c r="G879" s="23" t="s">
        <v>403</v>
      </c>
      <c r="H879" s="353">
        <v>302665.53000000003</v>
      </c>
      <c r="I879" s="59"/>
      <c r="J879" s="59" t="s">
        <v>2737</v>
      </c>
      <c r="K879" s="20">
        <v>3</v>
      </c>
      <c r="L879" s="20">
        <v>1</v>
      </c>
      <c r="M879" s="357">
        <f>H879</f>
        <v>302665.53000000003</v>
      </c>
      <c r="N879" s="411">
        <f>IFERROR((M879/(VLOOKUP(B879,'Data Pull Sheet'!$C:$H,6,FALSE))),"DC")</f>
        <v>2.0177702000000002E-4</v>
      </c>
      <c r="O879" s="23" t="s">
        <v>104</v>
      </c>
      <c r="P879" s="92" t="s">
        <v>632</v>
      </c>
      <c r="Q879" s="92" t="s">
        <v>637</v>
      </c>
      <c r="R879" s="372" t="str">
        <f t="shared" si="27"/>
        <v/>
      </c>
    </row>
    <row r="880" spans="1:18" ht="30" x14ac:dyDescent="0.25">
      <c r="A880" s="23" t="s">
        <v>241</v>
      </c>
      <c r="B880" s="18" t="str">
        <f>IF(ISNA(VLOOKUP($A880,'Data Pull Sheet'!$B$2:$C$1795,2,0)),"",(VLOOKUP($A880,'Data Pull Sheet'!$B$2:$C$1795,2,0)))</f>
        <v>MYL</v>
      </c>
      <c r="C880" s="59" t="s">
        <v>418</v>
      </c>
      <c r="D880" s="356" t="s">
        <v>462</v>
      </c>
      <c r="E880" s="356" t="s">
        <v>505</v>
      </c>
      <c r="F880" s="23" t="s">
        <v>506</v>
      </c>
      <c r="G880" s="23" t="s">
        <v>403</v>
      </c>
      <c r="H880" s="353">
        <v>21392815.18</v>
      </c>
      <c r="I880" s="59"/>
      <c r="J880" s="59" t="s">
        <v>2738</v>
      </c>
      <c r="K880" s="20"/>
      <c r="L880" s="20">
        <v>1</v>
      </c>
      <c r="M880" s="357">
        <f>H880</f>
        <v>21392815.18</v>
      </c>
      <c r="N880" s="411">
        <f>IFERROR((M880/(VLOOKUP(B880,'Data Pull Sheet'!$C:$H,6,FALSE))),"DC")</f>
        <v>1.4261876786666667E-2</v>
      </c>
      <c r="O880" s="23" t="s">
        <v>631</v>
      </c>
      <c r="P880" s="92" t="s">
        <v>632</v>
      </c>
      <c r="Q880" s="92" t="s">
        <v>637</v>
      </c>
      <c r="R880" s="372" t="str">
        <f t="shared" si="27"/>
        <v>FF</v>
      </c>
    </row>
    <row r="881" spans="1:18" x14ac:dyDescent="0.25">
      <c r="A881" s="23" t="s">
        <v>241</v>
      </c>
      <c r="B881" s="18" t="str">
        <f>IF(ISNA(VLOOKUP($A881,'Data Pull Sheet'!$B$2:$C$1795,2,0)),"",(VLOOKUP($A881,'Data Pull Sheet'!$B$2:$C$1795,2,0)))</f>
        <v>MYL</v>
      </c>
      <c r="C881" s="59" t="s">
        <v>418</v>
      </c>
      <c r="D881" s="356" t="s">
        <v>462</v>
      </c>
      <c r="E881" s="356" t="s">
        <v>505</v>
      </c>
      <c r="F881" s="23" t="s">
        <v>2739</v>
      </c>
      <c r="G881" s="23" t="s">
        <v>417</v>
      </c>
      <c r="H881" s="353">
        <v>11351169</v>
      </c>
      <c r="I881" s="59"/>
      <c r="J881" s="59" t="s">
        <v>2740</v>
      </c>
      <c r="K881" s="20"/>
      <c r="L881" s="20">
        <v>3</v>
      </c>
      <c r="M881" s="357">
        <f>SUM(H881:H883)</f>
        <v>52710653</v>
      </c>
      <c r="N881" s="411">
        <f>IFERROR((M881/(VLOOKUP(B881,'Data Pull Sheet'!$C:$H,6,FALSE))),"DC")</f>
        <v>3.5140435333333331E-2</v>
      </c>
      <c r="O881" s="23" t="s">
        <v>79</v>
      </c>
      <c r="P881" s="92" t="s">
        <v>632</v>
      </c>
      <c r="Q881" s="92" t="s">
        <v>640</v>
      </c>
      <c r="R881" s="372" t="str">
        <f t="shared" si="27"/>
        <v>FF</v>
      </c>
    </row>
    <row r="882" spans="1:18" x14ac:dyDescent="0.25">
      <c r="A882" s="23" t="s">
        <v>241</v>
      </c>
      <c r="B882" s="18" t="str">
        <f>IF(ISNA(VLOOKUP($A882,'Data Pull Sheet'!$B$2:$C$1795,2,0)),"",(VLOOKUP($A882,'Data Pull Sheet'!$B$2:$C$1795,2,0)))</f>
        <v>MYL</v>
      </c>
      <c r="C882" s="59" t="s">
        <v>418</v>
      </c>
      <c r="D882" s="356" t="s">
        <v>462</v>
      </c>
      <c r="E882" s="356" t="s">
        <v>505</v>
      </c>
      <c r="F882" s="23" t="s">
        <v>237</v>
      </c>
      <c r="G882" s="23" t="s">
        <v>417</v>
      </c>
      <c r="H882" s="353">
        <v>12855132</v>
      </c>
      <c r="I882" s="59"/>
      <c r="J882" s="59" t="s">
        <v>2741</v>
      </c>
      <c r="K882" s="20"/>
      <c r="L882" s="20"/>
      <c r="M882" s="357"/>
      <c r="N882" s="411"/>
      <c r="O882" s="23" t="s">
        <v>79</v>
      </c>
      <c r="P882" s="92" t="s">
        <v>632</v>
      </c>
      <c r="Q882" s="92" t="s">
        <v>640</v>
      </c>
      <c r="R882" s="372" t="str">
        <f t="shared" si="27"/>
        <v>FF</v>
      </c>
    </row>
    <row r="883" spans="1:18" ht="30" x14ac:dyDescent="0.25">
      <c r="A883" s="23" t="s">
        <v>241</v>
      </c>
      <c r="B883" s="18" t="str">
        <f>IF(ISNA(VLOOKUP($A883,'Data Pull Sheet'!$B$2:$C$1795,2,0)),"",(VLOOKUP($A883,'Data Pull Sheet'!$B$2:$C$1795,2,0)))</f>
        <v>MYL</v>
      </c>
      <c r="C883" s="59" t="s">
        <v>418</v>
      </c>
      <c r="D883" s="356" t="s">
        <v>462</v>
      </c>
      <c r="E883" s="356" t="s">
        <v>505</v>
      </c>
      <c r="F883" s="23" t="s">
        <v>10441</v>
      </c>
      <c r="G883" s="23" t="s">
        <v>417</v>
      </c>
      <c r="H883" s="353">
        <v>28504352</v>
      </c>
      <c r="I883" s="59"/>
      <c r="J883" s="59" t="s">
        <v>2744</v>
      </c>
      <c r="K883" s="20"/>
      <c r="L883" s="20"/>
      <c r="M883" s="357"/>
      <c r="N883" s="411"/>
      <c r="O883" s="23" t="s">
        <v>79</v>
      </c>
      <c r="P883" s="92" t="s">
        <v>632</v>
      </c>
      <c r="Q883" s="92" t="s">
        <v>640</v>
      </c>
      <c r="R883" s="372" t="str">
        <f t="shared" si="27"/>
        <v>FF</v>
      </c>
    </row>
    <row r="884" spans="1:18" x14ac:dyDescent="0.25">
      <c r="A884" s="23" t="s">
        <v>3948</v>
      </c>
      <c r="B884" s="18" t="str">
        <f>IF(ISNA(VLOOKUP($A884,'Data Pull Sheet'!$B$2:$C$1795,2,0)),"",(VLOOKUP($A884,'Data Pull Sheet'!$B$2:$C$1795,2,0)))</f>
        <v>TSN</v>
      </c>
      <c r="C884" s="59" t="s">
        <v>3949</v>
      </c>
      <c r="D884" s="356" t="s">
        <v>530</v>
      </c>
      <c r="E884" s="356" t="s">
        <v>1603</v>
      </c>
      <c r="F884" s="23" t="s">
        <v>3950</v>
      </c>
      <c r="G884" s="23" t="s">
        <v>417</v>
      </c>
      <c r="H884" s="353">
        <v>437721</v>
      </c>
      <c r="I884" s="59" t="s">
        <v>413</v>
      </c>
      <c r="J884" s="59" t="s">
        <v>3951</v>
      </c>
      <c r="K884" s="20">
        <v>3</v>
      </c>
      <c r="L884" s="20">
        <v>3</v>
      </c>
      <c r="M884" s="357">
        <f>SUM(H884:H886)</f>
        <v>4315587.43</v>
      </c>
      <c r="N884" s="411">
        <f>IFERROR((M884/(VLOOKUP(B884,'Data Pull Sheet'!$C:$H,6,FALSE))),"DC")</f>
        <v>1.726234972E-2</v>
      </c>
      <c r="O884" s="23" t="s">
        <v>1</v>
      </c>
      <c r="P884" s="92" t="s">
        <v>632</v>
      </c>
      <c r="Q884" s="92" t="s">
        <v>640</v>
      </c>
      <c r="R884" s="372" t="str">
        <f t="shared" si="27"/>
        <v>FF</v>
      </c>
    </row>
    <row r="885" spans="1:18" ht="30" x14ac:dyDescent="0.25">
      <c r="A885" s="23" t="s">
        <v>3948</v>
      </c>
      <c r="B885" s="18" t="str">
        <f>IF(ISNA(VLOOKUP($A885,'Data Pull Sheet'!$B$2:$C$1795,2,0)),"",(VLOOKUP($A885,'Data Pull Sheet'!$B$2:$C$1795,2,0)))</f>
        <v>TSN</v>
      </c>
      <c r="C885" s="59" t="s">
        <v>3949</v>
      </c>
      <c r="D885" s="356" t="s">
        <v>530</v>
      </c>
      <c r="E885" s="356" t="s">
        <v>1603</v>
      </c>
      <c r="F885" s="23" t="s">
        <v>3952</v>
      </c>
      <c r="G885" s="23" t="s">
        <v>417</v>
      </c>
      <c r="H885" s="353">
        <v>952715.77</v>
      </c>
      <c r="I885" s="59" t="s">
        <v>413</v>
      </c>
      <c r="J885" s="59" t="s">
        <v>3953</v>
      </c>
      <c r="K885" s="20"/>
      <c r="L885" s="20"/>
      <c r="M885" s="357"/>
      <c r="N885" s="411"/>
      <c r="O885" s="23" t="s">
        <v>1</v>
      </c>
      <c r="P885" s="92" t="s">
        <v>632</v>
      </c>
      <c r="Q885" s="92" t="s">
        <v>640</v>
      </c>
      <c r="R885" s="372" t="str">
        <f t="shared" si="27"/>
        <v>FF</v>
      </c>
    </row>
    <row r="886" spans="1:18" x14ac:dyDescent="0.25">
      <c r="A886" s="23" t="s">
        <v>3948</v>
      </c>
      <c r="B886" s="18" t="str">
        <f>IF(ISNA(VLOOKUP($A886,'Data Pull Sheet'!$B$2:$C$1795,2,0)),"",(VLOOKUP($A886,'Data Pull Sheet'!$B$2:$C$1795,2,0)))</f>
        <v>TSN</v>
      </c>
      <c r="C886" s="59" t="s">
        <v>3949</v>
      </c>
      <c r="D886" s="356" t="s">
        <v>530</v>
      </c>
      <c r="E886" s="356" t="s">
        <v>1603</v>
      </c>
      <c r="F886" s="23" t="s">
        <v>172</v>
      </c>
      <c r="G886" s="23" t="s">
        <v>417</v>
      </c>
      <c r="H886" s="353">
        <v>2925150.66</v>
      </c>
      <c r="I886" s="59" t="s">
        <v>413</v>
      </c>
      <c r="J886" s="59" t="s">
        <v>3954</v>
      </c>
      <c r="K886" s="20"/>
      <c r="L886" s="20"/>
      <c r="M886" s="357"/>
      <c r="N886" s="411"/>
      <c r="O886" s="23" t="s">
        <v>1</v>
      </c>
      <c r="P886" s="92" t="s">
        <v>632</v>
      </c>
      <c r="Q886" s="92" t="s">
        <v>640</v>
      </c>
      <c r="R886" s="372" t="str">
        <f t="shared" si="27"/>
        <v>FF</v>
      </c>
    </row>
    <row r="887" spans="1:18" x14ac:dyDescent="0.25">
      <c r="A887" s="23" t="s">
        <v>3948</v>
      </c>
      <c r="B887" s="18" t="str">
        <f>IF(ISNA(VLOOKUP($A887,'Data Pull Sheet'!$B$2:$C$1795,2,0)),"",(VLOOKUP($A887,'Data Pull Sheet'!$B$2:$C$1795,2,0)))</f>
        <v>TSN</v>
      </c>
      <c r="C887" s="59" t="s">
        <v>3949</v>
      </c>
      <c r="D887" s="356" t="s">
        <v>530</v>
      </c>
      <c r="E887" s="356" t="s">
        <v>1603</v>
      </c>
      <c r="F887" s="23" t="s">
        <v>3955</v>
      </c>
      <c r="G887" s="23" t="s">
        <v>403</v>
      </c>
      <c r="H887" s="353">
        <v>13066</v>
      </c>
      <c r="I887" s="59"/>
      <c r="J887" s="59" t="s">
        <v>3956</v>
      </c>
      <c r="K887" s="20"/>
      <c r="L887" s="20">
        <v>2</v>
      </c>
      <c r="M887" s="357">
        <f>SUM(H887:H888)</f>
        <v>25515</v>
      </c>
      <c r="N887" s="411">
        <f>IFERROR((M887/(VLOOKUP(B887,'Data Pull Sheet'!$C:$H,6,FALSE))),"DC")</f>
        <v>1.0206E-4</v>
      </c>
      <c r="O887" s="23" t="s">
        <v>675</v>
      </c>
      <c r="P887" s="92" t="s">
        <v>632</v>
      </c>
      <c r="Q887" s="92" t="s">
        <v>646</v>
      </c>
      <c r="R887" s="372" t="str">
        <f t="shared" si="27"/>
        <v/>
      </c>
    </row>
    <row r="888" spans="1:18" x14ac:dyDescent="0.25">
      <c r="A888" s="23" t="s">
        <v>3948</v>
      </c>
      <c r="B888" s="18" t="str">
        <f>IF(ISNA(VLOOKUP($A888,'Data Pull Sheet'!$B$2:$C$1795,2,0)),"",(VLOOKUP($A888,'Data Pull Sheet'!$B$2:$C$1795,2,0)))</f>
        <v>TSN</v>
      </c>
      <c r="C888" s="59" t="s">
        <v>3949</v>
      </c>
      <c r="D888" s="356" t="s">
        <v>530</v>
      </c>
      <c r="E888" s="356" t="s">
        <v>1603</v>
      </c>
      <c r="F888" s="23" t="s">
        <v>3957</v>
      </c>
      <c r="G888" s="23" t="s">
        <v>403</v>
      </c>
      <c r="H888" s="353">
        <v>12449</v>
      </c>
      <c r="I888" s="59"/>
      <c r="J888" s="59" t="s">
        <v>3958</v>
      </c>
      <c r="K888" s="20"/>
      <c r="L888" s="20"/>
      <c r="M888" s="357"/>
      <c r="N888" s="411"/>
      <c r="O888" s="23" t="s">
        <v>675</v>
      </c>
      <c r="P888" s="92" t="s">
        <v>632</v>
      </c>
      <c r="Q888" s="92" t="s">
        <v>646</v>
      </c>
      <c r="R888" s="372" t="str">
        <f t="shared" si="27"/>
        <v/>
      </c>
    </row>
    <row r="889" spans="1:18" x14ac:dyDescent="0.25">
      <c r="A889" s="23" t="s">
        <v>3948</v>
      </c>
      <c r="B889" s="18" t="str">
        <f>IF(ISNA(VLOOKUP($A889,'Data Pull Sheet'!$B$2:$C$1795,2,0)),"",(VLOOKUP($A889,'Data Pull Sheet'!$B$2:$C$1795,2,0)))</f>
        <v>TSN</v>
      </c>
      <c r="C889" s="59" t="s">
        <v>3949</v>
      </c>
      <c r="D889" s="356" t="s">
        <v>530</v>
      </c>
      <c r="E889" s="356" t="s">
        <v>1603</v>
      </c>
      <c r="F889" s="23" t="s">
        <v>3959</v>
      </c>
      <c r="G889" s="23" t="s">
        <v>403</v>
      </c>
      <c r="H889" s="353">
        <v>43604</v>
      </c>
      <c r="I889" s="59"/>
      <c r="J889" s="59" t="s">
        <v>3960</v>
      </c>
      <c r="K889" s="20"/>
      <c r="L889" s="20">
        <v>1</v>
      </c>
      <c r="M889" s="357">
        <f>H889</f>
        <v>43604</v>
      </c>
      <c r="N889" s="411">
        <f>IFERROR((M889/(VLOOKUP(B889,'Data Pull Sheet'!$C:$H,6,FALSE))),"DC")</f>
        <v>1.7441599999999999E-4</v>
      </c>
      <c r="O889" s="23" t="s">
        <v>1466</v>
      </c>
      <c r="P889" s="92" t="s">
        <v>632</v>
      </c>
      <c r="Q889" s="92" t="s">
        <v>637</v>
      </c>
      <c r="R889" s="372" t="str">
        <f t="shared" si="27"/>
        <v/>
      </c>
    </row>
    <row r="890" spans="1:18" x14ac:dyDescent="0.25">
      <c r="A890" s="23" t="s">
        <v>3089</v>
      </c>
      <c r="B890" s="18" t="str">
        <f>IF(ISNA(VLOOKUP($A890,'Data Pull Sheet'!$B$2:$C$1795,2,0)),"",(VLOOKUP($A890,'Data Pull Sheet'!$B$2:$C$1795,2,0)))</f>
        <v>PPC</v>
      </c>
      <c r="C890" s="59" t="s">
        <v>545</v>
      </c>
      <c r="D890" s="356" t="s">
        <v>500</v>
      </c>
      <c r="E890" s="356" t="s">
        <v>3090</v>
      </c>
      <c r="F890" s="23" t="s">
        <v>3091</v>
      </c>
      <c r="G890" s="23" t="s">
        <v>403</v>
      </c>
      <c r="H890" s="353">
        <v>86537.77</v>
      </c>
      <c r="I890" s="59" t="s">
        <v>1651</v>
      </c>
      <c r="J890" s="59" t="s">
        <v>3092</v>
      </c>
      <c r="K890" s="20">
        <v>2</v>
      </c>
      <c r="L890" s="20">
        <v>1</v>
      </c>
      <c r="M890" s="357">
        <f>H890</f>
        <v>86537.77</v>
      </c>
      <c r="N890" s="411">
        <f>IFERROR((M890/(VLOOKUP(B890,'Data Pull Sheet'!$C:$H,6,FALSE))),"DC")</f>
        <v>1.2019134722222222E-3</v>
      </c>
      <c r="O890" s="23" t="s">
        <v>3093</v>
      </c>
      <c r="P890" s="92" t="s">
        <v>632</v>
      </c>
      <c r="Q890" s="92" t="s">
        <v>637</v>
      </c>
      <c r="R890" s="372" t="str">
        <f t="shared" si="27"/>
        <v/>
      </c>
    </row>
    <row r="891" spans="1:18" x14ac:dyDescent="0.25">
      <c r="A891" s="23" t="s">
        <v>3089</v>
      </c>
      <c r="B891" s="18" t="str">
        <f>IF(ISNA(VLOOKUP($A891,'Data Pull Sheet'!$B$2:$C$1795,2,0)),"",(VLOOKUP($A891,'Data Pull Sheet'!$B$2:$C$1795,2,0)))</f>
        <v>PPC</v>
      </c>
      <c r="C891" s="59" t="s">
        <v>545</v>
      </c>
      <c r="D891" s="356" t="s">
        <v>500</v>
      </c>
      <c r="E891" s="356" t="s">
        <v>3090</v>
      </c>
      <c r="F891" s="23" t="s">
        <v>3094</v>
      </c>
      <c r="G891" s="23" t="s">
        <v>403</v>
      </c>
      <c r="H891" s="353">
        <v>10972</v>
      </c>
      <c r="I891" s="59"/>
      <c r="J891" s="59" t="s">
        <v>3095</v>
      </c>
      <c r="K891" s="20"/>
      <c r="L891" s="20">
        <v>5</v>
      </c>
      <c r="M891" s="357">
        <f>SUM(H891:H895)</f>
        <v>65489.26</v>
      </c>
      <c r="N891" s="411">
        <f>IFERROR((M891/(VLOOKUP(B891,'Data Pull Sheet'!$C:$H,6,FALSE))),"DC")</f>
        <v>9.095730555555556E-4</v>
      </c>
      <c r="O891" s="23" t="s">
        <v>554</v>
      </c>
      <c r="P891" s="92" t="s">
        <v>632</v>
      </c>
      <c r="Q891" s="92" t="s">
        <v>646</v>
      </c>
      <c r="R891" s="372" t="str">
        <f t="shared" si="27"/>
        <v/>
      </c>
    </row>
    <row r="892" spans="1:18" x14ac:dyDescent="0.25">
      <c r="A892" s="23" t="s">
        <v>3089</v>
      </c>
      <c r="B892" s="18" t="str">
        <f>IF(ISNA(VLOOKUP($A892,'Data Pull Sheet'!$B$2:$C$1795,2,0)),"",(VLOOKUP($A892,'Data Pull Sheet'!$B$2:$C$1795,2,0)))</f>
        <v>PPC</v>
      </c>
      <c r="C892" s="59" t="s">
        <v>545</v>
      </c>
      <c r="D892" s="356" t="s">
        <v>500</v>
      </c>
      <c r="E892" s="356" t="s">
        <v>3090</v>
      </c>
      <c r="F892" s="23" t="s">
        <v>3096</v>
      </c>
      <c r="G892" s="23" t="s">
        <v>403</v>
      </c>
      <c r="H892" s="353">
        <v>11318.68</v>
      </c>
      <c r="I892" s="59"/>
      <c r="J892" s="59" t="s">
        <v>3097</v>
      </c>
      <c r="K892" s="20"/>
      <c r="L892" s="20"/>
      <c r="M892" s="357"/>
      <c r="N892" s="411"/>
      <c r="O892" s="23" t="s">
        <v>554</v>
      </c>
      <c r="P892" s="92" t="s">
        <v>632</v>
      </c>
      <c r="Q892" s="92" t="s">
        <v>646</v>
      </c>
      <c r="R892" s="372" t="str">
        <f t="shared" si="27"/>
        <v/>
      </c>
    </row>
    <row r="893" spans="1:18" x14ac:dyDescent="0.25">
      <c r="A893" s="23" t="s">
        <v>3089</v>
      </c>
      <c r="B893" s="18" t="str">
        <f>IF(ISNA(VLOOKUP($A893,'Data Pull Sheet'!$B$2:$C$1795,2,0)),"",(VLOOKUP($A893,'Data Pull Sheet'!$B$2:$C$1795,2,0)))</f>
        <v>PPC</v>
      </c>
      <c r="C893" s="59" t="s">
        <v>545</v>
      </c>
      <c r="D893" s="356" t="s">
        <v>500</v>
      </c>
      <c r="E893" s="356" t="s">
        <v>3090</v>
      </c>
      <c r="F893" s="23" t="s">
        <v>3098</v>
      </c>
      <c r="G893" s="23" t="s">
        <v>403</v>
      </c>
      <c r="H893" s="353">
        <v>13834</v>
      </c>
      <c r="I893" s="59"/>
      <c r="J893" s="59" t="s">
        <v>3099</v>
      </c>
      <c r="K893" s="20"/>
      <c r="L893" s="20"/>
      <c r="M893" s="357"/>
      <c r="N893" s="411"/>
      <c r="O893" s="23" t="s">
        <v>554</v>
      </c>
      <c r="P893" s="92" t="s">
        <v>632</v>
      </c>
      <c r="Q893" s="92" t="s">
        <v>646</v>
      </c>
      <c r="R893" s="372" t="str">
        <f t="shared" si="27"/>
        <v/>
      </c>
    </row>
    <row r="894" spans="1:18" x14ac:dyDescent="0.25">
      <c r="A894" s="23" t="s">
        <v>3089</v>
      </c>
      <c r="B894" s="18" t="str">
        <f>IF(ISNA(VLOOKUP($A894,'Data Pull Sheet'!$B$2:$C$1795,2,0)),"",(VLOOKUP($A894,'Data Pull Sheet'!$B$2:$C$1795,2,0)))</f>
        <v>PPC</v>
      </c>
      <c r="C894" s="59" t="s">
        <v>545</v>
      </c>
      <c r="D894" s="356" t="s">
        <v>500</v>
      </c>
      <c r="E894" s="356" t="s">
        <v>3090</v>
      </c>
      <c r="F894" s="23" t="s">
        <v>3100</v>
      </c>
      <c r="G894" s="23" t="s">
        <v>403</v>
      </c>
      <c r="H894" s="353">
        <v>13892.58</v>
      </c>
      <c r="I894" s="59"/>
      <c r="J894" s="59" t="s">
        <v>3101</v>
      </c>
      <c r="K894" s="20"/>
      <c r="L894" s="20"/>
      <c r="M894" s="357"/>
      <c r="N894" s="411"/>
      <c r="O894" s="23" t="s">
        <v>554</v>
      </c>
      <c r="P894" s="92" t="s">
        <v>632</v>
      </c>
      <c r="Q894" s="92" t="s">
        <v>646</v>
      </c>
      <c r="R894" s="372" t="str">
        <f t="shared" si="27"/>
        <v/>
      </c>
    </row>
    <row r="895" spans="1:18" x14ac:dyDescent="0.25">
      <c r="A895" s="23" t="s">
        <v>3089</v>
      </c>
      <c r="B895" s="18" t="str">
        <f>IF(ISNA(VLOOKUP($A895,'Data Pull Sheet'!$B$2:$C$1795,2,0)),"",(VLOOKUP($A895,'Data Pull Sheet'!$B$2:$C$1795,2,0)))</f>
        <v>PPC</v>
      </c>
      <c r="C895" s="59" t="s">
        <v>545</v>
      </c>
      <c r="D895" s="356" t="s">
        <v>500</v>
      </c>
      <c r="E895" s="356" t="s">
        <v>3090</v>
      </c>
      <c r="F895" s="23" t="s">
        <v>3102</v>
      </c>
      <c r="G895" s="23" t="s">
        <v>403</v>
      </c>
      <c r="H895" s="353">
        <v>15472</v>
      </c>
      <c r="I895" s="59"/>
      <c r="J895" s="59" t="s">
        <v>3103</v>
      </c>
      <c r="K895" s="20"/>
      <c r="L895" s="20"/>
      <c r="M895" s="357"/>
      <c r="N895" s="411"/>
      <c r="O895" s="23" t="s">
        <v>554</v>
      </c>
      <c r="P895" s="92" t="s">
        <v>632</v>
      </c>
      <c r="Q895" s="92" t="s">
        <v>646</v>
      </c>
      <c r="R895" s="372" t="str">
        <f t="shared" si="27"/>
        <v/>
      </c>
    </row>
    <row r="896" spans="1:18" x14ac:dyDescent="0.25">
      <c r="A896" s="23" t="s">
        <v>138</v>
      </c>
      <c r="B896" s="18" t="str">
        <f>IF(ISNA(VLOOKUP($A896,'Data Pull Sheet'!$B$2:$C$1795,2,0)),"",(VLOOKUP($A896,'Data Pull Sheet'!$B$2:$C$1795,2,0)))</f>
        <v>BIIB</v>
      </c>
      <c r="C896" s="59" t="s">
        <v>409</v>
      </c>
      <c r="D896" s="356" t="s">
        <v>500</v>
      </c>
      <c r="E896" s="356" t="s">
        <v>449</v>
      </c>
      <c r="F896" s="23" t="s">
        <v>1018</v>
      </c>
      <c r="G896" s="23" t="s">
        <v>417</v>
      </c>
      <c r="H896" s="353">
        <v>115799.65</v>
      </c>
      <c r="I896" s="59" t="s">
        <v>1019</v>
      </c>
      <c r="J896" s="59" t="s">
        <v>1020</v>
      </c>
      <c r="K896" s="20">
        <v>3</v>
      </c>
      <c r="L896" s="20">
        <v>2</v>
      </c>
      <c r="M896" s="357">
        <f>SUM(H896:H897)</f>
        <v>1520055.49</v>
      </c>
      <c r="N896" s="411">
        <f>IFERROR((M896/(VLOOKUP(B896,'Data Pull Sheet'!$C:$H,6,FALSE))),"DC")</f>
        <v>1.1922003843137255E-4</v>
      </c>
      <c r="O896" s="23" t="s">
        <v>56</v>
      </c>
      <c r="P896" s="92" t="s">
        <v>632</v>
      </c>
      <c r="Q896" s="92" t="s">
        <v>640</v>
      </c>
      <c r="R896" s="372" t="str">
        <f t="shared" si="27"/>
        <v/>
      </c>
    </row>
    <row r="897" spans="1:18" x14ac:dyDescent="0.25">
      <c r="A897" s="23" t="s">
        <v>138</v>
      </c>
      <c r="B897" s="18" t="str">
        <f>IF(ISNA(VLOOKUP($A897,'Data Pull Sheet'!$B$2:$C$1795,2,0)),"",(VLOOKUP($A897,'Data Pull Sheet'!$B$2:$C$1795,2,0)))</f>
        <v>BIIB</v>
      </c>
      <c r="C897" s="59" t="s">
        <v>409</v>
      </c>
      <c r="D897" s="356" t="s">
        <v>500</v>
      </c>
      <c r="E897" s="356" t="s">
        <v>449</v>
      </c>
      <c r="F897" s="23" t="s">
        <v>1021</v>
      </c>
      <c r="G897" s="23" t="s">
        <v>417</v>
      </c>
      <c r="H897" s="353">
        <v>1404255.84</v>
      </c>
      <c r="I897" s="59"/>
      <c r="J897" s="59" t="s">
        <v>1022</v>
      </c>
      <c r="K897" s="20"/>
      <c r="L897" s="20"/>
      <c r="M897" s="357"/>
      <c r="N897" s="411"/>
      <c r="O897" s="23" t="s">
        <v>56</v>
      </c>
      <c r="P897" s="92" t="s">
        <v>632</v>
      </c>
      <c r="Q897" s="92" t="s">
        <v>640</v>
      </c>
      <c r="R897" s="372" t="str">
        <f t="shared" si="27"/>
        <v>FF</v>
      </c>
    </row>
    <row r="898" spans="1:18" x14ac:dyDescent="0.25">
      <c r="A898" s="23" t="s">
        <v>138</v>
      </c>
      <c r="B898" s="18" t="str">
        <f>IF(ISNA(VLOOKUP($A898,'Data Pull Sheet'!$B$2:$C$1795,2,0)),"",(VLOOKUP($A898,'Data Pull Sheet'!$B$2:$C$1795,2,0)))</f>
        <v>BIIB</v>
      </c>
      <c r="C898" s="59" t="s">
        <v>409</v>
      </c>
      <c r="D898" s="356" t="s">
        <v>500</v>
      </c>
      <c r="E898" s="356" t="s">
        <v>449</v>
      </c>
      <c r="F898" s="23" t="s">
        <v>243</v>
      </c>
      <c r="G898" s="23" t="s">
        <v>417</v>
      </c>
      <c r="H898" s="353">
        <v>2037041.09</v>
      </c>
      <c r="I898" s="59" t="s">
        <v>413</v>
      </c>
      <c r="J898" s="59" t="s">
        <v>1023</v>
      </c>
      <c r="K898" s="20"/>
      <c r="L898" s="20">
        <v>2</v>
      </c>
      <c r="M898" s="357">
        <f>H898:H899</f>
        <v>2037041.09</v>
      </c>
      <c r="N898" s="411">
        <f>IFERROR((M898/(VLOOKUP(B898,'Data Pull Sheet'!$C:$H,6,FALSE))),"DC")</f>
        <v>1.5976792862745098E-4</v>
      </c>
      <c r="O898" s="23" t="s">
        <v>161</v>
      </c>
      <c r="P898" s="92" t="s">
        <v>632</v>
      </c>
      <c r="Q898" s="92" t="s">
        <v>640</v>
      </c>
      <c r="R898" s="372" t="str">
        <f t="shared" ref="R898:R961" si="28">IF(COUNTIF(F:F,F898)&gt;=2,"FF","")</f>
        <v>FF</v>
      </c>
    </row>
    <row r="899" spans="1:18" x14ac:dyDescent="0.25">
      <c r="A899" s="23" t="s">
        <v>138</v>
      </c>
      <c r="B899" s="18" t="str">
        <f>IF(ISNA(VLOOKUP($A899,'Data Pull Sheet'!$B$2:$C$1795,2,0)),"",(VLOOKUP($A899,'Data Pull Sheet'!$B$2:$C$1795,2,0)))</f>
        <v>BIIB</v>
      </c>
      <c r="C899" s="59" t="s">
        <v>409</v>
      </c>
      <c r="D899" s="356" t="s">
        <v>500</v>
      </c>
      <c r="E899" s="356" t="s">
        <v>449</v>
      </c>
      <c r="F899" s="23" t="s">
        <v>175</v>
      </c>
      <c r="G899" s="23" t="s">
        <v>417</v>
      </c>
      <c r="H899" s="353">
        <v>2832503.04</v>
      </c>
      <c r="I899" s="59" t="s">
        <v>528</v>
      </c>
      <c r="J899" s="59" t="s">
        <v>1024</v>
      </c>
      <c r="K899" s="20"/>
      <c r="L899" s="20"/>
      <c r="M899" s="357"/>
      <c r="N899" s="411"/>
      <c r="O899" s="23" t="s">
        <v>161</v>
      </c>
      <c r="P899" s="92" t="s">
        <v>632</v>
      </c>
      <c r="Q899" s="92" t="s">
        <v>640</v>
      </c>
      <c r="R899" s="372" t="str">
        <f t="shared" si="28"/>
        <v>FF</v>
      </c>
    </row>
    <row r="900" spans="1:18" ht="30" x14ac:dyDescent="0.25">
      <c r="A900" s="23" t="s">
        <v>138</v>
      </c>
      <c r="B900" s="18" t="str">
        <f>IF(ISNA(VLOOKUP($A900,'Data Pull Sheet'!$B$2:$C$1795,2,0)),"",(VLOOKUP($A900,'Data Pull Sheet'!$B$2:$C$1795,2,0)))</f>
        <v>BIIB</v>
      </c>
      <c r="C900" s="59" t="s">
        <v>409</v>
      </c>
      <c r="D900" s="356" t="s">
        <v>500</v>
      </c>
      <c r="E900" s="356" t="s">
        <v>449</v>
      </c>
      <c r="F900" s="23" t="s">
        <v>135</v>
      </c>
      <c r="G900" s="23" t="s">
        <v>417</v>
      </c>
      <c r="H900" s="353">
        <v>1388498.72</v>
      </c>
      <c r="I900" s="59"/>
      <c r="J900" s="59" t="s">
        <v>1025</v>
      </c>
      <c r="K900" s="20"/>
      <c r="L900" s="20">
        <v>1</v>
      </c>
      <c r="M900" s="357">
        <f>H900</f>
        <v>1388498.72</v>
      </c>
      <c r="N900" s="411">
        <f>IFERROR((M900/(VLOOKUP(B900,'Data Pull Sheet'!$C:$H,6,FALSE))),"DC")</f>
        <v>1.0890186039215686E-4</v>
      </c>
      <c r="O900" s="23" t="s">
        <v>1026</v>
      </c>
      <c r="P900" s="92" t="s">
        <v>632</v>
      </c>
      <c r="Q900" s="92" t="s">
        <v>640</v>
      </c>
      <c r="R900" s="372" t="str">
        <f t="shared" si="28"/>
        <v>FF</v>
      </c>
    </row>
    <row r="901" spans="1:18" x14ac:dyDescent="0.25">
      <c r="A901" s="23" t="s">
        <v>37</v>
      </c>
      <c r="B901" s="18" t="str">
        <f>IF(ISNA(VLOOKUP($A901,'Data Pull Sheet'!$B$2:$C$1795,2,0)),"",(VLOOKUP($A901,'Data Pull Sheet'!$B$2:$C$1795,2,0)))</f>
        <v>XRX</v>
      </c>
      <c r="C901" s="59" t="s">
        <v>418</v>
      </c>
      <c r="D901" s="356" t="s">
        <v>448</v>
      </c>
      <c r="E901" s="356" t="s">
        <v>449</v>
      </c>
      <c r="F901" s="23" t="s">
        <v>4173</v>
      </c>
      <c r="G901" s="23" t="s">
        <v>417</v>
      </c>
      <c r="H901" s="353">
        <v>427384</v>
      </c>
      <c r="I901" s="59"/>
      <c r="J901" s="59" t="s">
        <v>4174</v>
      </c>
      <c r="K901" s="20">
        <v>4</v>
      </c>
      <c r="L901" s="20">
        <v>1</v>
      </c>
      <c r="M901" s="357">
        <f>H901</f>
        <v>427384</v>
      </c>
      <c r="N901" s="411">
        <f>IFERROR((M901/(VLOOKUP(B901,'Data Pull Sheet'!$C:$H,6,FALSE))),"DC")</f>
        <v>6.1054857142857138E-4</v>
      </c>
      <c r="O901" s="23" t="s">
        <v>48</v>
      </c>
      <c r="P901" s="92" t="s">
        <v>632</v>
      </c>
      <c r="Q901" s="92" t="s">
        <v>633</v>
      </c>
      <c r="R901" s="372" t="str">
        <f t="shared" si="28"/>
        <v/>
      </c>
    </row>
    <row r="902" spans="1:18" x14ac:dyDescent="0.25">
      <c r="A902" s="23" t="s">
        <v>37</v>
      </c>
      <c r="B902" s="18" t="str">
        <f>IF(ISNA(VLOOKUP($A902,'Data Pull Sheet'!$B$2:$C$1795,2,0)),"",(VLOOKUP($A902,'Data Pull Sheet'!$B$2:$C$1795,2,0)))</f>
        <v>XRX</v>
      </c>
      <c r="C902" s="59" t="s">
        <v>418</v>
      </c>
      <c r="D902" s="356" t="s">
        <v>448</v>
      </c>
      <c r="E902" s="356" t="s">
        <v>449</v>
      </c>
      <c r="F902" s="23" t="s">
        <v>32</v>
      </c>
      <c r="G902" s="23" t="s">
        <v>417</v>
      </c>
      <c r="H902" s="353">
        <v>1612283.42</v>
      </c>
      <c r="I902" s="59" t="s">
        <v>413</v>
      </c>
      <c r="J902" s="59" t="s">
        <v>4175</v>
      </c>
      <c r="K902" s="20"/>
      <c r="L902" s="20">
        <v>1</v>
      </c>
      <c r="M902" s="357">
        <f>H902</f>
        <v>1612283.42</v>
      </c>
      <c r="N902" s="411">
        <f>IFERROR((M902/(VLOOKUP(B902,'Data Pull Sheet'!$C:$H,6,FALSE))),"DC")</f>
        <v>2.3032620285714286E-3</v>
      </c>
      <c r="O902" s="23" t="s">
        <v>10810</v>
      </c>
      <c r="P902" s="92" t="s">
        <v>632</v>
      </c>
      <c r="Q902" s="92" t="s">
        <v>633</v>
      </c>
      <c r="R902" s="372" t="str">
        <f t="shared" si="28"/>
        <v>FF</v>
      </c>
    </row>
    <row r="903" spans="1:18" x14ac:dyDescent="0.25">
      <c r="A903" s="23" t="s">
        <v>37</v>
      </c>
      <c r="B903" s="18" t="str">
        <f>IF(ISNA(VLOOKUP($A903,'Data Pull Sheet'!$B$2:$C$1795,2,0)),"",(VLOOKUP($A903,'Data Pull Sheet'!$B$2:$C$1795,2,0)))</f>
        <v>XRX</v>
      </c>
      <c r="C903" s="59" t="s">
        <v>418</v>
      </c>
      <c r="D903" s="356" t="s">
        <v>448</v>
      </c>
      <c r="E903" s="356" t="s">
        <v>449</v>
      </c>
      <c r="F903" s="23" t="s">
        <v>4176</v>
      </c>
      <c r="G903" s="23" t="s">
        <v>403</v>
      </c>
      <c r="H903" s="353">
        <v>102302.86</v>
      </c>
      <c r="I903" s="59"/>
      <c r="J903" s="59" t="s">
        <v>4177</v>
      </c>
      <c r="K903" s="20"/>
      <c r="L903" s="20">
        <v>1</v>
      </c>
      <c r="M903" s="357">
        <f>H903</f>
        <v>102302.86</v>
      </c>
      <c r="N903" s="411">
        <f>IFERROR((M903/(VLOOKUP(B903,'Data Pull Sheet'!$C:$H,6,FALSE))),"DC")</f>
        <v>1.4614694285714286E-4</v>
      </c>
      <c r="O903" s="23" t="s">
        <v>63</v>
      </c>
      <c r="P903" s="92" t="s">
        <v>632</v>
      </c>
      <c r="Q903" s="92" t="s">
        <v>637</v>
      </c>
      <c r="R903" s="372" t="str">
        <f t="shared" si="28"/>
        <v/>
      </c>
    </row>
    <row r="904" spans="1:18" ht="30" x14ac:dyDescent="0.25">
      <c r="A904" s="23" t="s">
        <v>37</v>
      </c>
      <c r="B904" s="18" t="str">
        <f>IF(ISNA(VLOOKUP($A904,'Data Pull Sheet'!$B$2:$C$1795,2,0)),"",(VLOOKUP($A904,'Data Pull Sheet'!$B$2:$C$1795,2,0)))</f>
        <v>XRX</v>
      </c>
      <c r="C904" s="59" t="s">
        <v>418</v>
      </c>
      <c r="D904" s="356" t="s">
        <v>448</v>
      </c>
      <c r="E904" s="356" t="s">
        <v>449</v>
      </c>
      <c r="F904" s="23" t="s">
        <v>4178</v>
      </c>
      <c r="G904" s="23" t="s">
        <v>417</v>
      </c>
      <c r="H904" s="353">
        <v>171890.15</v>
      </c>
      <c r="I904" s="59"/>
      <c r="J904" s="59" t="s">
        <v>4179</v>
      </c>
      <c r="K904" s="20"/>
      <c r="L904" s="20">
        <v>1</v>
      </c>
      <c r="M904" s="357">
        <f>H904</f>
        <v>171890.15</v>
      </c>
      <c r="N904" s="411">
        <f>IFERROR((M904/(VLOOKUP(B904,'Data Pull Sheet'!$C:$H,6,FALSE))),"DC")</f>
        <v>2.4555735714285715E-4</v>
      </c>
      <c r="O904" s="23" t="s">
        <v>2123</v>
      </c>
      <c r="P904" s="92" t="s">
        <v>632</v>
      </c>
      <c r="Q904" s="92" t="s">
        <v>633</v>
      </c>
      <c r="R904" s="372" t="str">
        <f t="shared" si="28"/>
        <v/>
      </c>
    </row>
    <row r="905" spans="1:18" ht="45" x14ac:dyDescent="0.25">
      <c r="A905" s="23" t="s">
        <v>2</v>
      </c>
      <c r="B905" s="18" t="str">
        <f>IF(ISNA(VLOOKUP($A905,'Data Pull Sheet'!$B$2:$C$1795,2,0)),"",(VLOOKUP($A905,'Data Pull Sheet'!$B$2:$C$1795,2,0)))</f>
        <v>ADPT</v>
      </c>
      <c r="C905" s="59" t="s">
        <v>414</v>
      </c>
      <c r="D905" s="356" t="s">
        <v>415</v>
      </c>
      <c r="E905" s="356" t="s">
        <v>416</v>
      </c>
      <c r="F905" s="23" t="s">
        <v>39</v>
      </c>
      <c r="G905" s="23" t="s">
        <v>417</v>
      </c>
      <c r="H905" s="353">
        <v>1874878.85</v>
      </c>
      <c r="I905" s="59"/>
      <c r="J905" s="59" t="s">
        <v>638</v>
      </c>
      <c r="K905" s="20">
        <v>5</v>
      </c>
      <c r="L905" s="20">
        <v>2</v>
      </c>
      <c r="M905" s="421">
        <f>SUM(H905:H906)</f>
        <v>4354548.78</v>
      </c>
      <c r="N905" s="411">
        <f>IFERROR((M905/(VLOOKUP(B905,'Data Pull Sheet'!$C:$H,6,FALSE))),"DC")</f>
        <v>0.136079649375</v>
      </c>
      <c r="O905" s="23" t="s">
        <v>11181</v>
      </c>
      <c r="P905" s="92" t="s">
        <v>632</v>
      </c>
      <c r="Q905" s="92" t="s">
        <v>640</v>
      </c>
      <c r="R905" s="372" t="str">
        <f t="shared" si="28"/>
        <v>FF</v>
      </c>
    </row>
    <row r="906" spans="1:18" ht="45" x14ac:dyDescent="0.25">
      <c r="A906" s="23" t="s">
        <v>2</v>
      </c>
      <c r="B906" s="18" t="str">
        <f>IF(ISNA(VLOOKUP($A906,'Data Pull Sheet'!$B$2:$C$1795,2,0)),"",(VLOOKUP($A906,'Data Pull Sheet'!$B$2:$C$1795,2,0)))</f>
        <v>ADPT</v>
      </c>
      <c r="C906" s="59" t="s">
        <v>414</v>
      </c>
      <c r="D906" s="356" t="s">
        <v>415</v>
      </c>
      <c r="E906" s="356" t="s">
        <v>416</v>
      </c>
      <c r="F906" s="23" t="s">
        <v>0</v>
      </c>
      <c r="G906" s="23" t="s">
        <v>417</v>
      </c>
      <c r="H906" s="353">
        <v>2479669.9300000002</v>
      </c>
      <c r="I906" s="59"/>
      <c r="J906" s="59" t="s">
        <v>641</v>
      </c>
      <c r="K906" s="20"/>
      <c r="L906" s="20"/>
      <c r="M906" s="357"/>
      <c r="N906" s="411"/>
      <c r="O906" s="23" t="s">
        <v>11181</v>
      </c>
      <c r="P906" s="92" t="s">
        <v>632</v>
      </c>
      <c r="Q906" s="92" t="s">
        <v>640</v>
      </c>
      <c r="R906" s="372" t="str">
        <f t="shared" si="28"/>
        <v>FF</v>
      </c>
    </row>
    <row r="907" spans="1:18" ht="30" x14ac:dyDescent="0.25">
      <c r="A907" s="23" t="s">
        <v>2</v>
      </c>
      <c r="B907" s="18" t="str">
        <f>IF(ISNA(VLOOKUP($A907,'Data Pull Sheet'!$B$2:$C$1795,2,0)),"",(VLOOKUP($A907,'Data Pull Sheet'!$B$2:$C$1795,2,0)))</f>
        <v>ADPT</v>
      </c>
      <c r="C907" s="59" t="s">
        <v>414</v>
      </c>
      <c r="D907" s="356" t="s">
        <v>415</v>
      </c>
      <c r="E907" s="356" t="s">
        <v>416</v>
      </c>
      <c r="F907" s="23" t="s">
        <v>642</v>
      </c>
      <c r="G907" s="23" t="s">
        <v>403</v>
      </c>
      <c r="H907" s="359">
        <f>M907/4</f>
        <v>117500</v>
      </c>
      <c r="I907" s="59" t="s">
        <v>643</v>
      </c>
      <c r="J907" s="59" t="s">
        <v>644</v>
      </c>
      <c r="K907" s="20"/>
      <c r="L907" s="20">
        <v>4</v>
      </c>
      <c r="M907" s="357">
        <v>470000</v>
      </c>
      <c r="N907" s="411">
        <f>IFERROR((M907/(VLOOKUP(B907,'Data Pull Sheet'!$C:$H,6,FALSE))),"DC")</f>
        <v>1.4687499999999999E-2</v>
      </c>
      <c r="O907" s="23" t="s">
        <v>645</v>
      </c>
      <c r="P907" s="92" t="s">
        <v>632</v>
      </c>
      <c r="Q907" s="92" t="s">
        <v>646</v>
      </c>
      <c r="R907" s="372" t="str">
        <f t="shared" si="28"/>
        <v/>
      </c>
    </row>
    <row r="908" spans="1:18" ht="30" x14ac:dyDescent="0.25">
      <c r="A908" s="23" t="s">
        <v>2</v>
      </c>
      <c r="B908" s="18" t="str">
        <f>IF(ISNA(VLOOKUP($A908,'Data Pull Sheet'!$B$2:$C$1795,2,0)),"",(VLOOKUP($A908,'Data Pull Sheet'!$B$2:$C$1795,2,0)))</f>
        <v>ADPT</v>
      </c>
      <c r="C908" s="59" t="s">
        <v>414</v>
      </c>
      <c r="D908" s="356" t="s">
        <v>415</v>
      </c>
      <c r="E908" s="356" t="s">
        <v>416</v>
      </c>
      <c r="F908" s="23" t="s">
        <v>647</v>
      </c>
      <c r="G908" s="23" t="s">
        <v>403</v>
      </c>
      <c r="H908" s="359">
        <f>M907/4</f>
        <v>117500</v>
      </c>
      <c r="I908" s="59"/>
      <c r="J908" s="59" t="s">
        <v>648</v>
      </c>
      <c r="K908" s="20"/>
      <c r="L908" s="20"/>
      <c r="M908" s="357"/>
      <c r="N908" s="411"/>
      <c r="O908" s="23" t="s">
        <v>645</v>
      </c>
      <c r="P908" s="92" t="s">
        <v>632</v>
      </c>
      <c r="Q908" s="92" t="s">
        <v>646</v>
      </c>
      <c r="R908" s="372" t="str">
        <f t="shared" si="28"/>
        <v/>
      </c>
    </row>
    <row r="909" spans="1:18" ht="30" x14ac:dyDescent="0.25">
      <c r="A909" s="23" t="s">
        <v>2</v>
      </c>
      <c r="B909" s="18" t="str">
        <f>IF(ISNA(VLOOKUP($A909,'Data Pull Sheet'!$B$2:$C$1795,2,0)),"",(VLOOKUP($A909,'Data Pull Sheet'!$B$2:$C$1795,2,0)))</f>
        <v>ADPT</v>
      </c>
      <c r="C909" s="59" t="s">
        <v>414</v>
      </c>
      <c r="D909" s="356" t="s">
        <v>415</v>
      </c>
      <c r="E909" s="356" t="s">
        <v>416</v>
      </c>
      <c r="F909" s="23" t="s">
        <v>649</v>
      </c>
      <c r="G909" s="23" t="s">
        <v>403</v>
      </c>
      <c r="H909" s="359">
        <f>M907/4</f>
        <v>117500</v>
      </c>
      <c r="I909" s="59"/>
      <c r="J909" s="59" t="s">
        <v>650</v>
      </c>
      <c r="K909" s="20"/>
      <c r="L909" s="20"/>
      <c r="M909" s="357"/>
      <c r="N909" s="411"/>
      <c r="O909" s="23" t="s">
        <v>645</v>
      </c>
      <c r="P909" s="92" t="s">
        <v>632</v>
      </c>
      <c r="Q909" s="92" t="s">
        <v>646</v>
      </c>
      <c r="R909" s="372" t="str">
        <f t="shared" si="28"/>
        <v/>
      </c>
    </row>
    <row r="910" spans="1:18" ht="30" x14ac:dyDescent="0.25">
      <c r="A910" s="23" t="s">
        <v>2</v>
      </c>
      <c r="B910" s="18" t="str">
        <f>IF(ISNA(VLOOKUP($A910,'Data Pull Sheet'!$B$2:$C$1795,2,0)),"",(VLOOKUP($A910,'Data Pull Sheet'!$B$2:$C$1795,2,0)))</f>
        <v>ADPT</v>
      </c>
      <c r="C910" s="59" t="s">
        <v>414</v>
      </c>
      <c r="D910" s="356" t="s">
        <v>415</v>
      </c>
      <c r="E910" s="356" t="s">
        <v>416</v>
      </c>
      <c r="F910" s="23" t="s">
        <v>651</v>
      </c>
      <c r="G910" s="23" t="s">
        <v>403</v>
      </c>
      <c r="H910" s="359">
        <f>M907/4</f>
        <v>117500</v>
      </c>
      <c r="I910" s="59"/>
      <c r="J910" s="59" t="s">
        <v>652</v>
      </c>
      <c r="K910" s="20"/>
      <c r="L910" s="20"/>
      <c r="M910" s="357"/>
      <c r="N910" s="411"/>
      <c r="O910" s="23" t="s">
        <v>645</v>
      </c>
      <c r="P910" s="92" t="s">
        <v>632</v>
      </c>
      <c r="Q910" s="92" t="s">
        <v>646</v>
      </c>
      <c r="R910" s="372" t="str">
        <f t="shared" si="28"/>
        <v/>
      </c>
    </row>
    <row r="911" spans="1:18" x14ac:dyDescent="0.25">
      <c r="A911" s="23" t="s">
        <v>2</v>
      </c>
      <c r="B911" s="18" t="str">
        <f>IF(ISNA(VLOOKUP($A911,'Data Pull Sheet'!$B$2:$C$1795,2,0)),"",(VLOOKUP($A911,'Data Pull Sheet'!$B$2:$C$1795,2,0)))</f>
        <v>ADPT</v>
      </c>
      <c r="C911" s="59" t="s">
        <v>414</v>
      </c>
      <c r="D911" s="356" t="s">
        <v>415</v>
      </c>
      <c r="E911" s="356" t="s">
        <v>416</v>
      </c>
      <c r="F911" s="23" t="s">
        <v>653</v>
      </c>
      <c r="G911" s="23" t="s">
        <v>403</v>
      </c>
      <c r="H911" s="353">
        <v>446000</v>
      </c>
      <c r="I911" s="59"/>
      <c r="J911" s="59" t="s">
        <v>654</v>
      </c>
      <c r="K911" s="20"/>
      <c r="L911" s="20">
        <v>1</v>
      </c>
      <c r="M911" s="357">
        <f>H911</f>
        <v>446000</v>
      </c>
      <c r="N911" s="411">
        <f>IFERROR((M911/(VLOOKUP(B911,'Data Pull Sheet'!$C:$H,6,FALSE))),"DC")</f>
        <v>1.39375E-2</v>
      </c>
      <c r="O911" s="23" t="s">
        <v>655</v>
      </c>
      <c r="P911" s="92" t="s">
        <v>632</v>
      </c>
      <c r="Q911" s="92" t="s">
        <v>637</v>
      </c>
      <c r="R911" s="372" t="str">
        <f t="shared" si="28"/>
        <v/>
      </c>
    </row>
    <row r="912" spans="1:18" ht="30" x14ac:dyDescent="0.25">
      <c r="A912" s="23" t="s">
        <v>2</v>
      </c>
      <c r="B912" s="18" t="str">
        <f>IF(ISNA(VLOOKUP($A912,'Data Pull Sheet'!$B$2:$C$1795,2,0)),"",(VLOOKUP($A912,'Data Pull Sheet'!$B$2:$C$1795,2,0)))</f>
        <v>ADPT</v>
      </c>
      <c r="C912" s="59" t="s">
        <v>414</v>
      </c>
      <c r="D912" s="356" t="s">
        <v>415</v>
      </c>
      <c r="E912" s="356" t="s">
        <v>416</v>
      </c>
      <c r="F912" s="23" t="s">
        <v>656</v>
      </c>
      <c r="G912" s="23" t="s">
        <v>417</v>
      </c>
      <c r="H912" s="353">
        <v>492329.36</v>
      </c>
      <c r="I912" s="59"/>
      <c r="J912" s="59" t="s">
        <v>657</v>
      </c>
      <c r="K912" s="20"/>
      <c r="L912" s="20">
        <v>1</v>
      </c>
      <c r="M912" s="357">
        <f>H912</f>
        <v>492329.36</v>
      </c>
      <c r="N912" s="411">
        <f>IFERROR((M912/(VLOOKUP(B912,'Data Pull Sheet'!$C:$H,6,FALSE))),"DC")</f>
        <v>1.53852925E-2</v>
      </c>
      <c r="O912" s="23" t="s">
        <v>658</v>
      </c>
      <c r="P912" s="92" t="s">
        <v>632</v>
      </c>
      <c r="Q912" s="92" t="s">
        <v>633</v>
      </c>
      <c r="R912" s="372" t="str">
        <f t="shared" si="28"/>
        <v/>
      </c>
    </row>
    <row r="913" spans="1:18" x14ac:dyDescent="0.25">
      <c r="A913" s="23" t="s">
        <v>2</v>
      </c>
      <c r="B913" s="18" t="str">
        <f>IF(ISNA(VLOOKUP($A913,'Data Pull Sheet'!$B$2:$C$1795,2,0)),"",(VLOOKUP($A913,'Data Pull Sheet'!$B$2:$C$1795,2,0)))</f>
        <v>ADPT</v>
      </c>
      <c r="C913" s="59" t="s">
        <v>414</v>
      </c>
      <c r="D913" s="356" t="s">
        <v>415</v>
      </c>
      <c r="E913" s="356" t="s">
        <v>416</v>
      </c>
      <c r="F913" s="23" t="s">
        <v>659</v>
      </c>
      <c r="G913" s="23" t="s">
        <v>417</v>
      </c>
      <c r="H913" s="353">
        <v>146994</v>
      </c>
      <c r="I913" s="59" t="s">
        <v>442</v>
      </c>
      <c r="J913" s="59" t="s">
        <v>660</v>
      </c>
      <c r="K913" s="20"/>
      <c r="L913" s="20">
        <v>4</v>
      </c>
      <c r="M913" s="357">
        <f>SUM(H913:H916)</f>
        <v>2522515</v>
      </c>
      <c r="N913" s="411">
        <f>IFERROR((M913/(VLOOKUP(B913,'Data Pull Sheet'!$C:$H,6,FALSE))),"DC")</f>
        <v>7.8828593749999995E-2</v>
      </c>
      <c r="O913" s="23" t="s">
        <v>661</v>
      </c>
      <c r="P913" s="92" t="s">
        <v>632</v>
      </c>
      <c r="Q913" s="92" t="s">
        <v>662</v>
      </c>
      <c r="R913" s="372" t="str">
        <f t="shared" si="28"/>
        <v>FF</v>
      </c>
    </row>
    <row r="914" spans="1:18" x14ac:dyDescent="0.25">
      <c r="A914" s="23" t="s">
        <v>2</v>
      </c>
      <c r="B914" s="18" t="str">
        <f>IF(ISNA(VLOOKUP($A914,'Data Pull Sheet'!$B$2:$C$1795,2,0)),"",(VLOOKUP($A914,'Data Pull Sheet'!$B$2:$C$1795,2,0)))</f>
        <v>ADPT</v>
      </c>
      <c r="C914" s="59" t="s">
        <v>414</v>
      </c>
      <c r="D914" s="356" t="s">
        <v>415</v>
      </c>
      <c r="E914" s="356" t="s">
        <v>416</v>
      </c>
      <c r="F914" s="23" t="s">
        <v>663</v>
      </c>
      <c r="G914" s="23" t="s">
        <v>403</v>
      </c>
      <c r="H914" s="353">
        <v>574679</v>
      </c>
      <c r="I914" s="59" t="s">
        <v>442</v>
      </c>
      <c r="J914" s="59" t="s">
        <v>664</v>
      </c>
      <c r="K914" s="20"/>
      <c r="L914" s="20"/>
      <c r="M914" s="357"/>
      <c r="N914" s="411"/>
      <c r="O914" s="23" t="s">
        <v>661</v>
      </c>
      <c r="P914" s="92" t="s">
        <v>632</v>
      </c>
      <c r="Q914" s="92" t="s">
        <v>662</v>
      </c>
      <c r="R914" s="372" t="str">
        <f t="shared" si="28"/>
        <v/>
      </c>
    </row>
    <row r="915" spans="1:18" x14ac:dyDescent="0.25">
      <c r="A915" s="23" t="s">
        <v>2</v>
      </c>
      <c r="B915" s="18" t="str">
        <f>IF(ISNA(VLOOKUP($A915,'Data Pull Sheet'!$B$2:$C$1795,2,0)),"",(VLOOKUP($A915,'Data Pull Sheet'!$B$2:$C$1795,2,0)))</f>
        <v>ADPT</v>
      </c>
      <c r="C915" s="59" t="s">
        <v>414</v>
      </c>
      <c r="D915" s="356" t="s">
        <v>415</v>
      </c>
      <c r="E915" s="356" t="s">
        <v>416</v>
      </c>
      <c r="F915" s="23" t="s">
        <v>665</v>
      </c>
      <c r="G915" s="23" t="s">
        <v>403</v>
      </c>
      <c r="H915" s="353">
        <v>831184</v>
      </c>
      <c r="I915" s="59"/>
      <c r="J915" s="59" t="s">
        <v>667</v>
      </c>
      <c r="K915" s="20"/>
      <c r="L915" s="20"/>
      <c r="M915" s="357"/>
      <c r="N915" s="411"/>
      <c r="O915" s="23" t="s">
        <v>661</v>
      </c>
      <c r="P915" s="92" t="s">
        <v>632</v>
      </c>
      <c r="Q915" s="92" t="s">
        <v>662</v>
      </c>
      <c r="R915" s="372" t="str">
        <f t="shared" si="28"/>
        <v/>
      </c>
    </row>
    <row r="916" spans="1:18" x14ac:dyDescent="0.25">
      <c r="A916" s="23" t="s">
        <v>2</v>
      </c>
      <c r="B916" s="18" t="str">
        <f>IF(ISNA(VLOOKUP($A916,'Data Pull Sheet'!$B$2:$C$1795,2,0)),"",(VLOOKUP($A916,'Data Pull Sheet'!$B$2:$C$1795,2,0)))</f>
        <v>ADPT</v>
      </c>
      <c r="C916" s="59" t="s">
        <v>414</v>
      </c>
      <c r="D916" s="356" t="s">
        <v>415</v>
      </c>
      <c r="E916" s="356" t="s">
        <v>416</v>
      </c>
      <c r="F916" s="23" t="s">
        <v>668</v>
      </c>
      <c r="G916" s="23" t="s">
        <v>403</v>
      </c>
      <c r="H916" s="353">
        <v>969658</v>
      </c>
      <c r="I916" s="59"/>
      <c r="J916" s="59" t="s">
        <v>669</v>
      </c>
      <c r="K916" s="20"/>
      <c r="L916" s="20"/>
      <c r="M916" s="357"/>
      <c r="N916" s="411"/>
      <c r="O916" s="23" t="s">
        <v>661</v>
      </c>
      <c r="P916" s="92" t="s">
        <v>632</v>
      </c>
      <c r="Q916" s="92" t="s">
        <v>662</v>
      </c>
      <c r="R916" s="372" t="str">
        <f t="shared" si="28"/>
        <v/>
      </c>
    </row>
    <row r="917" spans="1:18" ht="30" x14ac:dyDescent="0.25">
      <c r="A917" s="23" t="s">
        <v>35</v>
      </c>
      <c r="B917" s="18" t="str">
        <f>IF(ISNA(VLOOKUP($A917,'Data Pull Sheet'!$B$2:$C$1795,2,0)),"",(VLOOKUP($A917,'Data Pull Sheet'!$B$2:$C$1795,2,0)))</f>
        <v>OPB</v>
      </c>
      <c r="C917" s="59" t="s">
        <v>446</v>
      </c>
      <c r="D917" s="356" t="s">
        <v>447</v>
      </c>
      <c r="E917" s="356" t="s">
        <v>416</v>
      </c>
      <c r="F917" s="23" t="s">
        <v>332</v>
      </c>
      <c r="G917" s="23" t="s">
        <v>417</v>
      </c>
      <c r="H917" s="353">
        <v>44430.15</v>
      </c>
      <c r="I917" s="59" t="s">
        <v>476</v>
      </c>
      <c r="J917" s="59" t="s">
        <v>2970</v>
      </c>
      <c r="K917" s="20">
        <v>4</v>
      </c>
      <c r="L917" s="20">
        <v>2</v>
      </c>
      <c r="M917" s="357">
        <f>SUM(H917:H918)</f>
        <v>289638.28000000003</v>
      </c>
      <c r="N917" s="411">
        <f>IFERROR((M917/(VLOOKUP(B917,'Data Pull Sheet'!$C:$H,6,FALSE))),"DC")</f>
        <v>3.8618437333333335E-3</v>
      </c>
      <c r="O917" s="23" t="s">
        <v>2971</v>
      </c>
      <c r="P917" s="92" t="s">
        <v>632</v>
      </c>
      <c r="Q917" s="92" t="s">
        <v>640</v>
      </c>
      <c r="R917" s="372" t="str">
        <f t="shared" si="28"/>
        <v>FF</v>
      </c>
    </row>
    <row r="918" spans="1:18" x14ac:dyDescent="0.25">
      <c r="A918" s="23" t="s">
        <v>35</v>
      </c>
      <c r="B918" s="18" t="str">
        <f>IF(ISNA(VLOOKUP($A918,'Data Pull Sheet'!$B$2:$C$1795,2,0)),"",(VLOOKUP($A918,'Data Pull Sheet'!$B$2:$C$1795,2,0)))</f>
        <v>OPB</v>
      </c>
      <c r="C918" s="59" t="s">
        <v>446</v>
      </c>
      <c r="D918" s="356" t="s">
        <v>447</v>
      </c>
      <c r="E918" s="356" t="s">
        <v>416</v>
      </c>
      <c r="F918" s="23" t="s">
        <v>69</v>
      </c>
      <c r="G918" s="23" t="s">
        <v>417</v>
      </c>
      <c r="H918" s="353">
        <v>245208.13</v>
      </c>
      <c r="I918" s="59" t="s">
        <v>476</v>
      </c>
      <c r="J918" s="59" t="s">
        <v>2972</v>
      </c>
      <c r="K918" s="20"/>
      <c r="L918" s="20"/>
      <c r="M918" s="357"/>
      <c r="N918" s="411"/>
      <c r="O918" s="23" t="s">
        <v>2971</v>
      </c>
      <c r="P918" s="92" t="s">
        <v>632</v>
      </c>
      <c r="Q918" s="92" t="s">
        <v>640</v>
      </c>
      <c r="R918" s="372" t="str">
        <f t="shared" si="28"/>
        <v>FF</v>
      </c>
    </row>
    <row r="919" spans="1:18" x14ac:dyDescent="0.25">
      <c r="A919" s="23" t="s">
        <v>35</v>
      </c>
      <c r="B919" s="18" t="str">
        <f>IF(ISNA(VLOOKUP($A919,'Data Pull Sheet'!$B$2:$C$1795,2,0)),"",(VLOOKUP($A919,'Data Pull Sheet'!$B$2:$C$1795,2,0)))</f>
        <v>OPB</v>
      </c>
      <c r="C919" s="59" t="s">
        <v>446</v>
      </c>
      <c r="D919" s="356" t="s">
        <v>447</v>
      </c>
      <c r="E919" s="356" t="s">
        <v>416</v>
      </c>
      <c r="F919" s="23" t="s">
        <v>32</v>
      </c>
      <c r="G919" s="23" t="s">
        <v>417</v>
      </c>
      <c r="H919" s="353">
        <v>702842.81</v>
      </c>
      <c r="I919" s="59" t="s">
        <v>406</v>
      </c>
      <c r="J919" s="59" t="s">
        <v>2973</v>
      </c>
      <c r="K919" s="20"/>
      <c r="L919" s="20">
        <v>1</v>
      </c>
      <c r="M919" s="357">
        <f>H919</f>
        <v>702842.81</v>
      </c>
      <c r="N919" s="411">
        <f>IFERROR((M919/(VLOOKUP(B919,'Data Pull Sheet'!$C:$H,6,FALSE))),"DC")</f>
        <v>9.3712374666666681E-3</v>
      </c>
      <c r="O919" s="23" t="s">
        <v>2974</v>
      </c>
      <c r="P919" s="92" t="s">
        <v>632</v>
      </c>
      <c r="Q919" s="92" t="s">
        <v>633</v>
      </c>
      <c r="R919" s="372" t="str">
        <f t="shared" si="28"/>
        <v>FF</v>
      </c>
    </row>
    <row r="920" spans="1:18" x14ac:dyDescent="0.25">
      <c r="A920" s="23" t="s">
        <v>35</v>
      </c>
      <c r="B920" s="18" t="str">
        <f>IF(ISNA(VLOOKUP($A920,'Data Pull Sheet'!$B$2:$C$1795,2,0)),"",(VLOOKUP($A920,'Data Pull Sheet'!$B$2:$C$1795,2,0)))</f>
        <v>OPB</v>
      </c>
      <c r="C920" s="59" t="s">
        <v>446</v>
      </c>
      <c r="D920" s="356" t="s">
        <v>447</v>
      </c>
      <c r="E920" s="356" t="s">
        <v>416</v>
      </c>
      <c r="F920" s="23" t="s">
        <v>2975</v>
      </c>
      <c r="G920" s="23" t="s">
        <v>403</v>
      </c>
      <c r="H920" s="353">
        <v>71274.559999999998</v>
      </c>
      <c r="I920" s="59"/>
      <c r="J920" s="59" t="s">
        <v>2976</v>
      </c>
      <c r="K920" s="20"/>
      <c r="L920" s="20">
        <v>2</v>
      </c>
      <c r="M920" s="357">
        <f>SUM(H920:H921)</f>
        <v>201138</v>
      </c>
      <c r="N920" s="411">
        <f>IFERROR((M920/(VLOOKUP(B920,'Data Pull Sheet'!$C:$H,6,FALSE))),"DC")</f>
        <v>2.68184E-3</v>
      </c>
      <c r="O920" s="23" t="s">
        <v>2977</v>
      </c>
      <c r="P920" s="92" t="s">
        <v>632</v>
      </c>
      <c r="Q920" s="92" t="s">
        <v>646</v>
      </c>
      <c r="R920" s="372" t="str">
        <f t="shared" si="28"/>
        <v/>
      </c>
    </row>
    <row r="921" spans="1:18" x14ac:dyDescent="0.25">
      <c r="A921" s="23" t="s">
        <v>35</v>
      </c>
      <c r="B921" s="18" t="str">
        <f>IF(ISNA(VLOOKUP($A921,'Data Pull Sheet'!$B$2:$C$1795,2,0)),"",(VLOOKUP($A921,'Data Pull Sheet'!$B$2:$C$1795,2,0)))</f>
        <v>OPB</v>
      </c>
      <c r="C921" s="59" t="s">
        <v>446</v>
      </c>
      <c r="D921" s="356" t="s">
        <v>447</v>
      </c>
      <c r="E921" s="356" t="s">
        <v>416</v>
      </c>
      <c r="F921" s="23" t="s">
        <v>2978</v>
      </c>
      <c r="G921" s="23" t="s">
        <v>403</v>
      </c>
      <c r="H921" s="353">
        <v>129863.44</v>
      </c>
      <c r="I921" s="59"/>
      <c r="J921" s="59" t="s">
        <v>2979</v>
      </c>
      <c r="K921" s="20"/>
      <c r="L921" s="20"/>
      <c r="M921" s="357"/>
      <c r="N921" s="411"/>
      <c r="O921" s="23" t="s">
        <v>2977</v>
      </c>
      <c r="P921" s="92" t="s">
        <v>632</v>
      </c>
      <c r="Q921" s="92" t="s">
        <v>646</v>
      </c>
      <c r="R921" s="372" t="str">
        <f t="shared" si="28"/>
        <v/>
      </c>
    </row>
    <row r="922" spans="1:18" x14ac:dyDescent="0.25">
      <c r="A922" s="23" t="s">
        <v>35</v>
      </c>
      <c r="B922" s="18" t="str">
        <f>IF(ISNA(VLOOKUP($A922,'Data Pull Sheet'!$B$2:$C$1795,2,0)),"",(VLOOKUP($A922,'Data Pull Sheet'!$B$2:$C$1795,2,0)))</f>
        <v>OPB</v>
      </c>
      <c r="C922" s="59" t="s">
        <v>446</v>
      </c>
      <c r="D922" s="356" t="s">
        <v>447</v>
      </c>
      <c r="E922" s="356" t="s">
        <v>416</v>
      </c>
      <c r="F922" s="23" t="s">
        <v>131</v>
      </c>
      <c r="G922" s="23" t="s">
        <v>417</v>
      </c>
      <c r="H922" s="353">
        <v>78112.19</v>
      </c>
      <c r="I922" s="59"/>
      <c r="J922" s="59" t="s">
        <v>2980</v>
      </c>
      <c r="K922" s="20"/>
      <c r="L922" s="20">
        <v>1</v>
      </c>
      <c r="M922" s="357">
        <f>H922</f>
        <v>78112.19</v>
      </c>
      <c r="N922" s="411">
        <f>IFERROR((M922/(VLOOKUP(B922,'Data Pull Sheet'!$C:$H,6,FALSE))),"DC")</f>
        <v>1.0414958666666667E-3</v>
      </c>
      <c r="O922" s="23" t="s">
        <v>1813</v>
      </c>
      <c r="P922" s="92" t="s">
        <v>632</v>
      </c>
      <c r="Q922" s="92" t="s">
        <v>633</v>
      </c>
      <c r="R922" s="372" t="str">
        <f t="shared" si="28"/>
        <v>FF</v>
      </c>
    </row>
    <row r="923" spans="1:18" x14ac:dyDescent="0.25">
      <c r="A923" s="23" t="s">
        <v>3366</v>
      </c>
      <c r="B923" s="18" t="str">
        <f>IF(ISNA(VLOOKUP($A923,'Data Pull Sheet'!$B$2:$C$1795,2,0)),"",(VLOOKUP($A923,'Data Pull Sheet'!$B$2:$C$1795,2,0)))</f>
        <v>SAFM</v>
      </c>
      <c r="C923" s="59" t="s">
        <v>418</v>
      </c>
      <c r="D923" s="356" t="s">
        <v>3367</v>
      </c>
      <c r="E923" s="356" t="s">
        <v>416</v>
      </c>
      <c r="F923" s="23" t="s">
        <v>3368</v>
      </c>
      <c r="G923" s="23" t="s">
        <v>403</v>
      </c>
      <c r="H923" s="353">
        <v>5359</v>
      </c>
      <c r="I923" s="59"/>
      <c r="J923" s="59" t="s">
        <v>3369</v>
      </c>
      <c r="K923" s="20">
        <v>2</v>
      </c>
      <c r="L923" s="20">
        <v>2</v>
      </c>
      <c r="M923" s="357">
        <f>SUM(H923:H924)</f>
        <v>15429</v>
      </c>
      <c r="N923" s="411">
        <f>IFERROR((M923/(VLOOKUP(B923,'Data Pull Sheet'!$C:$H,6,FALSE))),"DC")</f>
        <v>3.4286666666666669E-4</v>
      </c>
      <c r="O923" s="23" t="s">
        <v>1443</v>
      </c>
      <c r="P923" s="92" t="s">
        <v>676</v>
      </c>
      <c r="Q923" s="92" t="s">
        <v>646</v>
      </c>
      <c r="R923" s="372" t="str">
        <f t="shared" si="28"/>
        <v/>
      </c>
    </row>
    <row r="924" spans="1:18" x14ac:dyDescent="0.25">
      <c r="A924" s="23" t="s">
        <v>3366</v>
      </c>
      <c r="B924" s="18" t="str">
        <f>IF(ISNA(VLOOKUP($A924,'Data Pull Sheet'!$B$2:$C$1795,2,0)),"",(VLOOKUP($A924,'Data Pull Sheet'!$B$2:$C$1795,2,0)))</f>
        <v>SAFM</v>
      </c>
      <c r="C924" s="59" t="s">
        <v>418</v>
      </c>
      <c r="D924" s="356" t="s">
        <v>3367</v>
      </c>
      <c r="E924" s="356" t="s">
        <v>416</v>
      </c>
      <c r="F924" s="23" t="s">
        <v>3370</v>
      </c>
      <c r="G924" s="23" t="s">
        <v>403</v>
      </c>
      <c r="H924" s="353">
        <v>10070</v>
      </c>
      <c r="I924" s="59"/>
      <c r="J924" s="59" t="s">
        <v>3371</v>
      </c>
      <c r="K924" s="20"/>
      <c r="L924" s="20"/>
      <c r="M924" s="357"/>
      <c r="N924" s="411"/>
      <c r="O924" s="23" t="s">
        <v>1443</v>
      </c>
      <c r="P924" s="92" t="s">
        <v>676</v>
      </c>
      <c r="Q924" s="92" t="s">
        <v>646</v>
      </c>
      <c r="R924" s="372" t="str">
        <f t="shared" si="28"/>
        <v/>
      </c>
    </row>
    <row r="925" spans="1:18" x14ac:dyDescent="0.25">
      <c r="A925" s="23" t="s">
        <v>105</v>
      </c>
      <c r="B925" s="18" t="str">
        <f>IF(ISNA(VLOOKUP($A925,'Data Pull Sheet'!$B$2:$C$1795,2,0)),"",(VLOOKUP($A925,'Data Pull Sheet'!$B$2:$C$1795,2,0)))</f>
        <v>TARO</v>
      </c>
      <c r="C925" s="59" t="s">
        <v>418</v>
      </c>
      <c r="D925" s="356" t="s">
        <v>490</v>
      </c>
      <c r="E925" s="356" t="s">
        <v>416</v>
      </c>
      <c r="F925" s="23" t="s">
        <v>10860</v>
      </c>
      <c r="G925" s="23" t="s">
        <v>417</v>
      </c>
      <c r="H925" s="353">
        <v>166256.29</v>
      </c>
      <c r="I925" s="59"/>
      <c r="J925" s="59" t="s">
        <v>3678</v>
      </c>
      <c r="K925" s="20">
        <v>3</v>
      </c>
      <c r="L925" s="20">
        <v>1</v>
      </c>
      <c r="M925" s="357">
        <f>H925</f>
        <v>166256.29</v>
      </c>
      <c r="N925" s="411">
        <f>IFERROR((M925/(VLOOKUP(B925,'Data Pull Sheet'!$C:$H,6,FALSE))),"DC")</f>
        <v>3.3251258000000002E-3</v>
      </c>
      <c r="O925" s="23" t="s">
        <v>104</v>
      </c>
      <c r="P925" s="92" t="s">
        <v>632</v>
      </c>
      <c r="Q925" s="92" t="s">
        <v>633</v>
      </c>
      <c r="R925" s="372" t="str">
        <f t="shared" si="28"/>
        <v>FF</v>
      </c>
    </row>
    <row r="926" spans="1:18" x14ac:dyDescent="0.25">
      <c r="A926" s="23" t="s">
        <v>105</v>
      </c>
      <c r="B926" s="18" t="str">
        <f>IF(ISNA(VLOOKUP($A926,'Data Pull Sheet'!$B$2:$C$1795,2,0)),"",(VLOOKUP($A926,'Data Pull Sheet'!$B$2:$C$1795,2,0)))</f>
        <v>TARO</v>
      </c>
      <c r="C926" s="59" t="s">
        <v>418</v>
      </c>
      <c r="D926" s="356" t="s">
        <v>490</v>
      </c>
      <c r="E926" s="356" t="s">
        <v>416</v>
      </c>
      <c r="F926" s="23" t="s">
        <v>3679</v>
      </c>
      <c r="G926" s="23" t="s">
        <v>403</v>
      </c>
      <c r="H926" s="353">
        <v>18851</v>
      </c>
      <c r="I926" s="59"/>
      <c r="J926" s="59" t="s">
        <v>3680</v>
      </c>
      <c r="K926" s="20"/>
      <c r="L926" s="20">
        <v>2</v>
      </c>
      <c r="M926" s="357">
        <f>SUM(H926:H927)</f>
        <v>41610</v>
      </c>
      <c r="N926" s="411">
        <f>IFERROR((M926/(VLOOKUP(B926,'Data Pull Sheet'!$C:$H,6,FALSE))),"DC")</f>
        <v>8.3219999999999995E-4</v>
      </c>
      <c r="O926" s="23" t="s">
        <v>1204</v>
      </c>
      <c r="P926" s="92" t="s">
        <v>632</v>
      </c>
      <c r="Q926" s="92" t="s">
        <v>646</v>
      </c>
      <c r="R926" s="372" t="str">
        <f t="shared" si="28"/>
        <v/>
      </c>
    </row>
    <row r="927" spans="1:18" x14ac:dyDescent="0.25">
      <c r="A927" s="23" t="s">
        <v>105</v>
      </c>
      <c r="B927" s="18" t="str">
        <f>IF(ISNA(VLOOKUP($A927,'Data Pull Sheet'!$B$2:$C$1795,2,0)),"",(VLOOKUP($A927,'Data Pull Sheet'!$B$2:$C$1795,2,0)))</f>
        <v>TARO</v>
      </c>
      <c r="C927" s="59" t="s">
        <v>418</v>
      </c>
      <c r="D927" s="356" t="s">
        <v>490</v>
      </c>
      <c r="E927" s="356" t="s">
        <v>416</v>
      </c>
      <c r="F927" s="23" t="s">
        <v>3681</v>
      </c>
      <c r="G927" s="23" t="s">
        <v>403</v>
      </c>
      <c r="H927" s="353">
        <v>22759</v>
      </c>
      <c r="I927" s="59"/>
      <c r="J927" s="59" t="s">
        <v>3682</v>
      </c>
      <c r="K927" s="20"/>
      <c r="L927" s="20"/>
      <c r="M927" s="357"/>
      <c r="N927" s="411"/>
      <c r="O927" s="23" t="s">
        <v>1204</v>
      </c>
      <c r="P927" s="92" t="s">
        <v>632</v>
      </c>
      <c r="Q927" s="92" t="s">
        <v>646</v>
      </c>
      <c r="R927" s="372" t="str">
        <f t="shared" si="28"/>
        <v/>
      </c>
    </row>
    <row r="928" spans="1:18" x14ac:dyDescent="0.25">
      <c r="A928" s="23" t="s">
        <v>105</v>
      </c>
      <c r="B928" s="18" t="str">
        <f>IF(ISNA(VLOOKUP($A928,'Data Pull Sheet'!$B$2:$C$1795,2,0)),"",(VLOOKUP($A928,'Data Pull Sheet'!$B$2:$C$1795,2,0)))</f>
        <v>TARO</v>
      </c>
      <c r="C928" s="59" t="s">
        <v>418</v>
      </c>
      <c r="D928" s="356" t="s">
        <v>490</v>
      </c>
      <c r="E928" s="356" t="s">
        <v>416</v>
      </c>
      <c r="F928" s="23" t="s">
        <v>3683</v>
      </c>
      <c r="G928" s="23" t="s">
        <v>417</v>
      </c>
      <c r="H928" s="353">
        <v>5518</v>
      </c>
      <c r="I928" s="59"/>
      <c r="J928" s="59" t="s">
        <v>3684</v>
      </c>
      <c r="K928" s="20"/>
      <c r="L928" s="20">
        <v>1</v>
      </c>
      <c r="M928" s="357">
        <f>H928</f>
        <v>5518</v>
      </c>
      <c r="N928" s="411">
        <f>IFERROR((M928/(VLOOKUP(B928,'Data Pull Sheet'!$C:$H,6,FALSE))),"DC")</f>
        <v>1.1035999999999999E-4</v>
      </c>
      <c r="O928" s="23" t="s">
        <v>682</v>
      </c>
      <c r="P928" s="92" t="s">
        <v>632</v>
      </c>
      <c r="Q928" s="92" t="s">
        <v>633</v>
      </c>
      <c r="R928" s="372" t="str">
        <f t="shared" si="28"/>
        <v/>
      </c>
    </row>
    <row r="929" spans="1:18" x14ac:dyDescent="0.25">
      <c r="A929" s="23" t="s">
        <v>22</v>
      </c>
      <c r="B929" s="18" t="str">
        <f>IF(ISNA(VLOOKUP($A929,'Data Pull Sheet'!$B$2:$C$1795,2,0)),"",(VLOOKUP($A929,'Data Pull Sheet'!$B$2:$C$1795,2,0)))</f>
        <v>AGN</v>
      </c>
      <c r="C929" s="59" t="s">
        <v>424</v>
      </c>
      <c r="D929" s="356" t="s">
        <v>427</v>
      </c>
      <c r="E929" s="356" t="s">
        <v>428</v>
      </c>
      <c r="F929" s="23" t="s">
        <v>747</v>
      </c>
      <c r="G929" s="23" t="s">
        <v>403</v>
      </c>
      <c r="H929" s="353">
        <v>13410.31</v>
      </c>
      <c r="I929" s="59"/>
      <c r="J929" s="59" t="s">
        <v>748</v>
      </c>
      <c r="K929" s="20">
        <v>12</v>
      </c>
      <c r="L929" s="20">
        <v>1</v>
      </c>
      <c r="M929" s="357">
        <f>H929</f>
        <v>13410.31</v>
      </c>
      <c r="N929" s="411">
        <f>IFERROR((M929/(VLOOKUP(B929,'Data Pull Sheet'!$C:$H,6,FALSE))),"DC")</f>
        <v>1.341031E-5</v>
      </c>
      <c r="O929" s="23" t="s">
        <v>166</v>
      </c>
      <c r="P929" s="92" t="s">
        <v>632</v>
      </c>
      <c r="Q929" s="92" t="s">
        <v>637</v>
      </c>
      <c r="R929" s="372" t="str">
        <f t="shared" si="28"/>
        <v/>
      </c>
    </row>
    <row r="930" spans="1:18" ht="30" x14ac:dyDescent="0.25">
      <c r="A930" s="23" t="s">
        <v>22</v>
      </c>
      <c r="B930" s="18" t="str">
        <f>IF(ISNA(VLOOKUP($A930,'Data Pull Sheet'!$B$2:$C$1795,2,0)),"",(VLOOKUP($A930,'Data Pull Sheet'!$B$2:$C$1795,2,0)))</f>
        <v>AGN</v>
      </c>
      <c r="C930" s="59" t="s">
        <v>424</v>
      </c>
      <c r="D930" s="356" t="s">
        <v>427</v>
      </c>
      <c r="E930" s="356" t="s">
        <v>428</v>
      </c>
      <c r="F930" s="23" t="s">
        <v>565</v>
      </c>
      <c r="G930" s="23" t="s">
        <v>403</v>
      </c>
      <c r="H930" s="353">
        <v>6006.17</v>
      </c>
      <c r="I930" s="59"/>
      <c r="J930" s="59" t="s">
        <v>768</v>
      </c>
      <c r="K930" s="20"/>
      <c r="L930" s="20">
        <v>1</v>
      </c>
      <c r="M930" s="357">
        <f>H930</f>
        <v>6006.17</v>
      </c>
      <c r="N930" s="411">
        <f>IFERROR((M930/(VLOOKUP(B930,'Data Pull Sheet'!$C:$H,6,FALSE))),"DC")</f>
        <v>6.0061699999999998E-6</v>
      </c>
      <c r="O930" s="23" t="s">
        <v>769</v>
      </c>
      <c r="P930" s="92" t="s">
        <v>632</v>
      </c>
      <c r="Q930" s="92" t="s">
        <v>637</v>
      </c>
      <c r="R930" s="372" t="str">
        <f t="shared" si="28"/>
        <v>FF</v>
      </c>
    </row>
    <row r="931" spans="1:18" ht="30" x14ac:dyDescent="0.25">
      <c r="A931" s="23" t="s">
        <v>22</v>
      </c>
      <c r="B931" s="18" t="str">
        <f>IF(ISNA(VLOOKUP($A931,'Data Pull Sheet'!$B$2:$C$1795,2,0)),"",(VLOOKUP($A931,'Data Pull Sheet'!$B$2:$C$1795,2,0)))</f>
        <v>AGN</v>
      </c>
      <c r="C931" s="59" t="s">
        <v>424</v>
      </c>
      <c r="D931" s="356" t="s">
        <v>427</v>
      </c>
      <c r="E931" s="356" t="s">
        <v>428</v>
      </c>
      <c r="F931" s="23" t="s">
        <v>264</v>
      </c>
      <c r="G931" s="23" t="s">
        <v>417</v>
      </c>
      <c r="H931" s="353">
        <v>1532303.25</v>
      </c>
      <c r="I931" s="59" t="s">
        <v>476</v>
      </c>
      <c r="J931" s="59" t="s">
        <v>770</v>
      </c>
      <c r="K931" s="20"/>
      <c r="L931" s="20">
        <v>1</v>
      </c>
      <c r="M931" s="357">
        <f>H931</f>
        <v>1532303.25</v>
      </c>
      <c r="N931" s="411">
        <f>IFERROR((M931/(VLOOKUP(B931,'Data Pull Sheet'!$C:$H,6,FALSE))),"DC")</f>
        <v>1.5323032499999999E-3</v>
      </c>
      <c r="O931" s="23" t="s">
        <v>265</v>
      </c>
      <c r="P931" s="92" t="s">
        <v>632</v>
      </c>
      <c r="Q931" s="92" t="s">
        <v>633</v>
      </c>
      <c r="R931" s="372" t="str">
        <f t="shared" si="28"/>
        <v>FF</v>
      </c>
    </row>
    <row r="932" spans="1:18" x14ac:dyDescent="0.25">
      <c r="A932" s="23" t="s">
        <v>22</v>
      </c>
      <c r="B932" s="18" t="str">
        <f>IF(ISNA(VLOOKUP($A932,'Data Pull Sheet'!$B$2:$C$1795,2,0)),"",(VLOOKUP($A932,'Data Pull Sheet'!$B$2:$C$1795,2,0)))</f>
        <v>AGN</v>
      </c>
      <c r="C932" s="59" t="s">
        <v>424</v>
      </c>
      <c r="D932" s="356" t="s">
        <v>427</v>
      </c>
      <c r="E932" s="356" t="s">
        <v>428</v>
      </c>
      <c r="F932" s="23" t="s">
        <v>771</v>
      </c>
      <c r="G932" s="23" t="s">
        <v>403</v>
      </c>
      <c r="H932" s="353">
        <v>375076.44</v>
      </c>
      <c r="I932" s="59"/>
      <c r="J932" s="59" t="s">
        <v>772</v>
      </c>
      <c r="K932" s="20"/>
      <c r="L932" s="20">
        <f>2</f>
        <v>2</v>
      </c>
      <c r="M932" s="357">
        <f>SUM(H932:H933)</f>
        <v>996662.64999999991</v>
      </c>
      <c r="N932" s="411">
        <f>IFERROR((M932/(VLOOKUP(B932,'Data Pull Sheet'!$C:$H,6,FALSE))),"DC")</f>
        <v>9.9666264999999994E-4</v>
      </c>
      <c r="O932" s="23" t="s">
        <v>682</v>
      </c>
      <c r="P932" s="92" t="s">
        <v>632</v>
      </c>
      <c r="Q932" s="92" t="s">
        <v>662</v>
      </c>
      <c r="R932" s="372" t="str">
        <f t="shared" si="28"/>
        <v/>
      </c>
    </row>
    <row r="933" spans="1:18" x14ac:dyDescent="0.25">
      <c r="A933" s="23" t="s">
        <v>22</v>
      </c>
      <c r="B933" s="18" t="str">
        <f>IF(ISNA(VLOOKUP($A933,'Data Pull Sheet'!$B$2:$C$1795,2,0)),"",(VLOOKUP($A933,'Data Pull Sheet'!$B$2:$C$1795,2,0)))</f>
        <v>AGN</v>
      </c>
      <c r="C933" s="59" t="s">
        <v>424</v>
      </c>
      <c r="D933" s="356" t="s">
        <v>427</v>
      </c>
      <c r="E933" s="356" t="s">
        <v>428</v>
      </c>
      <c r="F933" s="23" t="s">
        <v>773</v>
      </c>
      <c r="G933" s="23" t="s">
        <v>417</v>
      </c>
      <c r="H933" s="353">
        <v>621586.21</v>
      </c>
      <c r="I933" s="59"/>
      <c r="J933" s="59" t="s">
        <v>774</v>
      </c>
      <c r="K933" s="20"/>
      <c r="L933" s="20"/>
      <c r="M933" s="357"/>
      <c r="N933" s="411"/>
      <c r="O933" s="23" t="s">
        <v>682</v>
      </c>
      <c r="P933" s="92" t="s">
        <v>632</v>
      </c>
      <c r="Q933" s="92" t="s">
        <v>662</v>
      </c>
      <c r="R933" s="372" t="str">
        <f t="shared" si="28"/>
        <v/>
      </c>
    </row>
    <row r="934" spans="1:18" ht="30" x14ac:dyDescent="0.25">
      <c r="A934" s="23" t="s">
        <v>22</v>
      </c>
      <c r="B934" s="18" t="str">
        <f>IF(ISNA(VLOOKUP($A934,'Data Pull Sheet'!$B$2:$C$1795,2,0)),"",(VLOOKUP($A934,'Data Pull Sheet'!$B$2:$C$1795,2,0)))</f>
        <v>AGN</v>
      </c>
      <c r="C934" s="59" t="s">
        <v>424</v>
      </c>
      <c r="D934" s="356" t="s">
        <v>427</v>
      </c>
      <c r="E934" s="356" t="s">
        <v>428</v>
      </c>
      <c r="F934" s="23" t="s">
        <v>10443</v>
      </c>
      <c r="G934" s="23" t="s">
        <v>403</v>
      </c>
      <c r="H934" s="353">
        <v>81545.91</v>
      </c>
      <c r="I934" s="59"/>
      <c r="J934" s="59" t="s">
        <v>10444</v>
      </c>
      <c r="K934" s="20"/>
      <c r="L934" s="20">
        <v>2</v>
      </c>
      <c r="M934" s="357">
        <f>SUM(H934:H935)</f>
        <v>2602829.91</v>
      </c>
      <c r="N934" s="411">
        <f>IFERROR((M934/(VLOOKUP(B934,'Data Pull Sheet'!$C:$H,6,FALSE))),"DC")</f>
        <v>2.6028299100000003E-3</v>
      </c>
      <c r="O934" s="23" t="s">
        <v>750</v>
      </c>
      <c r="P934" s="92" t="s">
        <v>632</v>
      </c>
      <c r="Q934" s="92" t="s">
        <v>646</v>
      </c>
      <c r="R934" s="372" t="str">
        <f t="shared" si="28"/>
        <v/>
      </c>
    </row>
    <row r="935" spans="1:18" x14ac:dyDescent="0.25">
      <c r="A935" s="23" t="s">
        <v>22</v>
      </c>
      <c r="B935" s="18" t="str">
        <f>IF(ISNA(VLOOKUP($A935,'Data Pull Sheet'!$B$2:$C$1795,2,0)),"",(VLOOKUP($A935,'Data Pull Sheet'!$B$2:$C$1795,2,0)))</f>
        <v>AGN</v>
      </c>
      <c r="C935" s="59" t="s">
        <v>424</v>
      </c>
      <c r="D935" s="356" t="s">
        <v>427</v>
      </c>
      <c r="E935" s="356" t="s">
        <v>428</v>
      </c>
      <c r="F935" s="23" t="s">
        <v>184</v>
      </c>
      <c r="G935" s="23" t="s">
        <v>417</v>
      </c>
      <c r="H935" s="353">
        <v>2521284</v>
      </c>
      <c r="I935" s="59" t="s">
        <v>413</v>
      </c>
      <c r="J935" s="59" t="s">
        <v>751</v>
      </c>
      <c r="K935" s="20"/>
      <c r="L935" s="20">
        <v>2</v>
      </c>
      <c r="M935" s="357">
        <f>SUM(H935:H936)</f>
        <v>11387971</v>
      </c>
      <c r="N935" s="411">
        <f>IFERROR((M935/(VLOOKUP(B935,'Data Pull Sheet'!$C:$H,6,FALSE))),"DC")</f>
        <v>1.1387971E-2</v>
      </c>
      <c r="O935" s="23" t="s">
        <v>752</v>
      </c>
      <c r="P935" s="92" t="s">
        <v>632</v>
      </c>
      <c r="Q935" s="92" t="s">
        <v>640</v>
      </c>
      <c r="R935" s="372" t="str">
        <f t="shared" si="28"/>
        <v>FF</v>
      </c>
    </row>
    <row r="936" spans="1:18" x14ac:dyDescent="0.25">
      <c r="A936" s="23" t="s">
        <v>22</v>
      </c>
      <c r="B936" s="18" t="str">
        <f>IF(ISNA(VLOOKUP($A936,'Data Pull Sheet'!$B$2:$C$1795,2,0)),"",(VLOOKUP($A936,'Data Pull Sheet'!$B$2:$C$1795,2,0)))</f>
        <v>AGN</v>
      </c>
      <c r="C936" s="59" t="s">
        <v>424</v>
      </c>
      <c r="D936" s="356" t="s">
        <v>427</v>
      </c>
      <c r="E936" s="356" t="s">
        <v>428</v>
      </c>
      <c r="F936" s="23" t="s">
        <v>378</v>
      </c>
      <c r="G936" s="23" t="s">
        <v>417</v>
      </c>
      <c r="H936" s="353">
        <v>8866687</v>
      </c>
      <c r="I936" s="59" t="s">
        <v>413</v>
      </c>
      <c r="J936" s="59" t="s">
        <v>753</v>
      </c>
      <c r="K936" s="20"/>
      <c r="L936" s="20"/>
      <c r="M936" s="357"/>
      <c r="N936" s="411"/>
      <c r="O936" s="23" t="s">
        <v>752</v>
      </c>
      <c r="P936" s="92" t="s">
        <v>632</v>
      </c>
      <c r="Q936" s="92" t="s">
        <v>640</v>
      </c>
      <c r="R936" s="372" t="str">
        <f t="shared" si="28"/>
        <v>FF</v>
      </c>
    </row>
    <row r="937" spans="1:18" x14ac:dyDescent="0.25">
      <c r="A937" s="23" t="s">
        <v>22</v>
      </c>
      <c r="B937" s="18" t="str">
        <f>IF(ISNA(VLOOKUP($A937,'Data Pull Sheet'!$B$2:$C$1795,2,0)),"",(VLOOKUP($A937,'Data Pull Sheet'!$B$2:$C$1795,2,0)))</f>
        <v>AGN</v>
      </c>
      <c r="C937" s="59" t="s">
        <v>424</v>
      </c>
      <c r="D937" s="356" t="s">
        <v>427</v>
      </c>
      <c r="E937" s="356" t="s">
        <v>428</v>
      </c>
      <c r="F937" s="23" t="s">
        <v>754</v>
      </c>
      <c r="G937" s="23" t="s">
        <v>417</v>
      </c>
      <c r="H937" s="353">
        <v>354569.34</v>
      </c>
      <c r="I937" s="59" t="s">
        <v>442</v>
      </c>
      <c r="J937" s="59" t="s">
        <v>755</v>
      </c>
      <c r="K937" s="20"/>
      <c r="L937" s="20">
        <f>1</f>
        <v>1</v>
      </c>
      <c r="M937" s="357">
        <f>H937</f>
        <v>354569.34</v>
      </c>
      <c r="N937" s="411">
        <f>IFERROR((M937/(VLOOKUP(B937,'Data Pull Sheet'!$C:$H,6,FALSE))),"DC")</f>
        <v>3.5456934000000005E-4</v>
      </c>
      <c r="O937" s="23" t="s">
        <v>756</v>
      </c>
      <c r="P937" s="92" t="s">
        <v>632</v>
      </c>
      <c r="Q937" s="92" t="s">
        <v>633</v>
      </c>
      <c r="R937" s="372" t="str">
        <f t="shared" si="28"/>
        <v/>
      </c>
    </row>
    <row r="938" spans="1:18" x14ac:dyDescent="0.25">
      <c r="A938" s="23" t="s">
        <v>22</v>
      </c>
      <c r="B938" s="18" t="str">
        <f>IF(ISNA(VLOOKUP($A938,'Data Pull Sheet'!$B$2:$C$1795,2,0)),"",(VLOOKUP($A938,'Data Pull Sheet'!$B$2:$C$1795,2,0)))</f>
        <v>AGN</v>
      </c>
      <c r="C938" s="59" t="s">
        <v>424</v>
      </c>
      <c r="D938" s="356" t="s">
        <v>427</v>
      </c>
      <c r="E938" s="356" t="s">
        <v>428</v>
      </c>
      <c r="F938" s="23" t="s">
        <v>757</v>
      </c>
      <c r="G938" s="23" t="s">
        <v>403</v>
      </c>
      <c r="H938" s="353">
        <v>70866.62</v>
      </c>
      <c r="I938" s="59"/>
      <c r="J938" s="59" t="s">
        <v>758</v>
      </c>
      <c r="K938" s="20"/>
      <c r="L938" s="20">
        <f>1</f>
        <v>1</v>
      </c>
      <c r="M938" s="357">
        <f>H938</f>
        <v>70866.62</v>
      </c>
      <c r="N938" s="411">
        <f>IFERROR((M938/(VLOOKUP(B938,'Data Pull Sheet'!$C:$H,6,FALSE))),"DC")</f>
        <v>7.0866619999999998E-5</v>
      </c>
      <c r="O938" s="23" t="s">
        <v>759</v>
      </c>
      <c r="P938" s="92" t="s">
        <v>632</v>
      </c>
      <c r="Q938" s="92" t="s">
        <v>637</v>
      </c>
      <c r="R938" s="372" t="str">
        <f t="shared" si="28"/>
        <v/>
      </c>
    </row>
    <row r="939" spans="1:18" x14ac:dyDescent="0.25">
      <c r="A939" s="23" t="s">
        <v>22</v>
      </c>
      <c r="B939" s="18" t="str">
        <f>IF(ISNA(VLOOKUP($A939,'Data Pull Sheet'!$B$2:$C$1795,2,0)),"",(VLOOKUP($A939,'Data Pull Sheet'!$B$2:$C$1795,2,0)))</f>
        <v>AGN</v>
      </c>
      <c r="C939" s="59" t="s">
        <v>424</v>
      </c>
      <c r="D939" s="356" t="s">
        <v>427</v>
      </c>
      <c r="E939" s="356" t="s">
        <v>428</v>
      </c>
      <c r="F939" s="23" t="s">
        <v>760</v>
      </c>
      <c r="G939" s="23" t="s">
        <v>403</v>
      </c>
      <c r="H939" s="353">
        <v>371761.79</v>
      </c>
      <c r="I939" s="59" t="s">
        <v>406</v>
      </c>
      <c r="J939" s="59" t="s">
        <v>761</v>
      </c>
      <c r="K939" s="20"/>
      <c r="L939" s="20">
        <f>1</f>
        <v>1</v>
      </c>
      <c r="M939" s="357">
        <f>H939</f>
        <v>371761.79</v>
      </c>
      <c r="N939" s="411">
        <f>IFERROR((M939/(VLOOKUP(B939,'Data Pull Sheet'!$C:$H,6,FALSE))),"DC")</f>
        <v>3.7176178999999995E-4</v>
      </c>
      <c r="O939" s="23" t="s">
        <v>407</v>
      </c>
      <c r="P939" s="92" t="s">
        <v>632</v>
      </c>
      <c r="Q939" s="92" t="s">
        <v>637</v>
      </c>
      <c r="R939" s="372" t="str">
        <f t="shared" si="28"/>
        <v/>
      </c>
    </row>
    <row r="940" spans="1:18" x14ac:dyDescent="0.25">
      <c r="A940" s="23" t="s">
        <v>22</v>
      </c>
      <c r="B940" s="18" t="str">
        <f>IF(ISNA(VLOOKUP($A940,'Data Pull Sheet'!$B$2:$C$1795,2,0)),"",(VLOOKUP($A940,'Data Pull Sheet'!$B$2:$C$1795,2,0)))</f>
        <v>AGN</v>
      </c>
      <c r="C940" s="59" t="s">
        <v>424</v>
      </c>
      <c r="D940" s="356" t="s">
        <v>427</v>
      </c>
      <c r="E940" s="356" t="s">
        <v>428</v>
      </c>
      <c r="F940" s="23" t="s">
        <v>323</v>
      </c>
      <c r="G940" s="23" t="s">
        <v>417</v>
      </c>
      <c r="H940" s="353">
        <v>20847078.41</v>
      </c>
      <c r="I940" s="59" t="s">
        <v>413</v>
      </c>
      <c r="J940" s="59" t="s">
        <v>762</v>
      </c>
      <c r="K940" s="20"/>
      <c r="L940" s="20">
        <v>2</v>
      </c>
      <c r="M940" s="357">
        <f>SUM(H940:H941)</f>
        <v>55073083.719999999</v>
      </c>
      <c r="N940" s="411">
        <f>IFERROR((M940/(VLOOKUP(B940,'Data Pull Sheet'!$C:$H,6,FALSE))),"DC")</f>
        <v>5.5073083719999999E-2</v>
      </c>
      <c r="O940" s="23" t="s">
        <v>10852</v>
      </c>
      <c r="P940" s="92" t="s">
        <v>632</v>
      </c>
      <c r="Q940" s="92" t="s">
        <v>640</v>
      </c>
      <c r="R940" s="372" t="str">
        <f t="shared" si="28"/>
        <v>FF</v>
      </c>
    </row>
    <row r="941" spans="1:18" x14ac:dyDescent="0.25">
      <c r="A941" s="23" t="s">
        <v>22</v>
      </c>
      <c r="B941" s="18" t="str">
        <f>IF(ISNA(VLOOKUP($A941,'Data Pull Sheet'!$B$2:$C$1795,2,0)),"",(VLOOKUP($A941,'Data Pull Sheet'!$B$2:$C$1795,2,0)))</f>
        <v>AGN</v>
      </c>
      <c r="C941" s="59" t="s">
        <v>424</v>
      </c>
      <c r="D941" s="356" t="s">
        <v>427</v>
      </c>
      <c r="E941" s="356" t="s">
        <v>428</v>
      </c>
      <c r="F941" s="23" t="s">
        <v>373</v>
      </c>
      <c r="G941" s="23" t="s">
        <v>417</v>
      </c>
      <c r="H941" s="353">
        <v>34226005.310000002</v>
      </c>
      <c r="I941" s="59" t="s">
        <v>442</v>
      </c>
      <c r="J941" s="59" t="s">
        <v>764</v>
      </c>
      <c r="K941" s="20"/>
      <c r="L941" s="20"/>
      <c r="M941" s="357"/>
      <c r="N941" s="411"/>
      <c r="O941" s="23" t="s">
        <v>10852</v>
      </c>
      <c r="P941" s="92" t="s">
        <v>632</v>
      </c>
      <c r="Q941" s="92" t="s">
        <v>640</v>
      </c>
      <c r="R941" s="372" t="str">
        <f t="shared" si="28"/>
        <v>FF</v>
      </c>
    </row>
    <row r="942" spans="1:18" ht="30" x14ac:dyDescent="0.25">
      <c r="A942" s="23" t="s">
        <v>22</v>
      </c>
      <c r="B942" s="18" t="str">
        <f>IF(ISNA(VLOOKUP($A942,'Data Pull Sheet'!$B$2:$C$1795,2,0)),"",(VLOOKUP($A942,'Data Pull Sheet'!$B$2:$C$1795,2,0)))</f>
        <v>AGN</v>
      </c>
      <c r="C942" s="59" t="s">
        <v>424</v>
      </c>
      <c r="D942" s="356" t="s">
        <v>427</v>
      </c>
      <c r="E942" s="356" t="s">
        <v>428</v>
      </c>
      <c r="F942" s="23" t="s">
        <v>12</v>
      </c>
      <c r="G942" s="23" t="s">
        <v>417</v>
      </c>
      <c r="H942" s="353">
        <v>5970378.1600000001</v>
      </c>
      <c r="I942" s="59" t="s">
        <v>413</v>
      </c>
      <c r="J942" s="59" t="s">
        <v>765</v>
      </c>
      <c r="K942" s="20"/>
      <c r="L942" s="20">
        <v>1</v>
      </c>
      <c r="M942" s="357">
        <f>H942</f>
        <v>5970378.1600000001</v>
      </c>
      <c r="N942" s="411">
        <f>IFERROR((M942/(VLOOKUP(B942,'Data Pull Sheet'!$C:$H,6,FALSE))),"DC")</f>
        <v>5.9703781600000004E-3</v>
      </c>
      <c r="O942" s="23" t="s">
        <v>21</v>
      </c>
      <c r="P942" s="92" t="s">
        <v>632</v>
      </c>
      <c r="Q942" s="92" t="s">
        <v>633</v>
      </c>
      <c r="R942" s="372" t="str">
        <f t="shared" si="28"/>
        <v>FF</v>
      </c>
    </row>
    <row r="943" spans="1:18" ht="30" x14ac:dyDescent="0.25">
      <c r="A943" s="23" t="s">
        <v>22</v>
      </c>
      <c r="B943" s="18" t="str">
        <f>IF(ISNA(VLOOKUP($A943,'Data Pull Sheet'!$B$2:$C$1795,2,0)),"",(VLOOKUP($A943,'Data Pull Sheet'!$B$2:$C$1795,2,0)))</f>
        <v>AGN</v>
      </c>
      <c r="C943" s="59" t="s">
        <v>424</v>
      </c>
      <c r="D943" s="356" t="s">
        <v>427</v>
      </c>
      <c r="E943" s="356" t="s">
        <v>428</v>
      </c>
      <c r="F943" s="23" t="s">
        <v>355</v>
      </c>
      <c r="G943" s="23" t="s">
        <v>417</v>
      </c>
      <c r="H943" s="353">
        <v>11815139.140000001</v>
      </c>
      <c r="I943" s="59"/>
      <c r="J943" s="59" t="s">
        <v>766</v>
      </c>
      <c r="K943" s="20"/>
      <c r="L943" s="20">
        <f>1</f>
        <v>1</v>
      </c>
      <c r="M943" s="357">
        <f>H943</f>
        <v>11815139.140000001</v>
      </c>
      <c r="N943" s="411">
        <f>IFERROR((M943/(VLOOKUP(B943,'Data Pull Sheet'!$C:$H,6,FALSE))),"DC")</f>
        <v>1.181513914E-2</v>
      </c>
      <c r="O943" s="23" t="s">
        <v>10823</v>
      </c>
      <c r="P943" s="92" t="s">
        <v>632</v>
      </c>
      <c r="Q943" s="92" t="s">
        <v>633</v>
      </c>
      <c r="R943" s="372" t="str">
        <f t="shared" si="28"/>
        <v>FF</v>
      </c>
    </row>
    <row r="944" spans="1:18" x14ac:dyDescent="0.25">
      <c r="A944" s="23" t="s">
        <v>142</v>
      </c>
      <c r="B944" s="18" t="str">
        <f>IF(ISNA(VLOOKUP($A944,'Data Pull Sheet'!$B$2:$C$1795,2,0)),"",(VLOOKUP($A944,'Data Pull Sheet'!$B$2:$C$1795,2,0)))</f>
        <v>CEMP</v>
      </c>
      <c r="C944" s="59" t="s">
        <v>503</v>
      </c>
      <c r="D944" s="356" t="s">
        <v>504</v>
      </c>
      <c r="E944" s="356" t="s">
        <v>428</v>
      </c>
      <c r="F944" s="23" t="s">
        <v>1205</v>
      </c>
      <c r="G944" s="23" t="s">
        <v>403</v>
      </c>
      <c r="H944" s="353">
        <v>104705</v>
      </c>
      <c r="I944" s="59"/>
      <c r="J944" s="59" t="s">
        <v>1206</v>
      </c>
      <c r="K944" s="20">
        <v>5</v>
      </c>
      <c r="L944" s="20">
        <v>1</v>
      </c>
      <c r="M944" s="357">
        <f>SUM(H944:H948)</f>
        <v>1359649</v>
      </c>
      <c r="N944" s="411">
        <f>IFERROR((M944/(VLOOKUP(B944,'Data Pull Sheet'!$C:$H,6,FALSE))),"DC")</f>
        <v>5.4385960000000004E-3</v>
      </c>
      <c r="O944" s="23" t="s">
        <v>1207</v>
      </c>
      <c r="P944" s="92" t="s">
        <v>632</v>
      </c>
      <c r="Q944" s="92" t="s">
        <v>646</v>
      </c>
      <c r="R944" s="372" t="str">
        <f t="shared" si="28"/>
        <v/>
      </c>
    </row>
    <row r="945" spans="1:18" x14ac:dyDescent="0.25">
      <c r="A945" s="23" t="s">
        <v>142</v>
      </c>
      <c r="B945" s="18" t="str">
        <f>IF(ISNA(VLOOKUP($A945,'Data Pull Sheet'!$B$2:$C$1795,2,0)),"",(VLOOKUP($A945,'Data Pull Sheet'!$B$2:$C$1795,2,0)))</f>
        <v>CEMP</v>
      </c>
      <c r="C945" s="59" t="s">
        <v>503</v>
      </c>
      <c r="D945" s="356" t="s">
        <v>504</v>
      </c>
      <c r="E945" s="356" t="s">
        <v>428</v>
      </c>
      <c r="F945" s="23" t="s">
        <v>1208</v>
      </c>
      <c r="G945" s="23" t="s">
        <v>403</v>
      </c>
      <c r="H945" s="353">
        <v>178250</v>
      </c>
      <c r="I945" s="59"/>
      <c r="J945" s="59" t="s">
        <v>1209</v>
      </c>
      <c r="K945" s="20"/>
      <c r="L945" s="20"/>
      <c r="M945" s="357"/>
      <c r="N945" s="411"/>
      <c r="O945" s="23" t="s">
        <v>1207</v>
      </c>
      <c r="P945" s="92" t="s">
        <v>632</v>
      </c>
      <c r="Q945" s="92" t="s">
        <v>646</v>
      </c>
      <c r="R945" s="372" t="str">
        <f t="shared" si="28"/>
        <v/>
      </c>
    </row>
    <row r="946" spans="1:18" x14ac:dyDescent="0.25">
      <c r="A946" s="23" t="s">
        <v>142</v>
      </c>
      <c r="B946" s="18" t="str">
        <f>IF(ISNA(VLOOKUP($A946,'Data Pull Sheet'!$B$2:$C$1795,2,0)),"",(VLOOKUP($A946,'Data Pull Sheet'!$B$2:$C$1795,2,0)))</f>
        <v>CEMP</v>
      </c>
      <c r="C946" s="59" t="s">
        <v>503</v>
      </c>
      <c r="D946" s="356" t="s">
        <v>504</v>
      </c>
      <c r="E946" s="356" t="s">
        <v>428</v>
      </c>
      <c r="F946" s="23" t="s">
        <v>1210</v>
      </c>
      <c r="G946" s="23" t="s">
        <v>403</v>
      </c>
      <c r="H946" s="353">
        <v>244043</v>
      </c>
      <c r="I946" s="59"/>
      <c r="J946" s="59" t="s">
        <v>1211</v>
      </c>
      <c r="K946" s="20"/>
      <c r="L946" s="20"/>
      <c r="M946" s="357"/>
      <c r="N946" s="411"/>
      <c r="O946" s="23" t="s">
        <v>1207</v>
      </c>
      <c r="P946" s="92" t="s">
        <v>632</v>
      </c>
      <c r="Q946" s="92" t="s">
        <v>646</v>
      </c>
      <c r="R946" s="372" t="str">
        <f t="shared" si="28"/>
        <v/>
      </c>
    </row>
    <row r="947" spans="1:18" x14ac:dyDescent="0.25">
      <c r="A947" s="23" t="s">
        <v>142</v>
      </c>
      <c r="B947" s="18" t="str">
        <f>IF(ISNA(VLOOKUP($A947,'Data Pull Sheet'!$B$2:$C$1795,2,0)),"",(VLOOKUP($A947,'Data Pull Sheet'!$B$2:$C$1795,2,0)))</f>
        <v>CEMP</v>
      </c>
      <c r="C947" s="59" t="s">
        <v>503</v>
      </c>
      <c r="D947" s="356" t="s">
        <v>504</v>
      </c>
      <c r="E947" s="356" t="s">
        <v>428</v>
      </c>
      <c r="F947" s="23" t="s">
        <v>1212</v>
      </c>
      <c r="G947" s="23" t="s">
        <v>403</v>
      </c>
      <c r="H947" s="353">
        <v>339995</v>
      </c>
      <c r="I947" s="59"/>
      <c r="J947" s="59" t="s">
        <v>1213</v>
      </c>
      <c r="K947" s="20"/>
      <c r="L947" s="20"/>
      <c r="M947" s="357"/>
      <c r="N947" s="411"/>
      <c r="O947" s="23" t="s">
        <v>1207</v>
      </c>
      <c r="P947" s="92" t="s">
        <v>632</v>
      </c>
      <c r="Q947" s="92" t="s">
        <v>646</v>
      </c>
      <c r="R947" s="372" t="str">
        <f t="shared" si="28"/>
        <v/>
      </c>
    </row>
    <row r="948" spans="1:18" x14ac:dyDescent="0.25">
      <c r="A948" s="23" t="s">
        <v>142</v>
      </c>
      <c r="B948" s="18" t="str">
        <f>IF(ISNA(VLOOKUP($A948,'Data Pull Sheet'!$B$2:$C$1795,2,0)),"",(VLOOKUP($A948,'Data Pull Sheet'!$B$2:$C$1795,2,0)))</f>
        <v>CEMP</v>
      </c>
      <c r="C948" s="59" t="s">
        <v>503</v>
      </c>
      <c r="D948" s="356" t="s">
        <v>504</v>
      </c>
      <c r="E948" s="356" t="s">
        <v>428</v>
      </c>
      <c r="F948" s="23" t="s">
        <v>1214</v>
      </c>
      <c r="G948" s="23" t="s">
        <v>403</v>
      </c>
      <c r="H948" s="353">
        <v>492656</v>
      </c>
      <c r="I948" s="59"/>
      <c r="J948" s="59" t="s">
        <v>1215</v>
      </c>
      <c r="K948" s="20"/>
      <c r="L948" s="20"/>
      <c r="M948" s="357"/>
      <c r="N948" s="411"/>
      <c r="O948" s="23" t="s">
        <v>1207</v>
      </c>
      <c r="P948" s="92" t="s">
        <v>632</v>
      </c>
      <c r="Q948" s="92" t="s">
        <v>646</v>
      </c>
      <c r="R948" s="372" t="str">
        <f t="shared" si="28"/>
        <v/>
      </c>
    </row>
    <row r="949" spans="1:18" ht="30" x14ac:dyDescent="0.25">
      <c r="A949" s="23" t="s">
        <v>142</v>
      </c>
      <c r="B949" s="18" t="str">
        <f>IF(ISNA(VLOOKUP($A949,'Data Pull Sheet'!$B$2:$C$1795,2,0)),"",(VLOOKUP($A949,'Data Pull Sheet'!$B$2:$C$1795,2,0)))</f>
        <v>CEMP</v>
      </c>
      <c r="C949" s="59" t="s">
        <v>503</v>
      </c>
      <c r="D949" s="356" t="s">
        <v>504</v>
      </c>
      <c r="E949" s="356" t="s">
        <v>428</v>
      </c>
      <c r="F949" s="23" t="s">
        <v>1216</v>
      </c>
      <c r="G949" s="23" t="s">
        <v>417</v>
      </c>
      <c r="H949" s="353">
        <v>794296</v>
      </c>
      <c r="I949" s="59"/>
      <c r="J949" s="59" t="s">
        <v>1217</v>
      </c>
      <c r="K949" s="20"/>
      <c r="L949" s="20">
        <v>1</v>
      </c>
      <c r="M949" s="357">
        <f>H949</f>
        <v>794296</v>
      </c>
      <c r="N949" s="411">
        <f>IFERROR((M949/(VLOOKUP(B949,'Data Pull Sheet'!$C:$H,6,FALSE))),"DC")</f>
        <v>3.177184E-3</v>
      </c>
      <c r="O949" s="23" t="s">
        <v>1218</v>
      </c>
      <c r="P949" s="92" t="s">
        <v>632</v>
      </c>
      <c r="Q949" s="92" t="s">
        <v>633</v>
      </c>
      <c r="R949" s="372" t="str">
        <f t="shared" si="28"/>
        <v/>
      </c>
    </row>
    <row r="950" spans="1:18" x14ac:dyDescent="0.25">
      <c r="A950" s="23" t="s">
        <v>142</v>
      </c>
      <c r="B950" s="18" t="str">
        <f>IF(ISNA(VLOOKUP($A950,'Data Pull Sheet'!$B$2:$C$1795,2,0)),"",(VLOOKUP($A950,'Data Pull Sheet'!$B$2:$C$1795,2,0)))</f>
        <v>CEMP</v>
      </c>
      <c r="C950" s="59" t="s">
        <v>503</v>
      </c>
      <c r="D950" s="356" t="s">
        <v>504</v>
      </c>
      <c r="E950" s="356" t="s">
        <v>428</v>
      </c>
      <c r="F950" s="23" t="s">
        <v>1219</v>
      </c>
      <c r="G950" s="23" t="s">
        <v>403</v>
      </c>
      <c r="H950" s="353">
        <v>41827.14</v>
      </c>
      <c r="I950" s="59"/>
      <c r="J950" s="59" t="s">
        <v>1220</v>
      </c>
      <c r="K950" s="20"/>
      <c r="L950" s="20">
        <v>3</v>
      </c>
      <c r="M950" s="357">
        <f>SUM(H950:H952)</f>
        <v>227565.14</v>
      </c>
      <c r="N950" s="411">
        <f>IFERROR((M950/(VLOOKUP(B950,'Data Pull Sheet'!$C:$H,6,FALSE))),"DC")</f>
        <v>9.1026056000000001E-4</v>
      </c>
      <c r="O950" s="23" t="s">
        <v>1221</v>
      </c>
      <c r="P950" s="92" t="s">
        <v>632</v>
      </c>
      <c r="Q950" s="92" t="s">
        <v>646</v>
      </c>
      <c r="R950" s="372" t="str">
        <f t="shared" si="28"/>
        <v/>
      </c>
    </row>
    <row r="951" spans="1:18" x14ac:dyDescent="0.25">
      <c r="A951" s="23" t="s">
        <v>142</v>
      </c>
      <c r="B951" s="18" t="str">
        <f>IF(ISNA(VLOOKUP($A951,'Data Pull Sheet'!$B$2:$C$1795,2,0)),"",(VLOOKUP($A951,'Data Pull Sheet'!$B$2:$C$1795,2,0)))</f>
        <v>CEMP</v>
      </c>
      <c r="C951" s="59" t="s">
        <v>503</v>
      </c>
      <c r="D951" s="356" t="s">
        <v>504</v>
      </c>
      <c r="E951" s="356" t="s">
        <v>428</v>
      </c>
      <c r="F951" s="23" t="s">
        <v>1222</v>
      </c>
      <c r="G951" s="23" t="s">
        <v>403</v>
      </c>
      <c r="H951" s="353">
        <v>85513</v>
      </c>
      <c r="I951" s="59"/>
      <c r="J951" s="59" t="s">
        <v>1223</v>
      </c>
      <c r="K951" s="20"/>
      <c r="L951" s="20"/>
      <c r="M951" s="357"/>
      <c r="N951" s="411"/>
      <c r="O951" s="23" t="s">
        <v>1221</v>
      </c>
      <c r="P951" s="92" t="s">
        <v>632</v>
      </c>
      <c r="Q951" s="92" t="s">
        <v>646</v>
      </c>
      <c r="R951" s="372" t="str">
        <f t="shared" si="28"/>
        <v/>
      </c>
    </row>
    <row r="952" spans="1:18" x14ac:dyDescent="0.25">
      <c r="A952" s="23" t="s">
        <v>142</v>
      </c>
      <c r="B952" s="18" t="str">
        <f>IF(ISNA(VLOOKUP($A952,'Data Pull Sheet'!$B$2:$C$1795,2,0)),"",(VLOOKUP($A952,'Data Pull Sheet'!$B$2:$C$1795,2,0)))</f>
        <v>CEMP</v>
      </c>
      <c r="C952" s="59" t="s">
        <v>503</v>
      </c>
      <c r="D952" s="356" t="s">
        <v>504</v>
      </c>
      <c r="E952" s="356" t="s">
        <v>428</v>
      </c>
      <c r="F952" s="23" t="s">
        <v>1224</v>
      </c>
      <c r="G952" s="23" t="s">
        <v>403</v>
      </c>
      <c r="H952" s="353">
        <v>100225</v>
      </c>
      <c r="I952" s="59"/>
      <c r="J952" s="59" t="s">
        <v>1225</v>
      </c>
      <c r="K952" s="20"/>
      <c r="L952" s="20"/>
      <c r="M952" s="357"/>
      <c r="N952" s="411"/>
      <c r="O952" s="23" t="s">
        <v>1221</v>
      </c>
      <c r="P952" s="92" t="s">
        <v>632</v>
      </c>
      <c r="Q952" s="92" t="s">
        <v>646</v>
      </c>
      <c r="R952" s="372" t="str">
        <f t="shared" si="28"/>
        <v/>
      </c>
    </row>
    <row r="953" spans="1:18" ht="30" x14ac:dyDescent="0.25">
      <c r="A953" s="23" t="s">
        <v>142</v>
      </c>
      <c r="B953" s="18" t="str">
        <f>IF(ISNA(VLOOKUP($A953,'Data Pull Sheet'!$B$2:$C$1795,2,0)),"",(VLOOKUP($A953,'Data Pull Sheet'!$B$2:$C$1795,2,0)))</f>
        <v>CEMP</v>
      </c>
      <c r="C953" s="59" t="s">
        <v>503</v>
      </c>
      <c r="D953" s="356" t="s">
        <v>504</v>
      </c>
      <c r="E953" s="356" t="s">
        <v>428</v>
      </c>
      <c r="F953" s="23" t="s">
        <v>1226</v>
      </c>
      <c r="G953" s="23" t="s">
        <v>403</v>
      </c>
      <c r="H953" s="353">
        <v>1121628.47</v>
      </c>
      <c r="I953" s="59"/>
      <c r="J953" s="59" t="s">
        <v>1227</v>
      </c>
      <c r="K953" s="20"/>
      <c r="L953" s="20">
        <v>2</v>
      </c>
      <c r="M953" s="357">
        <f>SUM(H953:H954)</f>
        <v>1490970.47</v>
      </c>
      <c r="N953" s="411">
        <f>IFERROR((M953/(VLOOKUP(B953,'Data Pull Sheet'!$C:$H,6,FALSE))),"DC")</f>
        <v>5.9638818799999998E-3</v>
      </c>
      <c r="O953" s="23" t="s">
        <v>1228</v>
      </c>
      <c r="P953" s="92" t="s">
        <v>632</v>
      </c>
      <c r="Q953" s="92" t="s">
        <v>646</v>
      </c>
      <c r="R953" s="372" t="str">
        <f t="shared" si="28"/>
        <v/>
      </c>
    </row>
    <row r="954" spans="1:18" ht="30" x14ac:dyDescent="0.25">
      <c r="A954" s="23" t="s">
        <v>142</v>
      </c>
      <c r="B954" s="18" t="str">
        <f>IF(ISNA(VLOOKUP($A954,'Data Pull Sheet'!$B$2:$C$1795,2,0)),"",(VLOOKUP($A954,'Data Pull Sheet'!$B$2:$C$1795,2,0)))</f>
        <v>CEMP</v>
      </c>
      <c r="C954" s="59" t="s">
        <v>503</v>
      </c>
      <c r="D954" s="356" t="s">
        <v>504</v>
      </c>
      <c r="E954" s="356" t="s">
        <v>428</v>
      </c>
      <c r="F954" s="23" t="s">
        <v>1229</v>
      </c>
      <c r="G954" s="23" t="s">
        <v>403</v>
      </c>
      <c r="H954" s="353">
        <v>369342</v>
      </c>
      <c r="I954" s="59"/>
      <c r="J954" s="59" t="s">
        <v>1230</v>
      </c>
      <c r="K954" s="20"/>
      <c r="L954" s="20"/>
      <c r="M954" s="357"/>
      <c r="N954" s="411"/>
      <c r="O954" s="23" t="s">
        <v>1228</v>
      </c>
      <c r="P954" s="92" t="s">
        <v>632</v>
      </c>
      <c r="Q954" s="92" t="s">
        <v>646</v>
      </c>
      <c r="R954" s="372" t="str">
        <f t="shared" si="28"/>
        <v/>
      </c>
    </row>
    <row r="955" spans="1:18" x14ac:dyDescent="0.25">
      <c r="A955" s="23" t="s">
        <v>142</v>
      </c>
      <c r="B955" s="18" t="str">
        <f>IF(ISNA(VLOOKUP($A955,'Data Pull Sheet'!$B$2:$C$1795,2,0)),"",(VLOOKUP($A955,'Data Pull Sheet'!$B$2:$C$1795,2,0)))</f>
        <v>CEMP</v>
      </c>
      <c r="C955" s="59" t="s">
        <v>503</v>
      </c>
      <c r="D955" s="356" t="s">
        <v>504</v>
      </c>
      <c r="E955" s="356" t="s">
        <v>428</v>
      </c>
      <c r="F955" s="23" t="s">
        <v>1231</v>
      </c>
      <c r="G955" s="23" t="s">
        <v>403</v>
      </c>
      <c r="H955" s="353">
        <v>74388</v>
      </c>
      <c r="I955" s="59" t="s">
        <v>406</v>
      </c>
      <c r="J955" s="59" t="s">
        <v>1232</v>
      </c>
      <c r="K955" s="20"/>
      <c r="L955" s="20">
        <v>4</v>
      </c>
      <c r="M955" s="357">
        <f>SUM(H955:H958)</f>
        <v>1163350.75</v>
      </c>
      <c r="N955" s="411">
        <f>IFERROR((M955/(VLOOKUP(B955,'Data Pull Sheet'!$C:$H,6,FALSE))),"DC")</f>
        <v>4.6534030000000004E-3</v>
      </c>
      <c r="O955" s="23" t="s">
        <v>10824</v>
      </c>
      <c r="P955" s="92" t="s">
        <v>632</v>
      </c>
      <c r="Q955" s="92" t="s">
        <v>662</v>
      </c>
      <c r="R955" s="372" t="str">
        <f t="shared" si="28"/>
        <v/>
      </c>
    </row>
    <row r="956" spans="1:18" x14ac:dyDescent="0.25">
      <c r="A956" s="23" t="s">
        <v>142</v>
      </c>
      <c r="B956" s="18" t="str">
        <f>IF(ISNA(VLOOKUP($A956,'Data Pull Sheet'!$B$2:$C$1795,2,0)),"",(VLOOKUP($A956,'Data Pull Sheet'!$B$2:$C$1795,2,0)))</f>
        <v>CEMP</v>
      </c>
      <c r="C956" s="59" t="s">
        <v>503</v>
      </c>
      <c r="D956" s="356" t="s">
        <v>504</v>
      </c>
      <c r="E956" s="356" t="s">
        <v>428</v>
      </c>
      <c r="F956" s="23" t="s">
        <v>141</v>
      </c>
      <c r="G956" s="23" t="s">
        <v>417</v>
      </c>
      <c r="H956" s="353">
        <v>200282.76</v>
      </c>
      <c r="I956" s="59" t="s">
        <v>406</v>
      </c>
      <c r="J956" s="59" t="s">
        <v>1234</v>
      </c>
      <c r="K956" s="20"/>
      <c r="L956" s="20"/>
      <c r="M956" s="357"/>
      <c r="N956" s="411"/>
      <c r="O956" s="23" t="s">
        <v>10824</v>
      </c>
      <c r="P956" s="92" t="s">
        <v>632</v>
      </c>
      <c r="Q956" s="92" t="s">
        <v>662</v>
      </c>
      <c r="R956" s="372" t="str">
        <f t="shared" si="28"/>
        <v>FF</v>
      </c>
    </row>
    <row r="957" spans="1:18" x14ac:dyDescent="0.25">
      <c r="A957" s="23" t="s">
        <v>142</v>
      </c>
      <c r="B957" s="18" t="str">
        <f>IF(ISNA(VLOOKUP($A957,'Data Pull Sheet'!$B$2:$C$1795,2,0)),"",(VLOOKUP($A957,'Data Pull Sheet'!$B$2:$C$1795,2,0)))</f>
        <v>CEMP</v>
      </c>
      <c r="C957" s="59" t="s">
        <v>503</v>
      </c>
      <c r="D957" s="356" t="s">
        <v>504</v>
      </c>
      <c r="E957" s="356" t="s">
        <v>428</v>
      </c>
      <c r="F957" s="23" t="s">
        <v>1235</v>
      </c>
      <c r="G957" s="23" t="s">
        <v>403</v>
      </c>
      <c r="H957" s="353">
        <v>214889.07</v>
      </c>
      <c r="I957" s="59" t="s">
        <v>406</v>
      </c>
      <c r="J957" s="59" t="s">
        <v>1236</v>
      </c>
      <c r="K957" s="20"/>
      <c r="L957" s="20"/>
      <c r="M957" s="357"/>
      <c r="N957" s="411"/>
      <c r="O957" s="23" t="s">
        <v>10824</v>
      </c>
      <c r="P957" s="92" t="s">
        <v>632</v>
      </c>
      <c r="Q957" s="92" t="s">
        <v>662</v>
      </c>
      <c r="R957" s="372" t="str">
        <f t="shared" si="28"/>
        <v/>
      </c>
    </row>
    <row r="958" spans="1:18" x14ac:dyDescent="0.25">
      <c r="A958" s="23" t="s">
        <v>142</v>
      </c>
      <c r="B958" s="18" t="str">
        <f>IF(ISNA(VLOOKUP($A958,'Data Pull Sheet'!$B$2:$C$1795,2,0)),"",(VLOOKUP($A958,'Data Pull Sheet'!$B$2:$C$1795,2,0)))</f>
        <v>CEMP</v>
      </c>
      <c r="C958" s="59" t="s">
        <v>503</v>
      </c>
      <c r="D958" s="356" t="s">
        <v>504</v>
      </c>
      <c r="E958" s="356" t="s">
        <v>428</v>
      </c>
      <c r="F958" s="23" t="s">
        <v>1237</v>
      </c>
      <c r="G958" s="23" t="s">
        <v>403</v>
      </c>
      <c r="H958" s="353">
        <v>673790.92</v>
      </c>
      <c r="I958" s="59" t="s">
        <v>406</v>
      </c>
      <c r="J958" s="59" t="s">
        <v>1238</v>
      </c>
      <c r="K958" s="20"/>
      <c r="L958" s="20"/>
      <c r="M958" s="357"/>
      <c r="N958" s="411"/>
      <c r="O958" s="23" t="s">
        <v>10824</v>
      </c>
      <c r="P958" s="92" t="s">
        <v>632</v>
      </c>
      <c r="Q958" s="92" t="s">
        <v>662</v>
      </c>
      <c r="R958" s="372" t="str">
        <f t="shared" si="28"/>
        <v/>
      </c>
    </row>
    <row r="959" spans="1:18" ht="30" x14ac:dyDescent="0.25">
      <c r="A959" s="23" t="s">
        <v>3630</v>
      </c>
      <c r="B959" s="18" t="str">
        <f>IF(ISNA(VLOOKUP($A959,'Data Pull Sheet'!$B$2:$C$1795,2,0)),"",(VLOOKUP($A959,'Data Pull Sheet'!$B$2:$C$1795,2,0)))</f>
        <v>STS</v>
      </c>
      <c r="C959" s="59" t="s">
        <v>3631</v>
      </c>
      <c r="D959" s="356" t="s">
        <v>504</v>
      </c>
      <c r="E959" s="356" t="s">
        <v>428</v>
      </c>
      <c r="F959" s="23" t="s">
        <v>3632</v>
      </c>
      <c r="G959" s="23" t="s">
        <v>403</v>
      </c>
      <c r="H959" s="353">
        <v>18065</v>
      </c>
      <c r="I959" s="59"/>
      <c r="J959" s="59" t="s">
        <v>3633</v>
      </c>
      <c r="K959" s="20">
        <v>2</v>
      </c>
      <c r="L959" s="20">
        <v>1</v>
      </c>
      <c r="M959" s="357">
        <f>H959</f>
        <v>18065</v>
      </c>
      <c r="N959" s="411">
        <f>IFERROR((M959/(VLOOKUP(B959,'Data Pull Sheet'!$C:$H,6,FALSE))),"DC")</f>
        <v>7.8543478260869562E-4</v>
      </c>
      <c r="O959" s="23" t="s">
        <v>3634</v>
      </c>
      <c r="P959" s="92" t="s">
        <v>632</v>
      </c>
      <c r="Q959" s="92" t="s">
        <v>637</v>
      </c>
      <c r="R959" s="372" t="str">
        <f t="shared" si="28"/>
        <v/>
      </c>
    </row>
    <row r="960" spans="1:18" x14ac:dyDescent="0.25">
      <c r="A960" s="23" t="s">
        <v>3630</v>
      </c>
      <c r="B960" s="18" t="str">
        <f>IF(ISNA(VLOOKUP($A960,'Data Pull Sheet'!$B$2:$C$1795,2,0)),"",(VLOOKUP($A960,'Data Pull Sheet'!$B$2:$C$1795,2,0)))</f>
        <v>STS</v>
      </c>
      <c r="C960" s="59" t="s">
        <v>3631</v>
      </c>
      <c r="D960" s="356" t="s">
        <v>504</v>
      </c>
      <c r="E960" s="356" t="s">
        <v>428</v>
      </c>
      <c r="F960" s="23" t="s">
        <v>3635</v>
      </c>
      <c r="G960" s="23" t="s">
        <v>403</v>
      </c>
      <c r="H960" s="353">
        <v>3097.25</v>
      </c>
      <c r="I960" s="59"/>
      <c r="J960" s="59" t="s">
        <v>3636</v>
      </c>
      <c r="K960" s="20"/>
      <c r="L960" s="20">
        <v>1</v>
      </c>
      <c r="M960" s="357">
        <f>H960</f>
        <v>3097.25</v>
      </c>
      <c r="N960" s="411">
        <f>IFERROR((M960/(VLOOKUP(B960,'Data Pull Sheet'!$C:$H,6,FALSE))),"DC")</f>
        <v>1.3466304347826088E-4</v>
      </c>
      <c r="O960" s="23" t="s">
        <v>682</v>
      </c>
      <c r="P960" s="92" t="s">
        <v>632</v>
      </c>
      <c r="Q960" s="92" t="s">
        <v>637</v>
      </c>
      <c r="R960" s="372" t="str">
        <f t="shared" si="28"/>
        <v/>
      </c>
    </row>
    <row r="961" spans="1:18" x14ac:dyDescent="0.25">
      <c r="A961" s="23" t="s">
        <v>287</v>
      </c>
      <c r="B961" s="18" t="s">
        <v>10691</v>
      </c>
      <c r="C961" s="59" t="s">
        <v>511</v>
      </c>
      <c r="D961" s="356" t="s">
        <v>512</v>
      </c>
      <c r="E961" s="356" t="s">
        <v>513</v>
      </c>
      <c r="F961" s="23" t="s">
        <v>3753</v>
      </c>
      <c r="G961" s="23" t="s">
        <v>417</v>
      </c>
      <c r="H961" s="353">
        <v>23236125.890000001</v>
      </c>
      <c r="I961" s="59" t="s">
        <v>442</v>
      </c>
      <c r="J961" s="59" t="s">
        <v>10707</v>
      </c>
      <c r="K961" s="20">
        <v>5</v>
      </c>
      <c r="L961" s="20">
        <v>1</v>
      </c>
      <c r="M961" s="357">
        <f>H961</f>
        <v>23236125.890000001</v>
      </c>
      <c r="N961" s="411">
        <f>IFERROR((M961/(VLOOKUP(B961,'Data Pull Sheet'!$C:$H,6,FALSE))),"DC")</f>
        <v>3.3194465557142859E-2</v>
      </c>
      <c r="O961" s="23" t="s">
        <v>18</v>
      </c>
      <c r="P961" s="92" t="s">
        <v>632</v>
      </c>
      <c r="Q961" s="92" t="s">
        <v>633</v>
      </c>
      <c r="R961" s="372" t="str">
        <f t="shared" si="28"/>
        <v/>
      </c>
    </row>
    <row r="962" spans="1:18" ht="30" x14ac:dyDescent="0.25">
      <c r="A962" s="23" t="s">
        <v>287</v>
      </c>
      <c r="B962" s="18" t="s">
        <v>10691</v>
      </c>
      <c r="C962" s="59" t="s">
        <v>511</v>
      </c>
      <c r="D962" s="356" t="s">
        <v>512</v>
      </c>
      <c r="E962" s="356" t="s">
        <v>513</v>
      </c>
      <c r="F962" s="23" t="s">
        <v>303</v>
      </c>
      <c r="G962" s="23" t="s">
        <v>417</v>
      </c>
      <c r="H962" s="353">
        <v>7553220.96</v>
      </c>
      <c r="I962" s="59" t="s">
        <v>406</v>
      </c>
      <c r="J962" s="59" t="s">
        <v>10708</v>
      </c>
      <c r="K962" s="20"/>
      <c r="L962" s="20">
        <v>3</v>
      </c>
      <c r="M962" s="357">
        <f>SUM(H962:H964)</f>
        <v>47843638.240000002</v>
      </c>
      <c r="N962" s="411">
        <f>IFERROR((M962/(VLOOKUP(B962,'Data Pull Sheet'!$C:$H,6,FALSE))),"DC")</f>
        <v>6.8348054628571436E-2</v>
      </c>
      <c r="O962" s="23" t="s">
        <v>286</v>
      </c>
      <c r="P962" s="92" t="s">
        <v>632</v>
      </c>
      <c r="Q962" s="92" t="s">
        <v>662</v>
      </c>
      <c r="R962" s="372" t="str">
        <f t="shared" ref="R962:R1025" si="29">IF(COUNTIF(F:F,F962)&gt;=2,"FF","")</f>
        <v>FF</v>
      </c>
    </row>
    <row r="963" spans="1:18" x14ac:dyDescent="0.25">
      <c r="A963" s="23" t="s">
        <v>287</v>
      </c>
      <c r="B963" s="18" t="s">
        <v>10691</v>
      </c>
      <c r="C963" s="59" t="s">
        <v>511</v>
      </c>
      <c r="D963" s="356" t="s">
        <v>512</v>
      </c>
      <c r="E963" s="356" t="s">
        <v>513</v>
      </c>
      <c r="F963" s="23" t="s">
        <v>285</v>
      </c>
      <c r="G963" s="23" t="s">
        <v>417</v>
      </c>
      <c r="H963" s="353">
        <v>9888467.0899999999</v>
      </c>
      <c r="I963" s="59" t="s">
        <v>406</v>
      </c>
      <c r="J963" s="59" t="s">
        <v>10709</v>
      </c>
      <c r="K963" s="20"/>
      <c r="L963" s="20"/>
      <c r="M963" s="357"/>
      <c r="N963" s="411"/>
      <c r="O963" s="23" t="s">
        <v>286</v>
      </c>
      <c r="P963" s="92" t="s">
        <v>632</v>
      </c>
      <c r="Q963" s="92" t="s">
        <v>662</v>
      </c>
      <c r="R963" s="372" t="str">
        <f t="shared" si="29"/>
        <v>FF</v>
      </c>
    </row>
    <row r="964" spans="1:18" x14ac:dyDescent="0.25">
      <c r="A964" s="23" t="s">
        <v>287</v>
      </c>
      <c r="B964" s="18" t="s">
        <v>10691</v>
      </c>
      <c r="C964" s="59" t="s">
        <v>511</v>
      </c>
      <c r="D964" s="356" t="s">
        <v>512</v>
      </c>
      <c r="E964" s="356" t="s">
        <v>513</v>
      </c>
      <c r="F964" s="23" t="s">
        <v>506</v>
      </c>
      <c r="G964" s="23" t="s">
        <v>403</v>
      </c>
      <c r="H964" s="353">
        <v>30401950.190000001</v>
      </c>
      <c r="I964" s="59" t="s">
        <v>406</v>
      </c>
      <c r="J964" s="59" t="s">
        <v>10710</v>
      </c>
      <c r="K964" s="20"/>
      <c r="L964" s="20"/>
      <c r="M964" s="357"/>
      <c r="N964" s="411"/>
      <c r="O964" s="23" t="s">
        <v>286</v>
      </c>
      <c r="P964" s="92" t="s">
        <v>632</v>
      </c>
      <c r="Q964" s="92" t="s">
        <v>662</v>
      </c>
      <c r="R964" s="372" t="str">
        <f t="shared" si="29"/>
        <v>FF</v>
      </c>
    </row>
    <row r="965" spans="1:18" x14ac:dyDescent="0.25">
      <c r="A965" s="23" t="s">
        <v>287</v>
      </c>
      <c r="B965" s="18" t="s">
        <v>10691</v>
      </c>
      <c r="C965" s="59" t="s">
        <v>511</v>
      </c>
      <c r="D965" s="356" t="s">
        <v>512</v>
      </c>
      <c r="E965" s="356" t="s">
        <v>513</v>
      </c>
      <c r="F965" s="23" t="s">
        <v>362</v>
      </c>
      <c r="G965" s="23" t="s">
        <v>417</v>
      </c>
      <c r="H965" s="353">
        <v>42525806.719999999</v>
      </c>
      <c r="I965" s="59"/>
      <c r="J965" s="59" t="s">
        <v>10711</v>
      </c>
      <c r="K965" s="20"/>
      <c r="L965" s="20">
        <v>1</v>
      </c>
      <c r="M965" s="357">
        <f>H965</f>
        <v>42525806.719999999</v>
      </c>
      <c r="N965" s="411">
        <f>IFERROR((M965/(VLOOKUP(B965,'Data Pull Sheet'!$C:$H,6,FALSE))),"DC")</f>
        <v>6.0751152457142854E-2</v>
      </c>
      <c r="O965" s="23" t="s">
        <v>7</v>
      </c>
      <c r="P965" s="92" t="s">
        <v>632</v>
      </c>
      <c r="Q965" s="92" t="s">
        <v>633</v>
      </c>
      <c r="R965" s="372" t="str">
        <f t="shared" si="29"/>
        <v>FF</v>
      </c>
    </row>
    <row r="966" spans="1:18" x14ac:dyDescent="0.25">
      <c r="A966" s="23" t="s">
        <v>287</v>
      </c>
      <c r="B966" s="18" t="s">
        <v>10691</v>
      </c>
      <c r="C966" s="59" t="s">
        <v>511</v>
      </c>
      <c r="D966" s="356" t="s">
        <v>512</v>
      </c>
      <c r="E966" s="356" t="s">
        <v>513</v>
      </c>
      <c r="F966" s="23" t="s">
        <v>3754</v>
      </c>
      <c r="G966" s="23" t="s">
        <v>417</v>
      </c>
      <c r="H966" s="353">
        <v>99600.09</v>
      </c>
      <c r="I966" s="59" t="s">
        <v>476</v>
      </c>
      <c r="J966" s="59" t="s">
        <v>10712</v>
      </c>
      <c r="K966" s="20"/>
      <c r="L966" s="20">
        <v>3</v>
      </c>
      <c r="M966" s="357">
        <f>SUM(H966:H968)</f>
        <v>814014.98</v>
      </c>
      <c r="N966" s="411">
        <f>IFERROR((M966/(VLOOKUP(B966,'Data Pull Sheet'!$C:$H,6,FALSE))),"DC")</f>
        <v>1.1628785428571429E-3</v>
      </c>
      <c r="O966" s="23" t="s">
        <v>867</v>
      </c>
      <c r="P966" s="92" t="s">
        <v>632</v>
      </c>
      <c r="Q966" s="92" t="s">
        <v>640</v>
      </c>
      <c r="R966" s="372" t="str">
        <f t="shared" si="29"/>
        <v>FF</v>
      </c>
    </row>
    <row r="967" spans="1:18" x14ac:dyDescent="0.25">
      <c r="A967" s="23" t="s">
        <v>287</v>
      </c>
      <c r="B967" s="18" t="s">
        <v>10691</v>
      </c>
      <c r="C967" s="59" t="s">
        <v>511</v>
      </c>
      <c r="D967" s="356" t="s">
        <v>512</v>
      </c>
      <c r="E967" s="356" t="s">
        <v>513</v>
      </c>
      <c r="F967" s="23" t="s">
        <v>3755</v>
      </c>
      <c r="G967" s="23" t="s">
        <v>417</v>
      </c>
      <c r="H967" s="353">
        <v>138744</v>
      </c>
      <c r="I967" s="59" t="s">
        <v>413</v>
      </c>
      <c r="J967" s="59" t="s">
        <v>10713</v>
      </c>
      <c r="K967" s="20"/>
      <c r="L967" s="20"/>
      <c r="M967" s="357"/>
      <c r="N967" s="411"/>
      <c r="O967" s="23" t="s">
        <v>867</v>
      </c>
      <c r="P967" s="92" t="s">
        <v>632</v>
      </c>
      <c r="Q967" s="92" t="s">
        <v>640</v>
      </c>
      <c r="R967" s="372" t="str">
        <f t="shared" si="29"/>
        <v/>
      </c>
    </row>
    <row r="968" spans="1:18" x14ac:dyDescent="0.25">
      <c r="A968" s="23" t="s">
        <v>287</v>
      </c>
      <c r="B968" s="18" t="s">
        <v>10691</v>
      </c>
      <c r="C968" s="59" t="s">
        <v>511</v>
      </c>
      <c r="D968" s="356" t="s">
        <v>512</v>
      </c>
      <c r="E968" s="356" t="s">
        <v>513</v>
      </c>
      <c r="F968" s="23" t="s">
        <v>384</v>
      </c>
      <c r="G968" s="23" t="s">
        <v>417</v>
      </c>
      <c r="H968" s="353">
        <v>575670.89</v>
      </c>
      <c r="I968" s="59" t="s">
        <v>476</v>
      </c>
      <c r="J968" s="59" t="s">
        <v>10714</v>
      </c>
      <c r="K968" s="20"/>
      <c r="L968" s="20"/>
      <c r="M968" s="357"/>
      <c r="N968" s="411"/>
      <c r="O968" s="23" t="s">
        <v>867</v>
      </c>
      <c r="P968" s="92" t="s">
        <v>632</v>
      </c>
      <c r="Q968" s="92" t="s">
        <v>640</v>
      </c>
      <c r="R968" s="372" t="str">
        <f t="shared" si="29"/>
        <v>FF</v>
      </c>
    </row>
    <row r="969" spans="1:18" x14ac:dyDescent="0.25">
      <c r="A969" s="23" t="s">
        <v>287</v>
      </c>
      <c r="B969" s="18" t="s">
        <v>10691</v>
      </c>
      <c r="C969" s="59" t="s">
        <v>511</v>
      </c>
      <c r="D969" s="356" t="s">
        <v>512</v>
      </c>
      <c r="E969" s="356" t="s">
        <v>513</v>
      </c>
      <c r="F969" s="23" t="s">
        <v>3756</v>
      </c>
      <c r="G969" s="23" t="s">
        <v>403</v>
      </c>
      <c r="H969" s="353">
        <v>2303773.0099999998</v>
      </c>
      <c r="I969" s="59"/>
      <c r="J969" s="59" t="s">
        <v>10715</v>
      </c>
      <c r="K969" s="20"/>
      <c r="L969" s="20">
        <v>1</v>
      </c>
      <c r="M969" s="357">
        <f>H969</f>
        <v>2303773.0099999998</v>
      </c>
      <c r="N969" s="411">
        <f>IFERROR((M969/(VLOOKUP(B969,'Data Pull Sheet'!$C:$H,6,FALSE))),"DC")</f>
        <v>3.2911042999999997E-3</v>
      </c>
      <c r="O969" s="23" t="s">
        <v>682</v>
      </c>
      <c r="P969" s="92" t="s">
        <v>632</v>
      </c>
      <c r="Q969" s="92" t="s">
        <v>637</v>
      </c>
      <c r="R969" s="372" t="str">
        <f t="shared" si="29"/>
        <v/>
      </c>
    </row>
    <row r="970" spans="1:18" ht="30" x14ac:dyDescent="0.25">
      <c r="A970" s="23" t="s">
        <v>1814</v>
      </c>
      <c r="B970" s="18" t="str">
        <f>IF(ISNA(VLOOKUP($A970,'Data Pull Sheet'!$B$2:$C$1795,2,0)),"",(VLOOKUP($A970,'Data Pull Sheet'!$B$2:$C$1795,2,0)))</f>
        <v>XOM</v>
      </c>
      <c r="C970" s="59" t="s">
        <v>1815</v>
      </c>
      <c r="D970" s="356" t="s">
        <v>1816</v>
      </c>
      <c r="E970" s="356" t="s">
        <v>684</v>
      </c>
      <c r="F970" s="23" t="s">
        <v>1197</v>
      </c>
      <c r="G970" s="23" t="s">
        <v>417</v>
      </c>
      <c r="H970" s="353">
        <v>54831.47</v>
      </c>
      <c r="I970" s="59"/>
      <c r="J970" s="59" t="s">
        <v>1817</v>
      </c>
      <c r="K970" s="20">
        <v>1</v>
      </c>
      <c r="L970" s="20">
        <v>1</v>
      </c>
      <c r="M970" s="357">
        <f>H970</f>
        <v>54831.47</v>
      </c>
      <c r="N970" s="411">
        <f>IFERROR((M970/(VLOOKUP(B970,'Data Pull Sheet'!$C:$H,6,FALSE))),"DC")</f>
        <v>1.8277156666666668E-5</v>
      </c>
      <c r="O970" s="23" t="s">
        <v>10954</v>
      </c>
      <c r="P970" s="92" t="s">
        <v>676</v>
      </c>
      <c r="Q970" s="92" t="s">
        <v>633</v>
      </c>
      <c r="R970" s="372" t="str">
        <f t="shared" si="29"/>
        <v>FF</v>
      </c>
    </row>
    <row r="971" spans="1:18" x14ac:dyDescent="0.25">
      <c r="A971" s="23" t="s">
        <v>92</v>
      </c>
      <c r="B971" s="18" t="str">
        <f>IF(ISNA(VLOOKUP($A971,'Data Pull Sheet'!$B$2:$C$1795,2,0)),"",(VLOOKUP($A971,'Data Pull Sheet'!$B$2:$C$1795,2,0)))</f>
        <v>ALL</v>
      </c>
      <c r="C971" s="59" t="s">
        <v>465</v>
      </c>
      <c r="D971" s="356" t="s">
        <v>483</v>
      </c>
      <c r="E971" s="356" t="s">
        <v>484</v>
      </c>
      <c r="F971" s="23" t="s">
        <v>3760</v>
      </c>
      <c r="G971" s="23" t="s">
        <v>417</v>
      </c>
      <c r="H971" s="353">
        <v>395878.47</v>
      </c>
      <c r="I971" s="59" t="s">
        <v>406</v>
      </c>
      <c r="J971" s="59" t="s">
        <v>3761</v>
      </c>
      <c r="K971" s="20">
        <v>2</v>
      </c>
      <c r="L971" s="20">
        <v>2</v>
      </c>
      <c r="M971" s="357">
        <f>SUM(H971:H972)</f>
        <v>917351.15999999992</v>
      </c>
      <c r="N971" s="411">
        <f>IFERROR((M971/(VLOOKUP(B971,'Data Pull Sheet'!$C:$H,6,FALSE))),"DC")</f>
        <v>6.115674399999999E-4</v>
      </c>
      <c r="O971" s="23" t="s">
        <v>3762</v>
      </c>
      <c r="P971" s="92" t="s">
        <v>632</v>
      </c>
      <c r="Q971" s="92" t="s">
        <v>640</v>
      </c>
      <c r="R971" s="372" t="str">
        <f t="shared" si="29"/>
        <v/>
      </c>
    </row>
    <row r="972" spans="1:18" x14ac:dyDescent="0.25">
      <c r="A972" s="23" t="s">
        <v>92</v>
      </c>
      <c r="B972" s="18" t="str">
        <f>IF(ISNA(VLOOKUP($A972,'Data Pull Sheet'!$B$2:$C$1795,2,0)),"",(VLOOKUP($A972,'Data Pull Sheet'!$B$2:$C$1795,2,0)))</f>
        <v>ALL</v>
      </c>
      <c r="C972" s="59" t="s">
        <v>465</v>
      </c>
      <c r="D972" s="356" t="s">
        <v>483</v>
      </c>
      <c r="E972" s="356" t="s">
        <v>484</v>
      </c>
      <c r="F972" s="23" t="s">
        <v>89</v>
      </c>
      <c r="G972" s="23" t="s">
        <v>417</v>
      </c>
      <c r="H972" s="353">
        <v>521472.69</v>
      </c>
      <c r="I972" s="59" t="s">
        <v>406</v>
      </c>
      <c r="J972" s="59" t="s">
        <v>3763</v>
      </c>
      <c r="K972" s="20"/>
      <c r="L972" s="20"/>
      <c r="M972" s="357"/>
      <c r="N972" s="411"/>
      <c r="O972" s="23" t="s">
        <v>3762</v>
      </c>
      <c r="P972" s="92" t="s">
        <v>632</v>
      </c>
      <c r="Q972" s="92" t="s">
        <v>640</v>
      </c>
      <c r="R972" s="372" t="str">
        <f t="shared" si="29"/>
        <v>FF</v>
      </c>
    </row>
    <row r="973" spans="1:18" ht="30" x14ac:dyDescent="0.25">
      <c r="A973" s="23" t="s">
        <v>92</v>
      </c>
      <c r="B973" s="18" t="str">
        <f>IF(ISNA(VLOOKUP($A973,'Data Pull Sheet'!$B$2:$C$1795,2,0)),"",(VLOOKUP($A973,'Data Pull Sheet'!$B$2:$C$1795,2,0)))</f>
        <v>ALL</v>
      </c>
      <c r="C973" s="59" t="s">
        <v>465</v>
      </c>
      <c r="D973" s="356" t="s">
        <v>483</v>
      </c>
      <c r="E973" s="356" t="s">
        <v>484</v>
      </c>
      <c r="F973" s="23" t="s">
        <v>3764</v>
      </c>
      <c r="G973" s="23" t="s">
        <v>417</v>
      </c>
      <c r="H973" s="353">
        <v>303249.44</v>
      </c>
      <c r="I973" s="59"/>
      <c r="J973" s="59" t="s">
        <v>3765</v>
      </c>
      <c r="K973" s="20"/>
      <c r="L973" s="20">
        <v>1</v>
      </c>
      <c r="M973" s="357">
        <f>H973</f>
        <v>303249.44</v>
      </c>
      <c r="N973" s="411">
        <f>IFERROR((M973/(VLOOKUP(B973,'Data Pull Sheet'!$C:$H,6,FALSE))),"DC")</f>
        <v>2.0216629333333333E-4</v>
      </c>
      <c r="O973" s="23" t="s">
        <v>7</v>
      </c>
      <c r="P973" s="92" t="s">
        <v>632</v>
      </c>
      <c r="Q973" s="92" t="s">
        <v>633</v>
      </c>
      <c r="R973" s="372" t="str">
        <f t="shared" si="29"/>
        <v>FF</v>
      </c>
    </row>
    <row r="974" spans="1:18" x14ac:dyDescent="0.25">
      <c r="A974" s="23" t="s">
        <v>562</v>
      </c>
      <c r="B974" s="18" t="str">
        <f>IF(ISNA(VLOOKUP($A974,'Data Pull Sheet'!$B$2:$C$1795,2,0)),"",(VLOOKUP($A974,'Data Pull Sheet'!$B$2:$C$1795,2,0)))</f>
        <v>DNAI</v>
      </c>
      <c r="C974" s="59" t="s">
        <v>418</v>
      </c>
      <c r="D974" s="356" t="s">
        <v>563</v>
      </c>
      <c r="E974" s="356" t="s">
        <v>484</v>
      </c>
      <c r="F974" s="23" t="s">
        <v>560</v>
      </c>
      <c r="G974" s="23" t="s">
        <v>403</v>
      </c>
      <c r="H974" s="353">
        <v>9996.56</v>
      </c>
      <c r="I974" s="59"/>
      <c r="J974" s="59" t="s">
        <v>3183</v>
      </c>
      <c r="K974" s="20">
        <v>1</v>
      </c>
      <c r="L974" s="20">
        <v>3</v>
      </c>
      <c r="M974" s="357">
        <f>SUM(H974:H976)</f>
        <v>77222.789999999994</v>
      </c>
      <c r="N974" s="411">
        <f>IFERROR((M974/(VLOOKUP(B974,'Data Pull Sheet'!$C:$H,6,FALSE))),"DC")</f>
        <v>1.1031827142857142E-3</v>
      </c>
      <c r="O974" s="23" t="s">
        <v>63</v>
      </c>
      <c r="P974" s="92" t="s">
        <v>676</v>
      </c>
      <c r="Q974" s="92" t="s">
        <v>646</v>
      </c>
      <c r="R974" s="372" t="str">
        <f t="shared" si="29"/>
        <v/>
      </c>
    </row>
    <row r="975" spans="1:18" x14ac:dyDescent="0.25">
      <c r="A975" s="23" t="s">
        <v>562</v>
      </c>
      <c r="B975" s="18" t="str">
        <f>IF(ISNA(VLOOKUP($A975,'Data Pull Sheet'!$B$2:$C$1795,2,0)),"",(VLOOKUP($A975,'Data Pull Sheet'!$B$2:$C$1795,2,0)))</f>
        <v>DNAI</v>
      </c>
      <c r="C975" s="59" t="s">
        <v>418</v>
      </c>
      <c r="D975" s="356" t="s">
        <v>563</v>
      </c>
      <c r="E975" s="356" t="s">
        <v>484</v>
      </c>
      <c r="F975" s="23" t="s">
        <v>3184</v>
      </c>
      <c r="G975" s="23" t="s">
        <v>403</v>
      </c>
      <c r="H975" s="353">
        <v>18970.669999999998</v>
      </c>
      <c r="I975" s="59"/>
      <c r="J975" s="59" t="s">
        <v>3185</v>
      </c>
      <c r="K975" s="20"/>
      <c r="L975" s="20"/>
      <c r="M975" s="357"/>
      <c r="N975" s="411"/>
      <c r="O975" s="23" t="s">
        <v>63</v>
      </c>
      <c r="P975" s="92" t="s">
        <v>676</v>
      </c>
      <c r="Q975" s="92" t="s">
        <v>646</v>
      </c>
      <c r="R975" s="372" t="str">
        <f t="shared" si="29"/>
        <v/>
      </c>
    </row>
    <row r="976" spans="1:18" x14ac:dyDescent="0.25">
      <c r="A976" s="23" t="s">
        <v>562</v>
      </c>
      <c r="B976" s="18" t="str">
        <f>IF(ISNA(VLOOKUP($A976,'Data Pull Sheet'!$B$2:$C$1795,2,0)),"",(VLOOKUP($A976,'Data Pull Sheet'!$B$2:$C$1795,2,0)))</f>
        <v>DNAI</v>
      </c>
      <c r="C976" s="59" t="s">
        <v>418</v>
      </c>
      <c r="D976" s="356" t="s">
        <v>563</v>
      </c>
      <c r="E976" s="356" t="s">
        <v>484</v>
      </c>
      <c r="F976" s="23" t="s">
        <v>3186</v>
      </c>
      <c r="G976" s="23" t="s">
        <v>403</v>
      </c>
      <c r="H976" s="353">
        <v>48255.56</v>
      </c>
      <c r="I976" s="59"/>
      <c r="J976" s="59" t="s">
        <v>3187</v>
      </c>
      <c r="K976" s="20"/>
      <c r="L976" s="20"/>
      <c r="M976" s="357"/>
      <c r="N976" s="411"/>
      <c r="O976" s="23" t="s">
        <v>63</v>
      </c>
      <c r="P976" s="92" t="s">
        <v>676</v>
      </c>
      <c r="Q976" s="92" t="s">
        <v>646</v>
      </c>
      <c r="R976" s="372" t="str">
        <f t="shared" si="29"/>
        <v/>
      </c>
    </row>
    <row r="977" spans="1:18" x14ac:dyDescent="0.25">
      <c r="A977" s="23" t="s">
        <v>1631</v>
      </c>
      <c r="B977" s="18" t="str">
        <f>IF(ISNA(VLOOKUP($A977,'Data Pull Sheet'!$B$2:$C$1795,2,0)),"",(VLOOKUP($A977,'Data Pull Sheet'!$B$2:$C$1795,2,0)))</f>
        <v>DPLO</v>
      </c>
      <c r="C977" s="59" t="s">
        <v>1632</v>
      </c>
      <c r="D977" s="356" t="s">
        <v>483</v>
      </c>
      <c r="E977" s="356" t="s">
        <v>484</v>
      </c>
      <c r="F977" s="23" t="s">
        <v>1633</v>
      </c>
      <c r="G977" s="23" t="s">
        <v>403</v>
      </c>
      <c r="H977" s="353">
        <v>82243.05</v>
      </c>
      <c r="I977" s="59"/>
      <c r="J977" s="59" t="s">
        <v>1634</v>
      </c>
      <c r="K977" s="20">
        <v>2</v>
      </c>
      <c r="L977" s="20">
        <v>2</v>
      </c>
      <c r="M977" s="357">
        <f>SUM(H977:H978)</f>
        <v>507587.88</v>
      </c>
      <c r="N977" s="411">
        <f>IFERROR((M977/(VLOOKUP(B977,'Data Pull Sheet'!$C:$H,6,FALSE))),"DC")</f>
        <v>1.1279730666666668E-3</v>
      </c>
      <c r="O977" s="23" t="s">
        <v>1635</v>
      </c>
      <c r="P977" s="92" t="s">
        <v>632</v>
      </c>
      <c r="Q977" s="92" t="s">
        <v>646</v>
      </c>
      <c r="R977" s="372" t="str">
        <f t="shared" si="29"/>
        <v/>
      </c>
    </row>
    <row r="978" spans="1:18" x14ac:dyDescent="0.25">
      <c r="A978" s="23" t="s">
        <v>1631</v>
      </c>
      <c r="B978" s="18" t="str">
        <f>IF(ISNA(VLOOKUP($A978,'Data Pull Sheet'!$B$2:$C$1795,2,0)),"",(VLOOKUP($A978,'Data Pull Sheet'!$B$2:$C$1795,2,0)))</f>
        <v>DPLO</v>
      </c>
      <c r="C978" s="59" t="s">
        <v>1632</v>
      </c>
      <c r="D978" s="356" t="s">
        <v>483</v>
      </c>
      <c r="E978" s="356" t="s">
        <v>484</v>
      </c>
      <c r="F978" s="23" t="s">
        <v>1636</v>
      </c>
      <c r="G978" s="23" t="s">
        <v>403</v>
      </c>
      <c r="H978" s="353">
        <v>425344.83</v>
      </c>
      <c r="I978" s="59"/>
      <c r="J978" s="59" t="s">
        <v>1637</v>
      </c>
      <c r="K978" s="20"/>
      <c r="L978" s="20"/>
      <c r="M978" s="357"/>
      <c r="N978" s="411"/>
      <c r="O978" s="23" t="s">
        <v>1635</v>
      </c>
      <c r="P978" s="92" t="s">
        <v>632</v>
      </c>
      <c r="Q978" s="92" t="s">
        <v>646</v>
      </c>
      <c r="R978" s="372" t="str">
        <f t="shared" si="29"/>
        <v/>
      </c>
    </row>
    <row r="979" spans="1:18" ht="30" x14ac:dyDescent="0.25">
      <c r="A979" s="23" t="s">
        <v>1631</v>
      </c>
      <c r="B979" s="18" t="str">
        <f>IF(ISNA(VLOOKUP($A979,'Data Pull Sheet'!$B$2:$C$1795,2,0)),"",(VLOOKUP($A979,'Data Pull Sheet'!$B$2:$C$1795,2,0)))</f>
        <v>DPLO</v>
      </c>
      <c r="C979" s="59" t="s">
        <v>1632</v>
      </c>
      <c r="D979" s="356" t="s">
        <v>483</v>
      </c>
      <c r="E979" s="356" t="s">
        <v>484</v>
      </c>
      <c r="F979" s="23" t="s">
        <v>1638</v>
      </c>
      <c r="G979" s="23" t="s">
        <v>417</v>
      </c>
      <c r="H979" s="353">
        <v>314649.42</v>
      </c>
      <c r="I979" s="59"/>
      <c r="J979" s="59" t="s">
        <v>1639</v>
      </c>
      <c r="K979" s="20"/>
      <c r="L979" s="20">
        <v>1</v>
      </c>
      <c r="M979" s="357">
        <f>H979</f>
        <v>314649.42</v>
      </c>
      <c r="N979" s="411">
        <f>IFERROR((M979/(VLOOKUP(B979,'Data Pull Sheet'!$C:$H,6,FALSE))),"DC")</f>
        <v>6.9922093333333333E-4</v>
      </c>
      <c r="O979" s="23" t="s">
        <v>1640</v>
      </c>
      <c r="P979" s="92" t="s">
        <v>632</v>
      </c>
      <c r="Q979" s="92" t="s">
        <v>633</v>
      </c>
      <c r="R979" s="372" t="str">
        <f t="shared" si="29"/>
        <v>FF</v>
      </c>
    </row>
    <row r="980" spans="1:18" x14ac:dyDescent="0.25">
      <c r="A980" s="23" t="s">
        <v>694</v>
      </c>
      <c r="B980" s="18" t="str">
        <f>IF(ISNA(VLOOKUP($A980,'Data Pull Sheet'!$B$2:$C$1795,2,0)),"",(VLOOKUP($A980,'Data Pull Sheet'!$B$2:$C$1795,2,0)))</f>
        <v>GRO</v>
      </c>
      <c r="C980" s="59" t="s">
        <v>424</v>
      </c>
      <c r="D980" s="356" t="s">
        <v>563</v>
      </c>
      <c r="E980" s="356" t="s">
        <v>484</v>
      </c>
      <c r="F980" s="23" t="s">
        <v>695</v>
      </c>
      <c r="G980" s="23" t="s">
        <v>403</v>
      </c>
      <c r="H980" s="353">
        <v>66930</v>
      </c>
      <c r="I980" s="59"/>
      <c r="J980" s="59" t="s">
        <v>696</v>
      </c>
      <c r="K980" s="20">
        <v>1</v>
      </c>
      <c r="L980" s="20">
        <v>2</v>
      </c>
      <c r="M980" s="357">
        <f>SUM(H980:H981)</f>
        <v>205505.86</v>
      </c>
      <c r="N980" s="411">
        <f>IFERROR((M980/(VLOOKUP(B980,'Data Pull Sheet'!$C:$H,6,FALSE))),"DC")</f>
        <v>5.8715959999999998E-3</v>
      </c>
      <c r="O980" s="23" t="s">
        <v>682</v>
      </c>
      <c r="P980" s="92" t="s">
        <v>676</v>
      </c>
      <c r="Q980" s="92" t="s">
        <v>646</v>
      </c>
      <c r="R980" s="372" t="str">
        <f t="shared" si="29"/>
        <v/>
      </c>
    </row>
    <row r="981" spans="1:18" x14ac:dyDescent="0.25">
      <c r="A981" s="23" t="s">
        <v>694</v>
      </c>
      <c r="B981" s="18" t="str">
        <f>IF(ISNA(VLOOKUP($A981,'Data Pull Sheet'!$B$2:$C$1795,2,0)),"",(VLOOKUP($A981,'Data Pull Sheet'!$B$2:$C$1795,2,0)))</f>
        <v>GRO</v>
      </c>
      <c r="C981" s="59" t="s">
        <v>424</v>
      </c>
      <c r="D981" s="356" t="s">
        <v>563</v>
      </c>
      <c r="E981" s="356" t="s">
        <v>484</v>
      </c>
      <c r="F981" s="23" t="s">
        <v>697</v>
      </c>
      <c r="G981" s="23" t="s">
        <v>403</v>
      </c>
      <c r="H981" s="353">
        <v>138575.85999999999</v>
      </c>
      <c r="I981" s="59"/>
      <c r="J981" s="59" t="s">
        <v>698</v>
      </c>
      <c r="K981" s="20"/>
      <c r="L981" s="20"/>
      <c r="M981" s="357"/>
      <c r="N981" s="411"/>
      <c r="O981" s="23" t="s">
        <v>682</v>
      </c>
      <c r="P981" s="92" t="s">
        <v>676</v>
      </c>
      <c r="Q981" s="92" t="s">
        <v>646</v>
      </c>
      <c r="R981" s="372" t="str">
        <f t="shared" si="29"/>
        <v/>
      </c>
    </row>
    <row r="982" spans="1:18" x14ac:dyDescent="0.25">
      <c r="A982" s="23" t="s">
        <v>2327</v>
      </c>
      <c r="B982" s="18" t="str">
        <f>IF(ISNA(VLOOKUP($A982,'Data Pull Sheet'!$B$2:$C$1795,2,0)),"",(VLOOKUP($A982,'Data Pull Sheet'!$B$2:$C$1795,2,0)))</f>
        <v>INFU</v>
      </c>
      <c r="C982" s="59" t="s">
        <v>446</v>
      </c>
      <c r="D982" s="356" t="s">
        <v>1826</v>
      </c>
      <c r="E982" s="356" t="s">
        <v>484</v>
      </c>
      <c r="F982" s="23" t="s">
        <v>2328</v>
      </c>
      <c r="G982" s="23" t="s">
        <v>403</v>
      </c>
      <c r="H982" s="353">
        <v>1898</v>
      </c>
      <c r="I982" s="59"/>
      <c r="J982" s="59" t="s">
        <v>2329</v>
      </c>
      <c r="K982" s="20">
        <v>2</v>
      </c>
      <c r="L982" s="20">
        <v>1</v>
      </c>
      <c r="M982" s="357">
        <f>H982</f>
        <v>1898</v>
      </c>
      <c r="N982" s="411">
        <f>IFERROR((M982/(VLOOKUP(B982,'Data Pull Sheet'!$C:$H,6,FALSE))),"DC")</f>
        <v>2.5306666666666667E-4</v>
      </c>
      <c r="O982" s="23" t="s">
        <v>584</v>
      </c>
      <c r="P982" s="92" t="s">
        <v>632</v>
      </c>
      <c r="Q982" s="92" t="s">
        <v>637</v>
      </c>
      <c r="R982" s="372" t="str">
        <f t="shared" si="29"/>
        <v/>
      </c>
    </row>
    <row r="983" spans="1:18" x14ac:dyDescent="0.25">
      <c r="A983" s="23" t="s">
        <v>2327</v>
      </c>
      <c r="B983" s="18" t="str">
        <f>IF(ISNA(VLOOKUP($A983,'Data Pull Sheet'!$B$2:$C$1795,2,0)),"",(VLOOKUP($A983,'Data Pull Sheet'!$B$2:$C$1795,2,0)))</f>
        <v>INFU</v>
      </c>
      <c r="C983" s="59" t="s">
        <v>446</v>
      </c>
      <c r="D983" s="356" t="s">
        <v>1826</v>
      </c>
      <c r="E983" s="356" t="s">
        <v>484</v>
      </c>
      <c r="F983" s="23" t="s">
        <v>2330</v>
      </c>
      <c r="G983" s="23" t="s">
        <v>417</v>
      </c>
      <c r="H983" s="353">
        <v>41116.78</v>
      </c>
      <c r="I983" s="59"/>
      <c r="J983" s="59" t="s">
        <v>2331</v>
      </c>
      <c r="K983" s="20"/>
      <c r="L983" s="20">
        <v>1</v>
      </c>
      <c r="M983" s="357">
        <f>H983</f>
        <v>41116.78</v>
      </c>
      <c r="N983" s="411">
        <f>IFERROR((M983/(VLOOKUP(B983,'Data Pull Sheet'!$C:$H,6,FALSE))),"DC")</f>
        <v>5.4822373333333332E-3</v>
      </c>
      <c r="O983" s="23" t="s">
        <v>682</v>
      </c>
      <c r="P983" s="92" t="s">
        <v>632</v>
      </c>
      <c r="Q983" s="92" t="s">
        <v>633</v>
      </c>
      <c r="R983" s="372" t="str">
        <f t="shared" si="29"/>
        <v/>
      </c>
    </row>
    <row r="984" spans="1:18" x14ac:dyDescent="0.25">
      <c r="A984" s="23" t="s">
        <v>190</v>
      </c>
      <c r="B984" s="18" t="str">
        <f>IF(ISNA(VLOOKUP($A984,'Data Pull Sheet'!$B$2:$C$1795,2,0)),"",(VLOOKUP($A984,'Data Pull Sheet'!$B$2:$C$1795,2,0)))</f>
        <v>IPXL</v>
      </c>
      <c r="C984" s="59" t="s">
        <v>457</v>
      </c>
      <c r="D984" s="356" t="s">
        <v>535</v>
      </c>
      <c r="E984" s="356" t="s">
        <v>484</v>
      </c>
      <c r="F984" s="23" t="s">
        <v>2315</v>
      </c>
      <c r="G984" s="23" t="s">
        <v>403</v>
      </c>
      <c r="H984" s="353">
        <v>22335</v>
      </c>
      <c r="I984" s="59"/>
      <c r="J984" s="59" t="s">
        <v>2316</v>
      </c>
      <c r="K984" s="20">
        <v>2</v>
      </c>
      <c r="L984" s="20">
        <v>2</v>
      </c>
      <c r="M984" s="357">
        <f>SUM(H984:H985)</f>
        <v>35751.300000000003</v>
      </c>
      <c r="N984" s="411">
        <f>IFERROR((M984/(VLOOKUP(B984,'Data Pull Sheet'!$C:$H,6,FALSE))),"DC")</f>
        <v>1.4300520000000002E-4</v>
      </c>
      <c r="O984" s="23" t="s">
        <v>554</v>
      </c>
      <c r="P984" s="92" t="s">
        <v>632</v>
      </c>
      <c r="Q984" s="92" t="s">
        <v>646</v>
      </c>
      <c r="R984" s="372" t="str">
        <f t="shared" si="29"/>
        <v/>
      </c>
    </row>
    <row r="985" spans="1:18" x14ac:dyDescent="0.25">
      <c r="A985" s="23" t="s">
        <v>190</v>
      </c>
      <c r="B985" s="18" t="str">
        <f>IF(ISNA(VLOOKUP($A985,'Data Pull Sheet'!$B$2:$C$1795,2,0)),"",(VLOOKUP($A985,'Data Pull Sheet'!$B$2:$C$1795,2,0)))</f>
        <v>IPXL</v>
      </c>
      <c r="C985" s="59" t="s">
        <v>457</v>
      </c>
      <c r="D985" s="356" t="s">
        <v>535</v>
      </c>
      <c r="E985" s="356" t="s">
        <v>484</v>
      </c>
      <c r="F985" s="23" t="s">
        <v>2317</v>
      </c>
      <c r="G985" s="23" t="s">
        <v>403</v>
      </c>
      <c r="H985" s="353">
        <v>13416.3</v>
      </c>
      <c r="I985" s="59"/>
      <c r="J985" s="59" t="s">
        <v>2318</v>
      </c>
      <c r="K985" s="20"/>
      <c r="L985" s="20"/>
      <c r="M985" s="357"/>
      <c r="N985" s="411"/>
      <c r="O985" s="23" t="s">
        <v>554</v>
      </c>
      <c r="P985" s="92" t="s">
        <v>632</v>
      </c>
      <c r="Q985" s="92" t="s">
        <v>646</v>
      </c>
      <c r="R985" s="372" t="str">
        <f t="shared" si="29"/>
        <v/>
      </c>
    </row>
    <row r="986" spans="1:18" ht="30" x14ac:dyDescent="0.25">
      <c r="A986" s="23" t="s">
        <v>190</v>
      </c>
      <c r="B986" s="18" t="str">
        <f>IF(ISNA(VLOOKUP($A986,'Data Pull Sheet'!$B$2:$C$1795,2,0)),"",(VLOOKUP($A986,'Data Pull Sheet'!$B$2:$C$1795,2,0)))</f>
        <v>IPXL</v>
      </c>
      <c r="C986" s="59" t="s">
        <v>457</v>
      </c>
      <c r="D986" s="356" t="s">
        <v>535</v>
      </c>
      <c r="E986" s="356" t="s">
        <v>484</v>
      </c>
      <c r="F986" s="23" t="s">
        <v>189</v>
      </c>
      <c r="G986" s="23" t="s">
        <v>417</v>
      </c>
      <c r="H986" s="353">
        <v>162625.68</v>
      </c>
      <c r="I986" s="59"/>
      <c r="J986" s="59" t="s">
        <v>2319</v>
      </c>
      <c r="K986" s="20"/>
      <c r="L986" s="20">
        <v>1</v>
      </c>
      <c r="M986" s="357">
        <f>SUM(H986)</f>
        <v>162625.68</v>
      </c>
      <c r="N986" s="411">
        <f>IFERROR((M986/(VLOOKUP(B986,'Data Pull Sheet'!$C:$H,6,FALSE))),"DC")</f>
        <v>6.5050272000000001E-4</v>
      </c>
      <c r="O986" s="23" t="s">
        <v>10823</v>
      </c>
      <c r="P986" s="92" t="s">
        <v>632</v>
      </c>
      <c r="Q986" s="92" t="s">
        <v>633</v>
      </c>
      <c r="R986" s="372" t="str">
        <f t="shared" si="29"/>
        <v>FF</v>
      </c>
    </row>
    <row r="987" spans="1:18" x14ac:dyDescent="0.25">
      <c r="A987" s="23" t="s">
        <v>3050</v>
      </c>
      <c r="B987" s="18" t="str">
        <f>IF(ISNA(VLOOKUP($A987,'Data Pull Sheet'!$B$2:$C$1795,2,0)),"",(VLOOKUP($A987,'Data Pull Sheet'!$B$2:$C$1795,2,0)))</f>
        <v>PEGI</v>
      </c>
      <c r="C987" s="59" t="s">
        <v>457</v>
      </c>
      <c r="D987" s="356" t="s">
        <v>535</v>
      </c>
      <c r="E987" s="356" t="s">
        <v>3051</v>
      </c>
      <c r="F987" s="23" t="s">
        <v>3052</v>
      </c>
      <c r="G987" s="23" t="s">
        <v>403</v>
      </c>
      <c r="H987" s="353">
        <v>4314</v>
      </c>
      <c r="I987" s="59"/>
      <c r="J987" s="59" t="s">
        <v>3053</v>
      </c>
      <c r="K987" s="20">
        <v>1</v>
      </c>
      <c r="L987" s="20">
        <v>2</v>
      </c>
      <c r="M987" s="357">
        <f>SUM(H987:H988)</f>
        <v>18776</v>
      </c>
      <c r="N987" s="411">
        <f>IFERROR((M987/(VLOOKUP(B987,'Data Pull Sheet'!$C:$H,6,FALSE))),"DC")</f>
        <v>6.2586666666666663E-4</v>
      </c>
      <c r="O987" s="23" t="s">
        <v>79</v>
      </c>
      <c r="P987" s="92" t="s">
        <v>676</v>
      </c>
      <c r="Q987" s="92" t="s">
        <v>646</v>
      </c>
      <c r="R987" s="372" t="str">
        <f t="shared" si="29"/>
        <v/>
      </c>
    </row>
    <row r="988" spans="1:18" x14ac:dyDescent="0.25">
      <c r="A988" s="23" t="s">
        <v>3050</v>
      </c>
      <c r="B988" s="18" t="str">
        <f>IF(ISNA(VLOOKUP($A988,'Data Pull Sheet'!$B$2:$C$1795,2,0)),"",(VLOOKUP($A988,'Data Pull Sheet'!$B$2:$C$1795,2,0)))</f>
        <v>PEGI</v>
      </c>
      <c r="C988" s="59" t="s">
        <v>457</v>
      </c>
      <c r="D988" s="356" t="s">
        <v>535</v>
      </c>
      <c r="E988" s="356" t="s">
        <v>3051</v>
      </c>
      <c r="F988" s="23" t="s">
        <v>3054</v>
      </c>
      <c r="G988" s="23" t="s">
        <v>403</v>
      </c>
      <c r="H988" s="353">
        <v>14462</v>
      </c>
      <c r="I988" s="59"/>
      <c r="J988" s="59" t="s">
        <v>3055</v>
      </c>
      <c r="K988" s="20"/>
      <c r="L988" s="20"/>
      <c r="M988" s="357"/>
      <c r="N988" s="411"/>
      <c r="O988" s="23" t="s">
        <v>79</v>
      </c>
      <c r="P988" s="92" t="s">
        <v>676</v>
      </c>
      <c r="Q988" s="92" t="s">
        <v>646</v>
      </c>
      <c r="R988" s="372" t="str">
        <f t="shared" si="29"/>
        <v/>
      </c>
    </row>
    <row r="989" spans="1:18" x14ac:dyDescent="0.25">
      <c r="A989" s="23" t="s">
        <v>234</v>
      </c>
      <c r="B989" s="18" t="str">
        <f>IF(ISNA(VLOOKUP($A989,'Data Pull Sheet'!$B$2:$C$1795,2,0)),"",(VLOOKUP($A989,'Data Pull Sheet'!$B$2:$C$1795,2,0)))</f>
        <v>CNC</v>
      </c>
      <c r="C989" s="59" t="s">
        <v>531</v>
      </c>
      <c r="D989" s="356" t="s">
        <v>555</v>
      </c>
      <c r="E989" s="356" t="s">
        <v>556</v>
      </c>
      <c r="F989" s="23" t="s">
        <v>233</v>
      </c>
      <c r="G989" s="23" t="s">
        <v>417</v>
      </c>
      <c r="H989" s="353">
        <v>198570.14</v>
      </c>
      <c r="I989" s="59" t="s">
        <v>406</v>
      </c>
      <c r="J989" s="59" t="s">
        <v>1268</v>
      </c>
      <c r="K989" s="20">
        <v>4</v>
      </c>
      <c r="L989" s="20">
        <v>1</v>
      </c>
      <c r="M989" s="357">
        <f>SUM(H989)</f>
        <v>198570.14</v>
      </c>
      <c r="N989" s="411">
        <f>IFERROR((M989/(VLOOKUP(B989,'Data Pull Sheet'!$C:$H,6,FALSE))),"DC")</f>
        <v>3.3095023333333333E-4</v>
      </c>
      <c r="O989" s="23" t="s">
        <v>1</v>
      </c>
      <c r="P989" s="92" t="s">
        <v>632</v>
      </c>
      <c r="Q989" s="92" t="s">
        <v>633</v>
      </c>
      <c r="R989" s="372" t="str">
        <f t="shared" si="29"/>
        <v>FF</v>
      </c>
    </row>
    <row r="990" spans="1:18" x14ac:dyDescent="0.25">
      <c r="A990" s="23" t="s">
        <v>234</v>
      </c>
      <c r="B990" s="18" t="str">
        <f>IF(ISNA(VLOOKUP($A990,'Data Pull Sheet'!$B$2:$C$1795,2,0)),"",(VLOOKUP($A990,'Data Pull Sheet'!$B$2:$C$1795,2,0)))</f>
        <v>CNC</v>
      </c>
      <c r="C990" s="59" t="s">
        <v>531</v>
      </c>
      <c r="D990" s="356" t="s">
        <v>555</v>
      </c>
      <c r="E990" s="356" t="s">
        <v>556</v>
      </c>
      <c r="F990" s="23" t="s">
        <v>1269</v>
      </c>
      <c r="G990" s="23" t="s">
        <v>403</v>
      </c>
      <c r="H990" s="353">
        <v>8850.6200000000008</v>
      </c>
      <c r="I990" s="59"/>
      <c r="J990" s="59" t="s">
        <v>1270</v>
      </c>
      <c r="K990" s="20"/>
      <c r="L990" s="20">
        <v>1</v>
      </c>
      <c r="M990" s="357">
        <f>H990</f>
        <v>8850.6200000000008</v>
      </c>
      <c r="N990" s="411">
        <f>IFERROR((M990/(VLOOKUP(B990,'Data Pull Sheet'!$C:$H,6,FALSE))),"DC")</f>
        <v>1.4751033333333335E-5</v>
      </c>
      <c r="O990" s="23" t="s">
        <v>597</v>
      </c>
      <c r="P990" s="92" t="s">
        <v>632</v>
      </c>
      <c r="Q990" s="92" t="s">
        <v>637</v>
      </c>
      <c r="R990" s="372" t="str">
        <f t="shared" si="29"/>
        <v/>
      </c>
    </row>
    <row r="991" spans="1:18" x14ac:dyDescent="0.25">
      <c r="A991" s="23" t="s">
        <v>234</v>
      </c>
      <c r="B991" s="18" t="str">
        <f>IF(ISNA(VLOOKUP($A991,'Data Pull Sheet'!$B$2:$C$1795,2,0)),"",(VLOOKUP($A991,'Data Pull Sheet'!$B$2:$C$1795,2,0)))</f>
        <v>CNC</v>
      </c>
      <c r="C991" s="59" t="s">
        <v>531</v>
      </c>
      <c r="D991" s="356" t="s">
        <v>555</v>
      </c>
      <c r="E991" s="356" t="s">
        <v>556</v>
      </c>
      <c r="F991" s="23" t="s">
        <v>1271</v>
      </c>
      <c r="G991" s="23" t="s">
        <v>403</v>
      </c>
      <c r="H991" s="353">
        <v>941</v>
      </c>
      <c r="I991" s="59"/>
      <c r="J991" s="59" t="s">
        <v>1272</v>
      </c>
      <c r="K991" s="20"/>
      <c r="L991" s="20">
        <v>2</v>
      </c>
      <c r="M991" s="357">
        <f>SUM(H991:H992)</f>
        <v>2214</v>
      </c>
      <c r="N991" s="411">
        <f>IFERROR((M991/(VLOOKUP(B991,'Data Pull Sheet'!$C:$H,6,FALSE))),"DC")</f>
        <v>3.6899999999999998E-6</v>
      </c>
      <c r="O991" s="23" t="s">
        <v>79</v>
      </c>
      <c r="P991" s="92" t="s">
        <v>632</v>
      </c>
      <c r="Q991" s="92" t="s">
        <v>646</v>
      </c>
      <c r="R991" s="372" t="str">
        <f t="shared" si="29"/>
        <v/>
      </c>
    </row>
    <row r="992" spans="1:18" x14ac:dyDescent="0.25">
      <c r="A992" s="23" t="s">
        <v>234</v>
      </c>
      <c r="B992" s="18" t="str">
        <f>IF(ISNA(VLOOKUP($A992,'Data Pull Sheet'!$B$2:$C$1795,2,0)),"",(VLOOKUP($A992,'Data Pull Sheet'!$B$2:$C$1795,2,0)))</f>
        <v>CNC</v>
      </c>
      <c r="C992" s="59" t="s">
        <v>531</v>
      </c>
      <c r="D992" s="356" t="s">
        <v>555</v>
      </c>
      <c r="E992" s="356" t="s">
        <v>556</v>
      </c>
      <c r="F992" s="23" t="s">
        <v>1273</v>
      </c>
      <c r="G992" s="23" t="s">
        <v>403</v>
      </c>
      <c r="H992" s="353">
        <v>1273</v>
      </c>
      <c r="I992" s="59"/>
      <c r="J992" s="59" t="s">
        <v>1274</v>
      </c>
      <c r="K992" s="20"/>
      <c r="L992" s="20"/>
      <c r="M992" s="357"/>
      <c r="N992" s="411"/>
      <c r="O992" s="23" t="s">
        <v>79</v>
      </c>
      <c r="P992" s="92" t="s">
        <v>632</v>
      </c>
      <c r="Q992" s="92" t="s">
        <v>646</v>
      </c>
      <c r="R992" s="372" t="str">
        <f t="shared" si="29"/>
        <v/>
      </c>
    </row>
    <row r="993" spans="1:18" x14ac:dyDescent="0.25">
      <c r="A993" s="23" t="s">
        <v>234</v>
      </c>
      <c r="B993" s="18" t="str">
        <f>IF(ISNA(VLOOKUP($A993,'Data Pull Sheet'!$B$2:$C$1795,2,0)),"",(VLOOKUP($A993,'Data Pull Sheet'!$B$2:$C$1795,2,0)))</f>
        <v>CNC</v>
      </c>
      <c r="C993" s="59" t="s">
        <v>531</v>
      </c>
      <c r="D993" s="356" t="s">
        <v>555</v>
      </c>
      <c r="E993" s="356" t="s">
        <v>556</v>
      </c>
      <c r="F993" s="23" t="s">
        <v>369</v>
      </c>
      <c r="G993" s="23" t="s">
        <v>417</v>
      </c>
      <c r="H993" s="353">
        <v>45468.86</v>
      </c>
      <c r="I993" s="59"/>
      <c r="J993" s="59" t="s">
        <v>1275</v>
      </c>
      <c r="K993" s="20"/>
      <c r="L993" s="20">
        <v>1</v>
      </c>
      <c r="M993" s="357">
        <f>H993</f>
        <v>45468.86</v>
      </c>
      <c r="N993" s="411">
        <f>IFERROR((M993/(VLOOKUP(B993,'Data Pull Sheet'!$C:$H,6,FALSE))),"DC")</f>
        <v>7.5781433333333339E-5</v>
      </c>
      <c r="O993" s="23" t="s">
        <v>7</v>
      </c>
      <c r="P993" s="92" t="s">
        <v>632</v>
      </c>
      <c r="Q993" s="92" t="s">
        <v>633</v>
      </c>
      <c r="R993" s="372" t="str">
        <f t="shared" si="29"/>
        <v>FF</v>
      </c>
    </row>
    <row r="994" spans="1:18" x14ac:dyDescent="0.25">
      <c r="A994" s="23" t="s">
        <v>3364</v>
      </c>
      <c r="B994" s="18" t="str">
        <f>IF(ISNA(VLOOKUP($A994,'Data Pull Sheet'!$B$2:$C$1795,2,0)),"",(VLOOKUP($A994,'Data Pull Sheet'!$B$2:$C$1795,2,0)))</f>
        <v>NONE2</v>
      </c>
      <c r="C994" s="59" t="s">
        <v>418</v>
      </c>
      <c r="D994" s="356" t="s">
        <v>555</v>
      </c>
      <c r="E994" s="356" t="s">
        <v>556</v>
      </c>
      <c r="F994" s="23" t="s">
        <v>3365</v>
      </c>
      <c r="G994" s="23" t="s">
        <v>417</v>
      </c>
      <c r="H994" s="353">
        <v>64910560</v>
      </c>
      <c r="I994" s="59"/>
      <c r="J994" s="59" t="s">
        <v>10797</v>
      </c>
      <c r="K994" s="20">
        <v>1</v>
      </c>
      <c r="L994" s="20">
        <v>1</v>
      </c>
      <c r="M994" s="357">
        <f>H994</f>
        <v>64910560</v>
      </c>
      <c r="N994" s="411">
        <f>IFERROR((M994/(VLOOKUP(B994,'Data Pull Sheet'!$C:$H,6,FALSE))),"DC")</f>
        <v>7.2933213483146062E-2</v>
      </c>
      <c r="O994" s="23" t="s">
        <v>79</v>
      </c>
      <c r="P994" s="92" t="s">
        <v>676</v>
      </c>
      <c r="Q994" s="92" t="s">
        <v>633</v>
      </c>
      <c r="R994" s="372" t="str">
        <f t="shared" si="29"/>
        <v/>
      </c>
    </row>
    <row r="995" spans="1:18" x14ac:dyDescent="0.25">
      <c r="A995" s="23" t="s">
        <v>176</v>
      </c>
      <c r="B995" s="18" t="str">
        <f>IF(ISNA(VLOOKUP($A995,'Data Pull Sheet'!$B$2:$C$1795,2,0)),"",(VLOOKUP($A995,'Data Pull Sheet'!$B$2:$C$1795,2,0)))</f>
        <v>ALXN</v>
      </c>
      <c r="C995" s="59" t="s">
        <v>511</v>
      </c>
      <c r="D995" s="356" t="s">
        <v>526</v>
      </c>
      <c r="E995" s="356" t="s">
        <v>527</v>
      </c>
      <c r="F995" s="23" t="s">
        <v>175</v>
      </c>
      <c r="G995" s="23" t="s">
        <v>417</v>
      </c>
      <c r="H995" s="353">
        <v>2122805.2200000002</v>
      </c>
      <c r="I995" s="59" t="s">
        <v>406</v>
      </c>
      <c r="J995" s="59" t="s">
        <v>738</v>
      </c>
      <c r="K995" s="20">
        <v>3</v>
      </c>
      <c r="L995" s="20">
        <v>2</v>
      </c>
      <c r="M995" s="357">
        <f>SUM(H995:H996)</f>
        <v>7160339.2200000007</v>
      </c>
      <c r="N995" s="411">
        <f>IFERROR((M995/(VLOOKUP(B995,'Data Pull Sheet'!$C:$H,6,FALSE))),"DC")</f>
        <v>2.2376060062500001E-3</v>
      </c>
      <c r="O995" s="23" t="s">
        <v>739</v>
      </c>
      <c r="P995" s="92" t="s">
        <v>632</v>
      </c>
      <c r="Q995" s="92" t="s">
        <v>640</v>
      </c>
      <c r="R995" s="372" t="str">
        <f t="shared" si="29"/>
        <v>FF</v>
      </c>
    </row>
    <row r="996" spans="1:18" x14ac:dyDescent="0.25">
      <c r="A996" s="23" t="s">
        <v>176</v>
      </c>
      <c r="B996" s="18" t="str">
        <f>IF(ISNA(VLOOKUP($A996,'Data Pull Sheet'!$B$2:$C$1795,2,0)),"",(VLOOKUP($A996,'Data Pull Sheet'!$B$2:$C$1795,2,0)))</f>
        <v>ALXN</v>
      </c>
      <c r="C996" s="59" t="s">
        <v>511</v>
      </c>
      <c r="D996" s="356" t="s">
        <v>526</v>
      </c>
      <c r="E996" s="356" t="s">
        <v>527</v>
      </c>
      <c r="F996" s="23" t="s">
        <v>740</v>
      </c>
      <c r="G996" s="23" t="s">
        <v>417</v>
      </c>
      <c r="H996" s="353">
        <v>5037534</v>
      </c>
      <c r="I996" s="59" t="s">
        <v>406</v>
      </c>
      <c r="J996" s="59" t="s">
        <v>741</v>
      </c>
      <c r="K996" s="20"/>
      <c r="L996" s="20"/>
      <c r="M996" s="357"/>
      <c r="N996" s="411"/>
      <c r="O996" s="23" t="s">
        <v>739</v>
      </c>
      <c r="P996" s="92" t="s">
        <v>632</v>
      </c>
      <c r="Q996" s="92" t="s">
        <v>640</v>
      </c>
      <c r="R996" s="372" t="str">
        <f t="shared" si="29"/>
        <v/>
      </c>
    </row>
    <row r="997" spans="1:18" ht="30" x14ac:dyDescent="0.25">
      <c r="A997" s="23" t="s">
        <v>176</v>
      </c>
      <c r="B997" s="18" t="str">
        <f>IF(ISNA(VLOOKUP($A997,'Data Pull Sheet'!$B$2:$C$1795,2,0)),"",(VLOOKUP($A997,'Data Pull Sheet'!$B$2:$C$1795,2,0)))</f>
        <v>ALXN</v>
      </c>
      <c r="C997" s="59" t="s">
        <v>511</v>
      </c>
      <c r="D997" s="356" t="s">
        <v>526</v>
      </c>
      <c r="E997" s="356" t="s">
        <v>527</v>
      </c>
      <c r="F997" s="23" t="s">
        <v>742</v>
      </c>
      <c r="G997" s="23" t="s">
        <v>417</v>
      </c>
      <c r="H997" s="353">
        <v>1219956.07</v>
      </c>
      <c r="I997" s="59"/>
      <c r="J997" s="59" t="s">
        <v>743</v>
      </c>
      <c r="K997" s="20"/>
      <c r="L997" s="20">
        <v>1</v>
      </c>
      <c r="M997" s="357">
        <f>H997</f>
        <v>1219956.07</v>
      </c>
      <c r="N997" s="411">
        <f>IFERROR((M997/(VLOOKUP(B997,'Data Pull Sheet'!$C:$H,6,FALSE))),"DC")</f>
        <v>3.8123627187500002E-4</v>
      </c>
      <c r="O997" s="23" t="s">
        <v>744</v>
      </c>
      <c r="P997" s="92" t="s">
        <v>632</v>
      </c>
      <c r="Q997" s="92" t="s">
        <v>633</v>
      </c>
      <c r="R997" s="372" t="str">
        <f t="shared" si="29"/>
        <v>FF</v>
      </c>
    </row>
    <row r="998" spans="1:18" ht="30" x14ac:dyDescent="0.25">
      <c r="A998" s="23" t="s">
        <v>176</v>
      </c>
      <c r="B998" s="18" t="str">
        <f>IF(ISNA(VLOOKUP($A998,'Data Pull Sheet'!$B$2:$C$1795,2,0)),"",(VLOOKUP($A998,'Data Pull Sheet'!$B$2:$C$1795,2,0)))</f>
        <v>ALXN</v>
      </c>
      <c r="C998" s="59" t="s">
        <v>511</v>
      </c>
      <c r="D998" s="356" t="s">
        <v>526</v>
      </c>
      <c r="E998" s="356" t="s">
        <v>527</v>
      </c>
      <c r="F998" s="23" t="s">
        <v>745</v>
      </c>
      <c r="G998" s="23" t="s">
        <v>417</v>
      </c>
      <c r="H998" s="353">
        <v>557554.63</v>
      </c>
      <c r="I998" s="59" t="s">
        <v>406</v>
      </c>
      <c r="J998" s="59" t="s">
        <v>746</v>
      </c>
      <c r="K998" s="20"/>
      <c r="L998" s="20">
        <v>1</v>
      </c>
      <c r="M998" s="357">
        <f>H998</f>
        <v>557554.63</v>
      </c>
      <c r="N998" s="411">
        <f>IFERROR((M998/(VLOOKUP(B998,'Data Pull Sheet'!$C:$H,6,FALSE))),"DC")</f>
        <v>1.7423582187500001E-4</v>
      </c>
      <c r="O998" s="23" t="s">
        <v>8986</v>
      </c>
      <c r="P998" s="92" t="s">
        <v>632</v>
      </c>
      <c r="Q998" s="92" t="s">
        <v>633</v>
      </c>
      <c r="R998" s="372" t="str">
        <f t="shared" si="29"/>
        <v/>
      </c>
    </row>
    <row r="999" spans="1:18" x14ac:dyDescent="0.25">
      <c r="A999" s="23" t="s">
        <v>946</v>
      </c>
      <c r="B999" s="18" t="str">
        <f>IF(ISNA(VLOOKUP($A999,'Data Pull Sheet'!$B$2:$C$1795,2,0)),"",(VLOOKUP($A999,'Data Pull Sheet'!$B$2:$C$1795,2,0)))</f>
        <v>ARWR</v>
      </c>
      <c r="C999" s="59" t="s">
        <v>446</v>
      </c>
      <c r="D999" s="356" t="s">
        <v>493</v>
      </c>
      <c r="E999" s="356" t="s">
        <v>527</v>
      </c>
      <c r="F999" s="23" t="s">
        <v>947</v>
      </c>
      <c r="G999" s="23" t="s">
        <v>403</v>
      </c>
      <c r="H999" s="353">
        <v>13405</v>
      </c>
      <c r="I999" s="59"/>
      <c r="J999" s="59" t="s">
        <v>948</v>
      </c>
      <c r="K999" s="20">
        <v>4</v>
      </c>
      <c r="L999" s="20">
        <v>1</v>
      </c>
      <c r="M999" s="357">
        <f>H999</f>
        <v>13405</v>
      </c>
      <c r="N999" s="411">
        <f>IFERROR((M999/(VLOOKUP(B999,'Data Pull Sheet'!$C:$H,6,FALSE))),"DC")</f>
        <v>1.4894444444444444E-4</v>
      </c>
      <c r="O999" s="23" t="s">
        <v>949</v>
      </c>
      <c r="P999" s="92" t="s">
        <v>632</v>
      </c>
      <c r="Q999" s="92" t="s">
        <v>637</v>
      </c>
      <c r="R999" s="372" t="str">
        <f t="shared" si="29"/>
        <v/>
      </c>
    </row>
    <row r="1000" spans="1:18" x14ac:dyDescent="0.25">
      <c r="A1000" s="23" t="s">
        <v>946</v>
      </c>
      <c r="B1000" s="18" t="str">
        <f>IF(ISNA(VLOOKUP($A1000,'Data Pull Sheet'!$B$2:$C$1795,2,0)),"",(VLOOKUP($A1000,'Data Pull Sheet'!$B$2:$C$1795,2,0)))</f>
        <v>ARWR</v>
      </c>
      <c r="C1000" s="59" t="s">
        <v>446</v>
      </c>
      <c r="D1000" s="356" t="s">
        <v>493</v>
      </c>
      <c r="E1000" s="356" t="s">
        <v>527</v>
      </c>
      <c r="F1000" s="23" t="s">
        <v>950</v>
      </c>
      <c r="G1000" s="23" t="s">
        <v>403</v>
      </c>
      <c r="H1000" s="353">
        <v>1118394</v>
      </c>
      <c r="I1000" s="59"/>
      <c r="J1000" s="59" t="s">
        <v>951</v>
      </c>
      <c r="K1000" s="20"/>
      <c r="L1000" s="20">
        <v>1</v>
      </c>
      <c r="M1000" s="357">
        <f>H1000</f>
        <v>1118394</v>
      </c>
      <c r="N1000" s="411">
        <f>IFERROR((M1000/(VLOOKUP(B1000,'Data Pull Sheet'!$C:$H,6,FALSE))),"DC")</f>
        <v>1.2426599999999999E-2</v>
      </c>
      <c r="O1000" s="23" t="s">
        <v>63</v>
      </c>
      <c r="P1000" s="92" t="s">
        <v>632</v>
      </c>
      <c r="Q1000" s="92" t="s">
        <v>952</v>
      </c>
      <c r="R1000" s="372" t="str">
        <f t="shared" si="29"/>
        <v/>
      </c>
    </row>
    <row r="1001" spans="1:18" ht="30" x14ac:dyDescent="0.25">
      <c r="A1001" s="23" t="s">
        <v>946</v>
      </c>
      <c r="B1001" s="18" t="str">
        <f>IF(ISNA(VLOOKUP($A1001,'Data Pull Sheet'!$B$2:$C$1795,2,0)),"",(VLOOKUP($A1001,'Data Pull Sheet'!$B$2:$C$1795,2,0)))</f>
        <v>ARWR</v>
      </c>
      <c r="C1001" s="59" t="s">
        <v>446</v>
      </c>
      <c r="D1001" s="356" t="s">
        <v>493</v>
      </c>
      <c r="E1001" s="356" t="s">
        <v>527</v>
      </c>
      <c r="F1001" s="23" t="s">
        <v>953</v>
      </c>
      <c r="G1001" s="23" t="s">
        <v>403</v>
      </c>
      <c r="H1001" s="353">
        <v>53760</v>
      </c>
      <c r="I1001" s="59"/>
      <c r="J1001" s="59" t="s">
        <v>954</v>
      </c>
      <c r="K1001" s="20"/>
      <c r="L1001" s="20">
        <v>3</v>
      </c>
      <c r="M1001" s="357">
        <f>SUM(H1001:H1003)</f>
        <v>937252</v>
      </c>
      <c r="N1001" s="411">
        <f>IFERROR((M1001/(VLOOKUP(B1001,'Data Pull Sheet'!$C:$H,6,FALSE))),"DC")</f>
        <v>1.0413911111111111E-2</v>
      </c>
      <c r="O1001" s="23" t="s">
        <v>11182</v>
      </c>
      <c r="P1001" s="92" t="s">
        <v>632</v>
      </c>
      <c r="Q1001" s="92" t="s">
        <v>646</v>
      </c>
      <c r="R1001" s="372" t="str">
        <f t="shared" si="29"/>
        <v/>
      </c>
    </row>
    <row r="1002" spans="1:18" ht="30" x14ac:dyDescent="0.25">
      <c r="A1002" s="23" t="s">
        <v>946</v>
      </c>
      <c r="B1002" s="18" t="str">
        <f>IF(ISNA(VLOOKUP($A1002,'Data Pull Sheet'!$B$2:$C$1795,2,0)),"",(VLOOKUP($A1002,'Data Pull Sheet'!$B$2:$C$1795,2,0)))</f>
        <v>ARWR</v>
      </c>
      <c r="C1002" s="59" t="s">
        <v>446</v>
      </c>
      <c r="D1002" s="356" t="s">
        <v>493</v>
      </c>
      <c r="E1002" s="356" t="s">
        <v>527</v>
      </c>
      <c r="F1002" s="23" t="s">
        <v>956</v>
      </c>
      <c r="G1002" s="23" t="s">
        <v>403</v>
      </c>
      <c r="H1002" s="353">
        <v>260864</v>
      </c>
      <c r="I1002" s="59"/>
      <c r="J1002" s="59" t="s">
        <v>957</v>
      </c>
      <c r="K1002" s="20"/>
      <c r="L1002" s="20"/>
      <c r="M1002" s="357"/>
      <c r="N1002" s="411"/>
      <c r="O1002" s="23" t="s">
        <v>11182</v>
      </c>
      <c r="P1002" s="92" t="s">
        <v>632</v>
      </c>
      <c r="Q1002" s="92" t="s">
        <v>646</v>
      </c>
      <c r="R1002" s="372" t="str">
        <f t="shared" si="29"/>
        <v/>
      </c>
    </row>
    <row r="1003" spans="1:18" ht="30" x14ac:dyDescent="0.25">
      <c r="A1003" s="23" t="s">
        <v>946</v>
      </c>
      <c r="B1003" s="18" t="str">
        <f>IF(ISNA(VLOOKUP($A1003,'Data Pull Sheet'!$B$2:$C$1795,2,0)),"",(VLOOKUP($A1003,'Data Pull Sheet'!$B$2:$C$1795,2,0)))</f>
        <v>ARWR</v>
      </c>
      <c r="C1003" s="59" t="s">
        <v>446</v>
      </c>
      <c r="D1003" s="356" t="s">
        <v>493</v>
      </c>
      <c r="E1003" s="356" t="s">
        <v>527</v>
      </c>
      <c r="F1003" s="23" t="s">
        <v>958</v>
      </c>
      <c r="G1003" s="23" t="s">
        <v>403</v>
      </c>
      <c r="H1003" s="353">
        <v>622628</v>
      </c>
      <c r="I1003" s="59"/>
      <c r="J1003" s="59" t="s">
        <v>959</v>
      </c>
      <c r="K1003" s="20"/>
      <c r="L1003" s="20"/>
      <c r="M1003" s="357"/>
      <c r="N1003" s="411"/>
      <c r="O1003" s="23" t="s">
        <v>11182</v>
      </c>
      <c r="P1003" s="92" t="s">
        <v>632</v>
      </c>
      <c r="Q1003" s="92" t="s">
        <v>646</v>
      </c>
      <c r="R1003" s="372" t="str">
        <f t="shared" si="29"/>
        <v/>
      </c>
    </row>
    <row r="1004" spans="1:18" x14ac:dyDescent="0.25">
      <c r="A1004" s="23" t="s">
        <v>946</v>
      </c>
      <c r="B1004" s="18" t="str">
        <f>IF(ISNA(VLOOKUP($A1004,'Data Pull Sheet'!$B$2:$C$1795,2,0)),"",(VLOOKUP($A1004,'Data Pull Sheet'!$B$2:$C$1795,2,0)))</f>
        <v>ARWR</v>
      </c>
      <c r="C1004" s="59" t="s">
        <v>446</v>
      </c>
      <c r="D1004" s="356" t="s">
        <v>493</v>
      </c>
      <c r="E1004" s="356" t="s">
        <v>527</v>
      </c>
      <c r="F1004" s="23" t="s">
        <v>960</v>
      </c>
      <c r="G1004" s="23" t="s">
        <v>403</v>
      </c>
      <c r="H1004" s="353">
        <v>5525.85</v>
      </c>
      <c r="I1004" s="59"/>
      <c r="J1004" s="59" t="s">
        <v>961</v>
      </c>
      <c r="K1004" s="20"/>
      <c r="L1004" s="20">
        <v>3</v>
      </c>
      <c r="M1004" s="357">
        <f>SUM(H1004:H1006)</f>
        <v>37525.85</v>
      </c>
      <c r="N1004" s="411">
        <f>IFERROR((M1004/(VLOOKUP(B1004,'Data Pull Sheet'!$C:$H,6,FALSE))),"DC")</f>
        <v>4.1695388888888889E-4</v>
      </c>
      <c r="O1004" s="23" t="s">
        <v>682</v>
      </c>
      <c r="P1004" s="92" t="s">
        <v>632</v>
      </c>
      <c r="Q1004" s="92" t="s">
        <v>646</v>
      </c>
      <c r="R1004" s="372" t="str">
        <f t="shared" si="29"/>
        <v/>
      </c>
    </row>
    <row r="1005" spans="1:18" x14ac:dyDescent="0.25">
      <c r="A1005" s="23" t="s">
        <v>946</v>
      </c>
      <c r="B1005" s="18" t="str">
        <f>IF(ISNA(VLOOKUP($A1005,'Data Pull Sheet'!$B$2:$C$1795,2,0)),"",(VLOOKUP($A1005,'Data Pull Sheet'!$B$2:$C$1795,2,0)))</f>
        <v>ARWR</v>
      </c>
      <c r="C1005" s="59" t="s">
        <v>446</v>
      </c>
      <c r="D1005" s="356" t="s">
        <v>493</v>
      </c>
      <c r="E1005" s="356" t="s">
        <v>527</v>
      </c>
      <c r="F1005" s="23" t="s">
        <v>962</v>
      </c>
      <c r="G1005" s="23" t="s">
        <v>403</v>
      </c>
      <c r="H1005" s="353">
        <v>13300</v>
      </c>
      <c r="I1005" s="59"/>
      <c r="J1005" s="59" t="s">
        <v>963</v>
      </c>
      <c r="K1005" s="20"/>
      <c r="L1005" s="20"/>
      <c r="M1005" s="357"/>
      <c r="N1005" s="411"/>
      <c r="O1005" s="23" t="s">
        <v>682</v>
      </c>
      <c r="P1005" s="92" t="s">
        <v>632</v>
      </c>
      <c r="Q1005" s="92" t="s">
        <v>646</v>
      </c>
      <c r="R1005" s="372" t="str">
        <f t="shared" si="29"/>
        <v/>
      </c>
    </row>
    <row r="1006" spans="1:18" x14ac:dyDescent="0.25">
      <c r="A1006" s="23" t="s">
        <v>946</v>
      </c>
      <c r="B1006" s="18" t="str">
        <f>IF(ISNA(VLOOKUP($A1006,'Data Pull Sheet'!$B$2:$C$1795,2,0)),"",(VLOOKUP($A1006,'Data Pull Sheet'!$B$2:$C$1795,2,0)))</f>
        <v>ARWR</v>
      </c>
      <c r="C1006" s="59" t="s">
        <v>446</v>
      </c>
      <c r="D1006" s="356" t="s">
        <v>493</v>
      </c>
      <c r="E1006" s="356" t="s">
        <v>527</v>
      </c>
      <c r="F1006" s="23" t="s">
        <v>964</v>
      </c>
      <c r="G1006" s="23" t="s">
        <v>403</v>
      </c>
      <c r="H1006" s="353">
        <v>18700</v>
      </c>
      <c r="I1006" s="59"/>
      <c r="J1006" s="59" t="s">
        <v>965</v>
      </c>
      <c r="K1006" s="20"/>
      <c r="L1006" s="20"/>
      <c r="M1006" s="357"/>
      <c r="N1006" s="411"/>
      <c r="O1006" s="23" t="s">
        <v>682</v>
      </c>
      <c r="P1006" s="92" t="s">
        <v>632</v>
      </c>
      <c r="Q1006" s="92" t="s">
        <v>646</v>
      </c>
      <c r="R1006" s="372" t="str">
        <f t="shared" si="29"/>
        <v/>
      </c>
    </row>
    <row r="1007" spans="1:18" x14ac:dyDescent="0.25">
      <c r="A1007" s="23" t="s">
        <v>1684</v>
      </c>
      <c r="B1007" s="18" t="str">
        <f>IF(ISNA(VLOOKUP($A1007,'Data Pull Sheet'!$B$2:$C$1795,2,0)),"",(VLOOKUP($A1007,'Data Pull Sheet'!$B$2:$C$1795,2,0)))</f>
        <v>DVAX</v>
      </c>
      <c r="C1007" s="59" t="s">
        <v>457</v>
      </c>
      <c r="D1007" s="356" t="s">
        <v>1685</v>
      </c>
      <c r="E1007" s="356" t="s">
        <v>527</v>
      </c>
      <c r="F1007" s="23" t="s">
        <v>1686</v>
      </c>
      <c r="G1007" s="23" t="s">
        <v>403</v>
      </c>
      <c r="H1007" s="353">
        <v>5283.57</v>
      </c>
      <c r="I1007" s="59"/>
      <c r="J1007" s="59" t="s">
        <v>1687</v>
      </c>
      <c r="K1007" s="20">
        <v>3</v>
      </c>
      <c r="L1007" s="20">
        <v>3</v>
      </c>
      <c r="M1007" s="357">
        <f>SUM(H1007:H1009)</f>
        <v>43498.14</v>
      </c>
      <c r="N1007" s="411">
        <f>IFERROR((M1007/(VLOOKUP(B1007,'Data Pull Sheet'!$C:$H,6,FALSE))),"DC")</f>
        <v>1.7754342857142857E-4</v>
      </c>
      <c r="O1007" s="23" t="s">
        <v>597</v>
      </c>
      <c r="P1007" s="92" t="s">
        <v>632</v>
      </c>
      <c r="Q1007" s="92" t="s">
        <v>646</v>
      </c>
      <c r="R1007" s="372" t="str">
        <f t="shared" si="29"/>
        <v/>
      </c>
    </row>
    <row r="1008" spans="1:18" x14ac:dyDescent="0.25">
      <c r="A1008" s="23" t="s">
        <v>1684</v>
      </c>
      <c r="B1008" s="18" t="str">
        <f>IF(ISNA(VLOOKUP($A1008,'Data Pull Sheet'!$B$2:$C$1795,2,0)),"",(VLOOKUP($A1008,'Data Pull Sheet'!$B$2:$C$1795,2,0)))</f>
        <v>DVAX</v>
      </c>
      <c r="C1008" s="59" t="s">
        <v>457</v>
      </c>
      <c r="D1008" s="356" t="s">
        <v>1685</v>
      </c>
      <c r="E1008" s="356" t="s">
        <v>527</v>
      </c>
      <c r="F1008" s="23" t="s">
        <v>1688</v>
      </c>
      <c r="G1008" s="23" t="s">
        <v>403</v>
      </c>
      <c r="H1008" s="353">
        <v>17928.57</v>
      </c>
      <c r="I1008" s="59"/>
      <c r="J1008" s="59" t="s">
        <v>6746</v>
      </c>
      <c r="K1008" s="20"/>
      <c r="L1008" s="20"/>
      <c r="M1008" s="357"/>
      <c r="N1008" s="411"/>
      <c r="O1008" s="23" t="s">
        <v>597</v>
      </c>
      <c r="P1008" s="92" t="s">
        <v>632</v>
      </c>
      <c r="Q1008" s="92" t="s">
        <v>646</v>
      </c>
      <c r="R1008" s="372" t="str">
        <f t="shared" si="29"/>
        <v/>
      </c>
    </row>
    <row r="1009" spans="1:18" x14ac:dyDescent="0.25">
      <c r="A1009" s="23" t="s">
        <v>1684</v>
      </c>
      <c r="B1009" s="18" t="str">
        <f>IF(ISNA(VLOOKUP($A1009,'Data Pull Sheet'!$B$2:$C$1795,2,0)),"",(VLOOKUP($A1009,'Data Pull Sheet'!$B$2:$C$1795,2,0)))</f>
        <v>DVAX</v>
      </c>
      <c r="C1009" s="59" t="s">
        <v>457</v>
      </c>
      <c r="D1009" s="356" t="s">
        <v>1685</v>
      </c>
      <c r="E1009" s="356" t="s">
        <v>527</v>
      </c>
      <c r="F1009" s="23" t="s">
        <v>1689</v>
      </c>
      <c r="G1009" s="23" t="s">
        <v>403</v>
      </c>
      <c r="H1009" s="353">
        <v>20286</v>
      </c>
      <c r="I1009" s="59"/>
      <c r="J1009" s="59" t="s">
        <v>6747</v>
      </c>
      <c r="K1009" s="20"/>
      <c r="L1009" s="20"/>
      <c r="M1009" s="357"/>
      <c r="N1009" s="411"/>
      <c r="O1009" s="23" t="s">
        <v>597</v>
      </c>
      <c r="P1009" s="92" t="s">
        <v>632</v>
      </c>
      <c r="Q1009" s="92" t="s">
        <v>646</v>
      </c>
      <c r="R1009" s="372" t="str">
        <f t="shared" si="29"/>
        <v/>
      </c>
    </row>
    <row r="1010" spans="1:18" ht="30" x14ac:dyDescent="0.25">
      <c r="A1010" s="23" t="s">
        <v>1684</v>
      </c>
      <c r="B1010" s="18" t="str">
        <f>IF(ISNA(VLOOKUP($A1010,'Data Pull Sheet'!$B$2:$C$1795,2,0)),"",(VLOOKUP($A1010,'Data Pull Sheet'!$B$2:$C$1795,2,0)))</f>
        <v>DVAX</v>
      </c>
      <c r="C1010" s="59" t="s">
        <v>457</v>
      </c>
      <c r="D1010" s="356" t="s">
        <v>1685</v>
      </c>
      <c r="E1010" s="356" t="s">
        <v>527</v>
      </c>
      <c r="F1010" s="23" t="s">
        <v>1690</v>
      </c>
      <c r="G1010" s="23" t="s">
        <v>403</v>
      </c>
      <c r="H1010" s="353">
        <v>667993.56000000006</v>
      </c>
      <c r="I1010" s="59"/>
      <c r="J1010" s="59" t="s">
        <v>6748</v>
      </c>
      <c r="K1010" s="20"/>
      <c r="L1010" s="20">
        <v>1</v>
      </c>
      <c r="M1010" s="357">
        <f>H1010</f>
        <v>667993.56000000006</v>
      </c>
      <c r="N1010" s="411">
        <f>IFERROR((M1010/(VLOOKUP(B1010,'Data Pull Sheet'!$C:$H,6,FALSE))),"DC")</f>
        <v>2.7265043265306123E-3</v>
      </c>
      <c r="O1010" s="23" t="s">
        <v>1691</v>
      </c>
      <c r="P1010" s="92" t="s">
        <v>632</v>
      </c>
      <c r="Q1010" s="92" t="s">
        <v>637</v>
      </c>
      <c r="R1010" s="372" t="str">
        <f t="shared" si="29"/>
        <v/>
      </c>
    </row>
    <row r="1011" spans="1:18" x14ac:dyDescent="0.25">
      <c r="A1011" s="23" t="s">
        <v>1684</v>
      </c>
      <c r="B1011" s="18" t="str">
        <f>IF(ISNA(VLOOKUP($A1011,'Data Pull Sheet'!$B$2:$C$1795,2,0)),"",(VLOOKUP($A1011,'Data Pull Sheet'!$B$2:$C$1795,2,0)))</f>
        <v>DVAX</v>
      </c>
      <c r="C1011" s="59" t="s">
        <v>457</v>
      </c>
      <c r="D1011" s="356" t="s">
        <v>1685</v>
      </c>
      <c r="E1011" s="356" t="s">
        <v>527</v>
      </c>
      <c r="F1011" s="23" t="s">
        <v>1692</v>
      </c>
      <c r="G1011" s="23" t="s">
        <v>403</v>
      </c>
      <c r="H1011" s="353">
        <v>1774255.72</v>
      </c>
      <c r="I1011" s="59"/>
      <c r="J1011" s="59" t="s">
        <v>6749</v>
      </c>
      <c r="K1011" s="20"/>
      <c r="L1011" s="20">
        <v>1</v>
      </c>
      <c r="M1011" s="357">
        <f>H1011</f>
        <v>1774255.72</v>
      </c>
      <c r="N1011" s="411">
        <f>IFERROR((M1011/(VLOOKUP(B1011,'Data Pull Sheet'!$C:$H,6,FALSE))),"DC")</f>
        <v>7.241860081632653E-3</v>
      </c>
      <c r="O1011" s="23" t="s">
        <v>682</v>
      </c>
      <c r="P1011" s="92" t="s">
        <v>632</v>
      </c>
      <c r="Q1011" s="92" t="s">
        <v>637</v>
      </c>
      <c r="R1011" s="372" t="str">
        <f t="shared" si="29"/>
        <v/>
      </c>
    </row>
    <row r="1012" spans="1:18" x14ac:dyDescent="0.25">
      <c r="A1012" s="23" t="s">
        <v>61</v>
      </c>
      <c r="B1012" s="18" t="s">
        <v>10534</v>
      </c>
      <c r="C1012" s="59" t="s">
        <v>457</v>
      </c>
      <c r="D1012" s="356" t="s">
        <v>543</v>
      </c>
      <c r="E1012" s="356" t="s">
        <v>527</v>
      </c>
      <c r="F1012" s="23" t="s">
        <v>2155</v>
      </c>
      <c r="G1012" s="23" t="s">
        <v>403</v>
      </c>
      <c r="H1012" s="353">
        <v>319629.46999999997</v>
      </c>
      <c r="I1012" s="59" t="s">
        <v>406</v>
      </c>
      <c r="J1012" s="59" t="s">
        <v>10559</v>
      </c>
      <c r="K1012" s="20">
        <v>5</v>
      </c>
      <c r="L1012" s="20">
        <v>1</v>
      </c>
      <c r="M1012" s="357">
        <f>+H1012</f>
        <v>319629.46999999997</v>
      </c>
      <c r="N1012" s="411">
        <f>IFERROR((M1012/(VLOOKUP(B1012,'Data Pull Sheet'!$C:$H,6,FALSE))),"DC")</f>
        <v>7.9907367499999996E-3</v>
      </c>
      <c r="O1012" s="23" t="s">
        <v>407</v>
      </c>
      <c r="P1012" s="92" t="s">
        <v>632</v>
      </c>
      <c r="Q1012" s="92" t="s">
        <v>637</v>
      </c>
      <c r="R1012" s="372" t="str">
        <f t="shared" si="29"/>
        <v/>
      </c>
    </row>
    <row r="1013" spans="1:18" x14ac:dyDescent="0.25">
      <c r="A1013" s="23" t="s">
        <v>61</v>
      </c>
      <c r="B1013" s="18" t="s">
        <v>10534</v>
      </c>
      <c r="C1013" s="59" t="s">
        <v>457</v>
      </c>
      <c r="D1013" s="356" t="s">
        <v>543</v>
      </c>
      <c r="E1013" s="356" t="s">
        <v>527</v>
      </c>
      <c r="F1013" s="23" t="s">
        <v>2166</v>
      </c>
      <c r="G1013" s="23" t="s">
        <v>417</v>
      </c>
      <c r="H1013" s="353">
        <v>111288.33</v>
      </c>
      <c r="I1013" s="59" t="s">
        <v>476</v>
      </c>
      <c r="J1013" s="59" t="s">
        <v>10560</v>
      </c>
      <c r="K1013" s="20"/>
      <c r="L1013" s="20">
        <v>1</v>
      </c>
      <c r="M1013" s="357">
        <f>H1013</f>
        <v>111288.33</v>
      </c>
      <c r="N1013" s="411">
        <f>IFERROR((M1013/(VLOOKUP(B1013,'Data Pull Sheet'!$C:$H,6,FALSE))),"DC")</f>
        <v>2.7822082499999999E-3</v>
      </c>
      <c r="O1013" s="23" t="s">
        <v>597</v>
      </c>
      <c r="P1013" s="92" t="s">
        <v>632</v>
      </c>
      <c r="Q1013" s="92" t="s">
        <v>633</v>
      </c>
      <c r="R1013" s="372" t="str">
        <f t="shared" si="29"/>
        <v/>
      </c>
    </row>
    <row r="1014" spans="1:18" x14ac:dyDescent="0.25">
      <c r="A1014" s="23" t="s">
        <v>61</v>
      </c>
      <c r="B1014" s="18" t="s">
        <v>10534</v>
      </c>
      <c r="C1014" s="59" t="s">
        <v>457</v>
      </c>
      <c r="D1014" s="356" t="s">
        <v>543</v>
      </c>
      <c r="E1014" s="356" t="s">
        <v>527</v>
      </c>
      <c r="F1014" s="23" t="s">
        <v>2167</v>
      </c>
      <c r="G1014" s="23" t="s">
        <v>403</v>
      </c>
      <c r="H1014" s="353">
        <v>169083.06</v>
      </c>
      <c r="I1014" s="59" t="s">
        <v>406</v>
      </c>
      <c r="J1014" s="59" t="s">
        <v>10561</v>
      </c>
      <c r="K1014" s="20"/>
      <c r="L1014" s="20">
        <v>1</v>
      </c>
      <c r="M1014" s="357">
        <f>H1014</f>
        <v>169083.06</v>
      </c>
      <c r="N1014" s="411">
        <f>IFERROR((M1014/(VLOOKUP(B1014,'Data Pull Sheet'!$C:$H,6,FALSE))),"DC")</f>
        <v>4.2270765000000004E-3</v>
      </c>
      <c r="O1014" s="23" t="s">
        <v>849</v>
      </c>
      <c r="P1014" s="92" t="s">
        <v>632</v>
      </c>
      <c r="Q1014" s="92" t="s">
        <v>637</v>
      </c>
      <c r="R1014" s="372" t="str">
        <f t="shared" si="29"/>
        <v/>
      </c>
    </row>
    <row r="1015" spans="1:18" x14ac:dyDescent="0.25">
      <c r="A1015" s="23" t="s">
        <v>61</v>
      </c>
      <c r="B1015" s="18" t="s">
        <v>10534</v>
      </c>
      <c r="C1015" s="59" t="s">
        <v>457</v>
      </c>
      <c r="D1015" s="356" t="s">
        <v>543</v>
      </c>
      <c r="E1015" s="356" t="s">
        <v>527</v>
      </c>
      <c r="F1015" s="23" t="s">
        <v>2168</v>
      </c>
      <c r="G1015" s="23" t="s">
        <v>403</v>
      </c>
      <c r="H1015" s="353">
        <v>42537.2</v>
      </c>
      <c r="I1015" s="59"/>
      <c r="J1015" s="59" t="s">
        <v>10562</v>
      </c>
      <c r="K1015" s="20"/>
      <c r="L1015" s="20">
        <v>1</v>
      </c>
      <c r="M1015" s="357">
        <f>+H1015</f>
        <v>42537.2</v>
      </c>
      <c r="N1015" s="411">
        <f>IFERROR((M1015/(VLOOKUP(B1015,'Data Pull Sheet'!$C:$H,6,FALSE))),"DC")</f>
        <v>1.06343E-3</v>
      </c>
      <c r="O1015" s="23" t="s">
        <v>63</v>
      </c>
      <c r="P1015" s="92" t="s">
        <v>632</v>
      </c>
      <c r="Q1015" s="92" t="s">
        <v>637</v>
      </c>
      <c r="R1015" s="372" t="str">
        <f t="shared" si="29"/>
        <v/>
      </c>
    </row>
    <row r="1016" spans="1:18" x14ac:dyDescent="0.25">
      <c r="A1016" s="23" t="s">
        <v>61</v>
      </c>
      <c r="B1016" s="18" t="s">
        <v>10534</v>
      </c>
      <c r="C1016" s="59" t="s">
        <v>457</v>
      </c>
      <c r="D1016" s="356" t="s">
        <v>543</v>
      </c>
      <c r="E1016" s="356" t="s">
        <v>527</v>
      </c>
      <c r="F1016" s="23" t="s">
        <v>2169</v>
      </c>
      <c r="G1016" s="23" t="s">
        <v>403</v>
      </c>
      <c r="H1016" s="353">
        <v>52141</v>
      </c>
      <c r="I1016" s="59" t="s">
        <v>413</v>
      </c>
      <c r="J1016" s="59" t="s">
        <v>10563</v>
      </c>
      <c r="K1016" s="20"/>
      <c r="L1016" s="20">
        <v>4</v>
      </c>
      <c r="M1016" s="357">
        <f>SUM(H1016:H1019)</f>
        <v>327639</v>
      </c>
      <c r="N1016" s="411">
        <f>IFERROR((M1016/(VLOOKUP(B1016,'Data Pull Sheet'!$C:$H,6,FALSE))),"DC")</f>
        <v>8.1909749999999996E-3</v>
      </c>
      <c r="O1016" s="23" t="s">
        <v>79</v>
      </c>
      <c r="P1016" s="92" t="s">
        <v>632</v>
      </c>
      <c r="Q1016" s="92" t="s">
        <v>646</v>
      </c>
      <c r="R1016" s="372" t="str">
        <f t="shared" si="29"/>
        <v/>
      </c>
    </row>
    <row r="1017" spans="1:18" x14ac:dyDescent="0.25">
      <c r="A1017" s="23" t="s">
        <v>61</v>
      </c>
      <c r="B1017" s="18" t="s">
        <v>10534</v>
      </c>
      <c r="C1017" s="59" t="s">
        <v>457</v>
      </c>
      <c r="D1017" s="356" t="s">
        <v>543</v>
      </c>
      <c r="E1017" s="356" t="s">
        <v>527</v>
      </c>
      <c r="F1017" s="23" t="s">
        <v>2170</v>
      </c>
      <c r="G1017" s="23" t="s">
        <v>403</v>
      </c>
      <c r="H1017" s="353">
        <v>70893</v>
      </c>
      <c r="I1017" s="59" t="s">
        <v>413</v>
      </c>
      <c r="J1017" s="59" t="s">
        <v>10564</v>
      </c>
      <c r="K1017" s="20"/>
      <c r="L1017" s="20"/>
      <c r="M1017" s="357"/>
      <c r="N1017" s="411"/>
      <c r="O1017" s="23" t="s">
        <v>79</v>
      </c>
      <c r="P1017" s="92" t="s">
        <v>632</v>
      </c>
      <c r="Q1017" s="92" t="s">
        <v>646</v>
      </c>
      <c r="R1017" s="372" t="str">
        <f t="shared" si="29"/>
        <v/>
      </c>
    </row>
    <row r="1018" spans="1:18" x14ac:dyDescent="0.25">
      <c r="A1018" s="23" t="s">
        <v>61</v>
      </c>
      <c r="B1018" s="18" t="s">
        <v>10534</v>
      </c>
      <c r="C1018" s="59" t="s">
        <v>457</v>
      </c>
      <c r="D1018" s="356" t="s">
        <v>543</v>
      </c>
      <c r="E1018" s="356" t="s">
        <v>527</v>
      </c>
      <c r="F1018" s="23" t="s">
        <v>2171</v>
      </c>
      <c r="G1018" s="23" t="s">
        <v>403</v>
      </c>
      <c r="H1018" s="353">
        <v>80535</v>
      </c>
      <c r="I1018" s="59" t="s">
        <v>413</v>
      </c>
      <c r="J1018" s="59" t="s">
        <v>10565</v>
      </c>
      <c r="K1018" s="20"/>
      <c r="L1018" s="20"/>
      <c r="M1018" s="357"/>
      <c r="N1018" s="411"/>
      <c r="O1018" s="23" t="s">
        <v>79</v>
      </c>
      <c r="P1018" s="92" t="s">
        <v>632</v>
      </c>
      <c r="Q1018" s="92" t="s">
        <v>646</v>
      </c>
      <c r="R1018" s="372" t="str">
        <f t="shared" si="29"/>
        <v/>
      </c>
    </row>
    <row r="1019" spans="1:18" x14ac:dyDescent="0.25">
      <c r="A1019" s="23" t="s">
        <v>61</v>
      </c>
      <c r="B1019" s="18" t="s">
        <v>10534</v>
      </c>
      <c r="C1019" s="59" t="s">
        <v>457</v>
      </c>
      <c r="D1019" s="356" t="s">
        <v>543</v>
      </c>
      <c r="E1019" s="356" t="s">
        <v>527</v>
      </c>
      <c r="F1019" s="23" t="s">
        <v>2172</v>
      </c>
      <c r="G1019" s="23" t="s">
        <v>403</v>
      </c>
      <c r="H1019" s="353">
        <v>124070</v>
      </c>
      <c r="I1019" s="59" t="s">
        <v>413</v>
      </c>
      <c r="J1019" s="59" t="s">
        <v>10566</v>
      </c>
      <c r="K1019" s="20"/>
      <c r="L1019" s="20"/>
      <c r="M1019" s="357"/>
      <c r="N1019" s="411"/>
      <c r="O1019" s="23" t="s">
        <v>79</v>
      </c>
      <c r="P1019" s="92" t="s">
        <v>632</v>
      </c>
      <c r="Q1019" s="92" t="s">
        <v>646</v>
      </c>
      <c r="R1019" s="372" t="str">
        <f t="shared" si="29"/>
        <v/>
      </c>
    </row>
    <row r="1020" spans="1:18" x14ac:dyDescent="0.25">
      <c r="A1020" s="23" t="s">
        <v>204</v>
      </c>
      <c r="B1020" s="18" t="s">
        <v>10576</v>
      </c>
      <c r="C1020" s="59" t="s">
        <v>542</v>
      </c>
      <c r="D1020" s="356" t="s">
        <v>543</v>
      </c>
      <c r="E1020" s="356" t="s">
        <v>527</v>
      </c>
      <c r="F1020" s="23" t="s">
        <v>2551</v>
      </c>
      <c r="G1020" s="23" t="s">
        <v>403</v>
      </c>
      <c r="H1020" s="353">
        <v>45032</v>
      </c>
      <c r="I1020" s="59"/>
      <c r="J1020" s="59" t="s">
        <v>10578</v>
      </c>
      <c r="K1020" s="20">
        <v>7</v>
      </c>
      <c r="L1020" s="20">
        <v>5</v>
      </c>
      <c r="M1020" s="357">
        <f>SUM(H1020:H1024)</f>
        <v>573519</v>
      </c>
      <c r="N1020" s="411">
        <f>IFERROR((M1020/(VLOOKUP(B1020,'Data Pull Sheet'!$C:$H,6,FALSE))),"DC")</f>
        <v>2.8675950000000001E-3</v>
      </c>
      <c r="O1020" s="23" t="s">
        <v>2552</v>
      </c>
      <c r="P1020" s="92" t="s">
        <v>632</v>
      </c>
      <c r="Q1020" s="92" t="s">
        <v>646</v>
      </c>
      <c r="R1020" s="372" t="str">
        <f t="shared" si="29"/>
        <v/>
      </c>
    </row>
    <row r="1021" spans="1:18" x14ac:dyDescent="0.25">
      <c r="A1021" s="23" t="s">
        <v>204</v>
      </c>
      <c r="B1021" s="18" t="s">
        <v>10576</v>
      </c>
      <c r="C1021" s="59" t="s">
        <v>542</v>
      </c>
      <c r="D1021" s="356" t="s">
        <v>543</v>
      </c>
      <c r="E1021" s="356" t="s">
        <v>527</v>
      </c>
      <c r="F1021" s="23" t="s">
        <v>2553</v>
      </c>
      <c r="G1021" s="23" t="s">
        <v>403</v>
      </c>
      <c r="H1021" s="353">
        <v>69514.240000000005</v>
      </c>
      <c r="I1021" s="59"/>
      <c r="J1021" s="59" t="s">
        <v>10579</v>
      </c>
      <c r="K1021" s="20"/>
      <c r="L1021" s="20"/>
      <c r="M1021" s="357"/>
      <c r="N1021" s="411"/>
      <c r="O1021" s="23" t="s">
        <v>2552</v>
      </c>
      <c r="P1021" s="92" t="s">
        <v>632</v>
      </c>
      <c r="Q1021" s="92" t="s">
        <v>646</v>
      </c>
      <c r="R1021" s="372" t="str">
        <f t="shared" si="29"/>
        <v/>
      </c>
    </row>
    <row r="1022" spans="1:18" x14ac:dyDescent="0.25">
      <c r="A1022" s="23" t="s">
        <v>204</v>
      </c>
      <c r="B1022" s="18" t="s">
        <v>10576</v>
      </c>
      <c r="C1022" s="59" t="s">
        <v>542</v>
      </c>
      <c r="D1022" s="356" t="s">
        <v>543</v>
      </c>
      <c r="E1022" s="356" t="s">
        <v>527</v>
      </c>
      <c r="F1022" s="23" t="s">
        <v>2554</v>
      </c>
      <c r="G1022" s="23" t="s">
        <v>403</v>
      </c>
      <c r="H1022" s="353">
        <v>85924.24</v>
      </c>
      <c r="I1022" s="59"/>
      <c r="J1022" s="59" t="s">
        <v>10580</v>
      </c>
      <c r="K1022" s="20"/>
      <c r="L1022" s="20"/>
      <c r="M1022" s="357"/>
      <c r="N1022" s="411"/>
      <c r="O1022" s="23" t="s">
        <v>2552</v>
      </c>
      <c r="P1022" s="92" t="s">
        <v>632</v>
      </c>
      <c r="Q1022" s="92" t="s">
        <v>646</v>
      </c>
      <c r="R1022" s="372" t="str">
        <f t="shared" si="29"/>
        <v/>
      </c>
    </row>
    <row r="1023" spans="1:18" x14ac:dyDescent="0.25">
      <c r="A1023" s="23" t="s">
        <v>204</v>
      </c>
      <c r="B1023" s="18" t="s">
        <v>10576</v>
      </c>
      <c r="C1023" s="59" t="s">
        <v>542</v>
      </c>
      <c r="D1023" s="356" t="s">
        <v>543</v>
      </c>
      <c r="E1023" s="356" t="s">
        <v>527</v>
      </c>
      <c r="F1023" s="23" t="s">
        <v>2555</v>
      </c>
      <c r="G1023" s="23" t="s">
        <v>403</v>
      </c>
      <c r="H1023" s="353">
        <v>146816.23000000001</v>
      </c>
      <c r="I1023" s="59"/>
      <c r="J1023" s="59" t="s">
        <v>10581</v>
      </c>
      <c r="K1023" s="20"/>
      <c r="L1023" s="20"/>
      <c r="M1023" s="357"/>
      <c r="N1023" s="411"/>
      <c r="O1023" s="23" t="s">
        <v>2552</v>
      </c>
      <c r="P1023" s="92" t="s">
        <v>632</v>
      </c>
      <c r="Q1023" s="92" t="s">
        <v>646</v>
      </c>
      <c r="R1023" s="372" t="str">
        <f t="shared" si="29"/>
        <v/>
      </c>
    </row>
    <row r="1024" spans="1:18" x14ac:dyDescent="0.25">
      <c r="A1024" s="23" t="s">
        <v>204</v>
      </c>
      <c r="B1024" s="18" t="s">
        <v>10576</v>
      </c>
      <c r="C1024" s="59" t="s">
        <v>542</v>
      </c>
      <c r="D1024" s="356" t="s">
        <v>543</v>
      </c>
      <c r="E1024" s="356" t="s">
        <v>527</v>
      </c>
      <c r="F1024" s="23" t="s">
        <v>2556</v>
      </c>
      <c r="G1024" s="23" t="s">
        <v>403</v>
      </c>
      <c r="H1024" s="353">
        <v>226232.29</v>
      </c>
      <c r="I1024" s="59"/>
      <c r="J1024" s="59" t="s">
        <v>10582</v>
      </c>
      <c r="K1024" s="20"/>
      <c r="L1024" s="20"/>
      <c r="M1024" s="357"/>
      <c r="N1024" s="411"/>
      <c r="O1024" s="23" t="s">
        <v>2552</v>
      </c>
      <c r="P1024" s="92" t="s">
        <v>632</v>
      </c>
      <c r="Q1024" s="92" t="s">
        <v>646</v>
      </c>
      <c r="R1024" s="372" t="str">
        <f t="shared" si="29"/>
        <v/>
      </c>
    </row>
    <row r="1025" spans="1:18" x14ac:dyDescent="0.25">
      <c r="A1025" s="23" t="s">
        <v>204</v>
      </c>
      <c r="B1025" s="18" t="s">
        <v>10576</v>
      </c>
      <c r="C1025" s="59" t="s">
        <v>542</v>
      </c>
      <c r="D1025" s="356" t="s">
        <v>543</v>
      </c>
      <c r="E1025" s="356" t="s">
        <v>527</v>
      </c>
      <c r="F1025" s="23" t="s">
        <v>2542</v>
      </c>
      <c r="G1025" s="23" t="s">
        <v>403</v>
      </c>
      <c r="H1025" s="353">
        <v>40900</v>
      </c>
      <c r="I1025" s="59"/>
      <c r="J1025" s="59" t="s">
        <v>10583</v>
      </c>
      <c r="K1025" s="20"/>
      <c r="L1025" s="20">
        <v>1</v>
      </c>
      <c r="M1025" s="357">
        <f>H1025</f>
        <v>40900</v>
      </c>
      <c r="N1025" s="411">
        <f>IFERROR((M1025/(VLOOKUP(B1025,'Data Pull Sheet'!$C:$H,6,FALSE))),"DC")</f>
        <v>2.0450000000000001E-4</v>
      </c>
      <c r="O1025" s="23" t="s">
        <v>2543</v>
      </c>
      <c r="P1025" s="92" t="s">
        <v>632</v>
      </c>
      <c r="Q1025" s="92" t="s">
        <v>637</v>
      </c>
      <c r="R1025" s="372" t="str">
        <f t="shared" si="29"/>
        <v/>
      </c>
    </row>
    <row r="1026" spans="1:18" ht="30" x14ac:dyDescent="0.25">
      <c r="A1026" s="23" t="s">
        <v>204</v>
      </c>
      <c r="B1026" s="18" t="s">
        <v>10576</v>
      </c>
      <c r="C1026" s="59" t="s">
        <v>542</v>
      </c>
      <c r="D1026" s="356" t="s">
        <v>543</v>
      </c>
      <c r="E1026" s="356" t="s">
        <v>527</v>
      </c>
      <c r="F1026" s="23" t="s">
        <v>2544</v>
      </c>
      <c r="G1026" s="23" t="s">
        <v>403</v>
      </c>
      <c r="H1026" s="353">
        <v>22416.55</v>
      </c>
      <c r="I1026" s="59"/>
      <c r="J1026" s="59" t="s">
        <v>10584</v>
      </c>
      <c r="K1026" s="20"/>
      <c r="L1026" s="20">
        <v>2</v>
      </c>
      <c r="M1026" s="357">
        <f>SUM(H1026:H1027)</f>
        <v>56818.55</v>
      </c>
      <c r="N1026" s="411">
        <f>IFERROR((M1026/(VLOOKUP(B1026,'Data Pull Sheet'!$C:$H,6,FALSE))),"DC")</f>
        <v>2.8409274999999999E-4</v>
      </c>
      <c r="O1026" s="23" t="s">
        <v>2545</v>
      </c>
      <c r="P1026" s="92" t="s">
        <v>632</v>
      </c>
      <c r="Q1026" s="92" t="s">
        <v>646</v>
      </c>
      <c r="R1026" s="372" t="str">
        <f t="shared" ref="R1026:R1089" si="30">IF(COUNTIF(F:F,F1026)&gt;=2,"FF","")</f>
        <v/>
      </c>
    </row>
    <row r="1027" spans="1:18" ht="30" x14ac:dyDescent="0.25">
      <c r="A1027" s="23" t="s">
        <v>204</v>
      </c>
      <c r="B1027" s="18" t="s">
        <v>10576</v>
      </c>
      <c r="C1027" s="59" t="s">
        <v>542</v>
      </c>
      <c r="D1027" s="356" t="s">
        <v>543</v>
      </c>
      <c r="E1027" s="356" t="s">
        <v>527</v>
      </c>
      <c r="F1027" s="23" t="s">
        <v>2546</v>
      </c>
      <c r="G1027" s="23" t="s">
        <v>403</v>
      </c>
      <c r="H1027" s="353">
        <v>34402</v>
      </c>
      <c r="I1027" s="59"/>
      <c r="J1027" s="59" t="s">
        <v>10585</v>
      </c>
      <c r="K1027" s="20"/>
      <c r="L1027" s="20"/>
      <c r="M1027" s="357"/>
      <c r="N1027" s="411"/>
      <c r="O1027" s="23" t="s">
        <v>2545</v>
      </c>
      <c r="P1027" s="92" t="s">
        <v>632</v>
      </c>
      <c r="Q1027" s="92" t="s">
        <v>646</v>
      </c>
      <c r="R1027" s="372" t="str">
        <f t="shared" si="30"/>
        <v/>
      </c>
    </row>
    <row r="1028" spans="1:18" ht="30" x14ac:dyDescent="0.25">
      <c r="A1028" s="23" t="s">
        <v>204</v>
      </c>
      <c r="B1028" s="18" t="s">
        <v>10576</v>
      </c>
      <c r="C1028" s="59" t="s">
        <v>542</v>
      </c>
      <c r="D1028" s="356" t="s">
        <v>543</v>
      </c>
      <c r="E1028" s="356" t="s">
        <v>527</v>
      </c>
      <c r="F1028" s="23" t="s">
        <v>201</v>
      </c>
      <c r="G1028" s="23" t="s">
        <v>417</v>
      </c>
      <c r="H1028" s="353">
        <v>123862</v>
      </c>
      <c r="I1028" s="59" t="s">
        <v>442</v>
      </c>
      <c r="J1028" s="59" t="s">
        <v>10586</v>
      </c>
      <c r="K1028" s="20"/>
      <c r="L1028" s="20">
        <v>1</v>
      </c>
      <c r="M1028" s="357">
        <f>H1028</f>
        <v>123862</v>
      </c>
      <c r="N1028" s="411">
        <f>IFERROR((M1028/(VLOOKUP(B1028,'Data Pull Sheet'!$C:$H,6,FALSE))),"DC")</f>
        <v>6.1930999999999998E-4</v>
      </c>
      <c r="O1028" s="23" t="s">
        <v>4392</v>
      </c>
      <c r="P1028" s="92" t="s">
        <v>632</v>
      </c>
      <c r="Q1028" s="92" t="s">
        <v>633</v>
      </c>
      <c r="R1028" s="372" t="str">
        <f t="shared" si="30"/>
        <v>FF</v>
      </c>
    </row>
    <row r="1029" spans="1:18" x14ac:dyDescent="0.25">
      <c r="A1029" s="23" t="s">
        <v>204</v>
      </c>
      <c r="B1029" s="18" t="s">
        <v>10576</v>
      </c>
      <c r="C1029" s="59" t="s">
        <v>542</v>
      </c>
      <c r="D1029" s="356" t="s">
        <v>543</v>
      </c>
      <c r="E1029" s="356" t="s">
        <v>527</v>
      </c>
      <c r="F1029" s="23" t="s">
        <v>2547</v>
      </c>
      <c r="G1029" s="23" t="s">
        <v>417</v>
      </c>
      <c r="H1029" s="353">
        <v>88472.42</v>
      </c>
      <c r="I1029" s="59" t="s">
        <v>406</v>
      </c>
      <c r="J1029" s="59" t="s">
        <v>10587</v>
      </c>
      <c r="K1029" s="20"/>
      <c r="L1029" s="20">
        <v>4</v>
      </c>
      <c r="M1029" s="357">
        <f>SUM(H1029:H1032)</f>
        <v>1516139.7400000002</v>
      </c>
      <c r="N1029" s="411">
        <f>IFERROR((M1029/(VLOOKUP(B1029,'Data Pull Sheet'!$C:$H,6,FALSE))),"DC")</f>
        <v>7.580698700000001E-3</v>
      </c>
      <c r="O1029" s="23" t="s">
        <v>2548</v>
      </c>
      <c r="P1029" s="92" t="s">
        <v>632</v>
      </c>
      <c r="Q1029" s="92" t="s">
        <v>640</v>
      </c>
      <c r="R1029" s="372" t="str">
        <f t="shared" si="30"/>
        <v/>
      </c>
    </row>
    <row r="1030" spans="1:18" x14ac:dyDescent="0.25">
      <c r="A1030" s="23" t="s">
        <v>204</v>
      </c>
      <c r="B1030" s="18" t="s">
        <v>10576</v>
      </c>
      <c r="C1030" s="59" t="s">
        <v>542</v>
      </c>
      <c r="D1030" s="356" t="s">
        <v>543</v>
      </c>
      <c r="E1030" s="356" t="s">
        <v>527</v>
      </c>
      <c r="F1030" s="23" t="s">
        <v>2549</v>
      </c>
      <c r="G1030" s="23" t="s">
        <v>417</v>
      </c>
      <c r="H1030" s="353">
        <v>114474.86</v>
      </c>
      <c r="I1030" s="59" t="s">
        <v>406</v>
      </c>
      <c r="J1030" s="59" t="s">
        <v>10588</v>
      </c>
      <c r="K1030" s="20"/>
      <c r="L1030" s="20"/>
      <c r="M1030" s="357"/>
      <c r="N1030" s="411"/>
      <c r="O1030" s="23" t="s">
        <v>2548</v>
      </c>
      <c r="P1030" s="92" t="s">
        <v>632</v>
      </c>
      <c r="Q1030" s="92" t="s">
        <v>640</v>
      </c>
      <c r="R1030" s="372" t="str">
        <f t="shared" si="30"/>
        <v/>
      </c>
    </row>
    <row r="1031" spans="1:18" ht="30" x14ac:dyDescent="0.25">
      <c r="A1031" s="23" t="s">
        <v>204</v>
      </c>
      <c r="B1031" s="18" t="s">
        <v>10576</v>
      </c>
      <c r="C1031" s="59" t="s">
        <v>542</v>
      </c>
      <c r="D1031" s="356" t="s">
        <v>543</v>
      </c>
      <c r="E1031" s="356" t="s">
        <v>527</v>
      </c>
      <c r="F1031" s="23" t="s">
        <v>206</v>
      </c>
      <c r="G1031" s="23" t="s">
        <v>417</v>
      </c>
      <c r="H1031" s="353">
        <v>601702.18000000005</v>
      </c>
      <c r="I1031" s="59" t="s">
        <v>406</v>
      </c>
      <c r="J1031" s="59" t="s">
        <v>10589</v>
      </c>
      <c r="K1031" s="20"/>
      <c r="L1031" s="20"/>
      <c r="M1031" s="357"/>
      <c r="N1031" s="411"/>
      <c r="O1031" s="23" t="s">
        <v>2548</v>
      </c>
      <c r="P1031" s="92" t="s">
        <v>632</v>
      </c>
      <c r="Q1031" s="92" t="s">
        <v>640</v>
      </c>
      <c r="R1031" s="372" t="str">
        <f t="shared" si="30"/>
        <v>FF</v>
      </c>
    </row>
    <row r="1032" spans="1:18" ht="30" x14ac:dyDescent="0.25">
      <c r="A1032" s="23" t="s">
        <v>204</v>
      </c>
      <c r="B1032" s="18" t="s">
        <v>10576</v>
      </c>
      <c r="C1032" s="59" t="s">
        <v>542</v>
      </c>
      <c r="D1032" s="356" t="s">
        <v>543</v>
      </c>
      <c r="E1032" s="356" t="s">
        <v>527</v>
      </c>
      <c r="F1032" s="23" t="s">
        <v>2550</v>
      </c>
      <c r="G1032" s="23" t="s">
        <v>417</v>
      </c>
      <c r="H1032" s="353">
        <v>711490.28</v>
      </c>
      <c r="I1032" s="59" t="s">
        <v>406</v>
      </c>
      <c r="J1032" s="59" t="s">
        <v>10590</v>
      </c>
      <c r="K1032" s="20"/>
      <c r="L1032" s="20"/>
      <c r="M1032" s="357"/>
      <c r="N1032" s="411"/>
      <c r="O1032" s="23" t="s">
        <v>2548</v>
      </c>
      <c r="P1032" s="92" t="s">
        <v>632</v>
      </c>
      <c r="Q1032" s="92" t="s">
        <v>640</v>
      </c>
      <c r="R1032" s="372" t="str">
        <f t="shared" si="30"/>
        <v/>
      </c>
    </row>
    <row r="1033" spans="1:18" ht="30" x14ac:dyDescent="0.25">
      <c r="A1033" s="23" t="s">
        <v>204</v>
      </c>
      <c r="B1033" s="18" t="s">
        <v>10576</v>
      </c>
      <c r="C1033" s="59" t="s">
        <v>542</v>
      </c>
      <c r="D1033" s="356" t="s">
        <v>543</v>
      </c>
      <c r="E1033" s="356" t="s">
        <v>527</v>
      </c>
      <c r="F1033" s="23" t="s">
        <v>377</v>
      </c>
      <c r="G1033" s="23" t="s">
        <v>417</v>
      </c>
      <c r="H1033" s="353">
        <v>237943.77</v>
      </c>
      <c r="I1033" s="59"/>
      <c r="J1033" s="59" t="s">
        <v>10591</v>
      </c>
      <c r="K1033" s="20"/>
      <c r="L1033" s="20">
        <v>1</v>
      </c>
      <c r="M1033" s="357">
        <f>H1033</f>
        <v>237943.77</v>
      </c>
      <c r="N1033" s="411">
        <f>IFERROR((M1033/(VLOOKUP(B1033,'Data Pull Sheet'!$C:$H,6,FALSE))),"DC")</f>
        <v>1.1897188500000001E-3</v>
      </c>
      <c r="O1033" s="23" t="s">
        <v>2541</v>
      </c>
      <c r="P1033" s="92" t="s">
        <v>632</v>
      </c>
      <c r="Q1033" s="92" t="s">
        <v>633</v>
      </c>
      <c r="R1033" s="372" t="str">
        <f t="shared" si="30"/>
        <v>FF</v>
      </c>
    </row>
    <row r="1034" spans="1:18" ht="30" x14ac:dyDescent="0.25">
      <c r="A1034" s="23" t="s">
        <v>204</v>
      </c>
      <c r="B1034" s="18" t="s">
        <v>10576</v>
      </c>
      <c r="C1034" s="59" t="s">
        <v>542</v>
      </c>
      <c r="D1034" s="356" t="s">
        <v>543</v>
      </c>
      <c r="E1034" s="356" t="s">
        <v>527</v>
      </c>
      <c r="F1034" s="23" t="s">
        <v>2557</v>
      </c>
      <c r="G1034" s="23" t="s">
        <v>417</v>
      </c>
      <c r="H1034" s="353">
        <v>87584.94</v>
      </c>
      <c r="I1034" s="59"/>
      <c r="J1034" s="59" t="s">
        <v>10592</v>
      </c>
      <c r="K1034" s="20"/>
      <c r="L1034" s="20">
        <v>1</v>
      </c>
      <c r="M1034" s="357">
        <f>H1034</f>
        <v>87584.94</v>
      </c>
      <c r="N1034" s="411">
        <f>IFERROR((M1034/(VLOOKUP(B1034,'Data Pull Sheet'!$C:$H,6,FALSE))),"DC")</f>
        <v>4.3792469999999998E-4</v>
      </c>
      <c r="O1034" s="23" t="s">
        <v>2558</v>
      </c>
      <c r="P1034" s="92" t="s">
        <v>632</v>
      </c>
      <c r="Q1034" s="92" t="s">
        <v>640</v>
      </c>
      <c r="R1034" s="372" t="str">
        <f t="shared" si="30"/>
        <v>FF</v>
      </c>
    </row>
    <row r="1035" spans="1:18" x14ac:dyDescent="0.25">
      <c r="A1035" s="23" t="s">
        <v>2585</v>
      </c>
      <c r="B1035" s="18" t="str">
        <f>IF(ISNA(VLOOKUP($A1035,'Data Pull Sheet'!$B$2:$C$1795,2,0)),"",(VLOOKUP($A1035,'Data Pull Sheet'!$B$2:$C$1795,2,0)))</f>
        <v>LGND</v>
      </c>
      <c r="C1035" s="59" t="s">
        <v>557</v>
      </c>
      <c r="D1035" s="356" t="s">
        <v>2586</v>
      </c>
      <c r="E1035" s="356" t="s">
        <v>527</v>
      </c>
      <c r="F1035" s="23" t="s">
        <v>2587</v>
      </c>
      <c r="G1035" s="23" t="s">
        <v>403</v>
      </c>
      <c r="H1035" s="353">
        <v>13931.25</v>
      </c>
      <c r="I1035" s="59"/>
      <c r="J1035" s="59" t="s">
        <v>2588</v>
      </c>
      <c r="K1035" s="20">
        <v>1</v>
      </c>
      <c r="L1035" s="20">
        <v>1</v>
      </c>
      <c r="M1035" s="357">
        <f>H1035</f>
        <v>13931.25</v>
      </c>
      <c r="N1035" s="411">
        <f>IFERROR((M1035/(VLOOKUP(B1035,'Data Pull Sheet'!$C:$H,6,FALSE))),"DC")</f>
        <v>3.0958333333333331E-4</v>
      </c>
      <c r="O1035" s="23" t="s">
        <v>682</v>
      </c>
      <c r="P1035" s="92" t="s">
        <v>676</v>
      </c>
      <c r="Q1035" s="92" t="s">
        <v>637</v>
      </c>
      <c r="R1035" s="372" t="str">
        <f t="shared" si="30"/>
        <v/>
      </c>
    </row>
    <row r="1036" spans="1:18" ht="30" x14ac:dyDescent="0.25">
      <c r="A1036" s="23" t="s">
        <v>259</v>
      </c>
      <c r="B1036" s="18" t="str">
        <f>IF(ISNA(VLOOKUP($A1036,'Data Pull Sheet'!$B$2:$C$1795,2,0)),"",(VLOOKUP($A1036,'Data Pull Sheet'!$B$2:$C$1795,2,0)))</f>
        <v>THS</v>
      </c>
      <c r="C1036" s="59" t="s">
        <v>465</v>
      </c>
      <c r="D1036" s="356" t="s">
        <v>543</v>
      </c>
      <c r="E1036" s="356" t="s">
        <v>527</v>
      </c>
      <c r="F1036" s="23" t="s">
        <v>3913</v>
      </c>
      <c r="G1036" s="23" t="s">
        <v>403</v>
      </c>
      <c r="H1036" s="353">
        <v>918.69</v>
      </c>
      <c r="I1036" s="59"/>
      <c r="J1036" s="59" t="s">
        <v>3914</v>
      </c>
      <c r="K1036" s="20">
        <v>4</v>
      </c>
      <c r="L1036" s="20">
        <v>1</v>
      </c>
      <c r="M1036" s="357">
        <f>H1036</f>
        <v>918.69</v>
      </c>
      <c r="N1036" s="411">
        <f>IFERROR((M1036/(VLOOKUP(B1036,'Data Pull Sheet'!$C:$H,6,FALSE))),"DC")</f>
        <v>1.8373800000000001E-6</v>
      </c>
      <c r="O1036" s="23" t="s">
        <v>3152</v>
      </c>
      <c r="P1036" s="92" t="s">
        <v>632</v>
      </c>
      <c r="Q1036" s="92" t="s">
        <v>637</v>
      </c>
      <c r="R1036" s="372" t="str">
        <f t="shared" si="30"/>
        <v/>
      </c>
    </row>
    <row r="1037" spans="1:18" x14ac:dyDescent="0.25">
      <c r="A1037" s="23" t="s">
        <v>259</v>
      </c>
      <c r="B1037" s="18" t="str">
        <f>IF(ISNA(VLOOKUP($A1037,'Data Pull Sheet'!$B$2:$C$1795,2,0)),"",(VLOOKUP($A1037,'Data Pull Sheet'!$B$2:$C$1795,2,0)))</f>
        <v>THS</v>
      </c>
      <c r="C1037" s="59" t="s">
        <v>465</v>
      </c>
      <c r="D1037" s="356" t="s">
        <v>543</v>
      </c>
      <c r="E1037" s="356" t="s">
        <v>527</v>
      </c>
      <c r="F1037" s="23" t="s">
        <v>3915</v>
      </c>
      <c r="G1037" s="23" t="s">
        <v>403</v>
      </c>
      <c r="H1037" s="353">
        <v>31199</v>
      </c>
      <c r="I1037" s="59"/>
      <c r="J1037" s="59" t="s">
        <v>3916</v>
      </c>
      <c r="K1037" s="20"/>
      <c r="L1037" s="20">
        <v>1</v>
      </c>
      <c r="M1037" s="357">
        <f>H1037</f>
        <v>31199</v>
      </c>
      <c r="N1037" s="411">
        <f>IFERROR((M1037/(VLOOKUP(B1037,'Data Pull Sheet'!$C:$H,6,FALSE))),"DC")</f>
        <v>6.2397999999999994E-5</v>
      </c>
      <c r="O1037" s="23" t="s">
        <v>3917</v>
      </c>
      <c r="P1037" s="92" t="s">
        <v>632</v>
      </c>
      <c r="Q1037" s="92" t="s">
        <v>637</v>
      </c>
      <c r="R1037" s="372" t="str">
        <f t="shared" si="30"/>
        <v/>
      </c>
    </row>
    <row r="1038" spans="1:18" ht="30" x14ac:dyDescent="0.25">
      <c r="A1038" s="23" t="s">
        <v>259</v>
      </c>
      <c r="B1038" s="18" t="str">
        <f>IF(ISNA(VLOOKUP($A1038,'Data Pull Sheet'!$B$2:$C$1795,2,0)),"",(VLOOKUP($A1038,'Data Pull Sheet'!$B$2:$C$1795,2,0)))</f>
        <v>THS</v>
      </c>
      <c r="C1038" s="59" t="s">
        <v>465</v>
      </c>
      <c r="D1038" s="356" t="s">
        <v>543</v>
      </c>
      <c r="E1038" s="356" t="s">
        <v>527</v>
      </c>
      <c r="F1038" s="23" t="s">
        <v>3918</v>
      </c>
      <c r="G1038" s="23" t="s">
        <v>417</v>
      </c>
      <c r="H1038" s="353">
        <v>67163.63</v>
      </c>
      <c r="I1038" s="59"/>
      <c r="J1038" s="59" t="s">
        <v>3919</v>
      </c>
      <c r="K1038" s="20"/>
      <c r="L1038" s="20">
        <v>2</v>
      </c>
      <c r="M1038" s="357">
        <f>SUM(H1038:H1039)</f>
        <v>209325.7</v>
      </c>
      <c r="N1038" s="411">
        <f>IFERROR((M1038/(VLOOKUP(B1038,'Data Pull Sheet'!$C:$H,6,FALSE))),"DC")</f>
        <v>4.186514E-4</v>
      </c>
      <c r="O1038" s="23" t="s">
        <v>1813</v>
      </c>
      <c r="P1038" s="92" t="s">
        <v>632</v>
      </c>
      <c r="Q1038" s="92" t="s">
        <v>640</v>
      </c>
      <c r="R1038" s="372" t="str">
        <f t="shared" si="30"/>
        <v/>
      </c>
    </row>
    <row r="1039" spans="1:18" ht="30" x14ac:dyDescent="0.25">
      <c r="A1039" s="23" t="s">
        <v>259</v>
      </c>
      <c r="B1039" s="18" t="str">
        <f>IF(ISNA(VLOOKUP($A1039,'Data Pull Sheet'!$B$2:$C$1795,2,0)),"",(VLOOKUP($A1039,'Data Pull Sheet'!$B$2:$C$1795,2,0)))</f>
        <v>THS</v>
      </c>
      <c r="C1039" s="59" t="s">
        <v>465</v>
      </c>
      <c r="D1039" s="356" t="s">
        <v>543</v>
      </c>
      <c r="E1039" s="356" t="s">
        <v>527</v>
      </c>
      <c r="F1039" s="23" t="s">
        <v>3920</v>
      </c>
      <c r="G1039" s="23" t="s">
        <v>417</v>
      </c>
      <c r="H1039" s="353">
        <v>142162.07</v>
      </c>
      <c r="I1039" s="59"/>
      <c r="J1039" s="59" t="s">
        <v>3921</v>
      </c>
      <c r="K1039" s="20"/>
      <c r="L1039" s="20"/>
      <c r="M1039" s="357"/>
      <c r="N1039" s="411"/>
      <c r="O1039" s="23" t="s">
        <v>1813</v>
      </c>
      <c r="P1039" s="92" t="s">
        <v>632</v>
      </c>
      <c r="Q1039" s="92" t="s">
        <v>640</v>
      </c>
      <c r="R1039" s="372" t="str">
        <f t="shared" si="30"/>
        <v/>
      </c>
    </row>
    <row r="1040" spans="1:18" x14ac:dyDescent="0.25">
      <c r="A1040" s="23" t="s">
        <v>259</v>
      </c>
      <c r="B1040" s="18" t="str">
        <f>IF(ISNA(VLOOKUP($A1040,'Data Pull Sheet'!$B$2:$C$1795,2,0)),"",(VLOOKUP($A1040,'Data Pull Sheet'!$B$2:$C$1795,2,0)))</f>
        <v>THS</v>
      </c>
      <c r="C1040" s="59" t="s">
        <v>465</v>
      </c>
      <c r="D1040" s="356" t="s">
        <v>543</v>
      </c>
      <c r="E1040" s="356" t="s">
        <v>527</v>
      </c>
      <c r="F1040" s="23" t="s">
        <v>249</v>
      </c>
      <c r="G1040" s="23" t="s">
        <v>417</v>
      </c>
      <c r="H1040" s="353">
        <v>5439420</v>
      </c>
      <c r="I1040" s="59"/>
      <c r="J1040" s="59" t="s">
        <v>3922</v>
      </c>
      <c r="K1040" s="20"/>
      <c r="L1040" s="20">
        <v>1</v>
      </c>
      <c r="M1040" s="357">
        <f>H1040</f>
        <v>5439420</v>
      </c>
      <c r="N1040" s="411">
        <f>IFERROR((M1040/(VLOOKUP(B1040,'Data Pull Sheet'!$C:$H,6,FALSE))),"DC")</f>
        <v>1.0878840000000001E-2</v>
      </c>
      <c r="O1040" s="23" t="s">
        <v>3923</v>
      </c>
      <c r="P1040" s="92" t="s">
        <v>632</v>
      </c>
      <c r="Q1040" s="92" t="s">
        <v>633</v>
      </c>
      <c r="R1040" s="372" t="str">
        <f t="shared" si="30"/>
        <v>FF</v>
      </c>
    </row>
    <row r="1041" spans="1:18" ht="30" x14ac:dyDescent="0.25">
      <c r="A1041" s="23" t="s">
        <v>3733</v>
      </c>
      <c r="B1041" s="18" t="str">
        <f>IF(ISNA(VLOOKUP($A1041,'Data Pull Sheet'!$B$2:$C$1795,2,0)),"",(VLOOKUP($A1041,'Data Pull Sheet'!$B$2:$C$1795,2,0)))</f>
        <v>TVIA</v>
      </c>
      <c r="C1041" s="59" t="s">
        <v>457</v>
      </c>
      <c r="D1041" s="356" t="s">
        <v>543</v>
      </c>
      <c r="E1041" s="356" t="s">
        <v>527</v>
      </c>
      <c r="F1041" s="23" t="s">
        <v>3734</v>
      </c>
      <c r="G1041" s="23" t="s">
        <v>403</v>
      </c>
      <c r="H1041" s="353">
        <v>6975</v>
      </c>
      <c r="I1041" s="59"/>
      <c r="J1041" s="59" t="s">
        <v>3735</v>
      </c>
      <c r="K1041" s="20">
        <v>1</v>
      </c>
      <c r="L1041" s="20">
        <v>5</v>
      </c>
      <c r="M1041" s="357">
        <f>SUM(H1041:H1045)</f>
        <v>142657.67000000001</v>
      </c>
      <c r="N1041" s="411">
        <f>IFERROR((M1041/(VLOOKUP(B1041,'Data Pull Sheet'!$C:$H,6,FALSE))),"DC")</f>
        <v>4.7552556666666669E-2</v>
      </c>
      <c r="O1041" s="23" t="s">
        <v>3736</v>
      </c>
      <c r="P1041" s="92" t="s">
        <v>676</v>
      </c>
      <c r="Q1041" s="92" t="s">
        <v>646</v>
      </c>
      <c r="R1041" s="372" t="str">
        <f t="shared" si="30"/>
        <v/>
      </c>
    </row>
    <row r="1042" spans="1:18" ht="30" x14ac:dyDescent="0.25">
      <c r="A1042" s="23" t="s">
        <v>3733</v>
      </c>
      <c r="B1042" s="18" t="str">
        <f>IF(ISNA(VLOOKUP($A1042,'Data Pull Sheet'!$B$2:$C$1795,2,0)),"",(VLOOKUP($A1042,'Data Pull Sheet'!$B$2:$C$1795,2,0)))</f>
        <v>TVIA</v>
      </c>
      <c r="C1042" s="59" t="s">
        <v>457</v>
      </c>
      <c r="D1042" s="356" t="s">
        <v>543</v>
      </c>
      <c r="E1042" s="356" t="s">
        <v>527</v>
      </c>
      <c r="F1042" s="23" t="s">
        <v>3737</v>
      </c>
      <c r="G1042" s="23" t="s">
        <v>403</v>
      </c>
      <c r="H1042" s="353">
        <v>15350</v>
      </c>
      <c r="I1042" s="59" t="s">
        <v>413</v>
      </c>
      <c r="J1042" s="59" t="s">
        <v>3738</v>
      </c>
      <c r="K1042" s="20"/>
      <c r="L1042" s="20"/>
      <c r="M1042" s="357"/>
      <c r="N1042" s="411"/>
      <c r="O1042" s="23" t="s">
        <v>3736</v>
      </c>
      <c r="P1042" s="92" t="s">
        <v>676</v>
      </c>
      <c r="Q1042" s="92" t="s">
        <v>646</v>
      </c>
      <c r="R1042" s="372" t="str">
        <f t="shared" si="30"/>
        <v/>
      </c>
    </row>
    <row r="1043" spans="1:18" ht="30" x14ac:dyDescent="0.25">
      <c r="A1043" s="23" t="s">
        <v>3733</v>
      </c>
      <c r="B1043" s="18" t="str">
        <f>IF(ISNA(VLOOKUP($A1043,'Data Pull Sheet'!$B$2:$C$1795,2,0)),"",(VLOOKUP($A1043,'Data Pull Sheet'!$B$2:$C$1795,2,0)))</f>
        <v>TVIA</v>
      </c>
      <c r="C1043" s="59" t="s">
        <v>457</v>
      </c>
      <c r="D1043" s="356" t="s">
        <v>543</v>
      </c>
      <c r="E1043" s="356" t="s">
        <v>527</v>
      </c>
      <c r="F1043" s="23" t="s">
        <v>3739</v>
      </c>
      <c r="G1043" s="23" t="s">
        <v>403</v>
      </c>
      <c r="H1043" s="353">
        <v>30481.05</v>
      </c>
      <c r="I1043" s="59"/>
      <c r="J1043" s="59" t="s">
        <v>3740</v>
      </c>
      <c r="K1043" s="20"/>
      <c r="L1043" s="20"/>
      <c r="M1043" s="357"/>
      <c r="N1043" s="411"/>
      <c r="O1043" s="23" t="s">
        <v>3736</v>
      </c>
      <c r="P1043" s="92" t="s">
        <v>676</v>
      </c>
      <c r="Q1043" s="92" t="s">
        <v>646</v>
      </c>
      <c r="R1043" s="372" t="str">
        <f t="shared" si="30"/>
        <v/>
      </c>
    </row>
    <row r="1044" spans="1:18" ht="30" x14ac:dyDescent="0.25">
      <c r="A1044" s="23" t="s">
        <v>3733</v>
      </c>
      <c r="B1044" s="18" t="str">
        <f>IF(ISNA(VLOOKUP($A1044,'Data Pull Sheet'!$B$2:$C$1795,2,0)),"",(VLOOKUP($A1044,'Data Pull Sheet'!$B$2:$C$1795,2,0)))</f>
        <v>TVIA</v>
      </c>
      <c r="C1044" s="59" t="s">
        <v>457</v>
      </c>
      <c r="D1044" s="356" t="s">
        <v>543</v>
      </c>
      <c r="E1044" s="356" t="s">
        <v>527</v>
      </c>
      <c r="F1044" s="23" t="s">
        <v>3741</v>
      </c>
      <c r="G1044" s="23" t="s">
        <v>403</v>
      </c>
      <c r="H1044" s="353">
        <v>42299</v>
      </c>
      <c r="I1044" s="59" t="s">
        <v>413</v>
      </c>
      <c r="J1044" s="59" t="s">
        <v>3742</v>
      </c>
      <c r="K1044" s="20"/>
      <c r="L1044" s="20"/>
      <c r="M1044" s="357"/>
      <c r="N1044" s="411"/>
      <c r="O1044" s="23" t="s">
        <v>3736</v>
      </c>
      <c r="P1044" s="92" t="s">
        <v>676</v>
      </c>
      <c r="Q1044" s="92" t="s">
        <v>646</v>
      </c>
      <c r="R1044" s="372" t="str">
        <f t="shared" si="30"/>
        <v/>
      </c>
    </row>
    <row r="1045" spans="1:18" ht="30" x14ac:dyDescent="0.25">
      <c r="A1045" s="23" t="s">
        <v>3733</v>
      </c>
      <c r="B1045" s="18" t="str">
        <f>IF(ISNA(VLOOKUP($A1045,'Data Pull Sheet'!$B$2:$C$1795,2,0)),"",(VLOOKUP($A1045,'Data Pull Sheet'!$B$2:$C$1795,2,0)))</f>
        <v>TVIA</v>
      </c>
      <c r="C1045" s="59" t="s">
        <v>457</v>
      </c>
      <c r="D1045" s="356" t="s">
        <v>543</v>
      </c>
      <c r="E1045" s="356" t="s">
        <v>527</v>
      </c>
      <c r="F1045" s="23" t="s">
        <v>3743</v>
      </c>
      <c r="G1045" s="23" t="s">
        <v>403</v>
      </c>
      <c r="H1045" s="353">
        <v>47552.62</v>
      </c>
      <c r="I1045" s="59"/>
      <c r="J1045" s="59" t="s">
        <v>3744</v>
      </c>
      <c r="K1045" s="20"/>
      <c r="L1045" s="20"/>
      <c r="M1045" s="357"/>
      <c r="N1045" s="411"/>
      <c r="O1045" s="23" t="s">
        <v>3736</v>
      </c>
      <c r="P1045" s="92" t="s">
        <v>676</v>
      </c>
      <c r="Q1045" s="92" t="s">
        <v>646</v>
      </c>
      <c r="R1045" s="372" t="str">
        <f t="shared" si="30"/>
        <v/>
      </c>
    </row>
    <row r="1046" spans="1:18" ht="30" x14ac:dyDescent="0.25">
      <c r="A1046" s="23" t="s">
        <v>966</v>
      </c>
      <c r="B1046" s="18" t="str">
        <f>IF(ISNA(VLOOKUP($A1046,'Data Pull Sheet'!$B$2:$C$1795,2,0)),"",(VLOOKUP($A1046,'Data Pull Sheet'!$B$2:$C$1795,2,0)))</f>
        <v>AVID</v>
      </c>
      <c r="C1046" s="59" t="s">
        <v>409</v>
      </c>
      <c r="D1046" s="356" t="s">
        <v>967</v>
      </c>
      <c r="E1046" s="356" t="s">
        <v>593</v>
      </c>
      <c r="F1046" s="23" t="s">
        <v>968</v>
      </c>
      <c r="G1046" s="23" t="s">
        <v>403</v>
      </c>
      <c r="H1046" s="353">
        <v>118388.95</v>
      </c>
      <c r="I1046" s="59"/>
      <c r="J1046" s="59" t="s">
        <v>969</v>
      </c>
      <c r="K1046" s="20">
        <v>2</v>
      </c>
      <c r="L1046" s="20">
        <v>1</v>
      </c>
      <c r="M1046" s="357">
        <f>H1046</f>
        <v>118388.95</v>
      </c>
      <c r="N1046" s="411">
        <f>IFERROR((M1046/(VLOOKUP(B1046,'Data Pull Sheet'!$C:$H,6,FALSE))),"DC")</f>
        <v>5.6375690476190479E-3</v>
      </c>
      <c r="O1046" s="23" t="s">
        <v>970</v>
      </c>
      <c r="P1046" s="92" t="s">
        <v>632</v>
      </c>
      <c r="Q1046" s="92" t="s">
        <v>637</v>
      </c>
      <c r="R1046" s="372" t="str">
        <f t="shared" si="30"/>
        <v/>
      </c>
    </row>
    <row r="1047" spans="1:18" ht="30" x14ac:dyDescent="0.25">
      <c r="A1047" s="23" t="s">
        <v>966</v>
      </c>
      <c r="B1047" s="18" t="str">
        <f>IF(ISNA(VLOOKUP($A1047,'Data Pull Sheet'!$B$2:$C$1795,2,0)),"",(VLOOKUP($A1047,'Data Pull Sheet'!$B$2:$C$1795,2,0)))</f>
        <v>AVID</v>
      </c>
      <c r="C1047" s="59" t="s">
        <v>409</v>
      </c>
      <c r="D1047" s="356" t="s">
        <v>967</v>
      </c>
      <c r="E1047" s="356" t="s">
        <v>593</v>
      </c>
      <c r="F1047" s="23" t="s">
        <v>971</v>
      </c>
      <c r="G1047" s="23" t="s">
        <v>403</v>
      </c>
      <c r="H1047" s="353">
        <v>1124.5</v>
      </c>
      <c r="I1047" s="59"/>
      <c r="J1047" s="59" t="s">
        <v>972</v>
      </c>
      <c r="K1047" s="20"/>
      <c r="L1047" s="20">
        <v>4</v>
      </c>
      <c r="M1047" s="357">
        <f>SUM(H1047:H1050)</f>
        <v>23563.21</v>
      </c>
      <c r="N1047" s="411">
        <f>IFERROR((M1047/(VLOOKUP(B1047,'Data Pull Sheet'!$C:$H,6,FALSE))),"DC")</f>
        <v>1.122057619047619E-3</v>
      </c>
      <c r="O1047" s="23" t="s">
        <v>973</v>
      </c>
      <c r="P1047" s="92" t="s">
        <v>632</v>
      </c>
      <c r="Q1047" s="92" t="s">
        <v>646</v>
      </c>
      <c r="R1047" s="372" t="str">
        <f t="shared" si="30"/>
        <v/>
      </c>
    </row>
    <row r="1048" spans="1:18" ht="30" x14ac:dyDescent="0.25">
      <c r="A1048" s="23" t="s">
        <v>966</v>
      </c>
      <c r="B1048" s="18" t="str">
        <f>IF(ISNA(VLOOKUP($A1048,'Data Pull Sheet'!$B$2:$C$1795,2,0)),"",(VLOOKUP($A1048,'Data Pull Sheet'!$B$2:$C$1795,2,0)))</f>
        <v>AVID</v>
      </c>
      <c r="C1048" s="59" t="s">
        <v>409</v>
      </c>
      <c r="D1048" s="356" t="s">
        <v>967</v>
      </c>
      <c r="E1048" s="356" t="s">
        <v>593</v>
      </c>
      <c r="F1048" s="23" t="s">
        <v>974</v>
      </c>
      <c r="G1048" s="23" t="s">
        <v>403</v>
      </c>
      <c r="H1048" s="353">
        <v>3050.71</v>
      </c>
      <c r="I1048" s="59"/>
      <c r="J1048" s="59" t="s">
        <v>975</v>
      </c>
      <c r="K1048" s="20"/>
      <c r="L1048" s="20"/>
      <c r="M1048" s="357"/>
      <c r="N1048" s="411"/>
      <c r="O1048" s="23" t="s">
        <v>973</v>
      </c>
      <c r="P1048" s="92" t="s">
        <v>632</v>
      </c>
      <c r="Q1048" s="92" t="s">
        <v>646</v>
      </c>
      <c r="R1048" s="372" t="str">
        <f t="shared" si="30"/>
        <v/>
      </c>
    </row>
    <row r="1049" spans="1:18" ht="30" x14ac:dyDescent="0.25">
      <c r="A1049" s="23" t="s">
        <v>966</v>
      </c>
      <c r="B1049" s="18" t="str">
        <f>IF(ISNA(VLOOKUP($A1049,'Data Pull Sheet'!$B$2:$C$1795,2,0)),"",(VLOOKUP($A1049,'Data Pull Sheet'!$B$2:$C$1795,2,0)))</f>
        <v>AVID</v>
      </c>
      <c r="C1049" s="59" t="s">
        <v>409</v>
      </c>
      <c r="D1049" s="356" t="s">
        <v>967</v>
      </c>
      <c r="E1049" s="356" t="s">
        <v>593</v>
      </c>
      <c r="F1049" s="23" t="s">
        <v>976</v>
      </c>
      <c r="G1049" s="23" t="s">
        <v>403</v>
      </c>
      <c r="H1049" s="353">
        <v>7850</v>
      </c>
      <c r="I1049" s="59"/>
      <c r="J1049" s="59" t="s">
        <v>977</v>
      </c>
      <c r="K1049" s="20"/>
      <c r="L1049" s="20"/>
      <c r="M1049" s="357"/>
      <c r="N1049" s="411"/>
      <c r="O1049" s="23" t="s">
        <v>973</v>
      </c>
      <c r="P1049" s="92" t="s">
        <v>632</v>
      </c>
      <c r="Q1049" s="92" t="s">
        <v>646</v>
      </c>
      <c r="R1049" s="372" t="str">
        <f t="shared" si="30"/>
        <v/>
      </c>
    </row>
    <row r="1050" spans="1:18" ht="30" x14ac:dyDescent="0.25">
      <c r="A1050" s="23" t="s">
        <v>966</v>
      </c>
      <c r="B1050" s="18" t="str">
        <f>IF(ISNA(VLOOKUP($A1050,'Data Pull Sheet'!$B$2:$C$1795,2,0)),"",(VLOOKUP($A1050,'Data Pull Sheet'!$B$2:$C$1795,2,0)))</f>
        <v>AVID</v>
      </c>
      <c r="C1050" s="59" t="s">
        <v>409</v>
      </c>
      <c r="D1050" s="356" t="s">
        <v>967</v>
      </c>
      <c r="E1050" s="356" t="s">
        <v>593</v>
      </c>
      <c r="F1050" s="23" t="s">
        <v>978</v>
      </c>
      <c r="G1050" s="23" t="s">
        <v>403</v>
      </c>
      <c r="H1050" s="353">
        <v>11538</v>
      </c>
      <c r="I1050" s="59"/>
      <c r="J1050" s="59" t="s">
        <v>979</v>
      </c>
      <c r="K1050" s="20"/>
      <c r="L1050" s="20"/>
      <c r="M1050" s="357"/>
      <c r="N1050" s="411"/>
      <c r="O1050" s="23" t="s">
        <v>973</v>
      </c>
      <c r="P1050" s="92" t="s">
        <v>632</v>
      </c>
      <c r="Q1050" s="92" t="s">
        <v>646</v>
      </c>
      <c r="R1050" s="372" t="str">
        <f t="shared" si="30"/>
        <v/>
      </c>
    </row>
    <row r="1051" spans="1:18" ht="30" x14ac:dyDescent="0.25">
      <c r="A1051" s="23" t="s">
        <v>3487</v>
      </c>
      <c r="B1051" s="18" t="str">
        <f>IF(ISNA(VLOOKUP($A1051,'Data Pull Sheet'!$B$2:$C$1795,2,0)),"",(VLOOKUP($A1051,'Data Pull Sheet'!$B$2:$C$1795,2,0)))</f>
        <v>STON</v>
      </c>
      <c r="C1051" s="59" t="s">
        <v>542</v>
      </c>
      <c r="D1051" s="356" t="s">
        <v>967</v>
      </c>
      <c r="E1051" s="356" t="s">
        <v>593</v>
      </c>
      <c r="F1051" s="23" t="s">
        <v>3488</v>
      </c>
      <c r="G1051" s="23" t="s">
        <v>403</v>
      </c>
      <c r="H1051" s="353">
        <v>44255.7</v>
      </c>
      <c r="I1051" s="59" t="s">
        <v>406</v>
      </c>
      <c r="J1051" s="59" t="s">
        <v>3489</v>
      </c>
      <c r="K1051" s="20">
        <v>9</v>
      </c>
      <c r="L1051" s="20">
        <v>5</v>
      </c>
      <c r="M1051" s="357">
        <f>SUM(H1051:H1055)</f>
        <v>674588.41999999993</v>
      </c>
      <c r="N1051" s="411">
        <f>IFERROR((M1051/(VLOOKUP(B1051,'Data Pull Sheet'!$C:$H,6,FALSE))),"DC")</f>
        <v>1.6864710499999997E-3</v>
      </c>
      <c r="O1051" s="23" t="s">
        <v>3490</v>
      </c>
      <c r="P1051" s="92" t="s">
        <v>632</v>
      </c>
      <c r="Q1051" s="92" t="s">
        <v>646</v>
      </c>
      <c r="R1051" s="372" t="str">
        <f t="shared" si="30"/>
        <v/>
      </c>
    </row>
    <row r="1052" spans="1:18" ht="30" x14ac:dyDescent="0.25">
      <c r="A1052" s="23" t="s">
        <v>3487</v>
      </c>
      <c r="B1052" s="18" t="str">
        <f>IF(ISNA(VLOOKUP($A1052,'Data Pull Sheet'!$B$2:$C$1795,2,0)),"",(VLOOKUP($A1052,'Data Pull Sheet'!$B$2:$C$1795,2,0)))</f>
        <v>STON</v>
      </c>
      <c r="C1052" s="59" t="s">
        <v>542</v>
      </c>
      <c r="D1052" s="356" t="s">
        <v>967</v>
      </c>
      <c r="E1052" s="356" t="s">
        <v>593</v>
      </c>
      <c r="F1052" s="23" t="s">
        <v>3491</v>
      </c>
      <c r="G1052" s="23" t="s">
        <v>403</v>
      </c>
      <c r="H1052" s="353">
        <v>66887.539999999994</v>
      </c>
      <c r="I1052" s="59" t="s">
        <v>406</v>
      </c>
      <c r="J1052" s="59" t="s">
        <v>3492</v>
      </c>
      <c r="K1052" s="20"/>
      <c r="L1052" s="20"/>
      <c r="M1052" s="357"/>
      <c r="N1052" s="411"/>
      <c r="O1052" s="23" t="s">
        <v>3490</v>
      </c>
      <c r="P1052" s="92" t="s">
        <v>632</v>
      </c>
      <c r="Q1052" s="92" t="s">
        <v>646</v>
      </c>
      <c r="R1052" s="372" t="str">
        <f t="shared" si="30"/>
        <v/>
      </c>
    </row>
    <row r="1053" spans="1:18" ht="30" x14ac:dyDescent="0.25">
      <c r="A1053" s="23" t="s">
        <v>3487</v>
      </c>
      <c r="B1053" s="18" t="str">
        <f>IF(ISNA(VLOOKUP($A1053,'Data Pull Sheet'!$B$2:$C$1795,2,0)),"",(VLOOKUP($A1053,'Data Pull Sheet'!$B$2:$C$1795,2,0)))</f>
        <v>STON</v>
      </c>
      <c r="C1053" s="59" t="s">
        <v>542</v>
      </c>
      <c r="D1053" s="356" t="s">
        <v>967</v>
      </c>
      <c r="E1053" s="356" t="s">
        <v>593</v>
      </c>
      <c r="F1053" s="23" t="s">
        <v>3493</v>
      </c>
      <c r="G1053" s="23" t="s">
        <v>403</v>
      </c>
      <c r="H1053" s="353">
        <v>72088.759999999995</v>
      </c>
      <c r="I1053" s="59"/>
      <c r="J1053" s="59" t="s">
        <v>3494</v>
      </c>
      <c r="K1053" s="20"/>
      <c r="L1053" s="20"/>
      <c r="M1053" s="357"/>
      <c r="N1053" s="411"/>
      <c r="O1053" s="23" t="s">
        <v>3490</v>
      </c>
      <c r="P1053" s="92" t="s">
        <v>632</v>
      </c>
      <c r="Q1053" s="92" t="s">
        <v>646</v>
      </c>
      <c r="R1053" s="372" t="str">
        <f t="shared" si="30"/>
        <v/>
      </c>
    </row>
    <row r="1054" spans="1:18" ht="30" x14ac:dyDescent="0.25">
      <c r="A1054" s="23" t="s">
        <v>3487</v>
      </c>
      <c r="B1054" s="18" t="str">
        <f>IF(ISNA(VLOOKUP($A1054,'Data Pull Sheet'!$B$2:$C$1795,2,0)),"",(VLOOKUP($A1054,'Data Pull Sheet'!$B$2:$C$1795,2,0)))</f>
        <v>STON</v>
      </c>
      <c r="C1054" s="59" t="s">
        <v>542</v>
      </c>
      <c r="D1054" s="356" t="s">
        <v>967</v>
      </c>
      <c r="E1054" s="356" t="s">
        <v>593</v>
      </c>
      <c r="F1054" s="23" t="s">
        <v>3495</v>
      </c>
      <c r="G1054" s="23" t="s">
        <v>403</v>
      </c>
      <c r="H1054" s="353">
        <v>81923</v>
      </c>
      <c r="I1054" s="59" t="s">
        <v>406</v>
      </c>
      <c r="J1054" s="59" t="s">
        <v>3496</v>
      </c>
      <c r="K1054" s="20"/>
      <c r="L1054" s="20"/>
      <c r="M1054" s="357"/>
      <c r="N1054" s="411"/>
      <c r="O1054" s="23" t="s">
        <v>3490</v>
      </c>
      <c r="P1054" s="92" t="s">
        <v>632</v>
      </c>
      <c r="Q1054" s="92" t="s">
        <v>646</v>
      </c>
      <c r="R1054" s="372" t="str">
        <f t="shared" si="30"/>
        <v/>
      </c>
    </row>
    <row r="1055" spans="1:18" ht="30" x14ac:dyDescent="0.25">
      <c r="A1055" s="23" t="s">
        <v>3487</v>
      </c>
      <c r="B1055" s="18" t="str">
        <f>IF(ISNA(VLOOKUP($A1055,'Data Pull Sheet'!$B$2:$C$1795,2,0)),"",(VLOOKUP($A1055,'Data Pull Sheet'!$B$2:$C$1795,2,0)))</f>
        <v>STON</v>
      </c>
      <c r="C1055" s="59" t="s">
        <v>542</v>
      </c>
      <c r="D1055" s="356" t="s">
        <v>967</v>
      </c>
      <c r="E1055" s="356" t="s">
        <v>593</v>
      </c>
      <c r="F1055" s="23" t="s">
        <v>3497</v>
      </c>
      <c r="G1055" s="23" t="s">
        <v>403</v>
      </c>
      <c r="H1055" s="353">
        <v>409433.42</v>
      </c>
      <c r="I1055" s="59"/>
      <c r="J1055" s="59" t="s">
        <v>3498</v>
      </c>
      <c r="K1055" s="20"/>
      <c r="L1055" s="20"/>
      <c r="M1055" s="357"/>
      <c r="N1055" s="411"/>
      <c r="O1055" s="23" t="s">
        <v>3490</v>
      </c>
      <c r="P1055" s="92" t="s">
        <v>632</v>
      </c>
      <c r="Q1055" s="92" t="s">
        <v>646</v>
      </c>
      <c r="R1055" s="372" t="str">
        <f t="shared" si="30"/>
        <v/>
      </c>
    </row>
    <row r="1056" spans="1:18" x14ac:dyDescent="0.25">
      <c r="A1056" s="23" t="s">
        <v>3487</v>
      </c>
      <c r="B1056" s="18" t="str">
        <f>IF(ISNA(VLOOKUP($A1056,'Data Pull Sheet'!$B$2:$C$1795,2,0)),"",(VLOOKUP($A1056,'Data Pull Sheet'!$B$2:$C$1795,2,0)))</f>
        <v>STON</v>
      </c>
      <c r="C1056" s="59" t="s">
        <v>542</v>
      </c>
      <c r="D1056" s="356" t="s">
        <v>967</v>
      </c>
      <c r="E1056" s="356" t="s">
        <v>593</v>
      </c>
      <c r="F1056" s="23" t="s">
        <v>3499</v>
      </c>
      <c r="G1056" s="23" t="s">
        <v>403</v>
      </c>
      <c r="H1056" s="353">
        <v>79776</v>
      </c>
      <c r="I1056" s="59" t="s">
        <v>406</v>
      </c>
      <c r="J1056" s="59" t="s">
        <v>3500</v>
      </c>
      <c r="K1056" s="20"/>
      <c r="L1056" s="20">
        <v>4</v>
      </c>
      <c r="M1056" s="357">
        <f>SUM(H1056:H1059)</f>
        <v>399073.75</v>
      </c>
      <c r="N1056" s="411">
        <f>IFERROR((M1056/(VLOOKUP(B1056,'Data Pull Sheet'!$C:$H,6,FALSE))),"DC")</f>
        <v>9.97684375E-4</v>
      </c>
      <c r="O1056" s="23" t="s">
        <v>2657</v>
      </c>
      <c r="P1056" s="92" t="s">
        <v>632</v>
      </c>
      <c r="Q1056" s="92" t="s">
        <v>646</v>
      </c>
      <c r="R1056" s="372" t="str">
        <f t="shared" si="30"/>
        <v/>
      </c>
    </row>
    <row r="1057" spans="1:18" x14ac:dyDescent="0.25">
      <c r="A1057" s="23" t="s">
        <v>3487</v>
      </c>
      <c r="B1057" s="18" t="str">
        <f>IF(ISNA(VLOOKUP($A1057,'Data Pull Sheet'!$B$2:$C$1795,2,0)),"",(VLOOKUP($A1057,'Data Pull Sheet'!$B$2:$C$1795,2,0)))</f>
        <v>STON</v>
      </c>
      <c r="C1057" s="59" t="s">
        <v>542</v>
      </c>
      <c r="D1057" s="356" t="s">
        <v>967</v>
      </c>
      <c r="E1057" s="356" t="s">
        <v>593</v>
      </c>
      <c r="F1057" s="23" t="s">
        <v>3501</v>
      </c>
      <c r="G1057" s="23" t="s">
        <v>403</v>
      </c>
      <c r="H1057" s="353">
        <v>93293.6</v>
      </c>
      <c r="I1057" s="59" t="s">
        <v>406</v>
      </c>
      <c r="J1057" s="59" t="s">
        <v>3502</v>
      </c>
      <c r="K1057" s="20"/>
      <c r="L1057" s="20"/>
      <c r="M1057" s="357"/>
      <c r="N1057" s="411"/>
      <c r="O1057" s="23" t="s">
        <v>2657</v>
      </c>
      <c r="P1057" s="92" t="s">
        <v>632</v>
      </c>
      <c r="Q1057" s="92" t="s">
        <v>646</v>
      </c>
      <c r="R1057" s="372" t="str">
        <f t="shared" si="30"/>
        <v/>
      </c>
    </row>
    <row r="1058" spans="1:18" x14ac:dyDescent="0.25">
      <c r="A1058" s="23" t="s">
        <v>3487</v>
      </c>
      <c r="B1058" s="18" t="str">
        <f>IF(ISNA(VLOOKUP($A1058,'Data Pull Sheet'!$B$2:$C$1795,2,0)),"",(VLOOKUP($A1058,'Data Pull Sheet'!$B$2:$C$1795,2,0)))</f>
        <v>STON</v>
      </c>
      <c r="C1058" s="59" t="s">
        <v>542</v>
      </c>
      <c r="D1058" s="356" t="s">
        <v>967</v>
      </c>
      <c r="E1058" s="356" t="s">
        <v>593</v>
      </c>
      <c r="F1058" s="23" t="s">
        <v>3503</v>
      </c>
      <c r="G1058" s="23" t="s">
        <v>403</v>
      </c>
      <c r="H1058" s="353">
        <v>95464.15</v>
      </c>
      <c r="I1058" s="59" t="s">
        <v>406</v>
      </c>
      <c r="J1058" s="59" t="s">
        <v>3504</v>
      </c>
      <c r="K1058" s="20"/>
      <c r="L1058" s="20"/>
      <c r="M1058" s="357"/>
      <c r="N1058" s="411"/>
      <c r="O1058" s="23" t="s">
        <v>2657</v>
      </c>
      <c r="P1058" s="92" t="s">
        <v>632</v>
      </c>
      <c r="Q1058" s="92" t="s">
        <v>646</v>
      </c>
      <c r="R1058" s="372" t="str">
        <f t="shared" si="30"/>
        <v/>
      </c>
    </row>
    <row r="1059" spans="1:18" x14ac:dyDescent="0.25">
      <c r="A1059" s="23" t="s">
        <v>3487</v>
      </c>
      <c r="B1059" s="18" t="str">
        <f>IF(ISNA(VLOOKUP($A1059,'Data Pull Sheet'!$B$2:$C$1795,2,0)),"",(VLOOKUP($A1059,'Data Pull Sheet'!$B$2:$C$1795,2,0)))</f>
        <v>STON</v>
      </c>
      <c r="C1059" s="59" t="s">
        <v>542</v>
      </c>
      <c r="D1059" s="356" t="s">
        <v>967</v>
      </c>
      <c r="E1059" s="356" t="s">
        <v>593</v>
      </c>
      <c r="F1059" s="23" t="s">
        <v>3505</v>
      </c>
      <c r="G1059" s="23" t="s">
        <v>403</v>
      </c>
      <c r="H1059" s="353">
        <v>130540</v>
      </c>
      <c r="I1059" s="59" t="s">
        <v>406</v>
      </c>
      <c r="J1059" s="59" t="s">
        <v>3506</v>
      </c>
      <c r="K1059" s="20"/>
      <c r="L1059" s="20"/>
      <c r="M1059" s="357"/>
      <c r="N1059" s="411"/>
      <c r="O1059" s="23" t="s">
        <v>2657</v>
      </c>
      <c r="P1059" s="92" t="s">
        <v>632</v>
      </c>
      <c r="Q1059" s="92" t="s">
        <v>646</v>
      </c>
      <c r="R1059" s="372" t="str">
        <f t="shared" si="30"/>
        <v/>
      </c>
    </row>
    <row r="1060" spans="1:18" ht="30" x14ac:dyDescent="0.25">
      <c r="A1060" s="23" t="s">
        <v>3487</v>
      </c>
      <c r="B1060" s="18" t="str">
        <f>IF(ISNA(VLOOKUP($A1060,'Data Pull Sheet'!$B$2:$C$1795,2,0)),"",(VLOOKUP($A1060,'Data Pull Sheet'!$B$2:$C$1795,2,0)))</f>
        <v>STON</v>
      </c>
      <c r="C1060" s="59" t="s">
        <v>542</v>
      </c>
      <c r="D1060" s="356" t="s">
        <v>967</v>
      </c>
      <c r="E1060" s="356" t="s">
        <v>593</v>
      </c>
      <c r="F1060" s="23" t="s">
        <v>3507</v>
      </c>
      <c r="G1060" s="23" t="s">
        <v>403</v>
      </c>
      <c r="H1060" s="353">
        <v>82449.63</v>
      </c>
      <c r="I1060" s="59"/>
      <c r="J1060" s="59" t="s">
        <v>3508</v>
      </c>
      <c r="K1060" s="20"/>
      <c r="L1060" s="20">
        <v>1</v>
      </c>
      <c r="M1060" s="357">
        <f>H1060</f>
        <v>82449.63</v>
      </c>
      <c r="N1060" s="411">
        <f>IFERROR((M1060/(VLOOKUP(B1060,'Data Pull Sheet'!$C:$H,6,FALSE))),"DC")</f>
        <v>2.0612407500000002E-4</v>
      </c>
      <c r="O1060" s="23" t="s">
        <v>2545</v>
      </c>
      <c r="P1060" s="92" t="s">
        <v>632</v>
      </c>
      <c r="Q1060" s="92" t="s">
        <v>637</v>
      </c>
      <c r="R1060" s="372" t="str">
        <f t="shared" si="30"/>
        <v/>
      </c>
    </row>
    <row r="1061" spans="1:18" x14ac:dyDescent="0.25">
      <c r="A1061" s="23" t="s">
        <v>3487</v>
      </c>
      <c r="B1061" s="18" t="str">
        <f>IF(ISNA(VLOOKUP($A1061,'Data Pull Sheet'!$B$2:$C$1795,2,0)),"",(VLOOKUP($A1061,'Data Pull Sheet'!$B$2:$C$1795,2,0)))</f>
        <v>STON</v>
      </c>
      <c r="C1061" s="59" t="s">
        <v>542</v>
      </c>
      <c r="D1061" s="356" t="s">
        <v>967</v>
      </c>
      <c r="E1061" s="356" t="s">
        <v>593</v>
      </c>
      <c r="F1061" s="23" t="s">
        <v>3509</v>
      </c>
      <c r="G1061" s="23" t="s">
        <v>403</v>
      </c>
      <c r="H1061" s="353">
        <v>67025.34</v>
      </c>
      <c r="I1061" s="59" t="s">
        <v>406</v>
      </c>
      <c r="J1061" s="59" t="s">
        <v>3510</v>
      </c>
      <c r="K1061" s="20"/>
      <c r="L1061" s="20">
        <v>1</v>
      </c>
      <c r="M1061" s="357">
        <f>H1061</f>
        <v>67025.34</v>
      </c>
      <c r="N1061" s="411">
        <f>IFERROR((M1061/(VLOOKUP(B1061,'Data Pull Sheet'!$C:$H,6,FALSE))),"DC")</f>
        <v>1.6756334999999998E-4</v>
      </c>
      <c r="O1061" s="23" t="s">
        <v>597</v>
      </c>
      <c r="P1061" s="92" t="s">
        <v>632</v>
      </c>
      <c r="Q1061" s="92" t="s">
        <v>637</v>
      </c>
      <c r="R1061" s="372" t="str">
        <f t="shared" si="30"/>
        <v/>
      </c>
    </row>
    <row r="1062" spans="1:18" x14ac:dyDescent="0.25">
      <c r="A1062" s="23" t="s">
        <v>3487</v>
      </c>
      <c r="B1062" s="18" t="str">
        <f>IF(ISNA(VLOOKUP($A1062,'Data Pull Sheet'!$B$2:$C$1795,2,0)),"",(VLOOKUP($A1062,'Data Pull Sheet'!$B$2:$C$1795,2,0)))</f>
        <v>STON</v>
      </c>
      <c r="C1062" s="59" t="s">
        <v>542</v>
      </c>
      <c r="D1062" s="356" t="s">
        <v>967</v>
      </c>
      <c r="E1062" s="356" t="s">
        <v>593</v>
      </c>
      <c r="F1062" s="23" t="s">
        <v>10446</v>
      </c>
      <c r="G1062" s="23" t="s">
        <v>403</v>
      </c>
      <c r="H1062" s="353">
        <v>383449.3</v>
      </c>
      <c r="I1062" s="59" t="s">
        <v>2643</v>
      </c>
      <c r="J1062" s="59" t="s">
        <v>10447</v>
      </c>
      <c r="K1062" s="20"/>
      <c r="L1062" s="20">
        <v>1</v>
      </c>
      <c r="M1062" s="357">
        <f>SUM(H1062:H1062)</f>
        <v>383449.3</v>
      </c>
      <c r="N1062" s="411">
        <f>IFERROR((M1062/(VLOOKUP(B1062,'Data Pull Sheet'!$C:$H,6,FALSE))),"DC")</f>
        <v>9.5862325E-4</v>
      </c>
      <c r="O1062" s="23" t="s">
        <v>849</v>
      </c>
      <c r="P1062" s="92" t="s">
        <v>632</v>
      </c>
      <c r="Q1062" s="92" t="s">
        <v>637</v>
      </c>
      <c r="R1062" s="372" t="str">
        <f t="shared" si="30"/>
        <v/>
      </c>
    </row>
    <row r="1063" spans="1:18" x14ac:dyDescent="0.25">
      <c r="A1063" s="23" t="s">
        <v>3487</v>
      </c>
      <c r="B1063" s="18" t="str">
        <f>IF(ISNA(VLOOKUP($A1063,'Data Pull Sheet'!$B$2:$C$1795,2,0)),"",(VLOOKUP($A1063,'Data Pull Sheet'!$B$2:$C$1795,2,0)))</f>
        <v>STON</v>
      </c>
      <c r="C1063" s="59" t="s">
        <v>542</v>
      </c>
      <c r="D1063" s="356" t="s">
        <v>967</v>
      </c>
      <c r="E1063" s="356" t="s">
        <v>593</v>
      </c>
      <c r="F1063" s="23" t="s">
        <v>3514</v>
      </c>
      <c r="G1063" s="23" t="s">
        <v>417</v>
      </c>
      <c r="H1063" s="353">
        <v>300843.07</v>
      </c>
      <c r="I1063" s="59" t="s">
        <v>406</v>
      </c>
      <c r="J1063" s="59" t="s">
        <v>3515</v>
      </c>
      <c r="K1063" s="20"/>
      <c r="L1063" s="20">
        <v>3</v>
      </c>
      <c r="M1063" s="357">
        <f>SUM(H1063:H1065)</f>
        <v>1762886.3</v>
      </c>
      <c r="N1063" s="411">
        <f>IFERROR((M1063/(VLOOKUP(B1063,'Data Pull Sheet'!$C:$H,6,FALSE))),"DC")</f>
        <v>4.4072157500000004E-3</v>
      </c>
      <c r="O1063" s="23" t="s">
        <v>10834</v>
      </c>
      <c r="P1063" s="92" t="s">
        <v>632</v>
      </c>
      <c r="Q1063" s="92" t="s">
        <v>662</v>
      </c>
      <c r="R1063" s="372" t="str">
        <f t="shared" si="30"/>
        <v/>
      </c>
    </row>
    <row r="1064" spans="1:18" x14ac:dyDescent="0.25">
      <c r="A1064" s="23" t="s">
        <v>3487</v>
      </c>
      <c r="B1064" s="18" t="str">
        <f>IF(ISNA(VLOOKUP($A1064,'Data Pull Sheet'!$B$2:$C$1795,2,0)),"",(VLOOKUP($A1064,'Data Pull Sheet'!$B$2:$C$1795,2,0)))</f>
        <v>STON</v>
      </c>
      <c r="C1064" s="59" t="s">
        <v>542</v>
      </c>
      <c r="D1064" s="356" t="s">
        <v>967</v>
      </c>
      <c r="E1064" s="356" t="s">
        <v>593</v>
      </c>
      <c r="F1064" s="23" t="s">
        <v>3517</v>
      </c>
      <c r="G1064" s="23" t="s">
        <v>403</v>
      </c>
      <c r="H1064" s="353">
        <v>358963.75</v>
      </c>
      <c r="I1064" s="59" t="s">
        <v>406</v>
      </c>
      <c r="J1064" s="59" t="s">
        <v>3518</v>
      </c>
      <c r="K1064" s="20"/>
      <c r="L1064" s="20"/>
      <c r="M1064" s="357"/>
      <c r="N1064" s="411"/>
      <c r="O1064" s="23" t="s">
        <v>10834</v>
      </c>
      <c r="P1064" s="92" t="s">
        <v>632</v>
      </c>
      <c r="Q1064" s="92" t="s">
        <v>662</v>
      </c>
      <c r="R1064" s="372" t="str">
        <f t="shared" si="30"/>
        <v/>
      </c>
    </row>
    <row r="1065" spans="1:18" x14ac:dyDescent="0.25">
      <c r="A1065" s="23" t="s">
        <v>3487</v>
      </c>
      <c r="B1065" s="18" t="str">
        <f>IF(ISNA(VLOOKUP($A1065,'Data Pull Sheet'!$B$2:$C$1795,2,0)),"",(VLOOKUP($A1065,'Data Pull Sheet'!$B$2:$C$1795,2,0)))</f>
        <v>STON</v>
      </c>
      <c r="C1065" s="59" t="s">
        <v>542</v>
      </c>
      <c r="D1065" s="356" t="s">
        <v>967</v>
      </c>
      <c r="E1065" s="356" t="s">
        <v>593</v>
      </c>
      <c r="F1065" s="23" t="s">
        <v>3519</v>
      </c>
      <c r="G1065" s="23" t="s">
        <v>417</v>
      </c>
      <c r="H1065" s="353">
        <v>1103079.48</v>
      </c>
      <c r="I1065" s="59" t="s">
        <v>406</v>
      </c>
      <c r="J1065" s="59" t="s">
        <v>3520</v>
      </c>
      <c r="K1065" s="20"/>
      <c r="L1065" s="20"/>
      <c r="M1065" s="357"/>
      <c r="N1065" s="411"/>
      <c r="O1065" s="23" t="s">
        <v>10834</v>
      </c>
      <c r="P1065" s="92" t="s">
        <v>632</v>
      </c>
      <c r="Q1065" s="92" t="s">
        <v>662</v>
      </c>
      <c r="R1065" s="372" t="str">
        <f t="shared" si="30"/>
        <v/>
      </c>
    </row>
    <row r="1066" spans="1:18" x14ac:dyDescent="0.25">
      <c r="A1066" s="23" t="s">
        <v>3487</v>
      </c>
      <c r="B1066" s="18" t="str">
        <f>IF(ISNA(VLOOKUP($A1066,'Data Pull Sheet'!$B$2:$C$1795,2,0)),"",(VLOOKUP($A1066,'Data Pull Sheet'!$B$2:$C$1795,2,0)))</f>
        <v>STON</v>
      </c>
      <c r="C1066" s="59" t="s">
        <v>542</v>
      </c>
      <c r="D1066" s="356" t="s">
        <v>967</v>
      </c>
      <c r="E1066" s="356" t="s">
        <v>593</v>
      </c>
      <c r="F1066" s="23" t="s">
        <v>3521</v>
      </c>
      <c r="G1066" s="23" t="s">
        <v>403</v>
      </c>
      <c r="H1066" s="353">
        <v>72980</v>
      </c>
      <c r="I1066" s="59"/>
      <c r="J1066" s="59" t="s">
        <v>3522</v>
      </c>
      <c r="K1066" s="20"/>
      <c r="L1066" s="20">
        <v>5</v>
      </c>
      <c r="M1066" s="357">
        <f>SUM(H1066:H1070)</f>
        <v>765744</v>
      </c>
      <c r="N1066" s="411">
        <f>IFERROR((M1066/(VLOOKUP(B1066,'Data Pull Sheet'!$C:$H,6,FALSE))),"DC")</f>
        <v>1.9143599999999999E-3</v>
      </c>
      <c r="O1066" s="23" t="s">
        <v>554</v>
      </c>
      <c r="P1066" s="92" t="s">
        <v>632</v>
      </c>
      <c r="Q1066" s="92" t="s">
        <v>646</v>
      </c>
      <c r="R1066" s="372" t="str">
        <f t="shared" si="30"/>
        <v/>
      </c>
    </row>
    <row r="1067" spans="1:18" x14ac:dyDescent="0.25">
      <c r="A1067" s="23" t="s">
        <v>3487</v>
      </c>
      <c r="B1067" s="18" t="str">
        <f>IF(ISNA(VLOOKUP($A1067,'Data Pull Sheet'!$B$2:$C$1795,2,0)),"",(VLOOKUP($A1067,'Data Pull Sheet'!$B$2:$C$1795,2,0)))</f>
        <v>STON</v>
      </c>
      <c r="C1067" s="59" t="s">
        <v>542</v>
      </c>
      <c r="D1067" s="356" t="s">
        <v>967</v>
      </c>
      <c r="E1067" s="356" t="s">
        <v>593</v>
      </c>
      <c r="F1067" s="23" t="s">
        <v>3523</v>
      </c>
      <c r="G1067" s="23" t="s">
        <v>403</v>
      </c>
      <c r="H1067" s="353">
        <v>76209</v>
      </c>
      <c r="I1067" s="59"/>
      <c r="J1067" s="59" t="s">
        <v>3524</v>
      </c>
      <c r="K1067" s="20"/>
      <c r="L1067" s="20"/>
      <c r="M1067" s="357"/>
      <c r="N1067" s="411"/>
      <c r="O1067" s="23" t="s">
        <v>554</v>
      </c>
      <c r="P1067" s="92" t="s">
        <v>632</v>
      </c>
      <c r="Q1067" s="92" t="s">
        <v>646</v>
      </c>
      <c r="R1067" s="372" t="str">
        <f t="shared" si="30"/>
        <v/>
      </c>
    </row>
    <row r="1068" spans="1:18" x14ac:dyDescent="0.25">
      <c r="A1068" s="23" t="s">
        <v>3487</v>
      </c>
      <c r="B1068" s="18" t="str">
        <f>IF(ISNA(VLOOKUP($A1068,'Data Pull Sheet'!$B$2:$C$1795,2,0)),"",(VLOOKUP($A1068,'Data Pull Sheet'!$B$2:$C$1795,2,0)))</f>
        <v>STON</v>
      </c>
      <c r="C1068" s="59" t="s">
        <v>542</v>
      </c>
      <c r="D1068" s="356" t="s">
        <v>967</v>
      </c>
      <c r="E1068" s="356" t="s">
        <v>593</v>
      </c>
      <c r="F1068" s="23" t="s">
        <v>3525</v>
      </c>
      <c r="G1068" s="23" t="s">
        <v>403</v>
      </c>
      <c r="H1068" s="353">
        <v>148212</v>
      </c>
      <c r="I1068" s="59"/>
      <c r="J1068" s="59" t="s">
        <v>3526</v>
      </c>
      <c r="K1068" s="20"/>
      <c r="L1068" s="20"/>
      <c r="M1068" s="357"/>
      <c r="N1068" s="411"/>
      <c r="O1068" s="23" t="s">
        <v>554</v>
      </c>
      <c r="P1068" s="92" t="s">
        <v>632</v>
      </c>
      <c r="Q1068" s="92" t="s">
        <v>646</v>
      </c>
      <c r="R1068" s="372" t="str">
        <f t="shared" si="30"/>
        <v/>
      </c>
    </row>
    <row r="1069" spans="1:18" x14ac:dyDescent="0.25">
      <c r="A1069" s="23" t="s">
        <v>3487</v>
      </c>
      <c r="B1069" s="18" t="str">
        <f>IF(ISNA(VLOOKUP($A1069,'Data Pull Sheet'!$B$2:$C$1795,2,0)),"",(VLOOKUP($A1069,'Data Pull Sheet'!$B$2:$C$1795,2,0)))</f>
        <v>STON</v>
      </c>
      <c r="C1069" s="59" t="s">
        <v>542</v>
      </c>
      <c r="D1069" s="356" t="s">
        <v>967</v>
      </c>
      <c r="E1069" s="356" t="s">
        <v>593</v>
      </c>
      <c r="F1069" s="23" t="s">
        <v>3527</v>
      </c>
      <c r="G1069" s="23" t="s">
        <v>403</v>
      </c>
      <c r="H1069" s="353">
        <v>232820</v>
      </c>
      <c r="I1069" s="59"/>
      <c r="J1069" s="59" t="s">
        <v>3528</v>
      </c>
      <c r="K1069" s="20"/>
      <c r="L1069" s="20"/>
      <c r="M1069" s="357"/>
      <c r="N1069" s="411"/>
      <c r="O1069" s="23" t="s">
        <v>554</v>
      </c>
      <c r="P1069" s="92" t="s">
        <v>632</v>
      </c>
      <c r="Q1069" s="92" t="s">
        <v>646</v>
      </c>
      <c r="R1069" s="372" t="str">
        <f t="shared" si="30"/>
        <v/>
      </c>
    </row>
    <row r="1070" spans="1:18" x14ac:dyDescent="0.25">
      <c r="A1070" s="23" t="s">
        <v>3487</v>
      </c>
      <c r="B1070" s="18" t="str">
        <f>IF(ISNA(VLOOKUP($A1070,'Data Pull Sheet'!$B$2:$C$1795,2,0)),"",(VLOOKUP($A1070,'Data Pull Sheet'!$B$2:$C$1795,2,0)))</f>
        <v>STON</v>
      </c>
      <c r="C1070" s="59" t="s">
        <v>542</v>
      </c>
      <c r="D1070" s="356" t="s">
        <v>967</v>
      </c>
      <c r="E1070" s="356" t="s">
        <v>593</v>
      </c>
      <c r="F1070" s="23" t="s">
        <v>3529</v>
      </c>
      <c r="G1070" s="23" t="s">
        <v>403</v>
      </c>
      <c r="H1070" s="353">
        <v>235523</v>
      </c>
      <c r="I1070" s="59"/>
      <c r="J1070" s="59" t="s">
        <v>3530</v>
      </c>
      <c r="K1070" s="20"/>
      <c r="L1070" s="20"/>
      <c r="M1070" s="357"/>
      <c r="N1070" s="411"/>
      <c r="O1070" s="23" t="s">
        <v>554</v>
      </c>
      <c r="P1070" s="92" t="s">
        <v>632</v>
      </c>
      <c r="Q1070" s="92" t="s">
        <v>646</v>
      </c>
      <c r="R1070" s="372" t="str">
        <f t="shared" si="30"/>
        <v/>
      </c>
    </row>
    <row r="1071" spans="1:18" x14ac:dyDescent="0.25">
      <c r="A1071" s="23" t="s">
        <v>3487</v>
      </c>
      <c r="B1071" s="18" t="str">
        <f>IF(ISNA(VLOOKUP($A1071,'Data Pull Sheet'!$B$2:$C$1795,2,0)),"",(VLOOKUP($A1071,'Data Pull Sheet'!$B$2:$C$1795,2,0)))</f>
        <v>STON</v>
      </c>
      <c r="C1071" s="59" t="s">
        <v>542</v>
      </c>
      <c r="D1071" s="356" t="s">
        <v>967</v>
      </c>
      <c r="E1071" s="356" t="s">
        <v>593</v>
      </c>
      <c r="F1071" s="23" t="s">
        <v>3531</v>
      </c>
      <c r="G1071" s="23" t="s">
        <v>403</v>
      </c>
      <c r="H1071" s="353">
        <v>2280000</v>
      </c>
      <c r="I1071" s="59"/>
      <c r="J1071" s="59" t="s">
        <v>3532</v>
      </c>
      <c r="K1071" s="20"/>
      <c r="L1071" s="20">
        <v>1</v>
      </c>
      <c r="M1071" s="357">
        <f>H1071</f>
        <v>2280000</v>
      </c>
      <c r="N1071" s="411">
        <f>IFERROR((M1071/(VLOOKUP(B1071,'Data Pull Sheet'!$C:$H,6,FALSE))),"DC")</f>
        <v>5.7000000000000002E-3</v>
      </c>
      <c r="O1071" s="23" t="s">
        <v>3533</v>
      </c>
      <c r="P1071" s="92" t="s">
        <v>632</v>
      </c>
      <c r="Q1071" s="92" t="s">
        <v>637</v>
      </c>
      <c r="R1071" s="372" t="str">
        <f t="shared" si="30"/>
        <v/>
      </c>
    </row>
    <row r="1072" spans="1:18" ht="30" x14ac:dyDescent="0.25">
      <c r="A1072" s="23" t="s">
        <v>3487</v>
      </c>
      <c r="B1072" s="18" t="str">
        <f>IF(ISNA(VLOOKUP($A1072,'Data Pull Sheet'!$B$2:$C$1795,2,0)),"",(VLOOKUP($A1072,'Data Pull Sheet'!$B$2:$C$1795,2,0)))</f>
        <v>STON</v>
      </c>
      <c r="C1072" s="59" t="s">
        <v>542</v>
      </c>
      <c r="D1072" s="356" t="s">
        <v>967</v>
      </c>
      <c r="E1072" s="356" t="s">
        <v>593</v>
      </c>
      <c r="F1072" s="23" t="s">
        <v>3534</v>
      </c>
      <c r="G1072" s="23" t="s">
        <v>403</v>
      </c>
      <c r="H1072" s="353">
        <v>40947</v>
      </c>
      <c r="I1072" s="59"/>
      <c r="J1072" s="59" t="s">
        <v>3535</v>
      </c>
      <c r="K1072" s="20"/>
      <c r="L1072" s="20">
        <v>5</v>
      </c>
      <c r="M1072" s="357">
        <f>SUM(H1072:H1076)</f>
        <v>542014.51</v>
      </c>
      <c r="N1072" s="411">
        <f>IFERROR((M1072/(VLOOKUP(B1072,'Data Pull Sheet'!$C:$H,6,FALSE))),"DC")</f>
        <v>1.355036275E-3</v>
      </c>
      <c r="O1072" s="23" t="s">
        <v>3536</v>
      </c>
      <c r="P1072" s="92" t="s">
        <v>632</v>
      </c>
      <c r="Q1072" s="92" t="s">
        <v>646</v>
      </c>
      <c r="R1072" s="372" t="str">
        <f t="shared" si="30"/>
        <v/>
      </c>
    </row>
    <row r="1073" spans="1:18" ht="30" x14ac:dyDescent="0.25">
      <c r="A1073" s="23" t="s">
        <v>3487</v>
      </c>
      <c r="B1073" s="18" t="str">
        <f>IF(ISNA(VLOOKUP($A1073,'Data Pull Sheet'!$B$2:$C$1795,2,0)),"",(VLOOKUP($A1073,'Data Pull Sheet'!$B$2:$C$1795,2,0)))</f>
        <v>STON</v>
      </c>
      <c r="C1073" s="59" t="s">
        <v>542</v>
      </c>
      <c r="D1073" s="356" t="s">
        <v>967</v>
      </c>
      <c r="E1073" s="356" t="s">
        <v>593</v>
      </c>
      <c r="F1073" s="23" t="s">
        <v>3537</v>
      </c>
      <c r="G1073" s="23" t="s">
        <v>403</v>
      </c>
      <c r="H1073" s="353">
        <v>82081.5</v>
      </c>
      <c r="I1073" s="59"/>
      <c r="J1073" s="59" t="s">
        <v>3538</v>
      </c>
      <c r="K1073" s="20"/>
      <c r="L1073" s="20"/>
      <c r="M1073" s="357"/>
      <c r="N1073" s="411"/>
      <c r="O1073" s="23" t="s">
        <v>3536</v>
      </c>
      <c r="P1073" s="92" t="s">
        <v>632</v>
      </c>
      <c r="Q1073" s="92" t="s">
        <v>646</v>
      </c>
      <c r="R1073" s="372" t="str">
        <f t="shared" si="30"/>
        <v/>
      </c>
    </row>
    <row r="1074" spans="1:18" ht="30" x14ac:dyDescent="0.25">
      <c r="A1074" s="23" t="s">
        <v>3487</v>
      </c>
      <c r="B1074" s="18" t="str">
        <f>IF(ISNA(VLOOKUP($A1074,'Data Pull Sheet'!$B$2:$C$1795,2,0)),"",(VLOOKUP($A1074,'Data Pull Sheet'!$B$2:$C$1795,2,0)))</f>
        <v>STON</v>
      </c>
      <c r="C1074" s="59" t="s">
        <v>542</v>
      </c>
      <c r="D1074" s="356" t="s">
        <v>967</v>
      </c>
      <c r="E1074" s="356" t="s">
        <v>593</v>
      </c>
      <c r="F1074" s="23" t="s">
        <v>3539</v>
      </c>
      <c r="G1074" s="23" t="s">
        <v>403</v>
      </c>
      <c r="H1074" s="353">
        <v>105651</v>
      </c>
      <c r="I1074" s="59"/>
      <c r="J1074" s="59" t="s">
        <v>3540</v>
      </c>
      <c r="K1074" s="20"/>
      <c r="L1074" s="20"/>
      <c r="M1074" s="357"/>
      <c r="N1074" s="411"/>
      <c r="O1074" s="23" t="s">
        <v>3536</v>
      </c>
      <c r="P1074" s="92" t="s">
        <v>632</v>
      </c>
      <c r="Q1074" s="92" t="s">
        <v>646</v>
      </c>
      <c r="R1074" s="372" t="str">
        <f t="shared" si="30"/>
        <v/>
      </c>
    </row>
    <row r="1075" spans="1:18" ht="30" x14ac:dyDescent="0.25">
      <c r="A1075" s="23" t="s">
        <v>3487</v>
      </c>
      <c r="B1075" s="18" t="str">
        <f>IF(ISNA(VLOOKUP($A1075,'Data Pull Sheet'!$B$2:$C$1795,2,0)),"",(VLOOKUP($A1075,'Data Pull Sheet'!$B$2:$C$1795,2,0)))</f>
        <v>STON</v>
      </c>
      <c r="C1075" s="59" t="s">
        <v>542</v>
      </c>
      <c r="D1075" s="356" t="s">
        <v>967</v>
      </c>
      <c r="E1075" s="356" t="s">
        <v>593</v>
      </c>
      <c r="F1075" s="23" t="s">
        <v>3541</v>
      </c>
      <c r="G1075" s="23" t="s">
        <v>403</v>
      </c>
      <c r="H1075" s="353">
        <v>135101.25</v>
      </c>
      <c r="I1075" s="59"/>
      <c r="J1075" s="59" t="s">
        <v>3542</v>
      </c>
      <c r="K1075" s="20"/>
      <c r="L1075" s="20"/>
      <c r="M1075" s="357"/>
      <c r="N1075" s="411"/>
      <c r="O1075" s="23" t="s">
        <v>3536</v>
      </c>
      <c r="P1075" s="92" t="s">
        <v>632</v>
      </c>
      <c r="Q1075" s="92" t="s">
        <v>646</v>
      </c>
      <c r="R1075" s="372" t="str">
        <f t="shared" si="30"/>
        <v/>
      </c>
    </row>
    <row r="1076" spans="1:18" ht="30" x14ac:dyDescent="0.25">
      <c r="A1076" s="23" t="s">
        <v>3487</v>
      </c>
      <c r="B1076" s="18" t="str">
        <f>IF(ISNA(VLOOKUP($A1076,'Data Pull Sheet'!$B$2:$C$1795,2,0)),"",(VLOOKUP($A1076,'Data Pull Sheet'!$B$2:$C$1795,2,0)))</f>
        <v>STON</v>
      </c>
      <c r="C1076" s="59" t="s">
        <v>542</v>
      </c>
      <c r="D1076" s="356" t="s">
        <v>967</v>
      </c>
      <c r="E1076" s="356" t="s">
        <v>593</v>
      </c>
      <c r="F1076" s="23" t="s">
        <v>3543</v>
      </c>
      <c r="G1076" s="23" t="s">
        <v>403</v>
      </c>
      <c r="H1076" s="353">
        <v>178233.76</v>
      </c>
      <c r="I1076" s="59"/>
      <c r="J1076" s="59" t="s">
        <v>3544</v>
      </c>
      <c r="K1076" s="20"/>
      <c r="L1076" s="20"/>
      <c r="M1076" s="357"/>
      <c r="N1076" s="411"/>
      <c r="O1076" s="23" t="s">
        <v>3536</v>
      </c>
      <c r="P1076" s="92" t="s">
        <v>632</v>
      </c>
      <c r="Q1076" s="92" t="s">
        <v>646</v>
      </c>
      <c r="R1076" s="372" t="str">
        <f t="shared" si="30"/>
        <v/>
      </c>
    </row>
    <row r="1077" spans="1:18" x14ac:dyDescent="0.25">
      <c r="A1077" s="23" t="s">
        <v>4194</v>
      </c>
      <c r="B1077" s="18" t="str">
        <f>IF(ISNA(VLOOKUP($A1077,'Data Pull Sheet'!$B$2:$C$1795,2,0)),"",(VLOOKUP($A1077,'Data Pull Sheet'!$B$2:$C$1795,2,0)))</f>
        <v>ZBH</v>
      </c>
      <c r="C1077" s="59" t="s">
        <v>3631</v>
      </c>
      <c r="D1077" s="356" t="s">
        <v>4195</v>
      </c>
      <c r="E1077" s="356" t="s">
        <v>571</v>
      </c>
      <c r="F1077" s="23" t="s">
        <v>4196</v>
      </c>
      <c r="G1077" s="23" t="s">
        <v>403</v>
      </c>
      <c r="H1077" s="353">
        <v>960</v>
      </c>
      <c r="I1077" s="59"/>
      <c r="J1077" s="59" t="s">
        <v>4197</v>
      </c>
      <c r="K1077" s="20">
        <v>1</v>
      </c>
      <c r="L1077" s="20">
        <v>3</v>
      </c>
      <c r="M1077" s="357">
        <f>SUM(H1077:H1079)</f>
        <v>5473.37</v>
      </c>
      <c r="N1077" s="411">
        <f>IFERROR((M1077/(VLOOKUP(B1077,'Data Pull Sheet'!$C:$H,6,FALSE))),"DC")</f>
        <v>1.5638199999999999E-5</v>
      </c>
      <c r="O1077" s="23" t="s">
        <v>4198</v>
      </c>
      <c r="P1077" s="92" t="s">
        <v>676</v>
      </c>
      <c r="Q1077" s="92" t="s">
        <v>637</v>
      </c>
      <c r="R1077" s="372" t="str">
        <f t="shared" si="30"/>
        <v/>
      </c>
    </row>
    <row r="1078" spans="1:18" x14ac:dyDescent="0.25">
      <c r="A1078" s="23" t="s">
        <v>4194</v>
      </c>
      <c r="B1078" s="18" t="str">
        <f>IF(ISNA(VLOOKUP($A1078,'Data Pull Sheet'!$B$2:$C$1795,2,0)),"",(VLOOKUP($A1078,'Data Pull Sheet'!$B$2:$C$1795,2,0)))</f>
        <v>ZBH</v>
      </c>
      <c r="C1078" s="59" t="s">
        <v>3631</v>
      </c>
      <c r="D1078" s="356" t="s">
        <v>4195</v>
      </c>
      <c r="E1078" s="356" t="s">
        <v>571</v>
      </c>
      <c r="F1078" s="23" t="s">
        <v>4199</v>
      </c>
      <c r="G1078" s="23" t="s">
        <v>403</v>
      </c>
      <c r="H1078" s="353">
        <v>2171.83</v>
      </c>
      <c r="I1078" s="59"/>
      <c r="J1078" s="59" t="s">
        <v>4200</v>
      </c>
      <c r="K1078" s="20"/>
      <c r="L1078" s="20"/>
      <c r="M1078" s="357"/>
      <c r="N1078" s="411"/>
      <c r="O1078" s="23" t="s">
        <v>4198</v>
      </c>
      <c r="P1078" s="92" t="s">
        <v>676</v>
      </c>
      <c r="Q1078" s="92" t="s">
        <v>637</v>
      </c>
      <c r="R1078" s="372" t="str">
        <f t="shared" si="30"/>
        <v/>
      </c>
    </row>
    <row r="1079" spans="1:18" x14ac:dyDescent="0.25">
      <c r="A1079" s="23" t="s">
        <v>4194</v>
      </c>
      <c r="B1079" s="18" t="str">
        <f>IF(ISNA(VLOOKUP($A1079,'Data Pull Sheet'!$B$2:$C$1795,2,0)),"",(VLOOKUP($A1079,'Data Pull Sheet'!$B$2:$C$1795,2,0)))</f>
        <v>ZBH</v>
      </c>
      <c r="C1079" s="59" t="s">
        <v>3631</v>
      </c>
      <c r="D1079" s="356" t="s">
        <v>4195</v>
      </c>
      <c r="E1079" s="356" t="s">
        <v>571</v>
      </c>
      <c r="F1079" s="23" t="s">
        <v>4201</v>
      </c>
      <c r="G1079" s="23" t="s">
        <v>403</v>
      </c>
      <c r="H1079" s="353">
        <v>2341.54</v>
      </c>
      <c r="I1079" s="59"/>
      <c r="J1079" s="59" t="s">
        <v>4202</v>
      </c>
      <c r="K1079" s="20"/>
      <c r="L1079" s="20"/>
      <c r="M1079" s="357"/>
      <c r="N1079" s="411"/>
      <c r="O1079" s="23" t="s">
        <v>4198</v>
      </c>
      <c r="P1079" s="92" t="s">
        <v>676</v>
      </c>
      <c r="Q1079" s="92" t="s">
        <v>637</v>
      </c>
      <c r="R1079" s="372" t="str">
        <f t="shared" si="30"/>
        <v/>
      </c>
    </row>
    <row r="1080" spans="1:18" x14ac:dyDescent="0.25">
      <c r="A1080" s="23" t="s">
        <v>3319</v>
      </c>
      <c r="B1080" s="18" t="s">
        <v>10676</v>
      </c>
      <c r="C1080" s="59" t="s">
        <v>418</v>
      </c>
      <c r="D1080" s="356" t="s">
        <v>505</v>
      </c>
      <c r="E1080" s="356" t="s">
        <v>2936</v>
      </c>
      <c r="F1080" s="23" t="s">
        <v>3320</v>
      </c>
      <c r="G1080" s="23" t="s">
        <v>403</v>
      </c>
      <c r="H1080" s="353">
        <v>22912</v>
      </c>
      <c r="I1080" s="59"/>
      <c r="J1080" s="59" t="s">
        <v>10678</v>
      </c>
      <c r="K1080" s="20">
        <v>1</v>
      </c>
      <c r="L1080" s="20">
        <v>1</v>
      </c>
      <c r="M1080" s="357">
        <f>H1080</f>
        <v>22912</v>
      </c>
      <c r="N1080" s="411">
        <f>IFERROR((M1080/(VLOOKUP(B1080,'Data Pull Sheet'!$C:$H,6,FALSE))),"DC")</f>
        <v>1.9093333333333332E-5</v>
      </c>
      <c r="O1080" s="23" t="s">
        <v>79</v>
      </c>
      <c r="P1080" s="92" t="s">
        <v>676</v>
      </c>
      <c r="Q1080" s="92" t="s">
        <v>637</v>
      </c>
      <c r="R1080" s="372" t="str">
        <f t="shared" si="30"/>
        <v/>
      </c>
    </row>
    <row r="1081" spans="1:18" ht="30" x14ac:dyDescent="0.25">
      <c r="A1081" s="23" t="s">
        <v>2811</v>
      </c>
      <c r="B1081" s="18" t="str">
        <f>IF(ISNA(VLOOKUP($A1081,'Data Pull Sheet'!$B$2:$C$1795,2,0)),"",(VLOOKUP($A1081,'Data Pull Sheet'!$B$2:$C$1795,2,0)))</f>
        <v>EDU</v>
      </c>
      <c r="C1081" s="59" t="s">
        <v>424</v>
      </c>
      <c r="D1081" s="356" t="s">
        <v>2812</v>
      </c>
      <c r="E1081" s="356" t="s">
        <v>893</v>
      </c>
      <c r="F1081" s="23" t="s">
        <v>2813</v>
      </c>
      <c r="G1081" s="23" t="s">
        <v>403</v>
      </c>
      <c r="H1081" s="353">
        <v>2488</v>
      </c>
      <c r="I1081" s="59" t="s">
        <v>413</v>
      </c>
      <c r="J1081" s="59" t="s">
        <v>2814</v>
      </c>
      <c r="K1081" s="20">
        <v>2</v>
      </c>
      <c r="L1081" s="20">
        <v>1</v>
      </c>
      <c r="M1081" s="357">
        <f>H1081</f>
        <v>2488</v>
      </c>
      <c r="N1081" s="411">
        <f>IFERROR((M1081/(VLOOKUP(B1081,'Data Pull Sheet'!$C:$H,6,FALSE))),"DC")</f>
        <v>2.0733333333333334E-5</v>
      </c>
      <c r="O1081" s="23" t="s">
        <v>2815</v>
      </c>
      <c r="P1081" s="92" t="s">
        <v>632</v>
      </c>
      <c r="Q1081" s="92" t="s">
        <v>637</v>
      </c>
      <c r="R1081" s="372" t="str">
        <f t="shared" si="30"/>
        <v>FF</v>
      </c>
    </row>
    <row r="1082" spans="1:18" x14ac:dyDescent="0.25">
      <c r="A1082" s="23" t="s">
        <v>2811</v>
      </c>
      <c r="B1082" s="18" t="str">
        <f>IF(ISNA(VLOOKUP($A1082,'Data Pull Sheet'!$B$2:$C$1795,2,0)),"",(VLOOKUP($A1082,'Data Pull Sheet'!$B$2:$C$1795,2,0)))</f>
        <v>EDU</v>
      </c>
      <c r="C1082" s="59" t="s">
        <v>424</v>
      </c>
      <c r="D1082" s="356" t="s">
        <v>2812</v>
      </c>
      <c r="E1082" s="356" t="s">
        <v>893</v>
      </c>
      <c r="F1082" s="23" t="s">
        <v>2816</v>
      </c>
      <c r="G1082" s="23" t="s">
        <v>403</v>
      </c>
      <c r="H1082" s="353">
        <v>2550</v>
      </c>
      <c r="I1082" s="59"/>
      <c r="J1082" s="59" t="s">
        <v>2817</v>
      </c>
      <c r="K1082" s="20"/>
      <c r="L1082" s="20">
        <v>3</v>
      </c>
      <c r="M1082" s="357">
        <f>SUM(H1082:H1084)</f>
        <v>8395</v>
      </c>
      <c r="N1082" s="411">
        <f>IFERROR((M1082/(VLOOKUP(B1082,'Data Pull Sheet'!$C:$H,6,FALSE))),"DC")</f>
        <v>6.9958333333333331E-5</v>
      </c>
      <c r="O1082" s="23" t="s">
        <v>554</v>
      </c>
      <c r="P1082" s="92" t="s">
        <v>632</v>
      </c>
      <c r="Q1082" s="92" t="s">
        <v>646</v>
      </c>
      <c r="R1082" s="372" t="str">
        <f t="shared" si="30"/>
        <v/>
      </c>
    </row>
    <row r="1083" spans="1:18" x14ac:dyDescent="0.25">
      <c r="A1083" s="23" t="s">
        <v>2811</v>
      </c>
      <c r="B1083" s="18" t="str">
        <f>IF(ISNA(VLOOKUP($A1083,'Data Pull Sheet'!$B$2:$C$1795,2,0)),"",(VLOOKUP($A1083,'Data Pull Sheet'!$B$2:$C$1795,2,0)))</f>
        <v>EDU</v>
      </c>
      <c r="C1083" s="59" t="s">
        <v>424</v>
      </c>
      <c r="D1083" s="356" t="s">
        <v>2812</v>
      </c>
      <c r="E1083" s="356" t="s">
        <v>893</v>
      </c>
      <c r="F1083" s="23" t="s">
        <v>2813</v>
      </c>
      <c r="G1083" s="23" t="s">
        <v>403</v>
      </c>
      <c r="H1083" s="353">
        <v>2748</v>
      </c>
      <c r="I1083" s="59"/>
      <c r="J1083" s="59" t="s">
        <v>2818</v>
      </c>
      <c r="K1083" s="20"/>
      <c r="L1083" s="20"/>
      <c r="M1083" s="357"/>
      <c r="N1083" s="411"/>
      <c r="O1083" s="23" t="s">
        <v>554</v>
      </c>
      <c r="P1083" s="92" t="s">
        <v>632</v>
      </c>
      <c r="Q1083" s="92" t="s">
        <v>646</v>
      </c>
      <c r="R1083" s="372" t="str">
        <f t="shared" si="30"/>
        <v>FF</v>
      </c>
    </row>
    <row r="1084" spans="1:18" x14ac:dyDescent="0.25">
      <c r="A1084" s="23" t="s">
        <v>2811</v>
      </c>
      <c r="B1084" s="18" t="str">
        <f>IF(ISNA(VLOOKUP($A1084,'Data Pull Sheet'!$B$2:$C$1795,2,0)),"",(VLOOKUP($A1084,'Data Pull Sheet'!$B$2:$C$1795,2,0)))</f>
        <v>EDU</v>
      </c>
      <c r="C1084" s="59" t="s">
        <v>424</v>
      </c>
      <c r="D1084" s="356" t="s">
        <v>2812</v>
      </c>
      <c r="E1084" s="356" t="s">
        <v>893</v>
      </c>
      <c r="F1084" s="23" t="s">
        <v>2819</v>
      </c>
      <c r="G1084" s="23" t="s">
        <v>403</v>
      </c>
      <c r="H1084" s="353">
        <v>3097</v>
      </c>
      <c r="I1084" s="59"/>
      <c r="J1084" s="59" t="s">
        <v>2820</v>
      </c>
      <c r="K1084" s="20"/>
      <c r="L1084" s="20"/>
      <c r="M1084" s="357"/>
      <c r="N1084" s="411"/>
      <c r="O1084" s="23" t="s">
        <v>554</v>
      </c>
      <c r="P1084" s="92" t="s">
        <v>632</v>
      </c>
      <c r="Q1084" s="92" t="s">
        <v>646</v>
      </c>
      <c r="R1084" s="372" t="str">
        <f t="shared" si="30"/>
        <v/>
      </c>
    </row>
    <row r="1085" spans="1:18" x14ac:dyDescent="0.25">
      <c r="A1085" s="23" t="s">
        <v>1602</v>
      </c>
      <c r="B1085" s="18" t="str">
        <f>IF(ISNA(VLOOKUP($A1085,'Data Pull Sheet'!$B$2:$C$1795,2,0)),"",(VLOOKUP($A1085,'Data Pull Sheet'!$B$2:$C$1795,2,0)))</f>
        <v>DAKPQ</v>
      </c>
      <c r="C1085" s="59" t="s">
        <v>418</v>
      </c>
      <c r="D1085" s="356" t="s">
        <v>1603</v>
      </c>
      <c r="E1085" s="356" t="s">
        <v>1604</v>
      </c>
      <c r="F1085" s="23" t="s">
        <v>1605</v>
      </c>
      <c r="G1085" s="23" t="s">
        <v>403</v>
      </c>
      <c r="H1085" s="353">
        <v>2718014</v>
      </c>
      <c r="I1085" s="59"/>
      <c r="J1085" s="59" t="s">
        <v>1606</v>
      </c>
      <c r="K1085" s="20">
        <v>2</v>
      </c>
      <c r="L1085" s="20">
        <v>1</v>
      </c>
      <c r="M1085" s="357">
        <f>H1085</f>
        <v>2718014</v>
      </c>
      <c r="N1085" s="411">
        <f>IFERROR((M1085/(VLOOKUP(B1085,'Data Pull Sheet'!$C:$H,6,FALSE))),"DC")</f>
        <v>0.10872055999999999</v>
      </c>
      <c r="O1085" s="23" t="s">
        <v>1607</v>
      </c>
      <c r="P1085" s="92" t="s">
        <v>632</v>
      </c>
      <c r="Q1085" s="92" t="s">
        <v>637</v>
      </c>
      <c r="R1085" s="372" t="str">
        <f t="shared" si="30"/>
        <v/>
      </c>
    </row>
    <row r="1086" spans="1:18" x14ac:dyDescent="0.25">
      <c r="A1086" s="23" t="s">
        <v>1602</v>
      </c>
      <c r="B1086" s="18" t="str">
        <f>IF(ISNA(VLOOKUP($A1086,'Data Pull Sheet'!$B$2:$C$1795,2,0)),"",(VLOOKUP($A1086,'Data Pull Sheet'!$B$2:$C$1795,2,0)))</f>
        <v>DAKPQ</v>
      </c>
      <c r="C1086" s="59" t="s">
        <v>418</v>
      </c>
      <c r="D1086" s="356" t="s">
        <v>1603</v>
      </c>
      <c r="E1086" s="356" t="s">
        <v>1604</v>
      </c>
      <c r="F1086" s="23" t="s">
        <v>1608</v>
      </c>
      <c r="G1086" s="23" t="s">
        <v>403</v>
      </c>
      <c r="H1086" s="353">
        <v>278312.11</v>
      </c>
      <c r="I1086" s="59"/>
      <c r="J1086" s="59" t="s">
        <v>1609</v>
      </c>
      <c r="K1086" s="20"/>
      <c r="L1086" s="20">
        <v>1</v>
      </c>
      <c r="M1086" s="357">
        <f>H1086</f>
        <v>278312.11</v>
      </c>
      <c r="N1086" s="411">
        <f>IFERROR((M1086/(VLOOKUP(B1086,'Data Pull Sheet'!$C:$H,6,FALSE))),"DC")</f>
        <v>1.11324844E-2</v>
      </c>
      <c r="O1086" s="23" t="s">
        <v>682</v>
      </c>
      <c r="P1086" s="92" t="s">
        <v>632</v>
      </c>
      <c r="Q1086" s="92" t="s">
        <v>637</v>
      </c>
      <c r="R1086" s="372" t="str">
        <f t="shared" si="30"/>
        <v/>
      </c>
    </row>
    <row r="1087" spans="1:18" ht="30" x14ac:dyDescent="0.25">
      <c r="A1087" s="23" t="s">
        <v>2282</v>
      </c>
      <c r="B1087" s="18" t="str">
        <f>IF(ISNA(VLOOKUP($A1087,'Data Pull Sheet'!$B$2:$C$1795,2,0)),"",(VLOOKUP($A1087,'Data Pull Sheet'!$B$2:$C$1795,2,0)))</f>
        <v>ILMN</v>
      </c>
      <c r="C1087" s="59" t="s">
        <v>557</v>
      </c>
      <c r="D1087" s="356" t="s">
        <v>1603</v>
      </c>
      <c r="E1087" s="356" t="s">
        <v>1604</v>
      </c>
      <c r="F1087" s="23" t="s">
        <v>2283</v>
      </c>
      <c r="G1087" s="23" t="s">
        <v>403</v>
      </c>
      <c r="H1087" s="353">
        <v>132363.99</v>
      </c>
      <c r="I1087" s="59"/>
      <c r="J1087" s="59" t="s">
        <v>2284</v>
      </c>
      <c r="K1087" s="20">
        <v>4</v>
      </c>
      <c r="L1087" s="20">
        <v>2</v>
      </c>
      <c r="M1087" s="357">
        <f>SUM(H1087:H1088)</f>
        <v>273602.77</v>
      </c>
      <c r="N1087" s="411">
        <f>IFERROR((M1087/(VLOOKUP(B1087,'Data Pull Sheet'!$C:$H,6,FALSE))),"DC")</f>
        <v>3.4200346250000001E-4</v>
      </c>
      <c r="O1087" s="23" t="s">
        <v>2285</v>
      </c>
      <c r="P1087" s="92" t="s">
        <v>632</v>
      </c>
      <c r="Q1087" s="92" t="s">
        <v>662</v>
      </c>
      <c r="R1087" s="372" t="str">
        <f t="shared" si="30"/>
        <v/>
      </c>
    </row>
    <row r="1088" spans="1:18" ht="30" x14ac:dyDescent="0.25">
      <c r="A1088" s="23" t="s">
        <v>2282</v>
      </c>
      <c r="B1088" s="18" t="str">
        <f>IF(ISNA(VLOOKUP($A1088,'Data Pull Sheet'!$B$2:$C$1795,2,0)),"",(VLOOKUP($A1088,'Data Pull Sheet'!$B$2:$C$1795,2,0)))</f>
        <v>ILMN</v>
      </c>
      <c r="C1088" s="59" t="s">
        <v>557</v>
      </c>
      <c r="D1088" s="356" t="s">
        <v>1603</v>
      </c>
      <c r="E1088" s="356" t="s">
        <v>1604</v>
      </c>
      <c r="F1088" s="23" t="s">
        <v>2286</v>
      </c>
      <c r="G1088" s="23" t="s">
        <v>417</v>
      </c>
      <c r="H1088" s="353">
        <v>141238.78</v>
      </c>
      <c r="I1088" s="59"/>
      <c r="J1088" s="59" t="s">
        <v>2287</v>
      </c>
      <c r="K1088" s="20"/>
      <c r="L1088" s="20"/>
      <c r="M1088" s="357"/>
      <c r="N1088" s="411"/>
      <c r="O1088" s="23" t="s">
        <v>2285</v>
      </c>
      <c r="P1088" s="92" t="s">
        <v>632</v>
      </c>
      <c r="Q1088" s="92" t="s">
        <v>662</v>
      </c>
      <c r="R1088" s="372" t="str">
        <f t="shared" si="30"/>
        <v/>
      </c>
    </row>
    <row r="1089" spans="1:18" ht="30" x14ac:dyDescent="0.25">
      <c r="A1089" s="23" t="s">
        <v>2282</v>
      </c>
      <c r="B1089" s="18" t="str">
        <f>IF(ISNA(VLOOKUP($A1089,'Data Pull Sheet'!$B$2:$C$1795,2,0)),"",(VLOOKUP($A1089,'Data Pull Sheet'!$B$2:$C$1795,2,0)))</f>
        <v>ILMN</v>
      </c>
      <c r="C1089" s="59" t="s">
        <v>557</v>
      </c>
      <c r="D1089" s="356" t="s">
        <v>1603</v>
      </c>
      <c r="E1089" s="356" t="s">
        <v>1604</v>
      </c>
      <c r="F1089" s="23" t="s">
        <v>2288</v>
      </c>
      <c r="G1089" s="23" t="s">
        <v>417</v>
      </c>
      <c r="H1089" s="353">
        <v>391823.67</v>
      </c>
      <c r="I1089" s="59" t="s">
        <v>442</v>
      </c>
      <c r="J1089" s="59" t="s">
        <v>2289</v>
      </c>
      <c r="K1089" s="20"/>
      <c r="L1089" s="20">
        <v>1</v>
      </c>
      <c r="M1089" s="357">
        <f>H1089</f>
        <v>391823.67</v>
      </c>
      <c r="N1089" s="411">
        <f>IFERROR((M1089/(VLOOKUP(B1089,'Data Pull Sheet'!$C:$H,6,FALSE))),"DC")</f>
        <v>4.8977958750000001E-4</v>
      </c>
      <c r="O1089" s="23" t="s">
        <v>10835</v>
      </c>
      <c r="P1089" s="92" t="s">
        <v>632</v>
      </c>
      <c r="Q1089" s="92" t="s">
        <v>633</v>
      </c>
      <c r="R1089" s="372" t="str">
        <f t="shared" si="30"/>
        <v/>
      </c>
    </row>
    <row r="1090" spans="1:18" x14ac:dyDescent="0.25">
      <c r="A1090" s="23" t="s">
        <v>2282</v>
      </c>
      <c r="B1090" s="18" t="str">
        <f>IF(ISNA(VLOOKUP($A1090,'Data Pull Sheet'!$B$2:$C$1795,2,0)),"",(VLOOKUP($A1090,'Data Pull Sheet'!$B$2:$C$1795,2,0)))</f>
        <v>ILMN</v>
      </c>
      <c r="C1090" s="59" t="s">
        <v>557</v>
      </c>
      <c r="D1090" s="356" t="s">
        <v>1603</v>
      </c>
      <c r="E1090" s="356" t="s">
        <v>1604</v>
      </c>
      <c r="F1090" s="23" t="s">
        <v>2291</v>
      </c>
      <c r="G1090" s="23" t="s">
        <v>417</v>
      </c>
      <c r="H1090" s="353">
        <v>995212.56</v>
      </c>
      <c r="I1090" s="59"/>
      <c r="J1090" s="59" t="s">
        <v>2292</v>
      </c>
      <c r="K1090" s="20"/>
      <c r="L1090" s="20">
        <v>1</v>
      </c>
      <c r="M1090" s="357">
        <f>H1090</f>
        <v>995212.56</v>
      </c>
      <c r="N1090" s="411">
        <f>IFERROR((M1090/(VLOOKUP(B1090,'Data Pull Sheet'!$C:$H,6,FALSE))),"DC")</f>
        <v>1.2440157E-3</v>
      </c>
      <c r="O1090" s="23" t="s">
        <v>63</v>
      </c>
      <c r="P1090" s="92" t="s">
        <v>632</v>
      </c>
      <c r="Q1090" s="92" t="s">
        <v>633</v>
      </c>
      <c r="R1090" s="372" t="str">
        <f t="shared" ref="R1090:R1153" si="31">IF(COUNTIF(F:F,F1090)&gt;=2,"FF","")</f>
        <v/>
      </c>
    </row>
    <row r="1091" spans="1:18" x14ac:dyDescent="0.25">
      <c r="A1091" s="23" t="s">
        <v>2282</v>
      </c>
      <c r="B1091" s="18" t="str">
        <f>IF(ISNA(VLOOKUP($A1091,'Data Pull Sheet'!$B$2:$C$1795,2,0)),"",(VLOOKUP($A1091,'Data Pull Sheet'!$B$2:$C$1795,2,0)))</f>
        <v>ILMN</v>
      </c>
      <c r="C1091" s="59" t="s">
        <v>557</v>
      </c>
      <c r="D1091" s="356" t="s">
        <v>1603</v>
      </c>
      <c r="E1091" s="356" t="s">
        <v>1604</v>
      </c>
      <c r="F1091" s="23" t="s">
        <v>2293</v>
      </c>
      <c r="G1091" s="23" t="s">
        <v>403</v>
      </c>
      <c r="H1091" s="353">
        <v>4517</v>
      </c>
      <c r="I1091" s="59"/>
      <c r="J1091" s="59" t="s">
        <v>2294</v>
      </c>
      <c r="K1091" s="20"/>
      <c r="L1091" s="20">
        <v>2</v>
      </c>
      <c r="M1091" s="357">
        <f>SUM(H1091:H1092)</f>
        <v>10141.799999999999</v>
      </c>
      <c r="N1091" s="411">
        <f>IFERROR((M1091/(VLOOKUP(B1091,'Data Pull Sheet'!$C:$H,6,FALSE))),"DC")</f>
        <v>1.267725E-5</v>
      </c>
      <c r="O1091" s="23" t="s">
        <v>682</v>
      </c>
      <c r="P1091" s="92" t="s">
        <v>632</v>
      </c>
      <c r="Q1091" s="92" t="s">
        <v>646</v>
      </c>
      <c r="R1091" s="372" t="str">
        <f t="shared" si="31"/>
        <v/>
      </c>
    </row>
    <row r="1092" spans="1:18" x14ac:dyDescent="0.25">
      <c r="A1092" s="23" t="s">
        <v>2282</v>
      </c>
      <c r="B1092" s="18" t="str">
        <f>IF(ISNA(VLOOKUP($A1092,'Data Pull Sheet'!$B$2:$C$1795,2,0)),"",(VLOOKUP($A1092,'Data Pull Sheet'!$B$2:$C$1795,2,0)))</f>
        <v>ILMN</v>
      </c>
      <c r="C1092" s="59" t="s">
        <v>557</v>
      </c>
      <c r="D1092" s="356" t="s">
        <v>1603</v>
      </c>
      <c r="E1092" s="356" t="s">
        <v>1604</v>
      </c>
      <c r="F1092" s="23" t="s">
        <v>2295</v>
      </c>
      <c r="G1092" s="23" t="s">
        <v>403</v>
      </c>
      <c r="H1092" s="353">
        <v>5624.8</v>
      </c>
      <c r="I1092" s="59"/>
      <c r="J1092" s="59" t="s">
        <v>2296</v>
      </c>
      <c r="K1092" s="20"/>
      <c r="L1092" s="20"/>
      <c r="M1092" s="357"/>
      <c r="N1092" s="411"/>
      <c r="O1092" s="23" t="s">
        <v>682</v>
      </c>
      <c r="P1092" s="92" t="s">
        <v>632</v>
      </c>
      <c r="Q1092" s="92" t="s">
        <v>646</v>
      </c>
      <c r="R1092" s="372" t="str">
        <f t="shared" si="31"/>
        <v/>
      </c>
    </row>
    <row r="1093" spans="1:18" x14ac:dyDescent="0.25">
      <c r="A1093" s="23" t="s">
        <v>278</v>
      </c>
      <c r="B1093" s="18" t="str">
        <f>IF(ISNA(VLOOKUP($A1093,'Data Pull Sheet'!$B$2:$C$1795,2,0)),"",(VLOOKUP($A1093,'Data Pull Sheet'!$B$2:$C$1795,2,0)))</f>
        <v>RCII</v>
      </c>
      <c r="C1093" s="59" t="s">
        <v>414</v>
      </c>
      <c r="D1093" s="356" t="s">
        <v>449</v>
      </c>
      <c r="E1093" s="356" t="s">
        <v>521</v>
      </c>
      <c r="F1093" s="23" t="s">
        <v>377</v>
      </c>
      <c r="G1093" s="23" t="s">
        <v>417</v>
      </c>
      <c r="H1093" s="359" t="s">
        <v>10798</v>
      </c>
      <c r="I1093" s="59"/>
      <c r="J1093" s="59" t="s">
        <v>3265</v>
      </c>
      <c r="K1093" s="20">
        <v>5</v>
      </c>
      <c r="L1093" s="20">
        <v>1</v>
      </c>
      <c r="M1093" s="357" t="str">
        <f>+H1093</f>
        <v>NA</v>
      </c>
      <c r="N1093" s="411" t="str">
        <f>IFERROR((M1093/(VLOOKUP(B1093,'Data Pull Sheet'!$C:$H,6,FALSE))),"DC")</f>
        <v>DC</v>
      </c>
      <c r="O1093" s="23" t="s">
        <v>3266</v>
      </c>
      <c r="P1093" s="92" t="s">
        <v>632</v>
      </c>
      <c r="Q1093" s="92" t="s">
        <v>633</v>
      </c>
      <c r="R1093" s="372" t="str">
        <f t="shared" si="31"/>
        <v>FF</v>
      </c>
    </row>
    <row r="1094" spans="1:18" ht="30" x14ac:dyDescent="0.25">
      <c r="A1094" s="23" t="s">
        <v>278</v>
      </c>
      <c r="B1094" s="18" t="str">
        <f>IF(ISNA(VLOOKUP($A1094,'Data Pull Sheet'!$B$2:$C$1795,2,0)),"",(VLOOKUP($A1094,'Data Pull Sheet'!$B$2:$C$1795,2,0)))</f>
        <v>RCII</v>
      </c>
      <c r="C1094" s="59" t="s">
        <v>414</v>
      </c>
      <c r="D1094" s="356" t="s">
        <v>449</v>
      </c>
      <c r="E1094" s="356" t="s">
        <v>521</v>
      </c>
      <c r="F1094" s="23" t="s">
        <v>3267</v>
      </c>
      <c r="G1094" s="23" t="s">
        <v>403</v>
      </c>
      <c r="H1094" s="353">
        <v>8530.7000000000007</v>
      </c>
      <c r="I1094" s="59"/>
      <c r="J1094" s="59" t="s">
        <v>3268</v>
      </c>
      <c r="K1094" s="20"/>
      <c r="L1094" s="20">
        <v>2</v>
      </c>
      <c r="M1094" s="357">
        <f>SUM(H1094:H1095)</f>
        <v>21193</v>
      </c>
      <c r="N1094" s="411">
        <f>IFERROR((M1094/(VLOOKUP(B1094,'Data Pull Sheet'!$C:$H,6,FALSE))),"DC")</f>
        <v>1.1455675675675675E-4</v>
      </c>
      <c r="O1094" s="23" t="s">
        <v>2670</v>
      </c>
      <c r="P1094" s="92" t="s">
        <v>632</v>
      </c>
      <c r="Q1094" s="92" t="s">
        <v>646</v>
      </c>
      <c r="R1094" s="372" t="str">
        <f t="shared" si="31"/>
        <v/>
      </c>
    </row>
    <row r="1095" spans="1:18" ht="30" x14ac:dyDescent="0.25">
      <c r="A1095" s="23" t="s">
        <v>278</v>
      </c>
      <c r="B1095" s="18" t="str">
        <f>IF(ISNA(VLOOKUP($A1095,'Data Pull Sheet'!$B$2:$C$1795,2,0)),"",(VLOOKUP($A1095,'Data Pull Sheet'!$B$2:$C$1795,2,0)))</f>
        <v>RCII</v>
      </c>
      <c r="C1095" s="59" t="s">
        <v>414</v>
      </c>
      <c r="D1095" s="356" t="s">
        <v>449</v>
      </c>
      <c r="E1095" s="356" t="s">
        <v>521</v>
      </c>
      <c r="F1095" s="23" t="s">
        <v>3269</v>
      </c>
      <c r="G1095" s="23" t="s">
        <v>403</v>
      </c>
      <c r="H1095" s="353">
        <v>12662.3</v>
      </c>
      <c r="I1095" s="59"/>
      <c r="J1095" s="59" t="s">
        <v>3270</v>
      </c>
      <c r="K1095" s="20"/>
      <c r="L1095" s="20"/>
      <c r="M1095" s="357"/>
      <c r="N1095" s="411"/>
      <c r="O1095" s="23" t="s">
        <v>2670</v>
      </c>
      <c r="P1095" s="92" t="s">
        <v>632</v>
      </c>
      <c r="Q1095" s="92" t="s">
        <v>646</v>
      </c>
      <c r="R1095" s="372" t="str">
        <f t="shared" si="31"/>
        <v/>
      </c>
    </row>
    <row r="1096" spans="1:18" x14ac:dyDescent="0.25">
      <c r="A1096" s="23" t="s">
        <v>278</v>
      </c>
      <c r="B1096" s="18" t="str">
        <f>IF(ISNA(VLOOKUP($A1096,'Data Pull Sheet'!$B$2:$C$1795,2,0)),"",(VLOOKUP($A1096,'Data Pull Sheet'!$B$2:$C$1795,2,0)))</f>
        <v>RCII</v>
      </c>
      <c r="C1096" s="59" t="s">
        <v>414</v>
      </c>
      <c r="D1096" s="356" t="s">
        <v>449</v>
      </c>
      <c r="E1096" s="356" t="s">
        <v>521</v>
      </c>
      <c r="F1096" s="23" t="s">
        <v>274</v>
      </c>
      <c r="G1096" s="23" t="s">
        <v>417</v>
      </c>
      <c r="H1096" s="353">
        <v>431940.9</v>
      </c>
      <c r="I1096" s="59" t="s">
        <v>406</v>
      </c>
      <c r="J1096" s="59" t="s">
        <v>3271</v>
      </c>
      <c r="K1096" s="20"/>
      <c r="L1096" s="20">
        <v>1</v>
      </c>
      <c r="M1096" s="357">
        <f>H1096</f>
        <v>431940.9</v>
      </c>
      <c r="N1096" s="411">
        <f>IFERROR((M1096/(VLOOKUP(B1096,'Data Pull Sheet'!$C:$H,6,FALSE))),"DC")</f>
        <v>2.3348156756756756E-3</v>
      </c>
      <c r="O1096" s="23" t="s">
        <v>3272</v>
      </c>
      <c r="P1096" s="92" t="s">
        <v>632</v>
      </c>
      <c r="Q1096" s="92" t="s">
        <v>633</v>
      </c>
      <c r="R1096" s="372" t="str">
        <f t="shared" si="31"/>
        <v>FF</v>
      </c>
    </row>
    <row r="1097" spans="1:18" ht="30" x14ac:dyDescent="0.25">
      <c r="A1097" s="23" t="s">
        <v>278</v>
      </c>
      <c r="B1097" s="18" t="str">
        <f>IF(ISNA(VLOOKUP($A1097,'Data Pull Sheet'!$B$2:$C$1795,2,0)),"",(VLOOKUP($A1097,'Data Pull Sheet'!$B$2:$C$1795,2,0)))</f>
        <v>RCII</v>
      </c>
      <c r="C1097" s="59" t="s">
        <v>414</v>
      </c>
      <c r="D1097" s="356" t="s">
        <v>449</v>
      </c>
      <c r="E1097" s="356" t="s">
        <v>521</v>
      </c>
      <c r="F1097" s="23" t="s">
        <v>3273</v>
      </c>
      <c r="G1097" s="23" t="s">
        <v>417</v>
      </c>
      <c r="H1097" s="353">
        <v>108334.34</v>
      </c>
      <c r="I1097" s="59"/>
      <c r="J1097" s="59" t="s">
        <v>3274</v>
      </c>
      <c r="K1097" s="20"/>
      <c r="L1097" s="20">
        <v>1</v>
      </c>
      <c r="M1097" s="357">
        <f>H1097</f>
        <v>108334.34</v>
      </c>
      <c r="N1097" s="411">
        <f>IFERROR((M1097/(VLOOKUP(B1097,'Data Pull Sheet'!$C:$H,6,FALSE))),"DC")</f>
        <v>5.8559102702702699E-4</v>
      </c>
      <c r="O1097" s="23" t="s">
        <v>658</v>
      </c>
      <c r="P1097" s="92" t="s">
        <v>632</v>
      </c>
      <c r="Q1097" s="92" t="s">
        <v>633</v>
      </c>
      <c r="R1097" s="372" t="str">
        <f t="shared" si="31"/>
        <v>FF</v>
      </c>
    </row>
    <row r="1098" spans="1:18" ht="30" x14ac:dyDescent="0.25">
      <c r="A1098" s="23" t="s">
        <v>278</v>
      </c>
      <c r="B1098" s="18" t="str">
        <f>IF(ISNA(VLOOKUP($A1098,'Data Pull Sheet'!$B$2:$C$1795,2,0)),"",(VLOOKUP($A1098,'Data Pull Sheet'!$B$2:$C$1795,2,0)))</f>
        <v>RCII</v>
      </c>
      <c r="C1098" s="59" t="s">
        <v>414</v>
      </c>
      <c r="D1098" s="356" t="s">
        <v>449</v>
      </c>
      <c r="E1098" s="356" t="s">
        <v>521</v>
      </c>
      <c r="F1098" s="23" t="s">
        <v>3275</v>
      </c>
      <c r="G1098" s="23" t="s">
        <v>403</v>
      </c>
      <c r="H1098" s="353">
        <v>7003</v>
      </c>
      <c r="I1098" s="59"/>
      <c r="J1098" s="59" t="s">
        <v>3276</v>
      </c>
      <c r="K1098" s="20"/>
      <c r="L1098" s="20">
        <v>3</v>
      </c>
      <c r="M1098" s="357">
        <f>SUM(H1098:H1100)</f>
        <v>31519</v>
      </c>
      <c r="N1098" s="411">
        <f>IFERROR((M1098/(VLOOKUP(B1098,'Data Pull Sheet'!$C:$H,6,FALSE))),"DC")</f>
        <v>1.7037297297297298E-4</v>
      </c>
      <c r="O1098" s="23" t="s">
        <v>11183</v>
      </c>
      <c r="P1098" s="92" t="s">
        <v>632</v>
      </c>
      <c r="Q1098" s="92" t="s">
        <v>646</v>
      </c>
      <c r="R1098" s="372" t="str">
        <f t="shared" si="31"/>
        <v/>
      </c>
    </row>
    <row r="1099" spans="1:18" ht="30" x14ac:dyDescent="0.25">
      <c r="A1099" s="23" t="s">
        <v>278</v>
      </c>
      <c r="B1099" s="18" t="str">
        <f>IF(ISNA(VLOOKUP($A1099,'Data Pull Sheet'!$B$2:$C$1795,2,0)),"",(VLOOKUP($A1099,'Data Pull Sheet'!$B$2:$C$1795,2,0)))</f>
        <v>RCII</v>
      </c>
      <c r="C1099" s="59" t="s">
        <v>414</v>
      </c>
      <c r="D1099" s="356" t="s">
        <v>449</v>
      </c>
      <c r="E1099" s="356" t="s">
        <v>521</v>
      </c>
      <c r="F1099" s="23" t="s">
        <v>3278</v>
      </c>
      <c r="G1099" s="23" t="s">
        <v>403</v>
      </c>
      <c r="H1099" s="353">
        <v>8987</v>
      </c>
      <c r="I1099" s="59"/>
      <c r="J1099" s="59" t="s">
        <v>3279</v>
      </c>
      <c r="K1099" s="20"/>
      <c r="L1099" s="20"/>
      <c r="M1099" s="357"/>
      <c r="N1099" s="411"/>
      <c r="O1099" s="23" t="s">
        <v>11183</v>
      </c>
      <c r="P1099" s="92" t="s">
        <v>632</v>
      </c>
      <c r="Q1099" s="92" t="s">
        <v>646</v>
      </c>
      <c r="R1099" s="372" t="str">
        <f t="shared" si="31"/>
        <v/>
      </c>
    </row>
    <row r="1100" spans="1:18" ht="30" x14ac:dyDescent="0.25">
      <c r="A1100" s="23" t="s">
        <v>278</v>
      </c>
      <c r="B1100" s="18" t="str">
        <f>IF(ISNA(VLOOKUP($A1100,'Data Pull Sheet'!$B$2:$C$1795,2,0)),"",(VLOOKUP($A1100,'Data Pull Sheet'!$B$2:$C$1795,2,0)))</f>
        <v>RCII</v>
      </c>
      <c r="C1100" s="59" t="s">
        <v>414</v>
      </c>
      <c r="D1100" s="356" t="s">
        <v>449</v>
      </c>
      <c r="E1100" s="356" t="s">
        <v>521</v>
      </c>
      <c r="F1100" s="23" t="s">
        <v>3280</v>
      </c>
      <c r="G1100" s="23" t="s">
        <v>403</v>
      </c>
      <c r="H1100" s="353">
        <v>15529</v>
      </c>
      <c r="I1100" s="59"/>
      <c r="J1100" s="59" t="s">
        <v>6709</v>
      </c>
      <c r="K1100" s="20"/>
      <c r="L1100" s="20"/>
      <c r="M1100" s="357"/>
      <c r="N1100" s="411"/>
      <c r="O1100" s="23" t="s">
        <v>11183</v>
      </c>
      <c r="P1100" s="92" t="s">
        <v>632</v>
      </c>
      <c r="Q1100" s="92" t="s">
        <v>646</v>
      </c>
      <c r="R1100" s="372" t="str">
        <f t="shared" si="31"/>
        <v/>
      </c>
    </row>
    <row r="1101" spans="1:18" ht="30" x14ac:dyDescent="0.25">
      <c r="A1101" s="23" t="s">
        <v>159</v>
      </c>
      <c r="B1101" s="18" t="str">
        <f>IF(ISNA(VLOOKUP($A1101,'Data Pull Sheet'!$B$2:$C$1795,2,0)),"",(VLOOKUP($A1101,'Data Pull Sheet'!$B$2:$C$1795,2,0)))</f>
        <v>UHS</v>
      </c>
      <c r="C1101" s="59" t="s">
        <v>446</v>
      </c>
      <c r="D1101" s="356" t="s">
        <v>449</v>
      </c>
      <c r="E1101" s="356" t="s">
        <v>521</v>
      </c>
      <c r="F1101" s="23" t="s">
        <v>156</v>
      </c>
      <c r="G1101" s="23" t="s">
        <v>417</v>
      </c>
      <c r="H1101" s="353">
        <v>23544.29</v>
      </c>
      <c r="I1101" s="59" t="s">
        <v>406</v>
      </c>
      <c r="J1101" s="59" t="s">
        <v>4016</v>
      </c>
      <c r="K1101" s="20">
        <v>4</v>
      </c>
      <c r="L1101" s="20">
        <v>1</v>
      </c>
      <c r="M1101" s="357">
        <f>H1101</f>
        <v>23544.29</v>
      </c>
      <c r="N1101" s="411">
        <f>IFERROR((M1101/(VLOOKUP(B1101,'Data Pull Sheet'!$C:$H,6,FALSE))),"DC")</f>
        <v>3.9240483333333335E-5</v>
      </c>
      <c r="O1101" s="23" t="s">
        <v>4017</v>
      </c>
      <c r="P1101" s="92" t="s">
        <v>632</v>
      </c>
      <c r="Q1101" s="92" t="s">
        <v>633</v>
      </c>
      <c r="R1101" s="372" t="str">
        <f t="shared" si="31"/>
        <v>FF</v>
      </c>
    </row>
    <row r="1102" spans="1:18" ht="30" x14ac:dyDescent="0.25">
      <c r="A1102" s="23" t="s">
        <v>159</v>
      </c>
      <c r="B1102" s="18" t="str">
        <f>IF(ISNA(VLOOKUP($A1102,'Data Pull Sheet'!$B$2:$C$1795,2,0)),"",(VLOOKUP($A1102,'Data Pull Sheet'!$B$2:$C$1795,2,0)))</f>
        <v>UHS</v>
      </c>
      <c r="C1102" s="59" t="s">
        <v>446</v>
      </c>
      <c r="D1102" s="356" t="s">
        <v>449</v>
      </c>
      <c r="E1102" s="356" t="s">
        <v>521</v>
      </c>
      <c r="F1102" s="23" t="s">
        <v>223</v>
      </c>
      <c r="G1102" s="23" t="s">
        <v>417</v>
      </c>
      <c r="H1102" s="353">
        <v>85520.33</v>
      </c>
      <c r="I1102" s="59"/>
      <c r="J1102" s="59" t="s">
        <v>4018</v>
      </c>
      <c r="K1102" s="20"/>
      <c r="L1102" s="20">
        <v>1</v>
      </c>
      <c r="M1102" s="357">
        <f>H1102</f>
        <v>85520.33</v>
      </c>
      <c r="N1102" s="411">
        <f>IFERROR((M1102/(VLOOKUP(B1102,'Data Pull Sheet'!$C:$H,6,FALSE))),"DC")</f>
        <v>1.4253388333333334E-4</v>
      </c>
      <c r="O1102" s="23" t="s">
        <v>4019</v>
      </c>
      <c r="P1102" s="92" t="s">
        <v>632</v>
      </c>
      <c r="Q1102" s="92" t="s">
        <v>633</v>
      </c>
      <c r="R1102" s="372" t="str">
        <f t="shared" si="31"/>
        <v>FF</v>
      </c>
    </row>
    <row r="1103" spans="1:18" x14ac:dyDescent="0.25">
      <c r="A1103" s="23" t="s">
        <v>159</v>
      </c>
      <c r="B1103" s="18" t="str">
        <f>IF(ISNA(VLOOKUP($A1103,'Data Pull Sheet'!$B$2:$C$1795,2,0)),"",(VLOOKUP($A1103,'Data Pull Sheet'!$B$2:$C$1795,2,0)))</f>
        <v>UHS</v>
      </c>
      <c r="C1103" s="59" t="s">
        <v>446</v>
      </c>
      <c r="D1103" s="356" t="s">
        <v>449</v>
      </c>
      <c r="E1103" s="356" t="s">
        <v>521</v>
      </c>
      <c r="F1103" s="23" t="s">
        <v>359</v>
      </c>
      <c r="G1103" s="23" t="s">
        <v>417</v>
      </c>
      <c r="H1103" s="353">
        <v>32481</v>
      </c>
      <c r="I1103" s="59" t="s">
        <v>413</v>
      </c>
      <c r="J1103" s="59" t="s">
        <v>4020</v>
      </c>
      <c r="K1103" s="20"/>
      <c r="L1103" s="20">
        <v>2</v>
      </c>
      <c r="M1103" s="357">
        <f>SUM(H1103:H1104)</f>
        <v>170900</v>
      </c>
      <c r="N1103" s="411">
        <f>IFERROR((M1103/(VLOOKUP(B1103,'Data Pull Sheet'!$C:$H,6,FALSE))),"DC")</f>
        <v>2.8483333333333334E-4</v>
      </c>
      <c r="O1103" s="23" t="s">
        <v>4021</v>
      </c>
      <c r="P1103" s="92" t="s">
        <v>632</v>
      </c>
      <c r="Q1103" s="92" t="s">
        <v>640</v>
      </c>
      <c r="R1103" s="372" t="str">
        <f t="shared" si="31"/>
        <v>FF</v>
      </c>
    </row>
    <row r="1104" spans="1:18" x14ac:dyDescent="0.25">
      <c r="A1104" s="23" t="s">
        <v>159</v>
      </c>
      <c r="B1104" s="18" t="str">
        <f>IF(ISNA(VLOOKUP($A1104,'Data Pull Sheet'!$B$2:$C$1795,2,0)),"",(VLOOKUP($A1104,'Data Pull Sheet'!$B$2:$C$1795,2,0)))</f>
        <v>UHS</v>
      </c>
      <c r="C1104" s="59" t="s">
        <v>446</v>
      </c>
      <c r="D1104" s="356" t="s">
        <v>449</v>
      </c>
      <c r="E1104" s="356" t="s">
        <v>521</v>
      </c>
      <c r="F1104" s="23" t="s">
        <v>4022</v>
      </c>
      <c r="G1104" s="23" t="s">
        <v>417</v>
      </c>
      <c r="H1104" s="353">
        <v>138419</v>
      </c>
      <c r="I1104" s="59" t="s">
        <v>442</v>
      </c>
      <c r="J1104" s="59" t="s">
        <v>4023</v>
      </c>
      <c r="K1104" s="20"/>
      <c r="L1104" s="20"/>
      <c r="M1104" s="357"/>
      <c r="N1104" s="411"/>
      <c r="O1104" s="23" t="s">
        <v>4021</v>
      </c>
      <c r="P1104" s="92" t="s">
        <v>632</v>
      </c>
      <c r="Q1104" s="92" t="s">
        <v>640</v>
      </c>
      <c r="R1104" s="372" t="str">
        <f t="shared" si="31"/>
        <v>FF</v>
      </c>
    </row>
    <row r="1105" spans="1:18" x14ac:dyDescent="0.25">
      <c r="A1105" s="23" t="s">
        <v>159</v>
      </c>
      <c r="B1105" s="18" t="str">
        <f>IF(ISNA(VLOOKUP($A1105,'Data Pull Sheet'!$B$2:$C$1795,2,0)),"",(VLOOKUP($A1105,'Data Pull Sheet'!$B$2:$C$1795,2,0)))</f>
        <v>UHS</v>
      </c>
      <c r="C1105" s="59" t="s">
        <v>446</v>
      </c>
      <c r="D1105" s="356" t="s">
        <v>449</v>
      </c>
      <c r="E1105" s="356" t="s">
        <v>521</v>
      </c>
      <c r="F1105" s="23" t="s">
        <v>4024</v>
      </c>
      <c r="G1105" s="23" t="s">
        <v>403</v>
      </c>
      <c r="H1105" s="353">
        <v>3380.19</v>
      </c>
      <c r="I1105" s="59"/>
      <c r="J1105" s="59" t="s">
        <v>4025</v>
      </c>
      <c r="K1105" s="20"/>
      <c r="L1105" s="20">
        <v>1</v>
      </c>
      <c r="M1105" s="357">
        <f>H1105</f>
        <v>3380.19</v>
      </c>
      <c r="N1105" s="411">
        <f>IFERROR((M1105/(VLOOKUP(B1105,'Data Pull Sheet'!$C:$H,6,FALSE))),"DC")</f>
        <v>5.6336499999999998E-6</v>
      </c>
      <c r="O1105" s="23" t="s">
        <v>682</v>
      </c>
      <c r="P1105" s="92" t="s">
        <v>632</v>
      </c>
      <c r="Q1105" s="92" t="s">
        <v>952</v>
      </c>
      <c r="R1105" s="372" t="str">
        <f t="shared" si="31"/>
        <v/>
      </c>
    </row>
    <row r="1106" spans="1:18" x14ac:dyDescent="0.25">
      <c r="A1106" s="23" t="s">
        <v>3056</v>
      </c>
      <c r="B1106" s="18" t="s">
        <v>10644</v>
      </c>
      <c r="C1106" s="59" t="s">
        <v>457</v>
      </c>
      <c r="D1106" s="356" t="s">
        <v>3057</v>
      </c>
      <c r="E1106" s="356" t="s">
        <v>2183</v>
      </c>
      <c r="F1106" s="23" t="s">
        <v>3058</v>
      </c>
      <c r="G1106" s="23" t="s">
        <v>403</v>
      </c>
      <c r="H1106" s="353">
        <v>232</v>
      </c>
      <c r="I1106" s="59"/>
      <c r="J1106" s="59" t="s">
        <v>10648</v>
      </c>
      <c r="K1106" s="20">
        <v>2</v>
      </c>
      <c r="L1106" s="20">
        <v>2</v>
      </c>
      <c r="M1106" s="357">
        <f>SUM(H1106:H1107)</f>
        <v>501</v>
      </c>
      <c r="N1106" s="411">
        <f>IFERROR((M1106/(VLOOKUP(B1106,'Data Pull Sheet'!$C:$H,6,FALSE))),"DC")</f>
        <v>3.3400000000000002E-6</v>
      </c>
      <c r="O1106" s="23" t="s">
        <v>1204</v>
      </c>
      <c r="P1106" s="92" t="s">
        <v>632</v>
      </c>
      <c r="Q1106" s="92" t="s">
        <v>646</v>
      </c>
      <c r="R1106" s="372" t="str">
        <f t="shared" si="31"/>
        <v/>
      </c>
    </row>
    <row r="1107" spans="1:18" x14ac:dyDescent="0.25">
      <c r="A1107" s="23" t="s">
        <v>3056</v>
      </c>
      <c r="B1107" s="18" t="s">
        <v>10644</v>
      </c>
      <c r="C1107" s="59" t="s">
        <v>457</v>
      </c>
      <c r="D1107" s="356" t="s">
        <v>3057</v>
      </c>
      <c r="E1107" s="356" t="s">
        <v>2183</v>
      </c>
      <c r="F1107" s="23" t="s">
        <v>3059</v>
      </c>
      <c r="G1107" s="23" t="s">
        <v>403</v>
      </c>
      <c r="H1107" s="353">
        <v>269</v>
      </c>
      <c r="I1107" s="59"/>
      <c r="J1107" s="59" t="s">
        <v>10649</v>
      </c>
      <c r="K1107" s="20"/>
      <c r="L1107" s="20"/>
      <c r="M1107" s="357"/>
      <c r="N1107" s="411"/>
      <c r="O1107" s="23" t="s">
        <v>1204</v>
      </c>
      <c r="P1107" s="92" t="s">
        <v>632</v>
      </c>
      <c r="Q1107" s="92" t="s">
        <v>646</v>
      </c>
      <c r="R1107" s="372" t="str">
        <f t="shared" si="31"/>
        <v/>
      </c>
    </row>
    <row r="1108" spans="1:18" x14ac:dyDescent="0.25">
      <c r="A1108" s="23" t="s">
        <v>3056</v>
      </c>
      <c r="B1108" s="18" t="s">
        <v>10644</v>
      </c>
      <c r="C1108" s="59" t="s">
        <v>457</v>
      </c>
      <c r="D1108" s="356" t="s">
        <v>3057</v>
      </c>
      <c r="E1108" s="356" t="s">
        <v>2183</v>
      </c>
      <c r="F1108" s="23" t="s">
        <v>3060</v>
      </c>
      <c r="G1108" s="23" t="s">
        <v>403</v>
      </c>
      <c r="H1108" s="353">
        <v>5960.49</v>
      </c>
      <c r="I1108" s="59"/>
      <c r="J1108" s="59" t="s">
        <v>10650</v>
      </c>
      <c r="K1108" s="20"/>
      <c r="L1108" s="20">
        <v>1</v>
      </c>
      <c r="M1108" s="357">
        <f>H1108</f>
        <v>5960.49</v>
      </c>
      <c r="N1108" s="411">
        <f>IFERROR((M1108/(VLOOKUP(B1108,'Data Pull Sheet'!$C:$H,6,FALSE))),"DC")</f>
        <v>3.9736600000000002E-5</v>
      </c>
      <c r="O1108" s="23" t="s">
        <v>682</v>
      </c>
      <c r="P1108" s="92" t="s">
        <v>632</v>
      </c>
      <c r="Q1108" s="92" t="s">
        <v>637</v>
      </c>
      <c r="R1108" s="372" t="str">
        <f t="shared" si="31"/>
        <v/>
      </c>
    </row>
    <row r="1109" spans="1:18" ht="30" x14ac:dyDescent="0.25">
      <c r="A1109" s="23" t="s">
        <v>167</v>
      </c>
      <c r="B1109" s="18" t="str">
        <f>IF(ISNA(VLOOKUP($A1109,'Data Pull Sheet'!$B$2:$C$1795,2,0)),"",(VLOOKUP($A1109,'Data Pull Sheet'!$B$2:$C$1795,2,0)))</f>
        <v>BGC</v>
      </c>
      <c r="C1109" s="59" t="s">
        <v>522</v>
      </c>
      <c r="D1109" s="356" t="s">
        <v>513</v>
      </c>
      <c r="E1109" s="356" t="s">
        <v>523</v>
      </c>
      <c r="F1109" s="23" t="s">
        <v>165</v>
      </c>
      <c r="G1109" s="23" t="s">
        <v>417</v>
      </c>
      <c r="H1109" s="353">
        <v>85118</v>
      </c>
      <c r="I1109" s="59" t="s">
        <v>1651</v>
      </c>
      <c r="J1109" s="59" t="s">
        <v>2061</v>
      </c>
      <c r="K1109" s="20">
        <v>3</v>
      </c>
      <c r="L1109" s="20">
        <v>1</v>
      </c>
      <c r="M1109" s="357">
        <f>H1109</f>
        <v>85118</v>
      </c>
      <c r="N1109" s="411">
        <f>IFERROR((M1109/(VLOOKUP(B1109,'Data Pull Sheet'!$C:$H,6,FALSE))),"DC")</f>
        <v>2.12795E-3</v>
      </c>
      <c r="O1109" s="23" t="s">
        <v>2062</v>
      </c>
      <c r="P1109" s="92" t="s">
        <v>632</v>
      </c>
      <c r="Q1109" s="92" t="s">
        <v>633</v>
      </c>
      <c r="R1109" s="372" t="str">
        <f t="shared" si="31"/>
        <v>FF</v>
      </c>
    </row>
    <row r="1110" spans="1:18" ht="45" x14ac:dyDescent="0.25">
      <c r="A1110" s="23" t="s">
        <v>167</v>
      </c>
      <c r="B1110" s="18" t="str">
        <f>IF(ISNA(VLOOKUP($A1110,'Data Pull Sheet'!$B$2:$C$1795,2,0)),"",(VLOOKUP($A1110,'Data Pull Sheet'!$B$2:$C$1795,2,0)))</f>
        <v>BGC</v>
      </c>
      <c r="C1110" s="59" t="s">
        <v>522</v>
      </c>
      <c r="D1110" s="356" t="s">
        <v>513</v>
      </c>
      <c r="E1110" s="356" t="s">
        <v>523</v>
      </c>
      <c r="F1110" s="23" t="s">
        <v>2063</v>
      </c>
      <c r="G1110" s="23" t="s">
        <v>403</v>
      </c>
      <c r="H1110" s="353">
        <v>18884.810000000001</v>
      </c>
      <c r="I1110" s="59" t="s">
        <v>442</v>
      </c>
      <c r="J1110" s="59" t="s">
        <v>2064</v>
      </c>
      <c r="K1110" s="20"/>
      <c r="L1110" s="20">
        <v>1</v>
      </c>
      <c r="M1110" s="357">
        <f>H1110</f>
        <v>18884.810000000001</v>
      </c>
      <c r="N1110" s="411">
        <f>IFERROR((M1110/(VLOOKUP(B1110,'Data Pull Sheet'!$C:$H,6,FALSE))),"DC")</f>
        <v>4.7212025000000006E-4</v>
      </c>
      <c r="O1110" s="23" t="s">
        <v>10836</v>
      </c>
      <c r="P1110" s="92" t="s">
        <v>632</v>
      </c>
      <c r="Q1110" s="92" t="s">
        <v>637</v>
      </c>
      <c r="R1110" s="372" t="str">
        <f t="shared" si="31"/>
        <v/>
      </c>
    </row>
    <row r="1111" spans="1:18" ht="30" x14ac:dyDescent="0.25">
      <c r="A1111" s="23" t="s">
        <v>167</v>
      </c>
      <c r="B1111" s="18" t="str">
        <f>IF(ISNA(VLOOKUP($A1111,'Data Pull Sheet'!$B$2:$C$1795,2,0)),"",(VLOOKUP($A1111,'Data Pull Sheet'!$B$2:$C$1795,2,0)))</f>
        <v>BGC</v>
      </c>
      <c r="C1111" s="59" t="s">
        <v>522</v>
      </c>
      <c r="D1111" s="356" t="s">
        <v>513</v>
      </c>
      <c r="E1111" s="356" t="s">
        <v>523</v>
      </c>
      <c r="F1111" s="23" t="s">
        <v>2066</v>
      </c>
      <c r="G1111" s="23" t="s">
        <v>403</v>
      </c>
      <c r="H1111" s="353">
        <v>8610</v>
      </c>
      <c r="I1111" s="59"/>
      <c r="J1111" s="59" t="s">
        <v>2067</v>
      </c>
      <c r="K1111" s="20"/>
      <c r="L1111" s="20">
        <v>2</v>
      </c>
      <c r="M1111" s="357">
        <f>SUM(H1111:H1112)</f>
        <v>24504</v>
      </c>
      <c r="N1111" s="411">
        <f>IFERROR((M1111/(VLOOKUP(B1111,'Data Pull Sheet'!$C:$H,6,FALSE))),"DC")</f>
        <v>6.1260000000000004E-4</v>
      </c>
      <c r="O1111" s="23" t="s">
        <v>10956</v>
      </c>
      <c r="P1111" s="92" t="s">
        <v>632</v>
      </c>
      <c r="Q1111" s="92" t="s">
        <v>646</v>
      </c>
      <c r="R1111" s="372" t="str">
        <f t="shared" si="31"/>
        <v/>
      </c>
    </row>
    <row r="1112" spans="1:18" ht="30" x14ac:dyDescent="0.25">
      <c r="A1112" s="23" t="s">
        <v>167</v>
      </c>
      <c r="B1112" s="18" t="str">
        <f>IF(ISNA(VLOOKUP($A1112,'Data Pull Sheet'!$B$2:$C$1795,2,0)),"",(VLOOKUP($A1112,'Data Pull Sheet'!$B$2:$C$1795,2,0)))</f>
        <v>BGC</v>
      </c>
      <c r="C1112" s="59" t="s">
        <v>522</v>
      </c>
      <c r="D1112" s="356" t="s">
        <v>513</v>
      </c>
      <c r="E1112" s="356" t="s">
        <v>523</v>
      </c>
      <c r="F1112" s="23" t="s">
        <v>2069</v>
      </c>
      <c r="G1112" s="23" t="s">
        <v>403</v>
      </c>
      <c r="H1112" s="353">
        <v>15894</v>
      </c>
      <c r="I1112" s="59"/>
      <c r="J1112" s="59" t="s">
        <v>2070</v>
      </c>
      <c r="K1112" s="20"/>
      <c r="L1112" s="20"/>
      <c r="M1112" s="357"/>
      <c r="N1112" s="411"/>
      <c r="O1112" s="23" t="s">
        <v>10956</v>
      </c>
      <c r="P1112" s="92" t="s">
        <v>632</v>
      </c>
      <c r="Q1112" s="92" t="s">
        <v>646</v>
      </c>
      <c r="R1112" s="372" t="str">
        <f t="shared" si="31"/>
        <v/>
      </c>
    </row>
    <row r="1113" spans="1:18" x14ac:dyDescent="0.25">
      <c r="A1113" s="23" t="s">
        <v>1755</v>
      </c>
      <c r="B1113" s="18" t="str">
        <f>IF(ISNA(VLOOKUP($A1113,'Data Pull Sheet'!$B$2:$C$1795,2,0)),"",(VLOOKUP($A1113,'Data Pull Sheet'!$B$2:$C$1795,2,0)))</f>
        <v>ELGX</v>
      </c>
      <c r="C1113" s="59" t="s">
        <v>446</v>
      </c>
      <c r="D1113" s="356" t="s">
        <v>428</v>
      </c>
      <c r="E1113" s="356" t="s">
        <v>523</v>
      </c>
      <c r="F1113" s="23" t="s">
        <v>1756</v>
      </c>
      <c r="G1113" s="23" t="s">
        <v>403</v>
      </c>
      <c r="H1113" s="353">
        <v>7697</v>
      </c>
      <c r="I1113" s="59"/>
      <c r="J1113" s="59" t="s">
        <v>6740</v>
      </c>
      <c r="K1113" s="20">
        <v>2</v>
      </c>
      <c r="L1113" s="20">
        <v>2</v>
      </c>
      <c r="M1113" s="357">
        <f>SUM(H1113:H1114)</f>
        <v>22818</v>
      </c>
      <c r="N1113" s="411">
        <f>IFERROR((M1113/(VLOOKUP(B1113,'Data Pull Sheet'!$C:$H,6,FALSE))),"DC")</f>
        <v>4.5636E-4</v>
      </c>
      <c r="O1113" s="23" t="s">
        <v>1204</v>
      </c>
      <c r="P1113" s="92" t="s">
        <v>632</v>
      </c>
      <c r="Q1113" s="92" t="s">
        <v>646</v>
      </c>
      <c r="R1113" s="372" t="str">
        <f t="shared" si="31"/>
        <v/>
      </c>
    </row>
    <row r="1114" spans="1:18" x14ac:dyDescent="0.25">
      <c r="A1114" s="23" t="s">
        <v>1755</v>
      </c>
      <c r="B1114" s="18" t="str">
        <f>IF(ISNA(VLOOKUP($A1114,'Data Pull Sheet'!$B$2:$C$1795,2,0)),"",(VLOOKUP($A1114,'Data Pull Sheet'!$B$2:$C$1795,2,0)))</f>
        <v>ELGX</v>
      </c>
      <c r="C1114" s="59" t="s">
        <v>446</v>
      </c>
      <c r="D1114" s="356" t="s">
        <v>428</v>
      </c>
      <c r="E1114" s="356" t="s">
        <v>523</v>
      </c>
      <c r="F1114" s="23" t="s">
        <v>1757</v>
      </c>
      <c r="G1114" s="23" t="s">
        <v>403</v>
      </c>
      <c r="H1114" s="353">
        <v>15121</v>
      </c>
      <c r="I1114" s="59"/>
      <c r="J1114" s="59" t="s">
        <v>6742</v>
      </c>
      <c r="K1114" s="20"/>
      <c r="L1114" s="20"/>
      <c r="M1114" s="357"/>
      <c r="N1114" s="411"/>
      <c r="O1114" s="23" t="s">
        <v>1204</v>
      </c>
      <c r="P1114" s="92" t="s">
        <v>632</v>
      </c>
      <c r="Q1114" s="92" t="s">
        <v>646</v>
      </c>
      <c r="R1114" s="372" t="str">
        <f t="shared" si="31"/>
        <v/>
      </c>
    </row>
    <row r="1115" spans="1:18" x14ac:dyDescent="0.25">
      <c r="A1115" s="23" t="s">
        <v>1755</v>
      </c>
      <c r="B1115" s="18" t="str">
        <f>IF(ISNA(VLOOKUP($A1115,'Data Pull Sheet'!$B$2:$C$1795,2,0)),"",(VLOOKUP($A1115,'Data Pull Sheet'!$B$2:$C$1795,2,0)))</f>
        <v>ELGX</v>
      </c>
      <c r="C1115" s="59" t="s">
        <v>446</v>
      </c>
      <c r="D1115" s="356" t="s">
        <v>428</v>
      </c>
      <c r="E1115" s="356" t="s">
        <v>523</v>
      </c>
      <c r="F1115" s="23" t="s">
        <v>1758</v>
      </c>
      <c r="G1115" s="23" t="s">
        <v>403</v>
      </c>
      <c r="H1115" s="353">
        <v>73751.23</v>
      </c>
      <c r="I1115" s="59"/>
      <c r="J1115" s="59" t="s">
        <v>6741</v>
      </c>
      <c r="K1115" s="20"/>
      <c r="L1115" s="20">
        <v>1</v>
      </c>
      <c r="M1115" s="357">
        <f>H1115</f>
        <v>73751.23</v>
      </c>
      <c r="N1115" s="411">
        <f>IFERROR((M1115/(VLOOKUP(B1115,'Data Pull Sheet'!$C:$H,6,FALSE))),"DC")</f>
        <v>1.4750245999999999E-3</v>
      </c>
      <c r="O1115" s="23" t="s">
        <v>682</v>
      </c>
      <c r="P1115" s="92" t="s">
        <v>632</v>
      </c>
      <c r="Q1115" s="92" t="s">
        <v>637</v>
      </c>
      <c r="R1115" s="372" t="str">
        <f t="shared" si="31"/>
        <v/>
      </c>
    </row>
    <row r="1116" spans="1:18" ht="30" x14ac:dyDescent="0.25">
      <c r="A1116" s="23" t="s">
        <v>683</v>
      </c>
      <c r="B1116" s="18" t="str">
        <f>IF(ISNA(VLOOKUP($A1116,'Data Pull Sheet'!$B$2:$C$1795,2,0)),"",(VLOOKUP($A1116,'Data Pull Sheet'!$B$2:$C$1795,2,0)))</f>
        <v>AGRX</v>
      </c>
      <c r="C1116" s="59" t="s">
        <v>424</v>
      </c>
      <c r="D1116" s="356" t="s">
        <v>684</v>
      </c>
      <c r="E1116" s="356" t="s">
        <v>599</v>
      </c>
      <c r="F1116" s="23" t="s">
        <v>685</v>
      </c>
      <c r="G1116" s="23" t="s">
        <v>403</v>
      </c>
      <c r="H1116" s="353">
        <v>8711.56</v>
      </c>
      <c r="I1116" s="59" t="s">
        <v>413</v>
      </c>
      <c r="J1116" s="59" t="s">
        <v>686</v>
      </c>
      <c r="K1116" s="20">
        <v>3</v>
      </c>
      <c r="L1116" s="20">
        <v>2</v>
      </c>
      <c r="M1116" s="357">
        <f>SUM(H1116:H1117)</f>
        <v>18588.46</v>
      </c>
      <c r="N1116" s="411">
        <f>IFERROR((M1116/(VLOOKUP(B1116,'Data Pull Sheet'!$C:$H,6,FALSE))),"DC")</f>
        <v>1.5490383333333334E-3</v>
      </c>
      <c r="O1116" s="23" t="s">
        <v>687</v>
      </c>
      <c r="P1116" s="92" t="s">
        <v>676</v>
      </c>
      <c r="Q1116" s="92" t="s">
        <v>646</v>
      </c>
      <c r="R1116" s="372" t="str">
        <f t="shared" si="31"/>
        <v/>
      </c>
    </row>
    <row r="1117" spans="1:18" ht="30" x14ac:dyDescent="0.25">
      <c r="A1117" s="23" t="s">
        <v>683</v>
      </c>
      <c r="B1117" s="18" t="str">
        <f>IF(ISNA(VLOOKUP($A1117,'Data Pull Sheet'!$B$2:$C$1795,2,0)),"",(VLOOKUP($A1117,'Data Pull Sheet'!$B$2:$C$1795,2,0)))</f>
        <v>AGRX</v>
      </c>
      <c r="C1117" s="59" t="s">
        <v>424</v>
      </c>
      <c r="D1117" s="356" t="s">
        <v>684</v>
      </c>
      <c r="E1117" s="356" t="s">
        <v>599</v>
      </c>
      <c r="F1117" s="23" t="s">
        <v>688</v>
      </c>
      <c r="G1117" s="23" t="s">
        <v>403</v>
      </c>
      <c r="H1117" s="353">
        <v>9876.9</v>
      </c>
      <c r="I1117" s="59" t="s">
        <v>442</v>
      </c>
      <c r="J1117" s="59" t="s">
        <v>689</v>
      </c>
      <c r="K1117" s="20"/>
      <c r="L1117" s="20"/>
      <c r="M1117" s="357"/>
      <c r="N1117" s="411"/>
      <c r="O1117" s="23" t="s">
        <v>687</v>
      </c>
      <c r="P1117" s="92" t="s">
        <v>676</v>
      </c>
      <c r="Q1117" s="92" t="s">
        <v>646</v>
      </c>
      <c r="R1117" s="372" t="str">
        <f t="shared" si="31"/>
        <v/>
      </c>
    </row>
    <row r="1118" spans="1:18" x14ac:dyDescent="0.25">
      <c r="A1118" s="23" t="s">
        <v>683</v>
      </c>
      <c r="B1118" s="18" t="str">
        <f>IF(ISNA(VLOOKUP($A1118,'Data Pull Sheet'!$B$2:$C$1795,2,0)),"",(VLOOKUP($A1118,'Data Pull Sheet'!$B$2:$C$1795,2,0)))</f>
        <v>AGRX</v>
      </c>
      <c r="C1118" s="59" t="s">
        <v>424</v>
      </c>
      <c r="D1118" s="356" t="s">
        <v>684</v>
      </c>
      <c r="E1118" s="356" t="s">
        <v>599</v>
      </c>
      <c r="F1118" s="23" t="s">
        <v>690</v>
      </c>
      <c r="G1118" s="23" t="s">
        <v>403</v>
      </c>
      <c r="H1118" s="353">
        <v>58983.85</v>
      </c>
      <c r="I1118" s="59"/>
      <c r="J1118" s="59" t="s">
        <v>691</v>
      </c>
      <c r="K1118" s="20"/>
      <c r="L1118" s="20">
        <v>1</v>
      </c>
      <c r="M1118" s="357">
        <f>H1118</f>
        <v>58983.85</v>
      </c>
      <c r="N1118" s="411">
        <f>IFERROR((M1118/(VLOOKUP(B1118,'Data Pull Sheet'!$C:$H,6,FALSE))),"DC")</f>
        <v>4.9153208333333328E-3</v>
      </c>
      <c r="O1118" s="23" t="s">
        <v>63</v>
      </c>
      <c r="P1118" s="92" t="s">
        <v>632</v>
      </c>
      <c r="Q1118" s="92" t="s">
        <v>637</v>
      </c>
      <c r="R1118" s="372" t="str">
        <f t="shared" si="31"/>
        <v/>
      </c>
    </row>
    <row r="1119" spans="1:18" x14ac:dyDescent="0.25">
      <c r="A1119" s="23" t="s">
        <v>683</v>
      </c>
      <c r="B1119" s="18" t="str">
        <f>IF(ISNA(VLOOKUP($A1119,'Data Pull Sheet'!$B$2:$C$1795,2,0)),"",(VLOOKUP($A1119,'Data Pull Sheet'!$B$2:$C$1795,2,0)))</f>
        <v>AGRX</v>
      </c>
      <c r="C1119" s="59" t="s">
        <v>424</v>
      </c>
      <c r="D1119" s="356" t="s">
        <v>684</v>
      </c>
      <c r="E1119" s="356" t="s">
        <v>599</v>
      </c>
      <c r="F1119" s="23" t="s">
        <v>692</v>
      </c>
      <c r="G1119" s="23" t="s">
        <v>403</v>
      </c>
      <c r="H1119" s="353">
        <v>29841.43</v>
      </c>
      <c r="I1119" s="59"/>
      <c r="J1119" s="59" t="s">
        <v>693</v>
      </c>
      <c r="K1119" s="20"/>
      <c r="L1119" s="20">
        <v>1</v>
      </c>
      <c r="M1119" s="357">
        <f>H1119</f>
        <v>29841.43</v>
      </c>
      <c r="N1119" s="411">
        <f>IFERROR((M1119/(VLOOKUP(B1119,'Data Pull Sheet'!$C:$H,6,FALSE))),"DC")</f>
        <v>2.4867858333333334E-3</v>
      </c>
      <c r="O1119" s="23" t="s">
        <v>682</v>
      </c>
      <c r="P1119" s="92" t="s">
        <v>632</v>
      </c>
      <c r="Q1119" s="92" t="s">
        <v>637</v>
      </c>
      <c r="R1119" s="372" t="str">
        <f t="shared" si="31"/>
        <v/>
      </c>
    </row>
    <row r="1120" spans="1:18" x14ac:dyDescent="0.25">
      <c r="A1120" s="23" t="s">
        <v>2342</v>
      </c>
      <c r="B1120" s="18" t="str">
        <f>IF(ISNA(VLOOKUP($A1120,'Data Pull Sheet'!$B$2:$C$1795,2,0)),"",(VLOOKUP($A1120,'Data Pull Sheet'!$B$2:$C$1795,2,0)))</f>
        <v>ITEK</v>
      </c>
      <c r="C1120" s="59" t="s">
        <v>409</v>
      </c>
      <c r="D1120" s="356" t="s">
        <v>684</v>
      </c>
      <c r="E1120" s="356" t="s">
        <v>599</v>
      </c>
      <c r="F1120" s="23" t="s">
        <v>2343</v>
      </c>
      <c r="G1120" s="23" t="s">
        <v>403</v>
      </c>
      <c r="H1120" s="353">
        <v>36122.720000000001</v>
      </c>
      <c r="I1120" s="59"/>
      <c r="J1120" s="59" t="s">
        <v>2344</v>
      </c>
      <c r="K1120" s="20">
        <v>3</v>
      </c>
      <c r="L1120" s="20">
        <v>3</v>
      </c>
      <c r="M1120" s="357">
        <f>SUM(H1120:H1122)</f>
        <v>183510.36000000002</v>
      </c>
      <c r="N1120" s="411">
        <f>IFERROR((M1120/(VLOOKUP(B1120,'Data Pull Sheet'!$C:$H,6,FALSE))),"DC")</f>
        <v>3.0585060000000003E-3</v>
      </c>
      <c r="O1120" s="23" t="s">
        <v>2345</v>
      </c>
      <c r="P1120" s="92" t="s">
        <v>632</v>
      </c>
      <c r="Q1120" s="92" t="s">
        <v>646</v>
      </c>
      <c r="R1120" s="372" t="str">
        <f t="shared" si="31"/>
        <v/>
      </c>
    </row>
    <row r="1121" spans="1:18" x14ac:dyDescent="0.25">
      <c r="A1121" s="23" t="s">
        <v>2342</v>
      </c>
      <c r="B1121" s="18" t="str">
        <f>IF(ISNA(VLOOKUP($A1121,'Data Pull Sheet'!$B$2:$C$1795,2,0)),"",(VLOOKUP($A1121,'Data Pull Sheet'!$B$2:$C$1795,2,0)))</f>
        <v>ITEK</v>
      </c>
      <c r="C1121" s="59" t="s">
        <v>409</v>
      </c>
      <c r="D1121" s="356" t="s">
        <v>684</v>
      </c>
      <c r="E1121" s="356" t="s">
        <v>599</v>
      </c>
      <c r="F1121" s="23" t="s">
        <v>2346</v>
      </c>
      <c r="G1121" s="23" t="s">
        <v>403</v>
      </c>
      <c r="H1121" s="353">
        <v>41081.480000000003</v>
      </c>
      <c r="I1121" s="59"/>
      <c r="J1121" s="59" t="s">
        <v>2347</v>
      </c>
      <c r="K1121" s="20"/>
      <c r="L1121" s="20"/>
      <c r="M1121" s="357"/>
      <c r="N1121" s="411"/>
      <c r="O1121" s="23" t="s">
        <v>2345</v>
      </c>
      <c r="P1121" s="92" t="s">
        <v>632</v>
      </c>
      <c r="Q1121" s="92" t="s">
        <v>646</v>
      </c>
      <c r="R1121" s="372" t="str">
        <f t="shared" si="31"/>
        <v/>
      </c>
    </row>
    <row r="1122" spans="1:18" x14ac:dyDescent="0.25">
      <c r="A1122" s="23" t="s">
        <v>2342</v>
      </c>
      <c r="B1122" s="18" t="str">
        <f>IF(ISNA(VLOOKUP($A1122,'Data Pull Sheet'!$B$2:$C$1795,2,0)),"",(VLOOKUP($A1122,'Data Pull Sheet'!$B$2:$C$1795,2,0)))</f>
        <v>ITEK</v>
      </c>
      <c r="C1122" s="59" t="s">
        <v>409</v>
      </c>
      <c r="D1122" s="356" t="s">
        <v>684</v>
      </c>
      <c r="E1122" s="356" t="s">
        <v>599</v>
      </c>
      <c r="F1122" s="23" t="s">
        <v>2348</v>
      </c>
      <c r="G1122" s="23" t="s">
        <v>403</v>
      </c>
      <c r="H1122" s="353">
        <v>106306.16</v>
      </c>
      <c r="I1122" s="59"/>
      <c r="J1122" s="59" t="s">
        <v>2349</v>
      </c>
      <c r="K1122" s="20"/>
      <c r="L1122" s="20"/>
      <c r="M1122" s="357"/>
      <c r="N1122" s="411"/>
      <c r="O1122" s="23" t="s">
        <v>2345</v>
      </c>
      <c r="P1122" s="92" t="s">
        <v>632</v>
      </c>
      <c r="Q1122" s="92" t="s">
        <v>646</v>
      </c>
      <c r="R1122" s="372" t="str">
        <f t="shared" si="31"/>
        <v/>
      </c>
    </row>
    <row r="1123" spans="1:18" ht="30" x14ac:dyDescent="0.25">
      <c r="A1123" s="23" t="s">
        <v>2342</v>
      </c>
      <c r="B1123" s="18" t="str">
        <f>IF(ISNA(VLOOKUP($A1123,'Data Pull Sheet'!$B$2:$C$1795,2,0)),"",(VLOOKUP($A1123,'Data Pull Sheet'!$B$2:$C$1795,2,0)))</f>
        <v>ITEK</v>
      </c>
      <c r="C1123" s="59" t="s">
        <v>409</v>
      </c>
      <c r="D1123" s="356" t="s">
        <v>684</v>
      </c>
      <c r="E1123" s="356" t="s">
        <v>599</v>
      </c>
      <c r="F1123" s="23" t="s">
        <v>2350</v>
      </c>
      <c r="G1123" s="23" t="s">
        <v>403</v>
      </c>
      <c r="H1123" s="353">
        <v>773027.91</v>
      </c>
      <c r="I1123" s="59"/>
      <c r="J1123" s="59" t="s">
        <v>2351</v>
      </c>
      <c r="K1123" s="20"/>
      <c r="L1123" s="20">
        <v>1</v>
      </c>
      <c r="M1123" s="357">
        <f>H1123</f>
        <v>773027.91</v>
      </c>
      <c r="N1123" s="411">
        <f>IFERROR((M1123/(VLOOKUP(B1123,'Data Pull Sheet'!$C:$H,6,FALSE))),"DC")</f>
        <v>1.28837985E-2</v>
      </c>
      <c r="O1123" s="23" t="s">
        <v>2352</v>
      </c>
      <c r="P1123" s="92" t="s">
        <v>632</v>
      </c>
      <c r="Q1123" s="92" t="s">
        <v>637</v>
      </c>
      <c r="R1123" s="372" t="str">
        <f t="shared" si="31"/>
        <v/>
      </c>
    </row>
    <row r="1124" spans="1:18" x14ac:dyDescent="0.25">
      <c r="A1124" s="23" t="s">
        <v>2342</v>
      </c>
      <c r="B1124" s="18" t="str">
        <f>IF(ISNA(VLOOKUP($A1124,'Data Pull Sheet'!$B$2:$C$1795,2,0)),"",(VLOOKUP($A1124,'Data Pull Sheet'!$B$2:$C$1795,2,0)))</f>
        <v>ITEK</v>
      </c>
      <c r="C1124" s="59" t="s">
        <v>409</v>
      </c>
      <c r="D1124" s="356" t="s">
        <v>684</v>
      </c>
      <c r="E1124" s="356" t="s">
        <v>599</v>
      </c>
      <c r="F1124" s="23" t="s">
        <v>2353</v>
      </c>
      <c r="G1124" s="23" t="s">
        <v>403</v>
      </c>
      <c r="H1124" s="353">
        <v>81450</v>
      </c>
      <c r="I1124" s="59" t="s">
        <v>413</v>
      </c>
      <c r="J1124" s="59" t="s">
        <v>2354</v>
      </c>
      <c r="K1124" s="20"/>
      <c r="L1124" s="20">
        <v>1</v>
      </c>
      <c r="M1124" s="357">
        <f>H1124</f>
        <v>81450</v>
      </c>
      <c r="N1124" s="411">
        <f>IFERROR((M1124/(VLOOKUP(B1124,'Data Pull Sheet'!$C:$H,6,FALSE))),"DC")</f>
        <v>1.3575E-3</v>
      </c>
      <c r="O1124" s="23" t="s">
        <v>2355</v>
      </c>
      <c r="P1124" s="92" t="s">
        <v>632</v>
      </c>
      <c r="Q1124" s="92" t="s">
        <v>637</v>
      </c>
      <c r="R1124" s="372" t="str">
        <f t="shared" si="31"/>
        <v/>
      </c>
    </row>
    <row r="1125" spans="1:18" x14ac:dyDescent="0.25">
      <c r="A1125" s="23" t="s">
        <v>3757</v>
      </c>
      <c r="B1125" s="18" t="s">
        <v>10716</v>
      </c>
      <c r="C1125" s="59" t="s">
        <v>418</v>
      </c>
      <c r="D1125" s="356" t="s">
        <v>684</v>
      </c>
      <c r="E1125" s="356" t="s">
        <v>599</v>
      </c>
      <c r="F1125" s="23" t="s">
        <v>3758</v>
      </c>
      <c r="G1125" s="23" t="s">
        <v>403</v>
      </c>
      <c r="H1125" s="353">
        <v>24923.54</v>
      </c>
      <c r="I1125" s="59"/>
      <c r="J1125" s="59" t="s">
        <v>10718</v>
      </c>
      <c r="K1125" s="20">
        <v>1</v>
      </c>
      <c r="L1125" s="20">
        <v>2</v>
      </c>
      <c r="M1125" s="357">
        <f>SUM(H1125:H1126)</f>
        <v>64531.48</v>
      </c>
      <c r="N1125" s="411">
        <f>IFERROR((M1125/(VLOOKUP(B1125,'Data Pull Sheet'!$C:$H,6,FALSE))),"DC")</f>
        <v>1.0755246666666668E-3</v>
      </c>
      <c r="O1125" s="23" t="s">
        <v>63</v>
      </c>
      <c r="P1125" s="92" t="s">
        <v>676</v>
      </c>
      <c r="Q1125" s="92" t="s">
        <v>646</v>
      </c>
      <c r="R1125" s="372" t="str">
        <f t="shared" si="31"/>
        <v/>
      </c>
    </row>
    <row r="1126" spans="1:18" x14ac:dyDescent="0.25">
      <c r="A1126" s="23" t="s">
        <v>3757</v>
      </c>
      <c r="B1126" s="18" t="s">
        <v>10716</v>
      </c>
      <c r="C1126" s="59" t="s">
        <v>418</v>
      </c>
      <c r="D1126" s="356" t="s">
        <v>684</v>
      </c>
      <c r="E1126" s="356" t="s">
        <v>599</v>
      </c>
      <c r="F1126" s="23" t="s">
        <v>3759</v>
      </c>
      <c r="G1126" s="23" t="s">
        <v>403</v>
      </c>
      <c r="H1126" s="353">
        <v>39607.94</v>
      </c>
      <c r="I1126" s="59"/>
      <c r="J1126" s="59" t="s">
        <v>10719</v>
      </c>
      <c r="K1126" s="20"/>
      <c r="L1126" s="20"/>
      <c r="M1126" s="357"/>
      <c r="N1126" s="411"/>
      <c r="O1126" s="23" t="s">
        <v>63</v>
      </c>
      <c r="P1126" s="92" t="s">
        <v>676</v>
      </c>
      <c r="Q1126" s="92" t="s">
        <v>646</v>
      </c>
      <c r="R1126" s="372" t="str">
        <f t="shared" si="31"/>
        <v/>
      </c>
    </row>
    <row r="1127" spans="1:18" ht="30" x14ac:dyDescent="0.25">
      <c r="A1127" s="23" t="s">
        <v>1830</v>
      </c>
      <c r="B1127" s="18" t="str">
        <f>IF(ISNA(VLOOKUP($A1127,'Data Pull Sheet'!$B$2:$C$1795,2,0)),"",(VLOOKUP($A1127,'Data Pull Sheet'!$B$2:$C$1795,2,0)))</f>
        <v>FENX</v>
      </c>
      <c r="C1127" s="59" t="s">
        <v>424</v>
      </c>
      <c r="D1127" s="356" t="s">
        <v>1831</v>
      </c>
      <c r="E1127" s="356" t="s">
        <v>475</v>
      </c>
      <c r="F1127" s="23" t="s">
        <v>1832</v>
      </c>
      <c r="G1127" s="23" t="s">
        <v>403</v>
      </c>
      <c r="H1127" s="353">
        <v>8614.5499999999993</v>
      </c>
      <c r="I1127" s="59"/>
      <c r="J1127" s="59" t="s">
        <v>1833</v>
      </c>
      <c r="K1127" s="20">
        <v>2</v>
      </c>
      <c r="L1127" s="20">
        <v>3</v>
      </c>
      <c r="M1127" s="357">
        <f>SUM(H1127:H1129)</f>
        <v>38362.25</v>
      </c>
      <c r="N1127" s="411">
        <f>IFERROR((M1127/(VLOOKUP(B1127,'Data Pull Sheet'!$C:$H,6,FALSE))),"DC")</f>
        <v>3.836225E-3</v>
      </c>
      <c r="O1127" s="23" t="s">
        <v>1834</v>
      </c>
      <c r="P1127" s="92" t="s">
        <v>632</v>
      </c>
      <c r="Q1127" s="92" t="s">
        <v>646</v>
      </c>
      <c r="R1127" s="372" t="str">
        <f t="shared" si="31"/>
        <v/>
      </c>
    </row>
    <row r="1128" spans="1:18" ht="30" x14ac:dyDescent="0.25">
      <c r="A1128" s="23" t="s">
        <v>1830</v>
      </c>
      <c r="B1128" s="18" t="str">
        <f>IF(ISNA(VLOOKUP($A1128,'Data Pull Sheet'!$B$2:$C$1795,2,0)),"",(VLOOKUP($A1128,'Data Pull Sheet'!$B$2:$C$1795,2,0)))</f>
        <v>FENX</v>
      </c>
      <c r="C1128" s="59" t="s">
        <v>424</v>
      </c>
      <c r="D1128" s="356" t="s">
        <v>1831</v>
      </c>
      <c r="E1128" s="356" t="s">
        <v>475</v>
      </c>
      <c r="F1128" s="23" t="s">
        <v>1835</v>
      </c>
      <c r="G1128" s="23" t="s">
        <v>403</v>
      </c>
      <c r="H1128" s="353">
        <v>14251.97</v>
      </c>
      <c r="I1128" s="59"/>
      <c r="J1128" s="59" t="s">
        <v>1836</v>
      </c>
      <c r="K1128" s="20"/>
      <c r="L1128" s="20"/>
      <c r="M1128" s="357"/>
      <c r="N1128" s="411"/>
      <c r="O1128" s="23" t="s">
        <v>1834</v>
      </c>
      <c r="P1128" s="92" t="s">
        <v>632</v>
      </c>
      <c r="Q1128" s="92" t="s">
        <v>646</v>
      </c>
      <c r="R1128" s="372" t="str">
        <f t="shared" si="31"/>
        <v/>
      </c>
    </row>
    <row r="1129" spans="1:18" ht="30" x14ac:dyDescent="0.25">
      <c r="A1129" s="23" t="s">
        <v>1830</v>
      </c>
      <c r="B1129" s="18" t="str">
        <f>IF(ISNA(VLOOKUP($A1129,'Data Pull Sheet'!$B$2:$C$1795,2,0)),"",(VLOOKUP($A1129,'Data Pull Sheet'!$B$2:$C$1795,2,0)))</f>
        <v>FENX</v>
      </c>
      <c r="C1129" s="59" t="s">
        <v>424</v>
      </c>
      <c r="D1129" s="356" t="s">
        <v>1831</v>
      </c>
      <c r="E1129" s="356" t="s">
        <v>475</v>
      </c>
      <c r="F1129" s="23" t="s">
        <v>1837</v>
      </c>
      <c r="G1129" s="23" t="s">
        <v>403</v>
      </c>
      <c r="H1129" s="353">
        <v>15495.73</v>
      </c>
      <c r="I1129" s="59"/>
      <c r="J1129" s="59" t="s">
        <v>1838</v>
      </c>
      <c r="K1129" s="20"/>
      <c r="L1129" s="20"/>
      <c r="M1129" s="357"/>
      <c r="N1129" s="411"/>
      <c r="O1129" s="23" t="s">
        <v>1834</v>
      </c>
      <c r="P1129" s="92" t="s">
        <v>632</v>
      </c>
      <c r="Q1129" s="92" t="s">
        <v>646</v>
      </c>
      <c r="R1129" s="372" t="str">
        <f t="shared" si="31"/>
        <v/>
      </c>
    </row>
    <row r="1130" spans="1:18" x14ac:dyDescent="0.25">
      <c r="A1130" s="23" t="s">
        <v>1830</v>
      </c>
      <c r="B1130" s="18" t="str">
        <f>IF(ISNA(VLOOKUP($A1130,'Data Pull Sheet'!$B$2:$C$1795,2,0)),"",(VLOOKUP($A1130,'Data Pull Sheet'!$B$2:$C$1795,2,0)))</f>
        <v>FENX</v>
      </c>
      <c r="C1130" s="59" t="s">
        <v>424</v>
      </c>
      <c r="D1130" s="356" t="s">
        <v>1831</v>
      </c>
      <c r="E1130" s="356" t="s">
        <v>475</v>
      </c>
      <c r="F1130" s="23" t="s">
        <v>1839</v>
      </c>
      <c r="G1130" s="23" t="s">
        <v>403</v>
      </c>
      <c r="H1130" s="353">
        <v>23091.82</v>
      </c>
      <c r="I1130" s="59"/>
      <c r="J1130" s="59" t="s">
        <v>1840</v>
      </c>
      <c r="K1130" s="20"/>
      <c r="L1130" s="20">
        <v>1</v>
      </c>
      <c r="M1130" s="357">
        <f>H1130</f>
        <v>23091.82</v>
      </c>
      <c r="N1130" s="411">
        <f>IFERROR((M1130/(VLOOKUP(B1130,'Data Pull Sheet'!$C:$H,6,FALSE))),"DC")</f>
        <v>2.3091819999999999E-3</v>
      </c>
      <c r="O1130" s="23" t="s">
        <v>682</v>
      </c>
      <c r="P1130" s="92" t="s">
        <v>632</v>
      </c>
      <c r="Q1130" s="92" t="s">
        <v>637</v>
      </c>
      <c r="R1130" s="372" t="str">
        <f t="shared" si="31"/>
        <v/>
      </c>
    </row>
    <row r="1131" spans="1:18" ht="30" x14ac:dyDescent="0.25">
      <c r="A1131" s="23" t="s">
        <v>71</v>
      </c>
      <c r="B1131" s="18" t="str">
        <f>IF(ISNA(VLOOKUP($A1131,'Data Pull Sheet'!$B$2:$C$1795,2,0)),"",(VLOOKUP($A1131,'Data Pull Sheet'!$B$2:$C$1795,2,0)))</f>
        <v>NVO</v>
      </c>
      <c r="C1131" s="59" t="s">
        <v>424</v>
      </c>
      <c r="D1131" s="356" t="s">
        <v>474</v>
      </c>
      <c r="E1131" s="356" t="s">
        <v>475</v>
      </c>
      <c r="F1131" s="23" t="s">
        <v>10861</v>
      </c>
      <c r="G1131" s="23" t="s">
        <v>417</v>
      </c>
      <c r="H1131" s="353">
        <v>202681.74</v>
      </c>
      <c r="I1131" s="59" t="s">
        <v>442</v>
      </c>
      <c r="J1131" s="59" t="s">
        <v>2889</v>
      </c>
      <c r="K1131" s="20">
        <v>4</v>
      </c>
      <c r="L1131" s="20">
        <v>4</v>
      </c>
      <c r="M1131" s="357">
        <f>SUM(H1131:H1133)</f>
        <v>1698789.64</v>
      </c>
      <c r="N1131" s="411">
        <f>IFERROR((M1131/(VLOOKUP(B1131,'Data Pull Sheet'!$C:$H,6,FALSE))),"DC")</f>
        <v>9.9928802352941177E-5</v>
      </c>
      <c r="O1131" s="23" t="s">
        <v>2890</v>
      </c>
      <c r="P1131" s="92" t="s">
        <v>632</v>
      </c>
      <c r="Q1131" s="92" t="s">
        <v>640</v>
      </c>
      <c r="R1131" s="372" t="str">
        <f t="shared" si="31"/>
        <v>FF</v>
      </c>
    </row>
    <row r="1132" spans="1:18" ht="30" x14ac:dyDescent="0.25">
      <c r="A1132" s="23" t="s">
        <v>71</v>
      </c>
      <c r="B1132" s="18" t="str">
        <f>IF(ISNA(VLOOKUP($A1132,'Data Pull Sheet'!$B$2:$C$1795,2,0)),"",(VLOOKUP($A1132,'Data Pull Sheet'!$B$2:$C$1795,2,0)))</f>
        <v>NVO</v>
      </c>
      <c r="C1132" s="59" t="s">
        <v>424</v>
      </c>
      <c r="D1132" s="356" t="s">
        <v>474</v>
      </c>
      <c r="E1132" s="356" t="s">
        <v>475</v>
      </c>
      <c r="F1132" s="23" t="s">
        <v>69</v>
      </c>
      <c r="G1132" s="23" t="s">
        <v>417</v>
      </c>
      <c r="H1132" s="353">
        <v>523217.91999999998</v>
      </c>
      <c r="I1132" s="59" t="s">
        <v>442</v>
      </c>
      <c r="J1132" s="59" t="s">
        <v>2891</v>
      </c>
      <c r="K1132" s="20"/>
      <c r="L1132" s="20"/>
      <c r="M1132" s="357"/>
      <c r="N1132" s="411"/>
      <c r="O1132" s="23" t="s">
        <v>2890</v>
      </c>
      <c r="P1132" s="92" t="s">
        <v>632</v>
      </c>
      <c r="Q1132" s="92" t="s">
        <v>640</v>
      </c>
      <c r="R1132" s="372" t="str">
        <f t="shared" si="31"/>
        <v>FF</v>
      </c>
    </row>
    <row r="1133" spans="1:18" ht="30" x14ac:dyDescent="0.25">
      <c r="A1133" s="23" t="s">
        <v>71</v>
      </c>
      <c r="B1133" s="18" t="str">
        <f>IF(ISNA(VLOOKUP($A1133,'Data Pull Sheet'!$B$2:$C$1795,2,0)),"",(VLOOKUP($A1133,'Data Pull Sheet'!$B$2:$C$1795,2,0)))</f>
        <v>NVO</v>
      </c>
      <c r="C1133" s="59" t="s">
        <v>424</v>
      </c>
      <c r="D1133" s="356" t="s">
        <v>474</v>
      </c>
      <c r="E1133" s="356" t="s">
        <v>475</v>
      </c>
      <c r="F1133" s="23" t="s">
        <v>274</v>
      </c>
      <c r="G1133" s="23" t="s">
        <v>417</v>
      </c>
      <c r="H1133" s="353">
        <v>972889.98</v>
      </c>
      <c r="I1133" s="59" t="s">
        <v>413</v>
      </c>
      <c r="J1133" s="59" t="s">
        <v>2892</v>
      </c>
      <c r="K1133" s="20"/>
      <c r="L1133" s="20"/>
      <c r="M1133" s="357"/>
      <c r="N1133" s="411"/>
      <c r="O1133" s="23" t="s">
        <v>2890</v>
      </c>
      <c r="P1133" s="92" t="s">
        <v>632</v>
      </c>
      <c r="Q1133" s="92" t="s">
        <v>640</v>
      </c>
      <c r="R1133" s="372" t="str">
        <f t="shared" si="31"/>
        <v>FF</v>
      </c>
    </row>
    <row r="1134" spans="1:18" ht="30" x14ac:dyDescent="0.25">
      <c r="A1134" s="23" t="s">
        <v>71</v>
      </c>
      <c r="B1134" s="18" t="str">
        <f>IF(ISNA(VLOOKUP($A1134,'Data Pull Sheet'!$B$2:$C$1795,2,0)),"",(VLOOKUP($A1134,'Data Pull Sheet'!$B$2:$C$1795,2,0)))</f>
        <v>NVO</v>
      </c>
      <c r="C1134" s="59" t="s">
        <v>424</v>
      </c>
      <c r="D1134" s="356" t="s">
        <v>474</v>
      </c>
      <c r="E1134" s="356" t="s">
        <v>475</v>
      </c>
      <c r="F1134" s="23" t="s">
        <v>152</v>
      </c>
      <c r="G1134" s="23" t="s">
        <v>417</v>
      </c>
      <c r="H1134" s="353">
        <v>1138553.33</v>
      </c>
      <c r="I1134" s="59" t="s">
        <v>442</v>
      </c>
      <c r="J1134" s="59" t="s">
        <v>2893</v>
      </c>
      <c r="K1134" s="20"/>
      <c r="L1134" s="20"/>
      <c r="M1134" s="357"/>
      <c r="N1134" s="411"/>
      <c r="O1134" s="23" t="s">
        <v>2890</v>
      </c>
      <c r="P1134" s="92" t="s">
        <v>632</v>
      </c>
      <c r="Q1134" s="92" t="s">
        <v>640</v>
      </c>
      <c r="R1134" s="372" t="str">
        <f t="shared" si="31"/>
        <v>FF</v>
      </c>
    </row>
    <row r="1135" spans="1:18" x14ac:dyDescent="0.25">
      <c r="A1135" s="23" t="s">
        <v>71</v>
      </c>
      <c r="B1135" s="18" t="str">
        <f>IF(ISNA(VLOOKUP($A1135,'Data Pull Sheet'!$B$2:$C$1795,2,0)),"",(VLOOKUP($A1135,'Data Pull Sheet'!$B$2:$C$1795,2,0)))</f>
        <v>NVO</v>
      </c>
      <c r="C1135" s="59" t="s">
        <v>424</v>
      </c>
      <c r="D1135" s="356" t="s">
        <v>474</v>
      </c>
      <c r="E1135" s="356" t="s">
        <v>475</v>
      </c>
      <c r="F1135" s="23" t="s">
        <v>2894</v>
      </c>
      <c r="G1135" s="23" t="s">
        <v>403</v>
      </c>
      <c r="H1135" s="353">
        <v>1022233.79</v>
      </c>
      <c r="I1135" s="59" t="s">
        <v>406</v>
      </c>
      <c r="J1135" s="59" t="s">
        <v>2895</v>
      </c>
      <c r="K1135" s="20"/>
      <c r="L1135" s="20">
        <v>1</v>
      </c>
      <c r="M1135" s="357">
        <f>H1135</f>
        <v>1022233.79</v>
      </c>
      <c r="N1135" s="411">
        <f>IFERROR((M1135/(VLOOKUP(B1135,'Data Pull Sheet'!$C:$H,6,FALSE))),"DC")</f>
        <v>6.0131399411764707E-5</v>
      </c>
      <c r="O1135" s="23" t="s">
        <v>63</v>
      </c>
      <c r="P1135" s="92" t="s">
        <v>632</v>
      </c>
      <c r="Q1135" s="92" t="s">
        <v>637</v>
      </c>
      <c r="R1135" s="372" t="str">
        <f t="shared" si="31"/>
        <v/>
      </c>
    </row>
    <row r="1136" spans="1:18" x14ac:dyDescent="0.25">
      <c r="A1136" s="23" t="s">
        <v>71</v>
      </c>
      <c r="B1136" s="18" t="str">
        <f>IF(ISNA(VLOOKUP($A1136,'Data Pull Sheet'!$B$2:$C$1795,2,0)),"",(VLOOKUP($A1136,'Data Pull Sheet'!$B$2:$C$1795,2,0)))</f>
        <v>NVO</v>
      </c>
      <c r="C1136" s="59" t="s">
        <v>424</v>
      </c>
      <c r="D1136" s="356" t="s">
        <v>474</v>
      </c>
      <c r="E1136" s="356" t="s">
        <v>475</v>
      </c>
      <c r="F1136" s="23" t="s">
        <v>230</v>
      </c>
      <c r="G1136" s="23" t="s">
        <v>417</v>
      </c>
      <c r="H1136" s="353">
        <v>52823</v>
      </c>
      <c r="I1136" s="59"/>
      <c r="J1136" s="59" t="s">
        <v>2896</v>
      </c>
      <c r="K1136" s="20"/>
      <c r="L1136" s="20">
        <v>1</v>
      </c>
      <c r="M1136" s="357">
        <f>H1136</f>
        <v>52823</v>
      </c>
      <c r="N1136" s="411">
        <f>IFERROR((M1136/(VLOOKUP(B1136,'Data Pull Sheet'!$C:$H,6,FALSE))),"DC")</f>
        <v>3.1072352941176469E-6</v>
      </c>
      <c r="O1136" s="23" t="s">
        <v>2897</v>
      </c>
      <c r="P1136" s="92" t="s">
        <v>632</v>
      </c>
      <c r="Q1136" s="92" t="s">
        <v>633</v>
      </c>
      <c r="R1136" s="372" t="str">
        <f t="shared" si="31"/>
        <v>FF</v>
      </c>
    </row>
    <row r="1137" spans="1:18" ht="30" x14ac:dyDescent="0.25">
      <c r="A1137" s="23" t="s">
        <v>71</v>
      </c>
      <c r="B1137" s="18" t="str">
        <f>IF(ISNA(VLOOKUP($A1137,'Data Pull Sheet'!$B$2:$C$1795,2,0)),"",(VLOOKUP($A1137,'Data Pull Sheet'!$B$2:$C$1795,2,0)))</f>
        <v>NVO</v>
      </c>
      <c r="C1137" s="59" t="s">
        <v>424</v>
      </c>
      <c r="D1137" s="356" t="s">
        <v>474</v>
      </c>
      <c r="E1137" s="356" t="s">
        <v>475</v>
      </c>
      <c r="F1137" s="23" t="s">
        <v>2898</v>
      </c>
      <c r="G1137" s="23" t="s">
        <v>417</v>
      </c>
      <c r="H1137" s="353">
        <v>3983836.71</v>
      </c>
      <c r="I1137" s="59"/>
      <c r="J1137" s="59" t="s">
        <v>2899</v>
      </c>
      <c r="K1137" s="20"/>
      <c r="L1137" s="20">
        <v>1</v>
      </c>
      <c r="M1137" s="357">
        <f>H1137</f>
        <v>3983836.71</v>
      </c>
      <c r="N1137" s="411">
        <f>IFERROR((M1137/(VLOOKUP(B1137,'Data Pull Sheet'!$C:$H,6,FALSE))),"DC")</f>
        <v>2.3434333588235294E-4</v>
      </c>
      <c r="O1137" s="23" t="s">
        <v>2900</v>
      </c>
      <c r="P1137" s="92" t="s">
        <v>632</v>
      </c>
      <c r="Q1137" s="92" t="s">
        <v>640</v>
      </c>
      <c r="R1137" s="372" t="str">
        <f t="shared" si="31"/>
        <v/>
      </c>
    </row>
    <row r="1138" spans="1:18" x14ac:dyDescent="0.25">
      <c r="A1138" s="23" t="s">
        <v>2939</v>
      </c>
      <c r="B1138" s="18" t="str">
        <f>IF(ISNA(VLOOKUP($A1138,'Data Pull Sheet'!$B$2:$C$1795,2,0)),"",(VLOOKUP($A1138,'Data Pull Sheet'!$B$2:$C$1795,2,0)))</f>
        <v>OPHT</v>
      </c>
      <c r="C1138" s="59" t="s">
        <v>418</v>
      </c>
      <c r="D1138" s="356" t="s">
        <v>474</v>
      </c>
      <c r="E1138" s="356" t="s">
        <v>475</v>
      </c>
      <c r="F1138" s="23" t="s">
        <v>2940</v>
      </c>
      <c r="G1138" s="23" t="s">
        <v>403</v>
      </c>
      <c r="H1138" s="353">
        <v>3196.09</v>
      </c>
      <c r="I1138" s="59"/>
      <c r="J1138" s="59" t="s">
        <v>2941</v>
      </c>
      <c r="K1138" s="20">
        <v>8</v>
      </c>
      <c r="L1138" s="20">
        <v>3</v>
      </c>
      <c r="M1138" s="357">
        <f>SUM(H1138:H1140)</f>
        <v>14556.89</v>
      </c>
      <c r="N1138" s="411">
        <f>IFERROR((M1138/(VLOOKUP(B1138,'Data Pull Sheet'!$C:$H,6,FALSE))),"DC")</f>
        <v>1.6174322222222223E-5</v>
      </c>
      <c r="O1138" s="23" t="s">
        <v>1280</v>
      </c>
      <c r="P1138" s="92" t="s">
        <v>632</v>
      </c>
      <c r="Q1138" s="92" t="s">
        <v>646</v>
      </c>
      <c r="R1138" s="372" t="str">
        <f t="shared" si="31"/>
        <v/>
      </c>
    </row>
    <row r="1139" spans="1:18" x14ac:dyDescent="0.25">
      <c r="A1139" s="23" t="s">
        <v>2939</v>
      </c>
      <c r="B1139" s="18" t="str">
        <f>IF(ISNA(VLOOKUP($A1139,'Data Pull Sheet'!$B$2:$C$1795,2,0)),"",(VLOOKUP($A1139,'Data Pull Sheet'!$B$2:$C$1795,2,0)))</f>
        <v>OPHT</v>
      </c>
      <c r="C1139" s="59" t="s">
        <v>418</v>
      </c>
      <c r="D1139" s="356" t="s">
        <v>474</v>
      </c>
      <c r="E1139" s="356" t="s">
        <v>475</v>
      </c>
      <c r="F1139" s="23" t="s">
        <v>2942</v>
      </c>
      <c r="G1139" s="23" t="s">
        <v>403</v>
      </c>
      <c r="H1139" s="353">
        <v>4925.6000000000004</v>
      </c>
      <c r="I1139" s="59"/>
      <c r="J1139" s="59" t="s">
        <v>2943</v>
      </c>
      <c r="K1139" s="20"/>
      <c r="L1139" s="20"/>
      <c r="M1139" s="357"/>
      <c r="N1139" s="411"/>
      <c r="O1139" s="23" t="s">
        <v>1280</v>
      </c>
      <c r="P1139" s="92" t="s">
        <v>632</v>
      </c>
      <c r="Q1139" s="92" t="s">
        <v>646</v>
      </c>
      <c r="R1139" s="372" t="str">
        <f t="shared" si="31"/>
        <v/>
      </c>
    </row>
    <row r="1140" spans="1:18" x14ac:dyDescent="0.25">
      <c r="A1140" s="23" t="s">
        <v>2939</v>
      </c>
      <c r="B1140" s="18" t="str">
        <f>IF(ISNA(VLOOKUP($A1140,'Data Pull Sheet'!$B$2:$C$1795,2,0)),"",(VLOOKUP($A1140,'Data Pull Sheet'!$B$2:$C$1795,2,0)))</f>
        <v>OPHT</v>
      </c>
      <c r="C1140" s="59" t="s">
        <v>418</v>
      </c>
      <c r="D1140" s="356" t="s">
        <v>474</v>
      </c>
      <c r="E1140" s="356" t="s">
        <v>475</v>
      </c>
      <c r="F1140" s="23" t="s">
        <v>2944</v>
      </c>
      <c r="G1140" s="23" t="s">
        <v>403</v>
      </c>
      <c r="H1140" s="353">
        <v>6435.2</v>
      </c>
      <c r="I1140" s="59"/>
      <c r="J1140" s="59" t="s">
        <v>2945</v>
      </c>
      <c r="K1140" s="20"/>
      <c r="L1140" s="20"/>
      <c r="M1140" s="357"/>
      <c r="N1140" s="411"/>
      <c r="O1140" s="23" t="s">
        <v>1280</v>
      </c>
      <c r="P1140" s="92" t="s">
        <v>632</v>
      </c>
      <c r="Q1140" s="92" t="s">
        <v>646</v>
      </c>
      <c r="R1140" s="372" t="str">
        <f t="shared" si="31"/>
        <v/>
      </c>
    </row>
    <row r="1141" spans="1:18" x14ac:dyDescent="0.25">
      <c r="A1141" s="23" t="s">
        <v>2939</v>
      </c>
      <c r="B1141" s="18" t="str">
        <f>IF(ISNA(VLOOKUP($A1141,'Data Pull Sheet'!$B$2:$C$1795,2,0)),"",(VLOOKUP($A1141,'Data Pull Sheet'!$B$2:$C$1795,2,0)))</f>
        <v>OPHT</v>
      </c>
      <c r="C1141" s="59" t="s">
        <v>418</v>
      </c>
      <c r="D1141" s="356" t="s">
        <v>474</v>
      </c>
      <c r="E1141" s="356" t="s">
        <v>475</v>
      </c>
      <c r="F1141" s="23" t="s">
        <v>2946</v>
      </c>
      <c r="G1141" s="23" t="s">
        <v>403</v>
      </c>
      <c r="H1141" s="353">
        <v>248489.8</v>
      </c>
      <c r="I1141" s="59" t="s">
        <v>406</v>
      </c>
      <c r="J1141" s="59" t="s">
        <v>2947</v>
      </c>
      <c r="K1141" s="20"/>
      <c r="L1141" s="20">
        <v>1</v>
      </c>
      <c r="M1141" s="357">
        <f>H1141</f>
        <v>248489.8</v>
      </c>
      <c r="N1141" s="411">
        <f>IFERROR((M1141/(VLOOKUP(B1141,'Data Pull Sheet'!$C:$H,6,FALSE))),"DC")</f>
        <v>2.7609977777777776E-4</v>
      </c>
      <c r="O1141" s="23" t="s">
        <v>407</v>
      </c>
      <c r="P1141" s="92" t="s">
        <v>632</v>
      </c>
      <c r="Q1141" s="92" t="s">
        <v>637</v>
      </c>
      <c r="R1141" s="372" t="str">
        <f t="shared" si="31"/>
        <v/>
      </c>
    </row>
    <row r="1142" spans="1:18" x14ac:dyDescent="0.25">
      <c r="A1142" s="23" t="s">
        <v>2939</v>
      </c>
      <c r="B1142" s="18" t="str">
        <f>IF(ISNA(VLOOKUP($A1142,'Data Pull Sheet'!$B$2:$C$1795,2,0)),"",(VLOOKUP($A1142,'Data Pull Sheet'!$B$2:$C$1795,2,0)))</f>
        <v>OPHT</v>
      </c>
      <c r="C1142" s="59" t="s">
        <v>418</v>
      </c>
      <c r="D1142" s="356" t="s">
        <v>474</v>
      </c>
      <c r="E1142" s="356" t="s">
        <v>475</v>
      </c>
      <c r="F1142" s="23" t="s">
        <v>2948</v>
      </c>
      <c r="G1142" s="23" t="s">
        <v>403</v>
      </c>
      <c r="H1142" s="353">
        <v>4140587</v>
      </c>
      <c r="I1142" s="59"/>
      <c r="J1142" s="59" t="s">
        <v>2949</v>
      </c>
      <c r="K1142" s="20"/>
      <c r="L1142" s="20">
        <v>1</v>
      </c>
      <c r="M1142" s="357">
        <f>H1142</f>
        <v>4140587</v>
      </c>
      <c r="N1142" s="411">
        <f>IFERROR((M1142/(VLOOKUP(B1142,'Data Pull Sheet'!$C:$H,6,FALSE))),"DC")</f>
        <v>4.6006522222222226E-3</v>
      </c>
      <c r="O1142" s="23" t="s">
        <v>2950</v>
      </c>
      <c r="P1142" s="92" t="s">
        <v>632</v>
      </c>
      <c r="Q1142" s="92" t="s">
        <v>637</v>
      </c>
      <c r="R1142" s="372" t="str">
        <f t="shared" si="31"/>
        <v/>
      </c>
    </row>
    <row r="1143" spans="1:18" x14ac:dyDescent="0.25">
      <c r="A1143" s="23" t="s">
        <v>2939</v>
      </c>
      <c r="B1143" s="18" t="str">
        <f>IF(ISNA(VLOOKUP($A1143,'Data Pull Sheet'!$B$2:$C$1795,2,0)),"",(VLOOKUP($A1143,'Data Pull Sheet'!$B$2:$C$1795,2,0)))</f>
        <v>OPHT</v>
      </c>
      <c r="C1143" s="59" t="s">
        <v>418</v>
      </c>
      <c r="D1143" s="356" t="s">
        <v>474</v>
      </c>
      <c r="E1143" s="356" t="s">
        <v>475</v>
      </c>
      <c r="F1143" s="23" t="s">
        <v>2951</v>
      </c>
      <c r="G1143" s="23" t="s">
        <v>403</v>
      </c>
      <c r="H1143" s="353">
        <v>20430</v>
      </c>
      <c r="I1143" s="59"/>
      <c r="J1143" s="59" t="s">
        <v>2952</v>
      </c>
      <c r="K1143" s="20"/>
      <c r="L1143" s="20">
        <v>1</v>
      </c>
      <c r="M1143" s="357">
        <f>H1143</f>
        <v>20430</v>
      </c>
      <c r="N1143" s="411">
        <f>IFERROR((M1143/(VLOOKUP(B1143,'Data Pull Sheet'!$C:$H,6,FALSE))),"DC")</f>
        <v>2.27E-5</v>
      </c>
      <c r="O1143" s="23" t="s">
        <v>60</v>
      </c>
      <c r="P1143" s="92" t="s">
        <v>632</v>
      </c>
      <c r="Q1143" s="92" t="s">
        <v>637</v>
      </c>
      <c r="R1143" s="372" t="str">
        <f t="shared" si="31"/>
        <v/>
      </c>
    </row>
    <row r="1144" spans="1:18" x14ac:dyDescent="0.25">
      <c r="A1144" s="23" t="s">
        <v>2939</v>
      </c>
      <c r="B1144" s="18" t="str">
        <f>IF(ISNA(VLOOKUP($A1144,'Data Pull Sheet'!$B$2:$C$1795,2,0)),"",(VLOOKUP($A1144,'Data Pull Sheet'!$B$2:$C$1795,2,0)))</f>
        <v>OPHT</v>
      </c>
      <c r="C1144" s="59" t="s">
        <v>418</v>
      </c>
      <c r="D1144" s="356" t="s">
        <v>474</v>
      </c>
      <c r="E1144" s="356" t="s">
        <v>475</v>
      </c>
      <c r="F1144" s="23" t="s">
        <v>10448</v>
      </c>
      <c r="G1144" s="23" t="s">
        <v>403</v>
      </c>
      <c r="H1144" s="353">
        <v>3561093</v>
      </c>
      <c r="I1144" s="59"/>
      <c r="J1144" s="59" t="s">
        <v>10449</v>
      </c>
      <c r="K1144" s="20"/>
      <c r="L1144" s="20">
        <v>1</v>
      </c>
      <c r="M1144" s="357">
        <f>+H1144</f>
        <v>3561093</v>
      </c>
      <c r="N1144" s="411">
        <f>IFERROR((M1144/(VLOOKUP(B1144,'Data Pull Sheet'!$C:$H,6,FALSE))),"DC")</f>
        <v>3.9567700000000001E-3</v>
      </c>
      <c r="O1144" s="23" t="s">
        <v>584</v>
      </c>
      <c r="P1144" s="92" t="s">
        <v>632</v>
      </c>
      <c r="Q1144" s="92" t="s">
        <v>637</v>
      </c>
      <c r="R1144" s="372" t="str">
        <f t="shared" si="31"/>
        <v/>
      </c>
    </row>
    <row r="1145" spans="1:18" x14ac:dyDescent="0.25">
      <c r="A1145" s="23" t="s">
        <v>2939</v>
      </c>
      <c r="B1145" s="18" t="str">
        <f>IF(ISNA(VLOOKUP($A1145,'Data Pull Sheet'!$B$2:$C$1795,2,0)),"",(VLOOKUP($A1145,'Data Pull Sheet'!$B$2:$C$1795,2,0)))</f>
        <v>OPHT</v>
      </c>
      <c r="C1145" s="59" t="s">
        <v>418</v>
      </c>
      <c r="D1145" s="356" t="s">
        <v>474</v>
      </c>
      <c r="E1145" s="356" t="s">
        <v>475</v>
      </c>
      <c r="F1145" s="23" t="s">
        <v>2956</v>
      </c>
      <c r="G1145" s="23" t="s">
        <v>403</v>
      </c>
      <c r="H1145" s="353">
        <v>142078.46</v>
      </c>
      <c r="I1145" s="59"/>
      <c r="J1145" s="59" t="s">
        <v>2957</v>
      </c>
      <c r="K1145" s="20"/>
      <c r="L1145" s="20">
        <v>5</v>
      </c>
      <c r="M1145" s="357">
        <f>SUM(H1145:H1149)</f>
        <v>2055468.23</v>
      </c>
      <c r="N1145" s="411">
        <f>IFERROR((M1145/(VLOOKUP(B1145,'Data Pull Sheet'!$C:$H,6,FALSE))),"DC")</f>
        <v>2.2838535888888888E-3</v>
      </c>
      <c r="O1145" s="23" t="s">
        <v>10822</v>
      </c>
      <c r="P1145" s="92" t="s">
        <v>632</v>
      </c>
      <c r="Q1145" s="92" t="s">
        <v>662</v>
      </c>
      <c r="R1145" s="372" t="str">
        <f t="shared" si="31"/>
        <v/>
      </c>
    </row>
    <row r="1146" spans="1:18" x14ac:dyDescent="0.25">
      <c r="A1146" s="23" t="s">
        <v>2939</v>
      </c>
      <c r="B1146" s="18" t="str">
        <f>IF(ISNA(VLOOKUP($A1146,'Data Pull Sheet'!$B$2:$C$1795,2,0)),"",(VLOOKUP($A1146,'Data Pull Sheet'!$B$2:$C$1795,2,0)))</f>
        <v>OPHT</v>
      </c>
      <c r="C1146" s="59" t="s">
        <v>418</v>
      </c>
      <c r="D1146" s="356" t="s">
        <v>474</v>
      </c>
      <c r="E1146" s="356" t="s">
        <v>475</v>
      </c>
      <c r="F1146" s="23" t="s">
        <v>2959</v>
      </c>
      <c r="G1146" s="23" t="s">
        <v>403</v>
      </c>
      <c r="H1146" s="353">
        <v>200738.18</v>
      </c>
      <c r="I1146" s="59"/>
      <c r="J1146" s="59" t="s">
        <v>2960</v>
      </c>
      <c r="K1146" s="20"/>
      <c r="L1146" s="20"/>
      <c r="M1146" s="357"/>
      <c r="N1146" s="411"/>
      <c r="O1146" s="23" t="s">
        <v>10822</v>
      </c>
      <c r="P1146" s="92" t="s">
        <v>632</v>
      </c>
      <c r="Q1146" s="92" t="s">
        <v>662</v>
      </c>
      <c r="R1146" s="372" t="str">
        <f t="shared" si="31"/>
        <v/>
      </c>
    </row>
    <row r="1147" spans="1:18" x14ac:dyDescent="0.25">
      <c r="A1147" s="23" t="s">
        <v>2939</v>
      </c>
      <c r="B1147" s="18" t="str">
        <f>IF(ISNA(VLOOKUP($A1147,'Data Pull Sheet'!$B$2:$C$1795,2,0)),"",(VLOOKUP($A1147,'Data Pull Sheet'!$B$2:$C$1795,2,0)))</f>
        <v>OPHT</v>
      </c>
      <c r="C1147" s="59" t="s">
        <v>418</v>
      </c>
      <c r="D1147" s="356" t="s">
        <v>474</v>
      </c>
      <c r="E1147" s="356" t="s">
        <v>475</v>
      </c>
      <c r="F1147" s="23" t="s">
        <v>2961</v>
      </c>
      <c r="G1147" s="23" t="s">
        <v>403</v>
      </c>
      <c r="H1147" s="353">
        <v>233962.03</v>
      </c>
      <c r="I1147" s="59"/>
      <c r="J1147" s="59" t="s">
        <v>2962</v>
      </c>
      <c r="K1147" s="20"/>
      <c r="L1147" s="20"/>
      <c r="M1147" s="357"/>
      <c r="N1147" s="411"/>
      <c r="O1147" s="23" t="s">
        <v>10822</v>
      </c>
      <c r="P1147" s="92" t="s">
        <v>632</v>
      </c>
      <c r="Q1147" s="92" t="s">
        <v>662</v>
      </c>
      <c r="R1147" s="372" t="str">
        <f t="shared" si="31"/>
        <v/>
      </c>
    </row>
    <row r="1148" spans="1:18" x14ac:dyDescent="0.25">
      <c r="A1148" s="23" t="s">
        <v>2939</v>
      </c>
      <c r="B1148" s="18" t="str">
        <f>IF(ISNA(VLOOKUP($A1148,'Data Pull Sheet'!$B$2:$C$1795,2,0)),"",(VLOOKUP($A1148,'Data Pull Sheet'!$B$2:$C$1795,2,0)))</f>
        <v>OPHT</v>
      </c>
      <c r="C1148" s="59" t="s">
        <v>418</v>
      </c>
      <c r="D1148" s="356" t="s">
        <v>474</v>
      </c>
      <c r="E1148" s="356" t="s">
        <v>475</v>
      </c>
      <c r="F1148" s="23" t="s">
        <v>128</v>
      </c>
      <c r="G1148" s="23" t="s">
        <v>417</v>
      </c>
      <c r="H1148" s="353">
        <v>522574.94</v>
      </c>
      <c r="I1148" s="59"/>
      <c r="J1148" s="59" t="s">
        <v>2963</v>
      </c>
      <c r="K1148" s="20"/>
      <c r="L1148" s="20"/>
      <c r="M1148" s="357"/>
      <c r="N1148" s="411"/>
      <c r="O1148" s="23" t="s">
        <v>10822</v>
      </c>
      <c r="P1148" s="92" t="s">
        <v>632</v>
      </c>
      <c r="Q1148" s="92" t="s">
        <v>662</v>
      </c>
      <c r="R1148" s="372" t="str">
        <f t="shared" si="31"/>
        <v>FF</v>
      </c>
    </row>
    <row r="1149" spans="1:18" x14ac:dyDescent="0.25">
      <c r="A1149" s="23" t="s">
        <v>2939</v>
      </c>
      <c r="B1149" s="18" t="str">
        <f>IF(ISNA(VLOOKUP($A1149,'Data Pull Sheet'!$B$2:$C$1795,2,0)),"",(VLOOKUP($A1149,'Data Pull Sheet'!$B$2:$C$1795,2,0)))</f>
        <v>OPHT</v>
      </c>
      <c r="C1149" s="59" t="s">
        <v>418</v>
      </c>
      <c r="D1149" s="356" t="s">
        <v>474</v>
      </c>
      <c r="E1149" s="356" t="s">
        <v>475</v>
      </c>
      <c r="F1149" s="23" t="s">
        <v>2964</v>
      </c>
      <c r="G1149" s="23" t="s">
        <v>403</v>
      </c>
      <c r="H1149" s="353">
        <v>956114.62</v>
      </c>
      <c r="I1149" s="59"/>
      <c r="J1149" s="59" t="s">
        <v>2965</v>
      </c>
      <c r="K1149" s="20"/>
      <c r="L1149" s="20"/>
      <c r="M1149" s="357"/>
      <c r="N1149" s="411"/>
      <c r="O1149" s="23" t="s">
        <v>10822</v>
      </c>
      <c r="P1149" s="92" t="s">
        <v>632</v>
      </c>
      <c r="Q1149" s="92" t="s">
        <v>662</v>
      </c>
      <c r="R1149" s="372" t="str">
        <f t="shared" si="31"/>
        <v/>
      </c>
    </row>
    <row r="1150" spans="1:18" ht="30" x14ac:dyDescent="0.25">
      <c r="A1150" s="23" t="s">
        <v>2939</v>
      </c>
      <c r="B1150" s="18" t="str">
        <f>IF(ISNA(VLOOKUP($A1150,'Data Pull Sheet'!$B$2:$C$1795,2,0)),"",(VLOOKUP($A1150,'Data Pull Sheet'!$B$2:$C$1795,2,0)))</f>
        <v>OPHT</v>
      </c>
      <c r="C1150" s="59" t="s">
        <v>418</v>
      </c>
      <c r="D1150" s="356" t="s">
        <v>474</v>
      </c>
      <c r="E1150" s="356" t="s">
        <v>475</v>
      </c>
      <c r="F1150" s="23" t="s">
        <v>2966</v>
      </c>
      <c r="G1150" s="23" t="s">
        <v>417</v>
      </c>
      <c r="H1150" s="353">
        <v>1059702.3500000001</v>
      </c>
      <c r="I1150" s="59" t="s">
        <v>413</v>
      </c>
      <c r="J1150" s="59" t="s">
        <v>2967</v>
      </c>
      <c r="K1150" s="20"/>
      <c r="L1150" s="20">
        <v>1</v>
      </c>
      <c r="M1150" s="357">
        <f t="shared" ref="M1150:M1156" si="32">H1150</f>
        <v>1059702.3500000001</v>
      </c>
      <c r="N1150" s="411">
        <f>IFERROR((M1150/(VLOOKUP(B1150,'Data Pull Sheet'!$C:$H,6,FALSE))),"DC")</f>
        <v>1.1774470555555557E-3</v>
      </c>
      <c r="O1150" s="23" t="s">
        <v>161</v>
      </c>
      <c r="P1150" s="92" t="s">
        <v>632</v>
      </c>
      <c r="Q1150" s="92" t="s">
        <v>633</v>
      </c>
      <c r="R1150" s="372" t="str">
        <f t="shared" si="31"/>
        <v/>
      </c>
    </row>
    <row r="1151" spans="1:18" ht="30" x14ac:dyDescent="0.25">
      <c r="A1151" s="23" t="s">
        <v>2939</v>
      </c>
      <c r="B1151" s="18" t="str">
        <f>IF(ISNA(VLOOKUP($A1151,'Data Pull Sheet'!$B$2:$C$1795,2,0)),"",(VLOOKUP($A1151,'Data Pull Sheet'!$B$2:$C$1795,2,0)))</f>
        <v>OPHT</v>
      </c>
      <c r="C1151" s="59" t="s">
        <v>418</v>
      </c>
      <c r="D1151" s="356" t="s">
        <v>474</v>
      </c>
      <c r="E1151" s="356" t="s">
        <v>475</v>
      </c>
      <c r="F1151" s="23" t="s">
        <v>2968</v>
      </c>
      <c r="G1151" s="23" t="s">
        <v>417</v>
      </c>
      <c r="H1151" s="353">
        <v>1004573.27</v>
      </c>
      <c r="I1151" s="59"/>
      <c r="J1151" s="59" t="s">
        <v>2969</v>
      </c>
      <c r="K1151" s="20"/>
      <c r="L1151" s="20">
        <v>1</v>
      </c>
      <c r="M1151" s="357">
        <f t="shared" si="32"/>
        <v>1004573.27</v>
      </c>
      <c r="N1151" s="411">
        <f>IFERROR((M1151/(VLOOKUP(B1151,'Data Pull Sheet'!$C:$H,6,FALSE))),"DC")</f>
        <v>1.1161925222222223E-3</v>
      </c>
      <c r="O1151" s="23" t="s">
        <v>7</v>
      </c>
      <c r="P1151" s="92" t="s">
        <v>632</v>
      </c>
      <c r="Q1151" s="92" t="s">
        <v>633</v>
      </c>
      <c r="R1151" s="372" t="str">
        <f t="shared" si="31"/>
        <v/>
      </c>
    </row>
    <row r="1152" spans="1:18" x14ac:dyDescent="0.25">
      <c r="A1152" s="23" t="s">
        <v>3383</v>
      </c>
      <c r="B1152" s="18" t="str">
        <f>IF(ISNA(VLOOKUP($A1152,'Data Pull Sheet'!$B$2:$C$1795,2,0)),"",(VLOOKUP($A1152,'Data Pull Sheet'!$B$2:$C$1795,2,0)))</f>
        <v>SGEN</v>
      </c>
      <c r="C1152" s="59" t="s">
        <v>480</v>
      </c>
      <c r="D1152" s="356" t="s">
        <v>3051</v>
      </c>
      <c r="E1152" s="356" t="s">
        <v>475</v>
      </c>
      <c r="F1152" s="23" t="s">
        <v>3384</v>
      </c>
      <c r="G1152" s="23" t="s">
        <v>403</v>
      </c>
      <c r="H1152" s="353">
        <v>87662</v>
      </c>
      <c r="I1152" s="59"/>
      <c r="J1152" s="59" t="s">
        <v>3385</v>
      </c>
      <c r="K1152" s="20">
        <v>1</v>
      </c>
      <c r="L1152" s="20">
        <v>1</v>
      </c>
      <c r="M1152" s="357">
        <f t="shared" si="32"/>
        <v>87662</v>
      </c>
      <c r="N1152" s="411">
        <f>IFERROR((M1152/(VLOOKUP(B1152,'Data Pull Sheet'!$C:$H,6,FALSE))),"DC")</f>
        <v>5.8441333333333336E-4</v>
      </c>
      <c r="O1152" s="23" t="s">
        <v>2467</v>
      </c>
      <c r="P1152" s="92" t="s">
        <v>676</v>
      </c>
      <c r="Q1152" s="92" t="s">
        <v>637</v>
      </c>
      <c r="R1152" s="372" t="str">
        <f t="shared" si="31"/>
        <v/>
      </c>
    </row>
    <row r="1153" spans="1:18" x14ac:dyDescent="0.25">
      <c r="A1153" s="23" t="s">
        <v>28</v>
      </c>
      <c r="B1153" s="18" t="str">
        <f>IF(ISNA(VLOOKUP($A1153,'Data Pull Sheet'!$B$2:$C$1795,2,0)),"",(VLOOKUP($A1153,'Data Pull Sheet'!$B$2:$C$1795,2,0)))</f>
        <v>DG</v>
      </c>
      <c r="C1153" s="59" t="s">
        <v>431</v>
      </c>
      <c r="D1153" s="356" t="s">
        <v>440</v>
      </c>
      <c r="E1153" s="356" t="s">
        <v>441</v>
      </c>
      <c r="F1153" s="23" t="s">
        <v>26</v>
      </c>
      <c r="G1153" s="23" t="s">
        <v>417</v>
      </c>
      <c r="H1153" s="353">
        <v>6899642.0099999998</v>
      </c>
      <c r="I1153" s="59" t="s">
        <v>442</v>
      </c>
      <c r="J1153" s="59" t="s">
        <v>1663</v>
      </c>
      <c r="K1153" s="20">
        <v>3</v>
      </c>
      <c r="L1153" s="20">
        <v>1</v>
      </c>
      <c r="M1153" s="357">
        <f t="shared" si="32"/>
        <v>6899642.0099999998</v>
      </c>
      <c r="N1153" s="411">
        <f>IFERROR((M1153/(VLOOKUP(B1153,'Data Pull Sheet'!$C:$H,6,FALSE))),"DC")</f>
        <v>4.9283157214285713E-3</v>
      </c>
      <c r="O1153" s="23" t="s">
        <v>10809</v>
      </c>
      <c r="P1153" s="92" t="s">
        <v>632</v>
      </c>
      <c r="Q1153" s="92" t="s">
        <v>633</v>
      </c>
      <c r="R1153" s="372" t="str">
        <f t="shared" si="31"/>
        <v>FF</v>
      </c>
    </row>
    <row r="1154" spans="1:18" ht="30" x14ac:dyDescent="0.25">
      <c r="A1154" s="23" t="s">
        <v>28</v>
      </c>
      <c r="B1154" s="18" t="str">
        <f>IF(ISNA(VLOOKUP($A1154,'Data Pull Sheet'!$B$2:$C$1795,2,0)),"",(VLOOKUP($A1154,'Data Pull Sheet'!$B$2:$C$1795,2,0)))</f>
        <v>DG</v>
      </c>
      <c r="C1154" s="59" t="s">
        <v>431</v>
      </c>
      <c r="D1154" s="356" t="s">
        <v>440</v>
      </c>
      <c r="E1154" s="356" t="s">
        <v>441</v>
      </c>
      <c r="F1154" s="23" t="s">
        <v>1665</v>
      </c>
      <c r="G1154" s="23" t="s">
        <v>403</v>
      </c>
      <c r="H1154" s="353">
        <v>31499.49</v>
      </c>
      <c r="I1154" s="59"/>
      <c r="J1154" s="59" t="s">
        <v>1666</v>
      </c>
      <c r="K1154" s="20"/>
      <c r="L1154" s="20">
        <v>1</v>
      </c>
      <c r="M1154" s="357">
        <f t="shared" si="32"/>
        <v>31499.49</v>
      </c>
      <c r="N1154" s="411">
        <f>IFERROR((M1154/(VLOOKUP(B1154,'Data Pull Sheet'!$C:$H,6,FALSE))),"DC")</f>
        <v>2.2499635714285716E-5</v>
      </c>
      <c r="O1154" s="23" t="s">
        <v>1506</v>
      </c>
      <c r="P1154" s="92" t="s">
        <v>632</v>
      </c>
      <c r="Q1154" s="92" t="s">
        <v>637</v>
      </c>
      <c r="R1154" s="372" t="str">
        <f t="shared" ref="R1154:R1217" si="33">IF(COUNTIF(F:F,F1154)&gt;=2,"FF","")</f>
        <v/>
      </c>
    </row>
    <row r="1155" spans="1:18" x14ac:dyDescent="0.25">
      <c r="A1155" s="23" t="s">
        <v>28</v>
      </c>
      <c r="B1155" s="18" t="str">
        <f>IF(ISNA(VLOOKUP($A1155,'Data Pull Sheet'!$B$2:$C$1795,2,0)),"",(VLOOKUP($A1155,'Data Pull Sheet'!$B$2:$C$1795,2,0)))</f>
        <v>DG</v>
      </c>
      <c r="C1155" s="59" t="s">
        <v>431</v>
      </c>
      <c r="D1155" s="356" t="s">
        <v>440</v>
      </c>
      <c r="E1155" s="356" t="s">
        <v>441</v>
      </c>
      <c r="F1155" s="23" t="s">
        <v>1667</v>
      </c>
      <c r="G1155" s="23" t="s">
        <v>403</v>
      </c>
      <c r="H1155" s="353">
        <v>6863</v>
      </c>
      <c r="I1155" s="59"/>
      <c r="J1155" s="59" t="s">
        <v>1668</v>
      </c>
      <c r="K1155" s="20"/>
      <c r="L1155" s="20">
        <v>1</v>
      </c>
      <c r="M1155" s="357">
        <f t="shared" si="32"/>
        <v>6863</v>
      </c>
      <c r="N1155" s="411">
        <f>IFERROR((M1155/(VLOOKUP(B1155,'Data Pull Sheet'!$C:$H,6,FALSE))),"DC")</f>
        <v>4.9021428571428572E-6</v>
      </c>
      <c r="O1155" s="23" t="s">
        <v>1189</v>
      </c>
      <c r="P1155" s="92" t="s">
        <v>632</v>
      </c>
      <c r="Q1155" s="92" t="s">
        <v>637</v>
      </c>
      <c r="R1155" s="372" t="str">
        <f t="shared" si="33"/>
        <v/>
      </c>
    </row>
    <row r="1156" spans="1:18" x14ac:dyDescent="0.25">
      <c r="A1156" s="23" t="s">
        <v>2935</v>
      </c>
      <c r="B1156" s="18" t="str">
        <f>IF(ISNA(VLOOKUP($A1156,'Data Pull Sheet'!$B$2:$C$1795,2,0)),"",(VLOOKUP($A1156,'Data Pull Sheet'!$B$2:$C$1795,2,0)))</f>
        <v>OMF</v>
      </c>
      <c r="C1156" s="59" t="s">
        <v>418</v>
      </c>
      <c r="D1156" s="356" t="s">
        <v>2936</v>
      </c>
      <c r="E1156" s="356" t="s">
        <v>441</v>
      </c>
      <c r="F1156" s="23" t="s">
        <v>2937</v>
      </c>
      <c r="G1156" s="23" t="s">
        <v>403</v>
      </c>
      <c r="H1156" s="353">
        <v>29732.25</v>
      </c>
      <c r="I1156" s="59"/>
      <c r="J1156" s="59" t="s">
        <v>2938</v>
      </c>
      <c r="K1156" s="20">
        <v>1</v>
      </c>
      <c r="L1156" s="20">
        <v>1</v>
      </c>
      <c r="M1156" s="357">
        <f t="shared" si="32"/>
        <v>29732.25</v>
      </c>
      <c r="N1156" s="411">
        <f>IFERROR((M1156/(VLOOKUP(B1156,'Data Pull Sheet'!$C:$H,6,FALSE))),"DC")</f>
        <v>8.2589583333333329E-5</v>
      </c>
      <c r="O1156" s="23" t="s">
        <v>1583</v>
      </c>
      <c r="P1156" s="92" t="s">
        <v>676</v>
      </c>
      <c r="Q1156" s="92" t="s">
        <v>637</v>
      </c>
      <c r="R1156" s="372" t="str">
        <f t="shared" si="33"/>
        <v/>
      </c>
    </row>
    <row r="1157" spans="1:18" x14ac:dyDescent="0.25">
      <c r="A1157" s="23" t="s">
        <v>211</v>
      </c>
      <c r="B1157" s="18" t="str">
        <f>IF(ISNA(VLOOKUP($A1157,'Data Pull Sheet'!$B$2:$C$1795,2,0)),"",(VLOOKUP($A1157,'Data Pull Sheet'!$B$2:$C$1795,2,0)))</f>
        <v>BANC</v>
      </c>
      <c r="C1157" s="59" t="s">
        <v>446</v>
      </c>
      <c r="D1157" s="356" t="s">
        <v>435</v>
      </c>
      <c r="E1157" s="356" t="s">
        <v>544</v>
      </c>
      <c r="F1157" s="23" t="s">
        <v>984</v>
      </c>
      <c r="G1157" s="23" t="s">
        <v>403</v>
      </c>
      <c r="H1157" s="353">
        <v>422</v>
      </c>
      <c r="I1157" s="59"/>
      <c r="J1157" s="59" t="s">
        <v>985</v>
      </c>
      <c r="K1157" s="20">
        <v>3</v>
      </c>
      <c r="L1157" s="20">
        <v>2</v>
      </c>
      <c r="M1157" s="357">
        <f>SUM(H1157:H1158)</f>
        <v>1025.8400000000001</v>
      </c>
      <c r="N1157" s="411">
        <f>IFERROR((M1157/(VLOOKUP(B1157,'Data Pull Sheet'!$C:$H,6,FALSE))),"DC")</f>
        <v>1.0258400000000002E-5</v>
      </c>
      <c r="O1157" s="23" t="s">
        <v>986</v>
      </c>
      <c r="P1157" s="92" t="s">
        <v>632</v>
      </c>
      <c r="Q1157" s="92" t="s">
        <v>646</v>
      </c>
      <c r="R1157" s="372" t="str">
        <f t="shared" si="33"/>
        <v/>
      </c>
    </row>
    <row r="1158" spans="1:18" x14ac:dyDescent="0.25">
      <c r="A1158" s="23" t="s">
        <v>211</v>
      </c>
      <c r="B1158" s="18" t="str">
        <f>IF(ISNA(VLOOKUP($A1158,'Data Pull Sheet'!$B$2:$C$1795,2,0)),"",(VLOOKUP($A1158,'Data Pull Sheet'!$B$2:$C$1795,2,0)))</f>
        <v>BANC</v>
      </c>
      <c r="C1158" s="59" t="s">
        <v>446</v>
      </c>
      <c r="D1158" s="356" t="s">
        <v>435</v>
      </c>
      <c r="E1158" s="356" t="s">
        <v>544</v>
      </c>
      <c r="F1158" s="23" t="s">
        <v>987</v>
      </c>
      <c r="G1158" s="23" t="s">
        <v>403</v>
      </c>
      <c r="H1158" s="353">
        <v>603.84</v>
      </c>
      <c r="I1158" s="59"/>
      <c r="J1158" s="59" t="s">
        <v>988</v>
      </c>
      <c r="K1158" s="20"/>
      <c r="L1158" s="20"/>
      <c r="M1158" s="357"/>
      <c r="N1158" s="411"/>
      <c r="O1158" s="23" t="s">
        <v>986</v>
      </c>
      <c r="P1158" s="92" t="s">
        <v>632</v>
      </c>
      <c r="Q1158" s="92" t="s">
        <v>646</v>
      </c>
      <c r="R1158" s="372" t="str">
        <f t="shared" si="33"/>
        <v/>
      </c>
    </row>
    <row r="1159" spans="1:18" ht="30" x14ac:dyDescent="0.25">
      <c r="A1159" s="23" t="s">
        <v>211</v>
      </c>
      <c r="B1159" s="18" t="str">
        <f>IF(ISNA(VLOOKUP($A1159,'Data Pull Sheet'!$B$2:$C$1795,2,0)),"",(VLOOKUP($A1159,'Data Pull Sheet'!$B$2:$C$1795,2,0)))</f>
        <v>BANC</v>
      </c>
      <c r="C1159" s="59" t="s">
        <v>446</v>
      </c>
      <c r="D1159" s="356" t="s">
        <v>435</v>
      </c>
      <c r="E1159" s="356" t="s">
        <v>544</v>
      </c>
      <c r="F1159" s="23" t="s">
        <v>989</v>
      </c>
      <c r="G1159" s="23" t="s">
        <v>403</v>
      </c>
      <c r="H1159" s="353">
        <v>38421.300000000003</v>
      </c>
      <c r="I1159" s="59" t="s">
        <v>413</v>
      </c>
      <c r="J1159" s="59" t="s">
        <v>990</v>
      </c>
      <c r="K1159" s="20"/>
      <c r="L1159" s="20">
        <v>1</v>
      </c>
      <c r="M1159" s="357">
        <f>H1159</f>
        <v>38421.300000000003</v>
      </c>
      <c r="N1159" s="411">
        <f>IFERROR((M1159/(VLOOKUP(B1159,'Data Pull Sheet'!$C:$H,6,FALSE))),"DC")</f>
        <v>3.84213E-4</v>
      </c>
      <c r="O1159" s="23" t="s">
        <v>10815</v>
      </c>
      <c r="P1159" s="92" t="s">
        <v>632</v>
      </c>
      <c r="Q1159" s="92" t="s">
        <v>637</v>
      </c>
      <c r="R1159" s="372" t="str">
        <f t="shared" si="33"/>
        <v/>
      </c>
    </row>
    <row r="1160" spans="1:18" ht="30" x14ac:dyDescent="0.25">
      <c r="A1160" s="23" t="s">
        <v>211</v>
      </c>
      <c r="B1160" s="18" t="str">
        <f>IF(ISNA(VLOOKUP($A1160,'Data Pull Sheet'!$B$2:$C$1795,2,0)),"",(VLOOKUP($A1160,'Data Pull Sheet'!$B$2:$C$1795,2,0)))</f>
        <v>BANC</v>
      </c>
      <c r="C1160" s="59" t="s">
        <v>446</v>
      </c>
      <c r="D1160" s="356" t="s">
        <v>435</v>
      </c>
      <c r="E1160" s="356" t="s">
        <v>544</v>
      </c>
      <c r="F1160" s="23" t="s">
        <v>210</v>
      </c>
      <c r="G1160" s="23" t="s">
        <v>417</v>
      </c>
      <c r="H1160" s="353">
        <v>97003.14</v>
      </c>
      <c r="I1160" s="59"/>
      <c r="J1160" s="59" t="s">
        <v>992</v>
      </c>
      <c r="K1160" s="20"/>
      <c r="L1160" s="20">
        <v>1</v>
      </c>
      <c r="M1160" s="357">
        <f>H1160</f>
        <v>97003.14</v>
      </c>
      <c r="N1160" s="411">
        <f>IFERROR((M1160/(VLOOKUP(B1160,'Data Pull Sheet'!$C:$H,6,FALSE))),"DC")</f>
        <v>9.7003140000000002E-4</v>
      </c>
      <c r="O1160" s="23" t="s">
        <v>993</v>
      </c>
      <c r="P1160" s="92" t="s">
        <v>632</v>
      </c>
      <c r="Q1160" s="92" t="s">
        <v>633</v>
      </c>
      <c r="R1160" s="372" t="str">
        <f t="shared" si="33"/>
        <v>FF</v>
      </c>
    </row>
    <row r="1161" spans="1:18" x14ac:dyDescent="0.25">
      <c r="A1161" s="23" t="s">
        <v>246</v>
      </c>
      <c r="B1161" s="18" t="s">
        <v>10660</v>
      </c>
      <c r="C1161" s="59" t="s">
        <v>557</v>
      </c>
      <c r="D1161" s="356" t="s">
        <v>435</v>
      </c>
      <c r="E1161" s="356" t="s">
        <v>544</v>
      </c>
      <c r="F1161" s="23" t="s">
        <v>243</v>
      </c>
      <c r="G1161" s="23" t="s">
        <v>417</v>
      </c>
      <c r="H1161" s="353">
        <v>2719251.99</v>
      </c>
      <c r="I1161" s="59"/>
      <c r="J1161" s="59" t="s">
        <v>10664</v>
      </c>
      <c r="K1161" s="20">
        <v>4</v>
      </c>
      <c r="L1161" s="20">
        <v>2</v>
      </c>
      <c r="M1161" s="357">
        <f>SUM(H1161:H1162)</f>
        <v>9745565.5199999996</v>
      </c>
      <c r="N1161" s="411">
        <f>IFERROR((M1161/(VLOOKUP(B1161,'Data Pull Sheet'!$C:$H,6,FALSE))),"DC")</f>
        <v>3.24852184E-3</v>
      </c>
      <c r="O1161" s="23" t="s">
        <v>15</v>
      </c>
      <c r="P1161" s="92" t="s">
        <v>632</v>
      </c>
      <c r="Q1161" s="92" t="s">
        <v>640</v>
      </c>
      <c r="R1161" s="372" t="str">
        <f t="shared" si="33"/>
        <v>FF</v>
      </c>
    </row>
    <row r="1162" spans="1:18" x14ac:dyDescent="0.25">
      <c r="A1162" s="23" t="s">
        <v>246</v>
      </c>
      <c r="B1162" s="18" t="s">
        <v>10660</v>
      </c>
      <c r="C1162" s="59" t="s">
        <v>557</v>
      </c>
      <c r="D1162" s="356" t="s">
        <v>435</v>
      </c>
      <c r="E1162" s="356" t="s">
        <v>544</v>
      </c>
      <c r="F1162" s="23" t="s">
        <v>323</v>
      </c>
      <c r="G1162" s="23" t="s">
        <v>417</v>
      </c>
      <c r="H1162" s="353">
        <v>7026313.5300000003</v>
      </c>
      <c r="I1162" s="59" t="s">
        <v>413</v>
      </c>
      <c r="J1162" s="59" t="s">
        <v>10665</v>
      </c>
      <c r="K1162" s="20"/>
      <c r="L1162" s="20"/>
      <c r="M1162" s="357"/>
      <c r="N1162" s="411"/>
      <c r="O1162" s="23" t="s">
        <v>15</v>
      </c>
      <c r="P1162" s="92" t="s">
        <v>632</v>
      </c>
      <c r="Q1162" s="92" t="s">
        <v>640</v>
      </c>
      <c r="R1162" s="372" t="str">
        <f t="shared" si="33"/>
        <v>FF</v>
      </c>
    </row>
    <row r="1163" spans="1:18" x14ac:dyDescent="0.25">
      <c r="A1163" s="23" t="s">
        <v>246</v>
      </c>
      <c r="B1163" s="18" t="s">
        <v>10660</v>
      </c>
      <c r="C1163" s="59" t="s">
        <v>557</v>
      </c>
      <c r="D1163" s="356" t="s">
        <v>435</v>
      </c>
      <c r="E1163" s="356" t="s">
        <v>544</v>
      </c>
      <c r="F1163" s="23" t="s">
        <v>3233</v>
      </c>
      <c r="G1163" s="23" t="s">
        <v>403</v>
      </c>
      <c r="H1163" s="353">
        <v>76851.679999999993</v>
      </c>
      <c r="I1163" s="59"/>
      <c r="J1163" s="59" t="s">
        <v>10666</v>
      </c>
      <c r="K1163" s="20"/>
      <c r="L1163" s="20">
        <v>1</v>
      </c>
      <c r="M1163" s="357">
        <f>H1163</f>
        <v>76851.679999999993</v>
      </c>
      <c r="N1163" s="411">
        <f>IFERROR((M1163/(VLOOKUP(B1163,'Data Pull Sheet'!$C:$H,6,FALSE))),"DC")</f>
        <v>2.5617226666666663E-5</v>
      </c>
      <c r="O1163" s="23" t="s">
        <v>63</v>
      </c>
      <c r="P1163" s="92" t="s">
        <v>632</v>
      </c>
      <c r="Q1163" s="92" t="s">
        <v>637</v>
      </c>
      <c r="R1163" s="372" t="str">
        <f t="shared" si="33"/>
        <v/>
      </c>
    </row>
    <row r="1164" spans="1:18" ht="30" x14ac:dyDescent="0.25">
      <c r="A1164" s="23" t="s">
        <v>246</v>
      </c>
      <c r="B1164" s="18" t="s">
        <v>10660</v>
      </c>
      <c r="C1164" s="59" t="s">
        <v>557</v>
      </c>
      <c r="D1164" s="356" t="s">
        <v>435</v>
      </c>
      <c r="E1164" s="356" t="s">
        <v>544</v>
      </c>
      <c r="F1164" s="23" t="s">
        <v>3235</v>
      </c>
      <c r="G1164" s="23" t="s">
        <v>403</v>
      </c>
      <c r="H1164" s="353">
        <v>28187</v>
      </c>
      <c r="I1164" s="59"/>
      <c r="J1164" s="59" t="s">
        <v>10667</v>
      </c>
      <c r="K1164" s="20"/>
      <c r="L1164" s="20">
        <v>3</v>
      </c>
      <c r="M1164" s="357">
        <f>SUM(H1164:H1166)</f>
        <v>182470</v>
      </c>
      <c r="N1164" s="411">
        <f>IFERROR((M1164/(VLOOKUP(B1164,'Data Pull Sheet'!$C:$H,6,FALSE))),"DC")</f>
        <v>6.0823333333333331E-5</v>
      </c>
      <c r="O1164" s="23" t="s">
        <v>11179</v>
      </c>
      <c r="P1164" s="92" t="s">
        <v>632</v>
      </c>
      <c r="Q1164" s="92" t="s">
        <v>646</v>
      </c>
      <c r="R1164" s="372" t="str">
        <f t="shared" si="33"/>
        <v/>
      </c>
    </row>
    <row r="1165" spans="1:18" ht="30" x14ac:dyDescent="0.25">
      <c r="A1165" s="23" t="s">
        <v>246</v>
      </c>
      <c r="B1165" s="18" t="s">
        <v>10660</v>
      </c>
      <c r="C1165" s="59" t="s">
        <v>557</v>
      </c>
      <c r="D1165" s="356" t="s">
        <v>435</v>
      </c>
      <c r="E1165" s="356" t="s">
        <v>544</v>
      </c>
      <c r="F1165" s="23" t="s">
        <v>3236</v>
      </c>
      <c r="G1165" s="23" t="s">
        <v>403</v>
      </c>
      <c r="H1165" s="353">
        <v>32460</v>
      </c>
      <c r="I1165" s="59"/>
      <c r="J1165" s="59" t="s">
        <v>10668</v>
      </c>
      <c r="K1165" s="20"/>
      <c r="L1165" s="20"/>
      <c r="M1165" s="357"/>
      <c r="N1165" s="411"/>
      <c r="O1165" s="23" t="s">
        <v>11179</v>
      </c>
      <c r="P1165" s="92" t="s">
        <v>632</v>
      </c>
      <c r="Q1165" s="92" t="s">
        <v>646</v>
      </c>
      <c r="R1165" s="372" t="str">
        <f t="shared" si="33"/>
        <v/>
      </c>
    </row>
    <row r="1166" spans="1:18" ht="30" x14ac:dyDescent="0.25">
      <c r="A1166" s="23" t="s">
        <v>246</v>
      </c>
      <c r="B1166" s="18" t="s">
        <v>10660</v>
      </c>
      <c r="C1166" s="59" t="s">
        <v>557</v>
      </c>
      <c r="D1166" s="356" t="s">
        <v>435</v>
      </c>
      <c r="E1166" s="356" t="s">
        <v>544</v>
      </c>
      <c r="F1166" s="23" t="s">
        <v>3237</v>
      </c>
      <c r="G1166" s="23" t="s">
        <v>403</v>
      </c>
      <c r="H1166" s="353">
        <v>121823</v>
      </c>
      <c r="I1166" s="59"/>
      <c r="J1166" s="59" t="s">
        <v>10669</v>
      </c>
      <c r="K1166" s="20"/>
      <c r="L1166" s="20"/>
      <c r="M1166" s="357"/>
      <c r="N1166" s="411"/>
      <c r="O1166" s="23" t="s">
        <v>11179</v>
      </c>
      <c r="P1166" s="92" t="s">
        <v>632</v>
      </c>
      <c r="Q1166" s="92" t="s">
        <v>646</v>
      </c>
      <c r="R1166" s="372" t="str">
        <f t="shared" si="33"/>
        <v/>
      </c>
    </row>
    <row r="1167" spans="1:18" x14ac:dyDescent="0.25">
      <c r="A1167" s="23" t="s">
        <v>246</v>
      </c>
      <c r="B1167" s="18" t="s">
        <v>10660</v>
      </c>
      <c r="C1167" s="59" t="s">
        <v>557</v>
      </c>
      <c r="D1167" s="356">
        <v>42758</v>
      </c>
      <c r="E1167" s="356" t="s">
        <v>544</v>
      </c>
      <c r="F1167" s="23" t="s">
        <v>3238</v>
      </c>
      <c r="G1167" s="23" t="s">
        <v>403</v>
      </c>
      <c r="H1167" s="353">
        <v>13663.17</v>
      </c>
      <c r="I1167" s="59"/>
      <c r="J1167" s="59" t="s">
        <v>10670</v>
      </c>
      <c r="K1167" s="20"/>
      <c r="L1167" s="20">
        <v>1</v>
      </c>
      <c r="M1167" s="357">
        <f>H1167</f>
        <v>13663.17</v>
      </c>
      <c r="N1167" s="411">
        <f>IFERROR((M1167/(VLOOKUP(B1167,'Data Pull Sheet'!$C:$H,6,FALSE))),"DC")</f>
        <v>4.5543900000000001E-6</v>
      </c>
      <c r="O1167" s="23" t="s">
        <v>682</v>
      </c>
      <c r="P1167" s="92" t="s">
        <v>632</v>
      </c>
      <c r="Q1167" s="92" t="s">
        <v>637</v>
      </c>
      <c r="R1167" s="372" t="str">
        <f t="shared" si="33"/>
        <v/>
      </c>
    </row>
    <row r="1168" spans="1:18" ht="30" x14ac:dyDescent="0.25">
      <c r="A1168" s="23" t="s">
        <v>316</v>
      </c>
      <c r="B1168" s="18" t="str">
        <f>IF(ISNA(VLOOKUP($A1168,'Data Pull Sheet'!$B$2:$C$1795,2,0)),"",(VLOOKUP($A1168,'Data Pull Sheet'!$B$2:$C$1795,2,0)))</f>
        <v>SO</v>
      </c>
      <c r="C1168" s="59" t="s">
        <v>592</v>
      </c>
      <c r="D1168" s="356" t="s">
        <v>593</v>
      </c>
      <c r="E1168" s="356" t="s">
        <v>544</v>
      </c>
      <c r="F1168" s="23" t="s">
        <v>313</v>
      </c>
      <c r="G1168" s="23" t="s">
        <v>417</v>
      </c>
      <c r="H1168" s="353">
        <v>60445.59</v>
      </c>
      <c r="I1168" s="59"/>
      <c r="J1168" s="59" t="s">
        <v>3808</v>
      </c>
      <c r="K1168" s="20">
        <v>1</v>
      </c>
      <c r="L1168" s="20">
        <v>1</v>
      </c>
      <c r="M1168" s="357">
        <f>H1168</f>
        <v>60445.59</v>
      </c>
      <c r="N1168" s="411">
        <f>IFERROR((M1168/(VLOOKUP(B1168,'Data Pull Sheet'!$C:$H,6,FALSE))),"DC")</f>
        <v>8.0594119999999989E-5</v>
      </c>
      <c r="O1168" s="23" t="s">
        <v>1640</v>
      </c>
      <c r="P1168" s="92" t="s">
        <v>676</v>
      </c>
      <c r="Q1168" s="92" t="s">
        <v>633</v>
      </c>
      <c r="R1168" s="372" t="str">
        <f t="shared" si="33"/>
        <v>FF</v>
      </c>
    </row>
    <row r="1169" spans="1:18" x14ac:dyDescent="0.25">
      <c r="A1169" s="23" t="s">
        <v>1065</v>
      </c>
      <c r="B1169" s="18" t="str">
        <f>IF(ISNA(VLOOKUP($A1169,'Data Pull Sheet'!$B$2:$C$1795,2,0)),"",(VLOOKUP($A1169,'Data Pull Sheet'!$B$2:$C$1795,2,0)))</f>
        <v>BT</v>
      </c>
      <c r="C1169" s="59" t="s">
        <v>418</v>
      </c>
      <c r="D1169" s="356" t="s">
        <v>537</v>
      </c>
      <c r="E1169" s="356" t="s">
        <v>436</v>
      </c>
      <c r="F1169" s="23" t="s">
        <v>1066</v>
      </c>
      <c r="G1169" s="23" t="s">
        <v>403</v>
      </c>
      <c r="H1169" s="353">
        <v>217.5</v>
      </c>
      <c r="I1169" s="59"/>
      <c r="J1169" s="59" t="s">
        <v>1067</v>
      </c>
      <c r="K1169" s="20">
        <v>2</v>
      </c>
      <c r="L1169" s="20">
        <v>4</v>
      </c>
      <c r="M1169" s="357">
        <f>SUM(H1169:H1172)</f>
        <v>10173.86</v>
      </c>
      <c r="N1169" s="411">
        <f>IFERROR((M1169/(VLOOKUP(B1169,'Data Pull Sheet'!$C:$H,6,FALSE))),"DC")</f>
        <v>2.034772E-5</v>
      </c>
      <c r="O1169" s="23" t="s">
        <v>885</v>
      </c>
      <c r="P1169" s="92" t="s">
        <v>632</v>
      </c>
      <c r="Q1169" s="92" t="s">
        <v>646</v>
      </c>
      <c r="R1169" s="372" t="str">
        <f t="shared" si="33"/>
        <v/>
      </c>
    </row>
    <row r="1170" spans="1:18" x14ac:dyDescent="0.25">
      <c r="A1170" s="23" t="s">
        <v>1065</v>
      </c>
      <c r="B1170" s="18" t="str">
        <f>IF(ISNA(VLOOKUP($A1170,'Data Pull Sheet'!$B$2:$C$1795,2,0)),"",(VLOOKUP($A1170,'Data Pull Sheet'!$B$2:$C$1795,2,0)))</f>
        <v>BT</v>
      </c>
      <c r="C1170" s="59" t="s">
        <v>418</v>
      </c>
      <c r="D1170" s="356" t="s">
        <v>537</v>
      </c>
      <c r="E1170" s="356" t="s">
        <v>436</v>
      </c>
      <c r="F1170" s="23" t="s">
        <v>1068</v>
      </c>
      <c r="G1170" s="23" t="s">
        <v>403</v>
      </c>
      <c r="H1170" s="353">
        <v>2639.73</v>
      </c>
      <c r="I1170" s="59"/>
      <c r="J1170" s="59" t="s">
        <v>1069</v>
      </c>
      <c r="K1170" s="20"/>
      <c r="L1170" s="20"/>
      <c r="M1170" s="357"/>
      <c r="N1170" s="411"/>
      <c r="O1170" s="23" t="s">
        <v>885</v>
      </c>
      <c r="P1170" s="92" t="s">
        <v>632</v>
      </c>
      <c r="Q1170" s="92" t="s">
        <v>646</v>
      </c>
      <c r="R1170" s="372" t="str">
        <f t="shared" si="33"/>
        <v/>
      </c>
    </row>
    <row r="1171" spans="1:18" x14ac:dyDescent="0.25">
      <c r="A1171" s="23" t="s">
        <v>1065</v>
      </c>
      <c r="B1171" s="18" t="str">
        <f>IF(ISNA(VLOOKUP($A1171,'Data Pull Sheet'!$B$2:$C$1795,2,0)),"",(VLOOKUP($A1171,'Data Pull Sheet'!$B$2:$C$1795,2,0)))</f>
        <v>BT</v>
      </c>
      <c r="C1171" s="59" t="s">
        <v>418</v>
      </c>
      <c r="D1171" s="356" t="s">
        <v>537</v>
      </c>
      <c r="E1171" s="356" t="s">
        <v>436</v>
      </c>
      <c r="F1171" s="23" t="s">
        <v>1070</v>
      </c>
      <c r="G1171" s="23" t="s">
        <v>403</v>
      </c>
      <c r="H1171" s="353">
        <v>3495.63</v>
      </c>
      <c r="I1171" s="59"/>
      <c r="J1171" s="59" t="s">
        <v>1071</v>
      </c>
      <c r="K1171" s="20"/>
      <c r="L1171" s="20"/>
      <c r="M1171" s="357"/>
      <c r="N1171" s="411"/>
      <c r="O1171" s="23" t="s">
        <v>885</v>
      </c>
      <c r="P1171" s="92" t="s">
        <v>632</v>
      </c>
      <c r="Q1171" s="92" t="s">
        <v>646</v>
      </c>
      <c r="R1171" s="372" t="str">
        <f t="shared" si="33"/>
        <v/>
      </c>
    </row>
    <row r="1172" spans="1:18" x14ac:dyDescent="0.25">
      <c r="A1172" s="23" t="s">
        <v>1065</v>
      </c>
      <c r="B1172" s="18" t="str">
        <f>IF(ISNA(VLOOKUP($A1172,'Data Pull Sheet'!$B$2:$C$1795,2,0)),"",(VLOOKUP($A1172,'Data Pull Sheet'!$B$2:$C$1795,2,0)))</f>
        <v>BT</v>
      </c>
      <c r="C1172" s="59" t="s">
        <v>418</v>
      </c>
      <c r="D1172" s="356" t="s">
        <v>537</v>
      </c>
      <c r="E1172" s="356" t="s">
        <v>436</v>
      </c>
      <c r="F1172" s="23" t="s">
        <v>1072</v>
      </c>
      <c r="G1172" s="23" t="s">
        <v>403</v>
      </c>
      <c r="H1172" s="353">
        <v>3821</v>
      </c>
      <c r="I1172" s="59"/>
      <c r="J1172" s="59" t="s">
        <v>1073</v>
      </c>
      <c r="K1172" s="20"/>
      <c r="L1172" s="20"/>
      <c r="M1172" s="357"/>
      <c r="N1172" s="411"/>
      <c r="O1172" s="23" t="s">
        <v>885</v>
      </c>
      <c r="P1172" s="92" t="s">
        <v>632</v>
      </c>
      <c r="Q1172" s="92" t="s">
        <v>646</v>
      </c>
      <c r="R1172" s="372" t="str">
        <f t="shared" si="33"/>
        <v/>
      </c>
    </row>
    <row r="1173" spans="1:18" x14ac:dyDescent="0.25">
      <c r="A1173" s="23" t="s">
        <v>1065</v>
      </c>
      <c r="B1173" s="18" t="str">
        <f>IF(ISNA(VLOOKUP($A1173,'Data Pull Sheet'!$B$2:$C$1795,2,0)),"",(VLOOKUP($A1173,'Data Pull Sheet'!$B$2:$C$1795,2,0)))</f>
        <v>BT</v>
      </c>
      <c r="C1173" s="59" t="s">
        <v>418</v>
      </c>
      <c r="D1173" s="356" t="s">
        <v>537</v>
      </c>
      <c r="E1173" s="356" t="s">
        <v>436</v>
      </c>
      <c r="F1173" s="23" t="s">
        <v>1074</v>
      </c>
      <c r="G1173" s="23" t="s">
        <v>417</v>
      </c>
      <c r="H1173" s="353">
        <v>78515.73</v>
      </c>
      <c r="I1173" s="59"/>
      <c r="J1173" s="59" t="s">
        <v>1075</v>
      </c>
      <c r="K1173" s="20"/>
      <c r="L1173" s="20">
        <v>1</v>
      </c>
      <c r="M1173" s="357">
        <f>H1173</f>
        <v>78515.73</v>
      </c>
      <c r="N1173" s="411">
        <f>IFERROR((M1173/(VLOOKUP(B1173,'Data Pull Sheet'!$C:$H,6,FALSE))),"DC")</f>
        <v>1.5703146E-4</v>
      </c>
      <c r="O1173" s="23" t="s">
        <v>7</v>
      </c>
      <c r="P1173" s="92" t="s">
        <v>632</v>
      </c>
      <c r="Q1173" s="92" t="s">
        <v>633</v>
      </c>
      <c r="R1173" s="372" t="str">
        <f t="shared" si="33"/>
        <v/>
      </c>
    </row>
    <row r="1174" spans="1:18" ht="30" x14ac:dyDescent="0.25">
      <c r="A1174" s="23" t="s">
        <v>2332</v>
      </c>
      <c r="B1174" s="18" t="str">
        <f>IF(ISNA(VLOOKUP($A1174,'Data Pull Sheet'!$B$2:$C$1795,2,0)),"",(VLOOKUP($A1174,'Data Pull Sheet'!$B$2:$C$1795,2,0)))</f>
        <v>INNL</v>
      </c>
      <c r="C1174" s="59" t="s">
        <v>542</v>
      </c>
      <c r="D1174" s="356" t="s">
        <v>2333</v>
      </c>
      <c r="E1174" s="356" t="s">
        <v>436</v>
      </c>
      <c r="F1174" s="23" t="s">
        <v>2334</v>
      </c>
      <c r="G1174" s="23" t="s">
        <v>403</v>
      </c>
      <c r="H1174" s="353">
        <v>11608.11</v>
      </c>
      <c r="I1174" s="59"/>
      <c r="J1174" s="59" t="s">
        <v>2335</v>
      </c>
      <c r="K1174" s="20">
        <v>1</v>
      </c>
      <c r="L1174" s="20">
        <v>4</v>
      </c>
      <c r="M1174" s="357">
        <f>SUM(H1174:H1177)</f>
        <v>71050.69</v>
      </c>
      <c r="N1174" s="411" t="str">
        <f>IFERROR((M1174/(VLOOKUP(B1174,'Data Pull Sheet'!$C:$H,6,FALSE))),"DC")</f>
        <v>DC</v>
      </c>
      <c r="O1174" s="23" t="s">
        <v>10946</v>
      </c>
      <c r="P1174" s="92" t="s">
        <v>676</v>
      </c>
      <c r="Q1174" s="92" t="s">
        <v>646</v>
      </c>
      <c r="R1174" s="372" t="str">
        <f t="shared" si="33"/>
        <v/>
      </c>
    </row>
    <row r="1175" spans="1:18" ht="30" x14ac:dyDescent="0.25">
      <c r="A1175" s="23" t="s">
        <v>2332</v>
      </c>
      <c r="B1175" s="18" t="str">
        <f>IF(ISNA(VLOOKUP($A1175,'Data Pull Sheet'!$B$2:$C$1795,2,0)),"",(VLOOKUP($A1175,'Data Pull Sheet'!$B$2:$C$1795,2,0)))</f>
        <v>INNL</v>
      </c>
      <c r="C1175" s="59" t="s">
        <v>542</v>
      </c>
      <c r="D1175" s="356" t="s">
        <v>2333</v>
      </c>
      <c r="E1175" s="356" t="s">
        <v>436</v>
      </c>
      <c r="F1175" s="23" t="s">
        <v>2336</v>
      </c>
      <c r="G1175" s="23" t="s">
        <v>403</v>
      </c>
      <c r="H1175" s="353">
        <v>15203.84</v>
      </c>
      <c r="I1175" s="59"/>
      <c r="J1175" s="59" t="s">
        <v>2337</v>
      </c>
      <c r="K1175" s="20"/>
      <c r="L1175" s="20"/>
      <c r="M1175" s="357"/>
      <c r="N1175" s="411"/>
      <c r="O1175" s="23" t="s">
        <v>10946</v>
      </c>
      <c r="P1175" s="92" t="s">
        <v>676</v>
      </c>
      <c r="Q1175" s="92" t="s">
        <v>646</v>
      </c>
      <c r="R1175" s="372" t="str">
        <f t="shared" si="33"/>
        <v/>
      </c>
    </row>
    <row r="1176" spans="1:18" ht="30" x14ac:dyDescent="0.25">
      <c r="A1176" s="23" t="s">
        <v>2332</v>
      </c>
      <c r="B1176" s="18" t="str">
        <f>IF(ISNA(VLOOKUP($A1176,'Data Pull Sheet'!$B$2:$C$1795,2,0)),"",(VLOOKUP($A1176,'Data Pull Sheet'!$B$2:$C$1795,2,0)))</f>
        <v>INNL</v>
      </c>
      <c r="C1176" s="59" t="s">
        <v>542</v>
      </c>
      <c r="D1176" s="356" t="s">
        <v>2333</v>
      </c>
      <c r="E1176" s="356" t="s">
        <v>436</v>
      </c>
      <c r="F1176" s="23" t="s">
        <v>2338</v>
      </c>
      <c r="G1176" s="23" t="s">
        <v>403</v>
      </c>
      <c r="H1176" s="353">
        <v>20349</v>
      </c>
      <c r="I1176" s="59"/>
      <c r="J1176" s="59" t="s">
        <v>2339</v>
      </c>
      <c r="K1176" s="20"/>
      <c r="L1176" s="20"/>
      <c r="M1176" s="357"/>
      <c r="N1176" s="411"/>
      <c r="O1176" s="23" t="s">
        <v>10946</v>
      </c>
      <c r="P1176" s="92" t="s">
        <v>676</v>
      </c>
      <c r="Q1176" s="92" t="s">
        <v>646</v>
      </c>
      <c r="R1176" s="372" t="str">
        <f t="shared" si="33"/>
        <v/>
      </c>
    </row>
    <row r="1177" spans="1:18" ht="30" x14ac:dyDescent="0.25">
      <c r="A1177" s="23" t="s">
        <v>2332</v>
      </c>
      <c r="B1177" s="18" t="str">
        <f>IF(ISNA(VLOOKUP($A1177,'Data Pull Sheet'!$B$2:$C$1795,2,0)),"",(VLOOKUP($A1177,'Data Pull Sheet'!$B$2:$C$1795,2,0)))</f>
        <v>INNL</v>
      </c>
      <c r="C1177" s="59" t="s">
        <v>542</v>
      </c>
      <c r="D1177" s="356" t="s">
        <v>2333</v>
      </c>
      <c r="E1177" s="356" t="s">
        <v>436</v>
      </c>
      <c r="F1177" s="23" t="s">
        <v>2340</v>
      </c>
      <c r="G1177" s="23" t="s">
        <v>403</v>
      </c>
      <c r="H1177" s="353">
        <v>23889.74</v>
      </c>
      <c r="I1177" s="59"/>
      <c r="J1177" s="59" t="s">
        <v>2341</v>
      </c>
      <c r="K1177" s="20"/>
      <c r="L1177" s="20"/>
      <c r="M1177" s="357"/>
      <c r="N1177" s="411"/>
      <c r="O1177" s="23" t="s">
        <v>10946</v>
      </c>
      <c r="P1177" s="92" t="s">
        <v>676</v>
      </c>
      <c r="Q1177" s="92" t="s">
        <v>646</v>
      </c>
      <c r="R1177" s="372" t="str">
        <f t="shared" si="33"/>
        <v/>
      </c>
    </row>
    <row r="1178" spans="1:18" x14ac:dyDescent="0.25">
      <c r="A1178" s="23" t="s">
        <v>19</v>
      </c>
      <c r="B1178" s="18" t="str">
        <f>IF(ISNA(VLOOKUP($A1178,'Data Pull Sheet'!$B$2:$C$1795,2,0)),"",(VLOOKUP($A1178,'Data Pull Sheet'!$B$2:$C$1795,2,0)))</f>
        <v>MNK</v>
      </c>
      <c r="C1178" s="59" t="s">
        <v>434</v>
      </c>
      <c r="D1178" s="356" t="s">
        <v>435</v>
      </c>
      <c r="E1178" s="356" t="s">
        <v>436</v>
      </c>
      <c r="F1178" s="23" t="s">
        <v>2637</v>
      </c>
      <c r="G1178" s="23" t="s">
        <v>417</v>
      </c>
      <c r="H1178" s="353">
        <v>46378080</v>
      </c>
      <c r="I1178" s="59" t="s">
        <v>413</v>
      </c>
      <c r="J1178" s="59" t="s">
        <v>2638</v>
      </c>
      <c r="K1178" s="20">
        <v>4</v>
      </c>
      <c r="L1178" s="20">
        <v>1</v>
      </c>
      <c r="M1178" s="357">
        <f>H1178</f>
        <v>46378080</v>
      </c>
      <c r="N1178" s="411">
        <f>IFERROR((M1178/(VLOOKUP(B1178,'Data Pull Sheet'!$C:$H,6,FALSE))),"DC")</f>
        <v>4.6378080000000002E-2</v>
      </c>
      <c r="O1178" s="23" t="s">
        <v>10837</v>
      </c>
      <c r="P1178" s="92" t="s">
        <v>632</v>
      </c>
      <c r="Q1178" s="92" t="s">
        <v>633</v>
      </c>
      <c r="R1178" s="372" t="str">
        <f t="shared" si="33"/>
        <v/>
      </c>
    </row>
    <row r="1179" spans="1:18" ht="30" x14ac:dyDescent="0.25">
      <c r="A1179" s="23" t="s">
        <v>19</v>
      </c>
      <c r="B1179" s="18" t="str">
        <f>IF(ISNA(VLOOKUP($A1179,'Data Pull Sheet'!$B$2:$C$1795,2,0)),"",(VLOOKUP($A1179,'Data Pull Sheet'!$B$2:$C$1795,2,0)))</f>
        <v>MNK</v>
      </c>
      <c r="C1179" s="59" t="s">
        <v>434</v>
      </c>
      <c r="D1179" s="356" t="s">
        <v>435</v>
      </c>
      <c r="E1179" s="356" t="s">
        <v>436</v>
      </c>
      <c r="F1179" s="23" t="s">
        <v>12</v>
      </c>
      <c r="G1179" s="23" t="s">
        <v>417</v>
      </c>
      <c r="H1179" s="353">
        <v>1793450.84</v>
      </c>
      <c r="I1179" s="59" t="s">
        <v>413</v>
      </c>
      <c r="J1179" s="59" t="s">
        <v>2640</v>
      </c>
      <c r="K1179" s="20"/>
      <c r="L1179" s="20">
        <v>1</v>
      </c>
      <c r="M1179" s="357">
        <f>H1179</f>
        <v>1793450.84</v>
      </c>
      <c r="N1179" s="411">
        <f>IFERROR((M1179/(VLOOKUP(B1179,'Data Pull Sheet'!$C:$H,6,FALSE))),"DC")</f>
        <v>1.7934508400000001E-3</v>
      </c>
      <c r="O1179" s="23" t="s">
        <v>2641</v>
      </c>
      <c r="P1179" s="92" t="s">
        <v>632</v>
      </c>
      <c r="Q1179" s="92" t="s">
        <v>633</v>
      </c>
      <c r="R1179" s="372" t="str">
        <f t="shared" si="33"/>
        <v>FF</v>
      </c>
    </row>
    <row r="1180" spans="1:18" x14ac:dyDescent="0.25">
      <c r="A1180" s="23" t="s">
        <v>19</v>
      </c>
      <c r="B1180" s="18" t="str">
        <f>IF(ISNA(VLOOKUP($A1180,'Data Pull Sheet'!$B$2:$C$1795,2,0)),"",(VLOOKUP($A1180,'Data Pull Sheet'!$B$2:$C$1795,2,0)))</f>
        <v>MNK</v>
      </c>
      <c r="C1180" s="59" t="s">
        <v>434</v>
      </c>
      <c r="D1180" s="356" t="s">
        <v>435</v>
      </c>
      <c r="E1180" s="356" t="s">
        <v>436</v>
      </c>
      <c r="F1180" s="23" t="s">
        <v>2642</v>
      </c>
      <c r="G1180" s="23" t="s">
        <v>403</v>
      </c>
      <c r="H1180" s="353">
        <v>868084.55</v>
      </c>
      <c r="I1180" s="59" t="s">
        <v>2643</v>
      </c>
      <c r="J1180" s="59" t="s">
        <v>2644</v>
      </c>
      <c r="K1180" s="20"/>
      <c r="L1180" s="20">
        <v>1</v>
      </c>
      <c r="M1180" s="357">
        <f>H1180</f>
        <v>868084.55</v>
      </c>
      <c r="N1180" s="411">
        <f>IFERROR((M1180/(VLOOKUP(B1180,'Data Pull Sheet'!$C:$H,6,FALSE))),"DC")</f>
        <v>8.6808455000000006E-4</v>
      </c>
      <c r="O1180" s="23" t="s">
        <v>2645</v>
      </c>
      <c r="P1180" s="92" t="s">
        <v>632</v>
      </c>
      <c r="Q1180" s="92" t="s">
        <v>637</v>
      </c>
      <c r="R1180" s="372" t="str">
        <f t="shared" si="33"/>
        <v/>
      </c>
    </row>
    <row r="1181" spans="1:18" ht="30" x14ac:dyDescent="0.25">
      <c r="A1181" s="23" t="s">
        <v>19</v>
      </c>
      <c r="B1181" s="18" t="str">
        <f>IF(ISNA(VLOOKUP($A1181,'Data Pull Sheet'!$B$2:$C$1795,2,0)),"",(VLOOKUP($A1181,'Data Pull Sheet'!$B$2:$C$1795,2,0)))</f>
        <v>MNK</v>
      </c>
      <c r="C1181" s="59" t="s">
        <v>434</v>
      </c>
      <c r="D1181" s="356" t="s">
        <v>435</v>
      </c>
      <c r="E1181" s="356" t="s">
        <v>436</v>
      </c>
      <c r="F1181" s="23" t="s">
        <v>2647</v>
      </c>
      <c r="G1181" s="23" t="s">
        <v>417</v>
      </c>
      <c r="H1181" s="353">
        <v>227140</v>
      </c>
      <c r="I1181" s="59"/>
      <c r="J1181" s="59" t="s">
        <v>2648</v>
      </c>
      <c r="K1181" s="20"/>
      <c r="L1181" s="20">
        <v>3</v>
      </c>
      <c r="M1181" s="357">
        <f>SUM(H1181:H1183)</f>
        <v>1334297</v>
      </c>
      <c r="N1181" s="411">
        <f>IFERROR((M1181/(VLOOKUP(B1181,'Data Pull Sheet'!$C:$H,6,FALSE))),"DC")</f>
        <v>1.3342969999999999E-3</v>
      </c>
      <c r="O1181" s="23" t="s">
        <v>2649</v>
      </c>
      <c r="P1181" s="92" t="s">
        <v>632</v>
      </c>
      <c r="Q1181" s="92" t="s">
        <v>640</v>
      </c>
      <c r="R1181" s="372" t="str">
        <f t="shared" si="33"/>
        <v>FF</v>
      </c>
    </row>
    <row r="1182" spans="1:18" ht="30" x14ac:dyDescent="0.25">
      <c r="A1182" s="23" t="s">
        <v>19</v>
      </c>
      <c r="B1182" s="18" t="str">
        <f>IF(ISNA(VLOOKUP($A1182,'Data Pull Sheet'!$B$2:$C$1795,2,0)),"",(VLOOKUP($A1182,'Data Pull Sheet'!$B$2:$C$1795,2,0)))</f>
        <v>MNK</v>
      </c>
      <c r="C1182" s="59" t="s">
        <v>434</v>
      </c>
      <c r="D1182" s="356" t="s">
        <v>435</v>
      </c>
      <c r="E1182" s="356" t="s">
        <v>436</v>
      </c>
      <c r="F1182" s="23" t="s">
        <v>2650</v>
      </c>
      <c r="G1182" s="23" t="s">
        <v>417</v>
      </c>
      <c r="H1182" s="353">
        <v>501565</v>
      </c>
      <c r="I1182" s="59"/>
      <c r="J1182" s="59" t="s">
        <v>2651</v>
      </c>
      <c r="K1182" s="20"/>
      <c r="L1182" s="20"/>
      <c r="M1182" s="357"/>
      <c r="N1182" s="411"/>
      <c r="O1182" s="23" t="s">
        <v>2649</v>
      </c>
      <c r="P1182" s="92" t="s">
        <v>632</v>
      </c>
      <c r="Q1182" s="92" t="s">
        <v>640</v>
      </c>
      <c r="R1182" s="372" t="str">
        <f t="shared" si="33"/>
        <v/>
      </c>
    </row>
    <row r="1183" spans="1:18" ht="30" x14ac:dyDescent="0.25">
      <c r="A1183" s="23" t="s">
        <v>19</v>
      </c>
      <c r="B1183" s="18" t="str">
        <f>IF(ISNA(VLOOKUP($A1183,'Data Pull Sheet'!$B$2:$C$1795,2,0)),"",(VLOOKUP($A1183,'Data Pull Sheet'!$B$2:$C$1795,2,0)))</f>
        <v>MNK</v>
      </c>
      <c r="C1183" s="59" t="s">
        <v>434</v>
      </c>
      <c r="D1183" s="356" t="s">
        <v>435</v>
      </c>
      <c r="E1183" s="356" t="s">
        <v>436</v>
      </c>
      <c r="F1183" s="23" t="s">
        <v>2652</v>
      </c>
      <c r="G1183" s="23" t="s">
        <v>417</v>
      </c>
      <c r="H1183" s="353">
        <v>605592</v>
      </c>
      <c r="I1183" s="59"/>
      <c r="J1183" s="59" t="s">
        <v>2653</v>
      </c>
      <c r="K1183" s="20"/>
      <c r="L1183" s="20"/>
      <c r="M1183" s="357"/>
      <c r="N1183" s="411"/>
      <c r="O1183" s="23" t="s">
        <v>2649</v>
      </c>
      <c r="P1183" s="92" t="s">
        <v>632</v>
      </c>
      <c r="Q1183" s="92" t="s">
        <v>640</v>
      </c>
      <c r="R1183" s="372" t="str">
        <f t="shared" si="33"/>
        <v/>
      </c>
    </row>
    <row r="1184" spans="1:18" x14ac:dyDescent="0.25">
      <c r="A1184" s="23" t="s">
        <v>19</v>
      </c>
      <c r="B1184" s="18" t="str">
        <f>IF(ISNA(VLOOKUP($A1184,'Data Pull Sheet'!$B$2:$C$1795,2,0)),"",(VLOOKUP($A1184,'Data Pull Sheet'!$B$2:$C$1795,2,0)))</f>
        <v>MNK</v>
      </c>
      <c r="C1184" s="59" t="s">
        <v>434</v>
      </c>
      <c r="D1184" s="356" t="s">
        <v>435</v>
      </c>
      <c r="E1184" s="356" t="s">
        <v>436</v>
      </c>
      <c r="F1184" s="23" t="s">
        <v>2646</v>
      </c>
      <c r="G1184" s="23" t="s">
        <v>403</v>
      </c>
      <c r="H1184" s="353">
        <v>94295.2</v>
      </c>
      <c r="I1184" s="59"/>
      <c r="J1184" s="59" t="s">
        <v>6708</v>
      </c>
      <c r="K1184" s="20"/>
      <c r="L1184" s="20">
        <v>1</v>
      </c>
      <c r="M1184" s="357">
        <f>H1184</f>
        <v>94295.2</v>
      </c>
      <c r="N1184" s="411">
        <f>IFERROR((M1184/(VLOOKUP(B1184,'Data Pull Sheet'!$C:$H,6,FALSE))),"DC")</f>
        <v>9.4295199999999991E-5</v>
      </c>
      <c r="O1184" s="23" t="s">
        <v>63</v>
      </c>
      <c r="P1184" s="92" t="s">
        <v>632</v>
      </c>
      <c r="Q1184" s="92" t="s">
        <v>637</v>
      </c>
      <c r="R1184" s="372" t="str">
        <f t="shared" si="33"/>
        <v/>
      </c>
    </row>
    <row r="1185" spans="1:18" x14ac:dyDescent="0.25">
      <c r="A1185" s="23" t="s">
        <v>3104</v>
      </c>
      <c r="B1185" s="18" t="str">
        <f>IF(ISNA(VLOOKUP($A1185,'Data Pull Sheet'!$B$2:$C$1795,2,0)),"",(VLOOKUP($A1185,'Data Pull Sheet'!$B$2:$C$1795,2,0)))</f>
        <v>PXRB</v>
      </c>
      <c r="C1185" s="59" t="s">
        <v>424</v>
      </c>
      <c r="D1185" s="356" t="s">
        <v>537</v>
      </c>
      <c r="E1185" s="356" t="s">
        <v>436</v>
      </c>
      <c r="F1185" s="23" t="s">
        <v>3105</v>
      </c>
      <c r="G1185" s="23" t="s">
        <v>403</v>
      </c>
      <c r="H1185" s="361">
        <v>12000</v>
      </c>
      <c r="I1185" s="59"/>
      <c r="J1185" s="59" t="s">
        <v>3106</v>
      </c>
      <c r="K1185" s="20">
        <v>2</v>
      </c>
      <c r="L1185" s="20">
        <v>1</v>
      </c>
      <c r="M1185" s="357">
        <f>H1185</f>
        <v>12000</v>
      </c>
      <c r="N1185" s="411">
        <f>IFERROR((M1185/(VLOOKUP(B1185,'Data Pull Sheet'!$C:$H,6,FALSE))),"DC")</f>
        <v>1.2E-2</v>
      </c>
      <c r="O1185" s="23" t="s">
        <v>60</v>
      </c>
      <c r="P1185" s="92" t="s">
        <v>632</v>
      </c>
      <c r="Q1185" s="92" t="s">
        <v>637</v>
      </c>
      <c r="R1185" s="372" t="str">
        <f t="shared" si="33"/>
        <v/>
      </c>
    </row>
    <row r="1186" spans="1:18" x14ac:dyDescent="0.25">
      <c r="A1186" s="23" t="s">
        <v>3104</v>
      </c>
      <c r="B1186" s="18" t="str">
        <f>IF(ISNA(VLOOKUP($A1186,'Data Pull Sheet'!$B$2:$C$1795,2,0)),"",(VLOOKUP($A1186,'Data Pull Sheet'!$B$2:$C$1795,2,0)))</f>
        <v>PXRB</v>
      </c>
      <c r="C1186" s="59" t="s">
        <v>424</v>
      </c>
      <c r="D1186" s="356" t="s">
        <v>537</v>
      </c>
      <c r="E1186" s="356" t="s">
        <v>436</v>
      </c>
      <c r="F1186" s="23" t="s">
        <v>3107</v>
      </c>
      <c r="G1186" s="23" t="s">
        <v>403</v>
      </c>
      <c r="H1186" s="353">
        <v>47770</v>
      </c>
      <c r="I1186" s="59"/>
      <c r="J1186" s="59" t="s">
        <v>3108</v>
      </c>
      <c r="K1186" s="20"/>
      <c r="L1186" s="20">
        <v>3</v>
      </c>
      <c r="M1186" s="357">
        <f>SUM(H1186:H1188)</f>
        <v>347201.7</v>
      </c>
      <c r="N1186" s="411">
        <f>IFERROR((M1186/(VLOOKUP(B1186,'Data Pull Sheet'!$C:$H,6,FALSE))),"DC")</f>
        <v>0.3472017</v>
      </c>
      <c r="O1186" s="23" t="s">
        <v>682</v>
      </c>
      <c r="P1186" s="92" t="s">
        <v>632</v>
      </c>
      <c r="Q1186" s="92" t="s">
        <v>646</v>
      </c>
      <c r="R1186" s="372" t="str">
        <f t="shared" si="33"/>
        <v/>
      </c>
    </row>
    <row r="1187" spans="1:18" x14ac:dyDescent="0.25">
      <c r="A1187" s="23" t="s">
        <v>3104</v>
      </c>
      <c r="B1187" s="18" t="str">
        <f>IF(ISNA(VLOOKUP($A1187,'Data Pull Sheet'!$B$2:$C$1795,2,0)),"",(VLOOKUP($A1187,'Data Pull Sheet'!$B$2:$C$1795,2,0)))</f>
        <v>PXRB</v>
      </c>
      <c r="C1187" s="59" t="s">
        <v>424</v>
      </c>
      <c r="D1187" s="356" t="s">
        <v>537</v>
      </c>
      <c r="E1187" s="356" t="s">
        <v>436</v>
      </c>
      <c r="F1187" s="23" t="s">
        <v>3109</v>
      </c>
      <c r="G1187" s="23" t="s">
        <v>403</v>
      </c>
      <c r="H1187" s="353">
        <v>99431.7</v>
      </c>
      <c r="I1187" s="59"/>
      <c r="J1187" s="59" t="s">
        <v>3110</v>
      </c>
      <c r="K1187" s="20"/>
      <c r="L1187" s="20"/>
      <c r="M1187" s="357"/>
      <c r="N1187" s="411"/>
      <c r="O1187" s="23" t="s">
        <v>682</v>
      </c>
      <c r="P1187" s="92" t="s">
        <v>632</v>
      </c>
      <c r="Q1187" s="92" t="s">
        <v>646</v>
      </c>
      <c r="R1187" s="372" t="str">
        <f t="shared" si="33"/>
        <v/>
      </c>
    </row>
    <row r="1188" spans="1:18" x14ac:dyDescent="0.25">
      <c r="A1188" s="23" t="s">
        <v>3104</v>
      </c>
      <c r="B1188" s="18" t="str">
        <f>IF(ISNA(VLOOKUP($A1188,'Data Pull Sheet'!$B$2:$C$1795,2,0)),"",(VLOOKUP($A1188,'Data Pull Sheet'!$B$2:$C$1795,2,0)))</f>
        <v>PXRB</v>
      </c>
      <c r="C1188" s="59" t="s">
        <v>424</v>
      </c>
      <c r="D1188" s="356" t="s">
        <v>537</v>
      </c>
      <c r="E1188" s="356" t="s">
        <v>436</v>
      </c>
      <c r="F1188" s="23" t="s">
        <v>3111</v>
      </c>
      <c r="G1188" s="23" t="s">
        <v>403</v>
      </c>
      <c r="H1188" s="353">
        <v>200000</v>
      </c>
      <c r="I1188" s="59"/>
      <c r="J1188" s="59" t="s">
        <v>3112</v>
      </c>
      <c r="K1188" s="20"/>
      <c r="L1188" s="20"/>
      <c r="M1188" s="357"/>
      <c r="N1188" s="411"/>
      <c r="O1188" s="23" t="s">
        <v>682</v>
      </c>
      <c r="P1188" s="92" t="s">
        <v>632</v>
      </c>
      <c r="Q1188" s="92" t="s">
        <v>646</v>
      </c>
      <c r="R1188" s="372" t="str">
        <f t="shared" si="33"/>
        <v/>
      </c>
    </row>
    <row r="1189" spans="1:18" x14ac:dyDescent="0.25">
      <c r="A1189" s="23" t="s">
        <v>3292</v>
      </c>
      <c r="B1189" s="18" t="str">
        <f>IF(ISNA(VLOOKUP($A1189,'Data Pull Sheet'!$B$2:$C$1795,2,0)),"",(VLOOKUP($A1189,'Data Pull Sheet'!$B$2:$C$1795,2,0)))</f>
        <v>RWLK</v>
      </c>
      <c r="C1189" s="59" t="s">
        <v>409</v>
      </c>
      <c r="D1189" s="356" t="s">
        <v>571</v>
      </c>
      <c r="E1189" s="356" t="s">
        <v>436</v>
      </c>
      <c r="F1189" s="23" t="s">
        <v>3293</v>
      </c>
      <c r="G1189" s="23" t="s">
        <v>403</v>
      </c>
      <c r="H1189" s="353">
        <v>985</v>
      </c>
      <c r="I1189" s="59"/>
      <c r="J1189" s="59" t="s">
        <v>3294</v>
      </c>
      <c r="K1189" s="20">
        <v>2</v>
      </c>
      <c r="L1189" s="20">
        <v>5</v>
      </c>
      <c r="M1189" s="357">
        <f>SUM(H1189:H1193)</f>
        <v>26969.3</v>
      </c>
      <c r="N1189" s="411">
        <f>IFERROR((M1189/(VLOOKUP(B1189,'Data Pull Sheet'!$C:$H,6,FALSE))),"DC")</f>
        <v>1.078772E-3</v>
      </c>
      <c r="O1189" s="23" t="s">
        <v>3295</v>
      </c>
      <c r="P1189" s="92" t="s">
        <v>632</v>
      </c>
      <c r="Q1189" s="92" t="s">
        <v>662</v>
      </c>
      <c r="R1189" s="372" t="str">
        <f t="shared" si="33"/>
        <v/>
      </c>
    </row>
    <row r="1190" spans="1:18" x14ac:dyDescent="0.25">
      <c r="A1190" s="23" t="s">
        <v>3292</v>
      </c>
      <c r="B1190" s="18" t="str">
        <f>IF(ISNA(VLOOKUP($A1190,'Data Pull Sheet'!$B$2:$C$1795,2,0)),"",(VLOOKUP($A1190,'Data Pull Sheet'!$B$2:$C$1795,2,0)))</f>
        <v>RWLK</v>
      </c>
      <c r="C1190" s="59" t="s">
        <v>409</v>
      </c>
      <c r="D1190" s="356" t="s">
        <v>571</v>
      </c>
      <c r="E1190" s="356" t="s">
        <v>436</v>
      </c>
      <c r="F1190" s="23" t="s">
        <v>3296</v>
      </c>
      <c r="G1190" s="23" t="s">
        <v>417</v>
      </c>
      <c r="H1190" s="353">
        <v>2344.3000000000002</v>
      </c>
      <c r="I1190" s="59"/>
      <c r="J1190" s="59" t="s">
        <v>3297</v>
      </c>
      <c r="K1190" s="20"/>
      <c r="L1190" s="20"/>
      <c r="M1190" s="357"/>
      <c r="N1190" s="411"/>
      <c r="O1190" s="23" t="s">
        <v>3295</v>
      </c>
      <c r="P1190" s="92" t="s">
        <v>632</v>
      </c>
      <c r="Q1190" s="92" t="s">
        <v>662</v>
      </c>
      <c r="R1190" s="372" t="str">
        <f t="shared" si="33"/>
        <v/>
      </c>
    </row>
    <row r="1191" spans="1:18" x14ac:dyDescent="0.25">
      <c r="A1191" s="23" t="s">
        <v>3292</v>
      </c>
      <c r="B1191" s="18" t="str">
        <f>IF(ISNA(VLOOKUP($A1191,'Data Pull Sheet'!$B$2:$C$1795,2,0)),"",(VLOOKUP($A1191,'Data Pull Sheet'!$B$2:$C$1795,2,0)))</f>
        <v>RWLK</v>
      </c>
      <c r="C1191" s="59" t="s">
        <v>409</v>
      </c>
      <c r="D1191" s="356" t="s">
        <v>571</v>
      </c>
      <c r="E1191" s="356" t="s">
        <v>436</v>
      </c>
      <c r="F1191" s="23" t="s">
        <v>3298</v>
      </c>
      <c r="G1191" s="23" t="s">
        <v>403</v>
      </c>
      <c r="H1191" s="353">
        <v>3940</v>
      </c>
      <c r="I1191" s="59"/>
      <c r="J1191" s="59" t="s">
        <v>3299</v>
      </c>
      <c r="K1191" s="20"/>
      <c r="L1191" s="20"/>
      <c r="M1191" s="357"/>
      <c r="N1191" s="411"/>
      <c r="O1191" s="23" t="s">
        <v>3295</v>
      </c>
      <c r="P1191" s="92" t="s">
        <v>632</v>
      </c>
      <c r="Q1191" s="92" t="s">
        <v>662</v>
      </c>
      <c r="R1191" s="372" t="str">
        <f t="shared" si="33"/>
        <v/>
      </c>
    </row>
    <row r="1192" spans="1:18" x14ac:dyDescent="0.25">
      <c r="A1192" s="23" t="s">
        <v>3292</v>
      </c>
      <c r="B1192" s="18" t="str">
        <f>IF(ISNA(VLOOKUP($A1192,'Data Pull Sheet'!$B$2:$C$1795,2,0)),"",(VLOOKUP($A1192,'Data Pull Sheet'!$B$2:$C$1795,2,0)))</f>
        <v>RWLK</v>
      </c>
      <c r="C1192" s="59" t="s">
        <v>409</v>
      </c>
      <c r="D1192" s="356" t="s">
        <v>571</v>
      </c>
      <c r="E1192" s="356" t="s">
        <v>436</v>
      </c>
      <c r="F1192" s="23" t="s">
        <v>3300</v>
      </c>
      <c r="G1192" s="23" t="s">
        <v>403</v>
      </c>
      <c r="H1192" s="353">
        <v>9850</v>
      </c>
      <c r="I1192" s="59"/>
      <c r="J1192" s="59" t="s">
        <v>3301</v>
      </c>
      <c r="K1192" s="20"/>
      <c r="L1192" s="20"/>
      <c r="M1192" s="357"/>
      <c r="N1192" s="411"/>
      <c r="O1192" s="23" t="s">
        <v>3295</v>
      </c>
      <c r="P1192" s="92" t="s">
        <v>632</v>
      </c>
      <c r="Q1192" s="92" t="s">
        <v>662</v>
      </c>
      <c r="R1192" s="372" t="str">
        <f t="shared" si="33"/>
        <v/>
      </c>
    </row>
    <row r="1193" spans="1:18" x14ac:dyDescent="0.25">
      <c r="A1193" s="23" t="s">
        <v>3292</v>
      </c>
      <c r="B1193" s="18" t="str">
        <f>IF(ISNA(VLOOKUP($A1193,'Data Pull Sheet'!$B$2:$C$1795,2,0)),"",(VLOOKUP($A1193,'Data Pull Sheet'!$B$2:$C$1795,2,0)))</f>
        <v>RWLK</v>
      </c>
      <c r="C1193" s="59" t="s">
        <v>409</v>
      </c>
      <c r="D1193" s="356" t="s">
        <v>571</v>
      </c>
      <c r="E1193" s="356" t="s">
        <v>436</v>
      </c>
      <c r="F1193" s="23" t="s">
        <v>3302</v>
      </c>
      <c r="G1193" s="23" t="s">
        <v>403</v>
      </c>
      <c r="H1193" s="353">
        <v>9850</v>
      </c>
      <c r="I1193" s="59"/>
      <c r="J1193" s="59" t="s">
        <v>3303</v>
      </c>
      <c r="K1193" s="20"/>
      <c r="L1193" s="20"/>
      <c r="M1193" s="357"/>
      <c r="N1193" s="411"/>
      <c r="O1193" s="23" t="s">
        <v>3295</v>
      </c>
      <c r="P1193" s="92" t="s">
        <v>632</v>
      </c>
      <c r="Q1193" s="92" t="s">
        <v>662</v>
      </c>
      <c r="R1193" s="372" t="str">
        <f t="shared" si="33"/>
        <v/>
      </c>
    </row>
    <row r="1194" spans="1:18" x14ac:dyDescent="0.25">
      <c r="A1194" s="23" t="s">
        <v>3292</v>
      </c>
      <c r="B1194" s="18" t="str">
        <f>IF(ISNA(VLOOKUP($A1194,'Data Pull Sheet'!$B$2:$C$1795,2,0)),"",(VLOOKUP($A1194,'Data Pull Sheet'!$B$2:$C$1795,2,0)))</f>
        <v>RWLK</v>
      </c>
      <c r="C1194" s="59" t="s">
        <v>409</v>
      </c>
      <c r="D1194" s="356" t="s">
        <v>571</v>
      </c>
      <c r="E1194" s="356" t="s">
        <v>436</v>
      </c>
      <c r="F1194" s="23" t="s">
        <v>3304</v>
      </c>
      <c r="G1194" s="23" t="s">
        <v>403</v>
      </c>
      <c r="H1194" s="353">
        <v>35460</v>
      </c>
      <c r="I1194" s="59"/>
      <c r="J1194" s="59" t="s">
        <v>6743</v>
      </c>
      <c r="K1194" s="20"/>
      <c r="L1194" s="20">
        <v>1</v>
      </c>
      <c r="M1194" s="357">
        <f t="shared" ref="M1194:M1201" si="34">H1194</f>
        <v>35460</v>
      </c>
      <c r="N1194" s="411">
        <f>IFERROR((M1194/(VLOOKUP(B1194,'Data Pull Sheet'!$C:$H,6,FALSE))),"DC")</f>
        <v>1.4184E-3</v>
      </c>
      <c r="O1194" s="23" t="s">
        <v>3305</v>
      </c>
      <c r="P1194" s="92" t="s">
        <v>632</v>
      </c>
      <c r="Q1194" s="92" t="s">
        <v>637</v>
      </c>
      <c r="R1194" s="372" t="str">
        <f t="shared" si="33"/>
        <v/>
      </c>
    </row>
    <row r="1195" spans="1:18" x14ac:dyDescent="0.25">
      <c r="A1195" s="23" t="s">
        <v>193</v>
      </c>
      <c r="B1195" s="18" t="str">
        <f>IF(ISNA(VLOOKUP($A1195,'Data Pull Sheet'!$B$2:$C$1795,2,0)),"",(VLOOKUP($A1195,'Data Pull Sheet'!$B$2:$C$1795,2,0)))</f>
        <v>VSTO</v>
      </c>
      <c r="C1195" s="59" t="s">
        <v>536</v>
      </c>
      <c r="D1195" s="356" t="s">
        <v>537</v>
      </c>
      <c r="E1195" s="356" t="s">
        <v>436</v>
      </c>
      <c r="F1195" s="23" t="s">
        <v>4072</v>
      </c>
      <c r="G1195" s="23" t="s">
        <v>417</v>
      </c>
      <c r="H1195" s="353">
        <v>87737.63</v>
      </c>
      <c r="I1195" s="59"/>
      <c r="J1195" s="59" t="s">
        <v>4073</v>
      </c>
      <c r="K1195" s="20">
        <v>4</v>
      </c>
      <c r="L1195" s="20">
        <v>1</v>
      </c>
      <c r="M1195" s="357">
        <f t="shared" si="34"/>
        <v>87737.63</v>
      </c>
      <c r="N1195" s="411">
        <f>IFERROR((M1195/(VLOOKUP(B1195,'Data Pull Sheet'!$C:$H,6,FALSE))),"DC")</f>
        <v>4.8743127777777781E-4</v>
      </c>
      <c r="O1195" s="23" t="s">
        <v>10838</v>
      </c>
      <c r="P1195" s="92" t="s">
        <v>632</v>
      </c>
      <c r="Q1195" s="92" t="s">
        <v>633</v>
      </c>
      <c r="R1195" s="372" t="str">
        <f t="shared" si="33"/>
        <v/>
      </c>
    </row>
    <row r="1196" spans="1:18" ht="30" x14ac:dyDescent="0.25">
      <c r="A1196" s="23" t="s">
        <v>193</v>
      </c>
      <c r="B1196" s="18" t="str">
        <f>IF(ISNA(VLOOKUP($A1196,'Data Pull Sheet'!$B$2:$C$1795,2,0)),"",(VLOOKUP($A1196,'Data Pull Sheet'!$B$2:$C$1795,2,0)))</f>
        <v>VSTO</v>
      </c>
      <c r="C1196" s="59" t="s">
        <v>536</v>
      </c>
      <c r="D1196" s="356" t="s">
        <v>537</v>
      </c>
      <c r="E1196" s="356" t="s">
        <v>436</v>
      </c>
      <c r="F1196" s="23" t="s">
        <v>350</v>
      </c>
      <c r="G1196" s="23" t="s">
        <v>417</v>
      </c>
      <c r="H1196" s="353">
        <v>76042.19</v>
      </c>
      <c r="I1196" s="59"/>
      <c r="J1196" s="59" t="s">
        <v>4075</v>
      </c>
      <c r="K1196" s="20"/>
      <c r="L1196" s="20">
        <v>1</v>
      </c>
      <c r="M1196" s="357">
        <f t="shared" si="34"/>
        <v>76042.19</v>
      </c>
      <c r="N1196" s="411">
        <f>IFERROR((M1196/(VLOOKUP(B1196,'Data Pull Sheet'!$C:$H,6,FALSE))),"DC")</f>
        <v>4.2245661111111113E-4</v>
      </c>
      <c r="O1196" s="23" t="s">
        <v>4076</v>
      </c>
      <c r="P1196" s="92" t="s">
        <v>632</v>
      </c>
      <c r="Q1196" s="92" t="s">
        <v>633</v>
      </c>
      <c r="R1196" s="372" t="str">
        <f t="shared" si="33"/>
        <v/>
      </c>
    </row>
    <row r="1197" spans="1:18" x14ac:dyDescent="0.25">
      <c r="A1197" s="23" t="s">
        <v>193</v>
      </c>
      <c r="B1197" s="18" t="str">
        <f>IF(ISNA(VLOOKUP($A1197,'Data Pull Sheet'!$B$2:$C$1795,2,0)),"",(VLOOKUP($A1197,'Data Pull Sheet'!$B$2:$C$1795,2,0)))</f>
        <v>VSTO</v>
      </c>
      <c r="C1197" s="59" t="s">
        <v>536</v>
      </c>
      <c r="D1197" s="356" t="s">
        <v>537</v>
      </c>
      <c r="E1197" s="356" t="s">
        <v>436</v>
      </c>
      <c r="F1197" s="23" t="s">
        <v>4077</v>
      </c>
      <c r="G1197" s="23" t="s">
        <v>403</v>
      </c>
      <c r="H1197" s="353">
        <v>258951.5</v>
      </c>
      <c r="I1197" s="59"/>
      <c r="J1197" s="59" t="s">
        <v>4078</v>
      </c>
      <c r="K1197" s="20"/>
      <c r="L1197" s="20">
        <v>1</v>
      </c>
      <c r="M1197" s="357">
        <f t="shared" si="34"/>
        <v>258951.5</v>
      </c>
      <c r="N1197" s="411">
        <f>IFERROR((M1197/(VLOOKUP(B1197,'Data Pull Sheet'!$C:$H,6,FALSE))),"DC")</f>
        <v>1.4386194444444445E-3</v>
      </c>
      <c r="O1197" s="23" t="s">
        <v>2584</v>
      </c>
      <c r="P1197" s="92" t="s">
        <v>632</v>
      </c>
      <c r="Q1197" s="92" t="s">
        <v>637</v>
      </c>
      <c r="R1197" s="372" t="str">
        <f t="shared" si="33"/>
        <v/>
      </c>
    </row>
    <row r="1198" spans="1:18" ht="30" x14ac:dyDescent="0.25">
      <c r="A1198" s="23" t="s">
        <v>193</v>
      </c>
      <c r="B1198" s="18" t="str">
        <f>IF(ISNA(VLOOKUP($A1198,'Data Pull Sheet'!$B$2:$C$1795,2,0)),"",(VLOOKUP($A1198,'Data Pull Sheet'!$B$2:$C$1795,2,0)))</f>
        <v>VSTO</v>
      </c>
      <c r="C1198" s="59" t="s">
        <v>536</v>
      </c>
      <c r="D1198" s="356" t="s">
        <v>537</v>
      </c>
      <c r="E1198" s="356" t="s">
        <v>436</v>
      </c>
      <c r="F1198" s="23" t="s">
        <v>189</v>
      </c>
      <c r="G1198" s="23" t="s">
        <v>417</v>
      </c>
      <c r="H1198" s="353">
        <v>339133.77</v>
      </c>
      <c r="I1198" s="59" t="s">
        <v>538</v>
      </c>
      <c r="J1198" s="59" t="s">
        <v>4079</v>
      </c>
      <c r="K1198" s="20"/>
      <c r="L1198" s="20">
        <v>1</v>
      </c>
      <c r="M1198" s="357">
        <f t="shared" si="34"/>
        <v>339133.77</v>
      </c>
      <c r="N1198" s="411">
        <f>IFERROR((M1198/(VLOOKUP(B1198,'Data Pull Sheet'!$C:$H,6,FALSE))),"DC")</f>
        <v>1.8840765000000001E-3</v>
      </c>
      <c r="O1198" s="23" t="s">
        <v>11092</v>
      </c>
      <c r="P1198" s="92" t="s">
        <v>632</v>
      </c>
      <c r="Q1198" s="92" t="s">
        <v>633</v>
      </c>
      <c r="R1198" s="372" t="str">
        <f t="shared" si="33"/>
        <v>FF</v>
      </c>
    </row>
    <row r="1199" spans="1:18" ht="30" x14ac:dyDescent="0.25">
      <c r="A1199" s="23" t="s">
        <v>371</v>
      </c>
      <c r="B1199" s="18" t="str">
        <f>IF(ISNA(VLOOKUP($A1199,'Data Pull Sheet'!$B$2:$C$1795,2,0)),"",(VLOOKUP($A1199,'Data Pull Sheet'!$B$2:$C$1795,2,0)))</f>
        <v>WU</v>
      </c>
      <c r="C1199" s="59" t="s">
        <v>545</v>
      </c>
      <c r="D1199" s="356" t="s">
        <v>608</v>
      </c>
      <c r="E1199" s="356" t="s">
        <v>436</v>
      </c>
      <c r="F1199" s="23" t="s">
        <v>3820</v>
      </c>
      <c r="G1199" s="23" t="s">
        <v>403</v>
      </c>
      <c r="H1199" s="353">
        <v>10771</v>
      </c>
      <c r="I1199" s="59"/>
      <c r="J1199" s="59" t="s">
        <v>3821</v>
      </c>
      <c r="K1199" s="20">
        <v>3</v>
      </c>
      <c r="L1199" s="20">
        <v>1</v>
      </c>
      <c r="M1199" s="357">
        <f t="shared" si="34"/>
        <v>10771</v>
      </c>
      <c r="N1199" s="411">
        <f>IFERROR((M1199/(VLOOKUP(B1199,'Data Pull Sheet'!$C:$H,6,FALSE))),"DC")</f>
        <v>9.7918181818181811E-6</v>
      </c>
      <c r="O1199" s="23" t="s">
        <v>1204</v>
      </c>
      <c r="P1199" s="92" t="s">
        <v>632</v>
      </c>
      <c r="Q1199" s="92" t="s">
        <v>637</v>
      </c>
      <c r="R1199" s="372" t="str">
        <f t="shared" si="33"/>
        <v/>
      </c>
    </row>
    <row r="1200" spans="1:18" x14ac:dyDescent="0.25">
      <c r="A1200" s="23" t="s">
        <v>371</v>
      </c>
      <c r="B1200" s="18" t="str">
        <f>IF(ISNA(VLOOKUP($A1200,'Data Pull Sheet'!$B$2:$C$1795,2,0)),"",(VLOOKUP($A1200,'Data Pull Sheet'!$B$2:$C$1795,2,0)))</f>
        <v>WU</v>
      </c>
      <c r="C1200" s="59" t="s">
        <v>545</v>
      </c>
      <c r="D1200" s="356" t="s">
        <v>608</v>
      </c>
      <c r="E1200" s="356" t="s">
        <v>436</v>
      </c>
      <c r="F1200" s="23" t="s">
        <v>369</v>
      </c>
      <c r="G1200" s="23" t="s">
        <v>417</v>
      </c>
      <c r="H1200" s="353">
        <v>175974.71</v>
      </c>
      <c r="I1200" s="59"/>
      <c r="J1200" s="59" t="s">
        <v>3822</v>
      </c>
      <c r="K1200" s="20"/>
      <c r="L1200" s="20">
        <v>1</v>
      </c>
      <c r="M1200" s="357">
        <f t="shared" si="34"/>
        <v>175974.71</v>
      </c>
      <c r="N1200" s="411">
        <f>IFERROR((M1200/(VLOOKUP(B1200,'Data Pull Sheet'!$C:$H,6,FALSE))),"DC")</f>
        <v>1.5997700909090907E-4</v>
      </c>
      <c r="O1200" s="23" t="s">
        <v>7</v>
      </c>
      <c r="P1200" s="92" t="s">
        <v>632</v>
      </c>
      <c r="Q1200" s="92" t="s">
        <v>633</v>
      </c>
      <c r="R1200" s="372" t="str">
        <f t="shared" si="33"/>
        <v>FF</v>
      </c>
    </row>
    <row r="1201" spans="1:18" x14ac:dyDescent="0.25">
      <c r="A1201" s="23" t="s">
        <v>371</v>
      </c>
      <c r="B1201" s="18" t="str">
        <f>IF(ISNA(VLOOKUP($A1201,'Data Pull Sheet'!$B$2:$C$1795,2,0)),"",(VLOOKUP($A1201,'Data Pull Sheet'!$B$2:$C$1795,2,0)))</f>
        <v>WU</v>
      </c>
      <c r="C1201" s="59" t="s">
        <v>545</v>
      </c>
      <c r="D1201" s="356" t="s">
        <v>608</v>
      </c>
      <c r="E1201" s="356" t="s">
        <v>436</v>
      </c>
      <c r="F1201" s="23" t="s">
        <v>3823</v>
      </c>
      <c r="G1201" s="23" t="s">
        <v>403</v>
      </c>
      <c r="H1201" s="353">
        <v>326</v>
      </c>
      <c r="I1201" s="59"/>
      <c r="J1201" s="59" t="s">
        <v>3824</v>
      </c>
      <c r="K1201" s="20"/>
      <c r="L1201" s="20">
        <v>1</v>
      </c>
      <c r="M1201" s="357">
        <f t="shared" si="34"/>
        <v>326</v>
      </c>
      <c r="N1201" s="411">
        <f>IFERROR((M1201/(VLOOKUP(B1201,'Data Pull Sheet'!$C:$H,6,FALSE))),"DC")</f>
        <v>2.9636363636363638E-7</v>
      </c>
      <c r="O1201" s="23" t="s">
        <v>682</v>
      </c>
      <c r="P1201" s="92" t="s">
        <v>632</v>
      </c>
      <c r="Q1201" s="92" t="s">
        <v>637</v>
      </c>
      <c r="R1201" s="372" t="str">
        <f t="shared" si="33"/>
        <v/>
      </c>
    </row>
    <row r="1202" spans="1:18" x14ac:dyDescent="0.25">
      <c r="A1202" s="23" t="s">
        <v>4180</v>
      </c>
      <c r="B1202" s="18" t="str">
        <f>IF(ISNA(VLOOKUP($A1202,'Data Pull Sheet'!$B$2:$C$1795,2,0)),"",(VLOOKUP($A1202,'Data Pull Sheet'!$B$2:$C$1795,2,0)))</f>
        <v>YHOO</v>
      </c>
      <c r="C1202" s="59" t="s">
        <v>457</v>
      </c>
      <c r="D1202" s="356" t="s">
        <v>2333</v>
      </c>
      <c r="E1202" s="356" t="s">
        <v>436</v>
      </c>
      <c r="F1202" s="23" t="s">
        <v>4181</v>
      </c>
      <c r="G1202" s="23" t="s">
        <v>417</v>
      </c>
      <c r="H1202" s="353">
        <v>320415</v>
      </c>
      <c r="I1202" s="59"/>
      <c r="J1202" s="59" t="s">
        <v>4182</v>
      </c>
      <c r="K1202" s="20">
        <v>1</v>
      </c>
      <c r="L1202" s="20">
        <v>2</v>
      </c>
      <c r="M1202" s="357">
        <f>SUM(H1202:H1203)</f>
        <v>1180889</v>
      </c>
      <c r="N1202" s="411">
        <f>IFERROR((M1202/(VLOOKUP(B1202,'Data Pull Sheet'!$C:$H,6,FALSE))),"DC")</f>
        <v>1.9681483333333335E-3</v>
      </c>
      <c r="O1202" s="23" t="s">
        <v>885</v>
      </c>
      <c r="P1202" s="92" t="s">
        <v>676</v>
      </c>
      <c r="Q1202" s="92" t="s">
        <v>662</v>
      </c>
      <c r="R1202" s="372" t="str">
        <f t="shared" si="33"/>
        <v/>
      </c>
    </row>
    <row r="1203" spans="1:18" x14ac:dyDescent="0.25">
      <c r="A1203" s="23" t="s">
        <v>4180</v>
      </c>
      <c r="B1203" s="18" t="str">
        <f>IF(ISNA(VLOOKUP($A1203,'Data Pull Sheet'!$B$2:$C$1795,2,0)),"",(VLOOKUP($A1203,'Data Pull Sheet'!$B$2:$C$1795,2,0)))</f>
        <v>YHOO</v>
      </c>
      <c r="C1203" s="59" t="s">
        <v>457</v>
      </c>
      <c r="D1203" s="356" t="s">
        <v>2333</v>
      </c>
      <c r="E1203" s="356" t="s">
        <v>436</v>
      </c>
      <c r="F1203" s="23" t="s">
        <v>4183</v>
      </c>
      <c r="G1203" s="23" t="s">
        <v>403</v>
      </c>
      <c r="H1203" s="353">
        <v>860474</v>
      </c>
      <c r="I1203" s="59"/>
      <c r="J1203" s="59" t="s">
        <v>4184</v>
      </c>
      <c r="K1203" s="20"/>
      <c r="L1203" s="20"/>
      <c r="M1203" s="357"/>
      <c r="N1203" s="411"/>
      <c r="O1203" s="23" t="s">
        <v>885</v>
      </c>
      <c r="P1203" s="92" t="s">
        <v>676</v>
      </c>
      <c r="Q1203" s="92" t="s">
        <v>662</v>
      </c>
      <c r="R1203" s="372" t="str">
        <f t="shared" si="33"/>
        <v/>
      </c>
    </row>
    <row r="1204" spans="1:18" ht="30" x14ac:dyDescent="0.25">
      <c r="A1204" s="23" t="s">
        <v>1715</v>
      </c>
      <c r="B1204" s="18" t="str">
        <f>IF(ISNA(VLOOKUP($A1204,'Data Pull Sheet'!$B$2:$C$1795,2,0)),"",(VLOOKUP($A1204,'Data Pull Sheet'!$B$2:$C$1795,2,0)))</f>
        <v>EGLT</v>
      </c>
      <c r="C1204" s="59" t="s">
        <v>542</v>
      </c>
      <c r="D1204" s="356" t="s">
        <v>1716</v>
      </c>
      <c r="E1204" s="356" t="s">
        <v>1717</v>
      </c>
      <c r="F1204" s="23" t="s">
        <v>1718</v>
      </c>
      <c r="G1204" s="23" t="s">
        <v>403</v>
      </c>
      <c r="H1204" s="353">
        <v>19715</v>
      </c>
      <c r="I1204" s="59"/>
      <c r="J1204" s="59" t="s">
        <v>1719</v>
      </c>
      <c r="K1204" s="20">
        <v>2</v>
      </c>
      <c r="L1204" s="20">
        <v>3</v>
      </c>
      <c r="M1204" s="357">
        <f>SUM(H1204:H1206)</f>
        <v>76177.929999999993</v>
      </c>
      <c r="N1204" s="411">
        <f>IFERROR((M1204/(VLOOKUP(B1204,'Data Pull Sheet'!$C:$H,6,FALSE))),"DC")</f>
        <v>5.078528666666666E-3</v>
      </c>
      <c r="O1204" s="23" t="s">
        <v>1720</v>
      </c>
      <c r="P1204" s="92" t="s">
        <v>632</v>
      </c>
      <c r="Q1204" s="92" t="s">
        <v>646</v>
      </c>
      <c r="R1204" s="372" t="str">
        <f t="shared" si="33"/>
        <v/>
      </c>
    </row>
    <row r="1205" spans="1:18" ht="30" x14ac:dyDescent="0.25">
      <c r="A1205" s="23" t="s">
        <v>1715</v>
      </c>
      <c r="B1205" s="18" t="str">
        <f>IF(ISNA(VLOOKUP($A1205,'Data Pull Sheet'!$B$2:$C$1795,2,0)),"",(VLOOKUP($A1205,'Data Pull Sheet'!$B$2:$C$1795,2,0)))</f>
        <v>EGLT</v>
      </c>
      <c r="C1205" s="59" t="s">
        <v>542</v>
      </c>
      <c r="D1205" s="356" t="s">
        <v>1716</v>
      </c>
      <c r="E1205" s="356" t="s">
        <v>1717</v>
      </c>
      <c r="F1205" s="23" t="s">
        <v>1721</v>
      </c>
      <c r="G1205" s="23" t="s">
        <v>403</v>
      </c>
      <c r="H1205" s="353">
        <v>23535.71</v>
      </c>
      <c r="I1205" s="59"/>
      <c r="J1205" s="59" t="s">
        <v>1722</v>
      </c>
      <c r="K1205" s="20"/>
      <c r="L1205" s="20"/>
      <c r="M1205" s="357"/>
      <c r="N1205" s="411"/>
      <c r="O1205" s="23" t="s">
        <v>1720</v>
      </c>
      <c r="P1205" s="92" t="s">
        <v>632</v>
      </c>
      <c r="Q1205" s="92" t="s">
        <v>646</v>
      </c>
      <c r="R1205" s="372" t="str">
        <f t="shared" si="33"/>
        <v/>
      </c>
    </row>
    <row r="1206" spans="1:18" ht="30" x14ac:dyDescent="0.25">
      <c r="A1206" s="23" t="s">
        <v>1715</v>
      </c>
      <c r="B1206" s="18" t="str">
        <f>IF(ISNA(VLOOKUP($A1206,'Data Pull Sheet'!$B$2:$C$1795,2,0)),"",(VLOOKUP($A1206,'Data Pull Sheet'!$B$2:$C$1795,2,0)))</f>
        <v>EGLT</v>
      </c>
      <c r="C1206" s="59" t="s">
        <v>542</v>
      </c>
      <c r="D1206" s="356" t="s">
        <v>1716</v>
      </c>
      <c r="E1206" s="356" t="s">
        <v>1717</v>
      </c>
      <c r="F1206" s="23" t="s">
        <v>1723</v>
      </c>
      <c r="G1206" s="23" t="s">
        <v>403</v>
      </c>
      <c r="H1206" s="353">
        <v>32927.22</v>
      </c>
      <c r="I1206" s="59"/>
      <c r="J1206" s="59" t="s">
        <v>1724</v>
      </c>
      <c r="K1206" s="20"/>
      <c r="L1206" s="20"/>
      <c r="M1206" s="357"/>
      <c r="N1206" s="411"/>
      <c r="O1206" s="23" t="s">
        <v>1720</v>
      </c>
      <c r="P1206" s="92" t="s">
        <v>632</v>
      </c>
      <c r="Q1206" s="92" t="s">
        <v>646</v>
      </c>
      <c r="R1206" s="372" t="str">
        <f t="shared" si="33"/>
        <v/>
      </c>
    </row>
    <row r="1207" spans="1:18" x14ac:dyDescent="0.25">
      <c r="A1207" s="23" t="s">
        <v>1715</v>
      </c>
      <c r="B1207" s="18" t="str">
        <f>IF(ISNA(VLOOKUP($A1207,'Data Pull Sheet'!$B$2:$C$1795,2,0)),"",(VLOOKUP($A1207,'Data Pull Sheet'!$B$2:$C$1795,2,0)))</f>
        <v>EGLT</v>
      </c>
      <c r="C1207" s="59" t="s">
        <v>542</v>
      </c>
      <c r="D1207" s="356" t="s">
        <v>1716</v>
      </c>
      <c r="E1207" s="356" t="s">
        <v>1717</v>
      </c>
      <c r="F1207" s="23" t="s">
        <v>1725</v>
      </c>
      <c r="G1207" s="23" t="s">
        <v>403</v>
      </c>
      <c r="H1207" s="353">
        <v>2620</v>
      </c>
      <c r="I1207" s="59"/>
      <c r="J1207" s="59" t="s">
        <v>1726</v>
      </c>
      <c r="K1207" s="20"/>
      <c r="L1207" s="20">
        <v>3</v>
      </c>
      <c r="M1207" s="357">
        <f>SUM(H1207:H1209)</f>
        <v>23744.98</v>
      </c>
      <c r="N1207" s="411">
        <f>IFERROR((M1207/(VLOOKUP(B1207,'Data Pull Sheet'!$C:$H,6,FALSE))),"DC")</f>
        <v>1.5829986666666667E-3</v>
      </c>
      <c r="O1207" s="23" t="s">
        <v>682</v>
      </c>
      <c r="P1207" s="92" t="s">
        <v>632</v>
      </c>
      <c r="Q1207" s="92" t="s">
        <v>646</v>
      </c>
      <c r="R1207" s="372" t="str">
        <f t="shared" si="33"/>
        <v/>
      </c>
    </row>
    <row r="1208" spans="1:18" x14ac:dyDescent="0.25">
      <c r="A1208" s="23" t="s">
        <v>1715</v>
      </c>
      <c r="B1208" s="18" t="str">
        <f>IF(ISNA(VLOOKUP($A1208,'Data Pull Sheet'!$B$2:$C$1795,2,0)),"",(VLOOKUP($A1208,'Data Pull Sheet'!$B$2:$C$1795,2,0)))</f>
        <v>EGLT</v>
      </c>
      <c r="C1208" s="59" t="s">
        <v>542</v>
      </c>
      <c r="D1208" s="356" t="s">
        <v>1716</v>
      </c>
      <c r="E1208" s="356" t="s">
        <v>1717</v>
      </c>
      <c r="F1208" s="23" t="s">
        <v>1727</v>
      </c>
      <c r="G1208" s="23" t="s">
        <v>403</v>
      </c>
      <c r="H1208" s="353">
        <v>5814.98</v>
      </c>
      <c r="I1208" s="59"/>
      <c r="J1208" s="59" t="s">
        <v>1728</v>
      </c>
      <c r="K1208" s="20"/>
      <c r="L1208" s="20"/>
      <c r="M1208" s="357"/>
      <c r="N1208" s="411"/>
      <c r="O1208" s="23" t="s">
        <v>682</v>
      </c>
      <c r="P1208" s="92" t="s">
        <v>632</v>
      </c>
      <c r="Q1208" s="92" t="s">
        <v>646</v>
      </c>
      <c r="R1208" s="372" t="str">
        <f t="shared" si="33"/>
        <v/>
      </c>
    </row>
    <row r="1209" spans="1:18" x14ac:dyDescent="0.25">
      <c r="A1209" s="23" t="s">
        <v>1715</v>
      </c>
      <c r="B1209" s="18" t="str">
        <f>IF(ISNA(VLOOKUP($A1209,'Data Pull Sheet'!$B$2:$C$1795,2,0)),"",(VLOOKUP($A1209,'Data Pull Sheet'!$B$2:$C$1795,2,0)))</f>
        <v>EGLT</v>
      </c>
      <c r="C1209" s="59" t="s">
        <v>542</v>
      </c>
      <c r="D1209" s="356" t="s">
        <v>1716</v>
      </c>
      <c r="E1209" s="356" t="s">
        <v>1717</v>
      </c>
      <c r="F1209" s="23" t="s">
        <v>1729</v>
      </c>
      <c r="G1209" s="23" t="s">
        <v>403</v>
      </c>
      <c r="H1209" s="353">
        <v>15310</v>
      </c>
      <c r="I1209" s="59"/>
      <c r="J1209" s="59" t="s">
        <v>1730</v>
      </c>
      <c r="K1209" s="20"/>
      <c r="L1209" s="20"/>
      <c r="M1209" s="357"/>
      <c r="N1209" s="411"/>
      <c r="O1209" s="23" t="s">
        <v>682</v>
      </c>
      <c r="P1209" s="92" t="s">
        <v>632</v>
      </c>
      <c r="Q1209" s="92" t="s">
        <v>646</v>
      </c>
      <c r="R1209" s="372" t="str">
        <f t="shared" si="33"/>
        <v/>
      </c>
    </row>
    <row r="1210" spans="1:18" x14ac:dyDescent="0.25">
      <c r="A1210" s="23" t="s">
        <v>1819</v>
      </c>
      <c r="B1210" s="18" t="s">
        <v>10531</v>
      </c>
      <c r="C1210" s="59" t="s">
        <v>446</v>
      </c>
      <c r="D1210" s="356" t="s">
        <v>1716</v>
      </c>
      <c r="E1210" s="356" t="s">
        <v>1717</v>
      </c>
      <c r="F1210" s="23" t="s">
        <v>1820</v>
      </c>
      <c r="G1210" s="23" t="s">
        <v>403</v>
      </c>
      <c r="H1210" s="353">
        <v>12365</v>
      </c>
      <c r="I1210" s="59"/>
      <c r="J1210" s="59" t="s">
        <v>1821</v>
      </c>
      <c r="K1210" s="20">
        <v>1</v>
      </c>
      <c r="L1210" s="20">
        <v>2</v>
      </c>
      <c r="M1210" s="357">
        <f>SUM(H1210:H1211)</f>
        <v>110423.41</v>
      </c>
      <c r="N1210" s="411">
        <f>IFERROR((M1210/(VLOOKUP(B1210,'Data Pull Sheet'!$C:$H,6,FALSE))),"DC")</f>
        <v>2.2084682E-5</v>
      </c>
      <c r="O1210" s="23" t="s">
        <v>1617</v>
      </c>
      <c r="P1210" s="92" t="s">
        <v>676</v>
      </c>
      <c r="Q1210" s="92" t="s">
        <v>646</v>
      </c>
      <c r="R1210" s="372" t="str">
        <f t="shared" si="33"/>
        <v/>
      </c>
    </row>
    <row r="1211" spans="1:18" x14ac:dyDescent="0.25">
      <c r="A1211" s="23" t="s">
        <v>1819</v>
      </c>
      <c r="B1211" s="18" t="s">
        <v>10531</v>
      </c>
      <c r="C1211" s="59" t="s">
        <v>446</v>
      </c>
      <c r="D1211" s="356" t="s">
        <v>1716</v>
      </c>
      <c r="E1211" s="356" t="s">
        <v>1717</v>
      </c>
      <c r="F1211" s="23" t="s">
        <v>1822</v>
      </c>
      <c r="G1211" s="23" t="s">
        <v>403</v>
      </c>
      <c r="H1211" s="353">
        <v>98058.41</v>
      </c>
      <c r="I1211" s="59"/>
      <c r="J1211" s="59" t="s">
        <v>1823</v>
      </c>
      <c r="K1211" s="20"/>
      <c r="L1211" s="20"/>
      <c r="M1211" s="357"/>
      <c r="N1211" s="411"/>
      <c r="O1211" s="23" t="s">
        <v>1617</v>
      </c>
      <c r="P1211" s="92" t="s">
        <v>676</v>
      </c>
      <c r="Q1211" s="92" t="s">
        <v>646</v>
      </c>
      <c r="R1211" s="372" t="str">
        <f t="shared" si="33"/>
        <v/>
      </c>
    </row>
    <row r="1212" spans="1:18" x14ac:dyDescent="0.25">
      <c r="A1212" s="23" t="s">
        <v>2097</v>
      </c>
      <c r="B1212" s="18" t="str">
        <f>IF(ISNA(VLOOKUP($A1212,'Data Pull Sheet'!$B$2:$C$1795,2,0)),"",(VLOOKUP($A1212,'Data Pull Sheet'!$B$2:$C$1795,2,0)))</f>
        <v>GIMO</v>
      </c>
      <c r="C1212" s="59" t="s">
        <v>457</v>
      </c>
      <c r="D1212" s="356" t="s">
        <v>1716</v>
      </c>
      <c r="E1212" s="356" t="s">
        <v>1717</v>
      </c>
      <c r="F1212" s="23" t="s">
        <v>2098</v>
      </c>
      <c r="G1212" s="23" t="s">
        <v>403</v>
      </c>
      <c r="H1212" s="353">
        <v>12505.96</v>
      </c>
      <c r="I1212" s="59"/>
      <c r="J1212" s="59" t="s">
        <v>2099</v>
      </c>
      <c r="K1212" s="20">
        <v>5</v>
      </c>
      <c r="L1212" s="20">
        <v>5</v>
      </c>
      <c r="M1212" s="357">
        <f>SUM(H1212:H1216)</f>
        <v>137078.97</v>
      </c>
      <c r="N1212" s="411">
        <f>IFERROR((M1212/(VLOOKUP(B1212,'Data Pull Sheet'!$C:$H,6,FALSE))),"DC")</f>
        <v>1.09663176E-3</v>
      </c>
      <c r="O1212" s="23" t="s">
        <v>1617</v>
      </c>
      <c r="P1212" s="92" t="s">
        <v>632</v>
      </c>
      <c r="Q1212" s="92" t="s">
        <v>646</v>
      </c>
      <c r="R1212" s="372" t="str">
        <f t="shared" si="33"/>
        <v/>
      </c>
    </row>
    <row r="1213" spans="1:18" x14ac:dyDescent="0.25">
      <c r="A1213" s="23" t="s">
        <v>2097</v>
      </c>
      <c r="B1213" s="18" t="str">
        <f>IF(ISNA(VLOOKUP($A1213,'Data Pull Sheet'!$B$2:$C$1795,2,0)),"",(VLOOKUP($A1213,'Data Pull Sheet'!$B$2:$C$1795,2,0)))</f>
        <v>GIMO</v>
      </c>
      <c r="C1213" s="59" t="s">
        <v>457</v>
      </c>
      <c r="D1213" s="356" t="s">
        <v>1716</v>
      </c>
      <c r="E1213" s="356" t="s">
        <v>1717</v>
      </c>
      <c r="F1213" s="23" t="s">
        <v>2100</v>
      </c>
      <c r="G1213" s="23" t="s">
        <v>403</v>
      </c>
      <c r="H1213" s="353">
        <v>16852.13</v>
      </c>
      <c r="I1213" s="59"/>
      <c r="J1213" s="59" t="s">
        <v>2101</v>
      </c>
      <c r="K1213" s="20"/>
      <c r="L1213" s="20"/>
      <c r="M1213" s="357"/>
      <c r="N1213" s="411"/>
      <c r="O1213" s="23" t="s">
        <v>1617</v>
      </c>
      <c r="P1213" s="92" t="s">
        <v>632</v>
      </c>
      <c r="Q1213" s="92" t="s">
        <v>646</v>
      </c>
      <c r="R1213" s="372" t="str">
        <f t="shared" si="33"/>
        <v/>
      </c>
    </row>
    <row r="1214" spans="1:18" x14ac:dyDescent="0.25">
      <c r="A1214" s="23" t="s">
        <v>2097</v>
      </c>
      <c r="B1214" s="18" t="str">
        <f>IF(ISNA(VLOOKUP($A1214,'Data Pull Sheet'!$B$2:$C$1795,2,0)),"",(VLOOKUP($A1214,'Data Pull Sheet'!$B$2:$C$1795,2,0)))</f>
        <v>GIMO</v>
      </c>
      <c r="C1214" s="59" t="s">
        <v>457</v>
      </c>
      <c r="D1214" s="356" t="s">
        <v>1716</v>
      </c>
      <c r="E1214" s="356" t="s">
        <v>1717</v>
      </c>
      <c r="F1214" s="23" t="s">
        <v>2102</v>
      </c>
      <c r="G1214" s="23" t="s">
        <v>403</v>
      </c>
      <c r="H1214" s="353">
        <v>25974.01</v>
      </c>
      <c r="I1214" s="59"/>
      <c r="J1214" s="59" t="s">
        <v>2103</v>
      </c>
      <c r="K1214" s="20"/>
      <c r="L1214" s="20"/>
      <c r="M1214" s="357"/>
      <c r="N1214" s="411"/>
      <c r="O1214" s="23" t="s">
        <v>1617</v>
      </c>
      <c r="P1214" s="92" t="s">
        <v>632</v>
      </c>
      <c r="Q1214" s="92" t="s">
        <v>646</v>
      </c>
      <c r="R1214" s="372" t="str">
        <f t="shared" si="33"/>
        <v/>
      </c>
    </row>
    <row r="1215" spans="1:18" x14ac:dyDescent="0.25">
      <c r="A1215" s="23" t="s">
        <v>2097</v>
      </c>
      <c r="B1215" s="18" t="str">
        <f>IF(ISNA(VLOOKUP($A1215,'Data Pull Sheet'!$B$2:$C$1795,2,0)),"",(VLOOKUP($A1215,'Data Pull Sheet'!$B$2:$C$1795,2,0)))</f>
        <v>GIMO</v>
      </c>
      <c r="C1215" s="59" t="s">
        <v>457</v>
      </c>
      <c r="D1215" s="356" t="s">
        <v>1716</v>
      </c>
      <c r="E1215" s="356" t="s">
        <v>1717</v>
      </c>
      <c r="F1215" s="23" t="s">
        <v>2104</v>
      </c>
      <c r="G1215" s="23" t="s">
        <v>403</v>
      </c>
      <c r="H1215" s="353">
        <v>33076.1</v>
      </c>
      <c r="I1215" s="59"/>
      <c r="J1215" s="59" t="s">
        <v>2105</v>
      </c>
      <c r="K1215" s="20"/>
      <c r="L1215" s="20"/>
      <c r="M1215" s="357"/>
      <c r="N1215" s="411"/>
      <c r="O1215" s="23" t="s">
        <v>1617</v>
      </c>
      <c r="P1215" s="92" t="s">
        <v>632</v>
      </c>
      <c r="Q1215" s="92" t="s">
        <v>646</v>
      </c>
      <c r="R1215" s="372" t="str">
        <f t="shared" si="33"/>
        <v/>
      </c>
    </row>
    <row r="1216" spans="1:18" x14ac:dyDescent="0.25">
      <c r="A1216" s="23" t="s">
        <v>2097</v>
      </c>
      <c r="B1216" s="18" t="str">
        <f>IF(ISNA(VLOOKUP($A1216,'Data Pull Sheet'!$B$2:$C$1795,2,0)),"",(VLOOKUP($A1216,'Data Pull Sheet'!$B$2:$C$1795,2,0)))</f>
        <v>GIMO</v>
      </c>
      <c r="C1216" s="59" t="s">
        <v>457</v>
      </c>
      <c r="D1216" s="356" t="s">
        <v>1716</v>
      </c>
      <c r="E1216" s="356" t="s">
        <v>1717</v>
      </c>
      <c r="F1216" s="23" t="s">
        <v>2106</v>
      </c>
      <c r="G1216" s="23" t="s">
        <v>403</v>
      </c>
      <c r="H1216" s="353">
        <v>48670.77</v>
      </c>
      <c r="I1216" s="59"/>
      <c r="J1216" s="59" t="s">
        <v>2107</v>
      </c>
      <c r="K1216" s="20"/>
      <c r="L1216" s="20"/>
      <c r="M1216" s="357"/>
      <c r="N1216" s="411"/>
      <c r="O1216" s="23" t="s">
        <v>1617</v>
      </c>
      <c r="P1216" s="92" t="s">
        <v>632</v>
      </c>
      <c r="Q1216" s="92" t="s">
        <v>646</v>
      </c>
      <c r="R1216" s="372" t="str">
        <f t="shared" si="33"/>
        <v/>
      </c>
    </row>
    <row r="1217" spans="1:18" x14ac:dyDescent="0.25">
      <c r="A1217" s="23" t="s">
        <v>2097</v>
      </c>
      <c r="B1217" s="18" t="str">
        <f>IF(ISNA(VLOOKUP($A1217,'Data Pull Sheet'!$B$2:$C$1795,2,0)),"",(VLOOKUP($A1217,'Data Pull Sheet'!$B$2:$C$1795,2,0)))</f>
        <v>GIMO</v>
      </c>
      <c r="C1217" s="59" t="s">
        <v>457</v>
      </c>
      <c r="D1217" s="356" t="s">
        <v>1716</v>
      </c>
      <c r="E1217" s="356" t="s">
        <v>1717</v>
      </c>
      <c r="F1217" s="23" t="s">
        <v>2108</v>
      </c>
      <c r="G1217" s="23" t="s">
        <v>403</v>
      </c>
      <c r="H1217" s="353">
        <v>12876.5</v>
      </c>
      <c r="I1217" s="59"/>
      <c r="J1217" s="59" t="s">
        <v>2109</v>
      </c>
      <c r="K1217" s="20"/>
      <c r="L1217" s="20">
        <v>1</v>
      </c>
      <c r="M1217" s="357">
        <f>H1217</f>
        <v>12876.5</v>
      </c>
      <c r="N1217" s="411">
        <f>IFERROR((M1217/(VLOOKUP(B1217,'Data Pull Sheet'!$C:$H,6,FALSE))),"DC")</f>
        <v>1.03012E-4</v>
      </c>
      <c r="O1217" s="23" t="s">
        <v>597</v>
      </c>
      <c r="P1217" s="92" t="s">
        <v>632</v>
      </c>
      <c r="Q1217" s="92" t="s">
        <v>637</v>
      </c>
      <c r="R1217" s="372" t="str">
        <f t="shared" si="33"/>
        <v/>
      </c>
    </row>
    <row r="1218" spans="1:18" x14ac:dyDescent="0.25">
      <c r="A1218" s="23" t="s">
        <v>2097</v>
      </c>
      <c r="B1218" s="18" t="str">
        <f>IF(ISNA(VLOOKUP($A1218,'Data Pull Sheet'!$B$2:$C$1795,2,0)),"",(VLOOKUP($A1218,'Data Pull Sheet'!$B$2:$C$1795,2,0)))</f>
        <v>GIMO</v>
      </c>
      <c r="C1218" s="59" t="s">
        <v>457</v>
      </c>
      <c r="D1218" s="356" t="s">
        <v>1716</v>
      </c>
      <c r="E1218" s="356" t="s">
        <v>1717</v>
      </c>
      <c r="F1218" s="23" t="s">
        <v>2110</v>
      </c>
      <c r="G1218" s="23" t="s">
        <v>403</v>
      </c>
      <c r="H1218" s="353">
        <v>49761.7</v>
      </c>
      <c r="I1218" s="59"/>
      <c r="J1218" s="59" t="s">
        <v>2111</v>
      </c>
      <c r="K1218" s="20"/>
      <c r="L1218" s="20">
        <v>2</v>
      </c>
      <c r="M1218" s="357">
        <f>H1218</f>
        <v>49761.7</v>
      </c>
      <c r="N1218" s="411">
        <f>IFERROR((M1218/(VLOOKUP(B1218,'Data Pull Sheet'!$C:$H,6,FALSE))),"DC")</f>
        <v>3.9809359999999996E-4</v>
      </c>
      <c r="O1218" s="23" t="s">
        <v>48</v>
      </c>
      <c r="P1218" s="92" t="s">
        <v>632</v>
      </c>
      <c r="Q1218" s="92" t="s">
        <v>637</v>
      </c>
      <c r="R1218" s="372" t="str">
        <f t="shared" ref="R1218:R1281" si="35">IF(COUNTIF(F:F,F1218)&gt;=2,"FF","")</f>
        <v/>
      </c>
    </row>
    <row r="1219" spans="1:18" x14ac:dyDescent="0.25">
      <c r="A1219" s="23" t="s">
        <v>2097</v>
      </c>
      <c r="B1219" s="18" t="str">
        <f>IF(ISNA(VLOOKUP($A1219,'Data Pull Sheet'!$B$2:$C$1795,2,0)),"",(VLOOKUP($A1219,'Data Pull Sheet'!$B$2:$C$1795,2,0)))</f>
        <v>GIMO</v>
      </c>
      <c r="C1219" s="59" t="s">
        <v>457</v>
      </c>
      <c r="D1219" s="356" t="s">
        <v>1716</v>
      </c>
      <c r="E1219" s="356" t="s">
        <v>1717</v>
      </c>
      <c r="F1219" s="23" t="s">
        <v>2112</v>
      </c>
      <c r="G1219" s="23" t="s">
        <v>417</v>
      </c>
      <c r="H1219" s="353">
        <v>25300</v>
      </c>
      <c r="I1219" s="59"/>
      <c r="J1219" s="59" t="s">
        <v>2113</v>
      </c>
      <c r="K1219" s="20"/>
      <c r="L1219" s="20">
        <v>4</v>
      </c>
      <c r="M1219" s="357">
        <f>SUM(H1219:H1222)</f>
        <v>190900</v>
      </c>
      <c r="N1219" s="411">
        <f>IFERROR((M1219/(VLOOKUP(B1219,'Data Pull Sheet'!$C:$H,6,FALSE))),"DC")</f>
        <v>1.5272E-3</v>
      </c>
      <c r="O1219" s="23" t="s">
        <v>2114</v>
      </c>
      <c r="P1219" s="92" t="s">
        <v>632</v>
      </c>
      <c r="Q1219" s="92" t="s">
        <v>662</v>
      </c>
      <c r="R1219" s="372" t="str">
        <f t="shared" si="35"/>
        <v/>
      </c>
    </row>
    <row r="1220" spans="1:18" x14ac:dyDescent="0.25">
      <c r="A1220" s="23" t="s">
        <v>2097</v>
      </c>
      <c r="B1220" s="18" t="str">
        <f>IF(ISNA(VLOOKUP($A1220,'Data Pull Sheet'!$B$2:$C$1795,2,0)),"",(VLOOKUP($A1220,'Data Pull Sheet'!$B$2:$C$1795,2,0)))</f>
        <v>GIMO</v>
      </c>
      <c r="C1220" s="59" t="s">
        <v>457</v>
      </c>
      <c r="D1220" s="356" t="s">
        <v>1716</v>
      </c>
      <c r="E1220" s="356" t="s">
        <v>1717</v>
      </c>
      <c r="F1220" s="23" t="s">
        <v>2115</v>
      </c>
      <c r="G1220" s="23" t="s">
        <v>403</v>
      </c>
      <c r="H1220" s="353">
        <v>25300</v>
      </c>
      <c r="I1220" s="59"/>
      <c r="J1220" s="59" t="s">
        <v>2116</v>
      </c>
      <c r="K1220" s="20"/>
      <c r="L1220" s="20"/>
      <c r="M1220" s="357"/>
      <c r="N1220" s="411"/>
      <c r="O1220" s="23" t="s">
        <v>2114</v>
      </c>
      <c r="P1220" s="92" t="s">
        <v>632</v>
      </c>
      <c r="Q1220" s="92" t="s">
        <v>662</v>
      </c>
      <c r="R1220" s="372" t="str">
        <f t="shared" si="35"/>
        <v/>
      </c>
    </row>
    <row r="1221" spans="1:18" x14ac:dyDescent="0.25">
      <c r="A1221" s="23" t="s">
        <v>2097</v>
      </c>
      <c r="B1221" s="18" t="str">
        <f>IF(ISNA(VLOOKUP($A1221,'Data Pull Sheet'!$B$2:$C$1795,2,0)),"",(VLOOKUP($A1221,'Data Pull Sheet'!$B$2:$C$1795,2,0)))</f>
        <v>GIMO</v>
      </c>
      <c r="C1221" s="59" t="s">
        <v>457</v>
      </c>
      <c r="D1221" s="356" t="s">
        <v>1716</v>
      </c>
      <c r="E1221" s="356" t="s">
        <v>1717</v>
      </c>
      <c r="F1221" s="23" t="s">
        <v>2117</v>
      </c>
      <c r="G1221" s="23" t="s">
        <v>403</v>
      </c>
      <c r="H1221" s="353">
        <v>25300</v>
      </c>
      <c r="I1221" s="59"/>
      <c r="J1221" s="59" t="s">
        <v>2118</v>
      </c>
      <c r="K1221" s="20"/>
      <c r="L1221" s="20"/>
      <c r="M1221" s="357"/>
      <c r="N1221" s="411"/>
      <c r="O1221" s="23" t="s">
        <v>2114</v>
      </c>
      <c r="P1221" s="92" t="s">
        <v>632</v>
      </c>
      <c r="Q1221" s="92" t="s">
        <v>662</v>
      </c>
      <c r="R1221" s="372" t="str">
        <f t="shared" si="35"/>
        <v/>
      </c>
    </row>
    <row r="1222" spans="1:18" x14ac:dyDescent="0.25">
      <c r="A1222" s="23" t="s">
        <v>2097</v>
      </c>
      <c r="B1222" s="18" t="str">
        <f>IF(ISNA(VLOOKUP($A1222,'Data Pull Sheet'!$B$2:$C$1795,2,0)),"",(VLOOKUP($A1222,'Data Pull Sheet'!$B$2:$C$1795,2,0)))</f>
        <v>GIMO</v>
      </c>
      <c r="C1222" s="59" t="s">
        <v>457</v>
      </c>
      <c r="D1222" s="356" t="s">
        <v>1716</v>
      </c>
      <c r="E1222" s="356" t="s">
        <v>1717</v>
      </c>
      <c r="F1222" s="23" t="s">
        <v>2119</v>
      </c>
      <c r="G1222" s="23" t="s">
        <v>403</v>
      </c>
      <c r="H1222" s="353">
        <v>115000</v>
      </c>
      <c r="I1222" s="59"/>
      <c r="J1222" s="59" t="s">
        <v>2120</v>
      </c>
      <c r="K1222" s="20"/>
      <c r="L1222" s="20"/>
      <c r="M1222" s="357"/>
      <c r="N1222" s="411"/>
      <c r="O1222" s="23" t="s">
        <v>2114</v>
      </c>
      <c r="P1222" s="92" t="s">
        <v>632</v>
      </c>
      <c r="Q1222" s="92" t="s">
        <v>662</v>
      </c>
      <c r="R1222" s="372" t="str">
        <f t="shared" si="35"/>
        <v/>
      </c>
    </row>
    <row r="1223" spans="1:18" ht="30" x14ac:dyDescent="0.25">
      <c r="A1223" s="23" t="s">
        <v>2097</v>
      </c>
      <c r="B1223" s="18" t="str">
        <f>IF(ISNA(VLOOKUP($A1223,'Data Pull Sheet'!$B$2:$C$1795,2,0)),"",(VLOOKUP($A1223,'Data Pull Sheet'!$B$2:$C$1795,2,0)))</f>
        <v>GIMO</v>
      </c>
      <c r="C1223" s="59" t="s">
        <v>457</v>
      </c>
      <c r="D1223" s="356" t="s">
        <v>1716</v>
      </c>
      <c r="E1223" s="356" t="s">
        <v>1717</v>
      </c>
      <c r="F1223" s="23" t="s">
        <v>2121</v>
      </c>
      <c r="G1223" s="23" t="s">
        <v>417</v>
      </c>
      <c r="H1223" s="353">
        <v>31200.66</v>
      </c>
      <c r="I1223" s="59"/>
      <c r="J1223" s="59" t="s">
        <v>2122</v>
      </c>
      <c r="K1223" s="20"/>
      <c r="L1223" s="20">
        <v>1</v>
      </c>
      <c r="M1223" s="357">
        <f>H1223</f>
        <v>31200.66</v>
      </c>
      <c r="N1223" s="411">
        <f>IFERROR((M1223/(VLOOKUP(B1223,'Data Pull Sheet'!$C:$H,6,FALSE))),"DC")</f>
        <v>2.4960527999999999E-4</v>
      </c>
      <c r="O1223" s="23" t="s">
        <v>2123</v>
      </c>
      <c r="P1223" s="92" t="s">
        <v>632</v>
      </c>
      <c r="Q1223" s="92" t="s">
        <v>633</v>
      </c>
      <c r="R1223" s="372" t="str">
        <f t="shared" si="35"/>
        <v>FF</v>
      </c>
    </row>
    <row r="1224" spans="1:18" x14ac:dyDescent="0.25">
      <c r="A1224" s="23" t="s">
        <v>3465</v>
      </c>
      <c r="B1224" s="18" t="str">
        <f>IF(ISNA(VLOOKUP($A1224,'Data Pull Sheet'!$B$2:$C$1795,2,0)),"",(VLOOKUP($A1224,'Data Pull Sheet'!$B$2:$C$1795,2,0)))</f>
        <v>STT</v>
      </c>
      <c r="C1224" s="59" t="s">
        <v>446</v>
      </c>
      <c r="D1224" s="356" t="s">
        <v>1716</v>
      </c>
      <c r="E1224" s="356" t="s">
        <v>1717</v>
      </c>
      <c r="F1224" s="23" t="s">
        <v>3466</v>
      </c>
      <c r="G1224" s="23" t="s">
        <v>403</v>
      </c>
      <c r="H1224" s="353">
        <v>337.5</v>
      </c>
      <c r="I1224" s="59"/>
      <c r="J1224" s="59" t="s">
        <v>3467</v>
      </c>
      <c r="K1224" s="20">
        <v>1</v>
      </c>
      <c r="L1224" s="20">
        <v>1</v>
      </c>
      <c r="M1224" s="357">
        <f>H1224</f>
        <v>337.5</v>
      </c>
      <c r="N1224" s="411">
        <f>IFERROR((M1224/(VLOOKUP(B1224,'Data Pull Sheet'!$C:$H,6,FALSE))),"DC")</f>
        <v>8.4374999999999997E-7</v>
      </c>
      <c r="O1224" s="23" t="s">
        <v>877</v>
      </c>
      <c r="P1224" s="92" t="s">
        <v>676</v>
      </c>
      <c r="Q1224" s="92" t="s">
        <v>637</v>
      </c>
      <c r="R1224" s="372" t="str">
        <f t="shared" si="35"/>
        <v/>
      </c>
    </row>
    <row r="1225" spans="1:18" x14ac:dyDescent="0.25">
      <c r="A1225" s="23" t="s">
        <v>2783</v>
      </c>
      <c r="B1225" s="18" t="str">
        <f>IF(ISNA(VLOOKUP($A1225,'Data Pull Sheet'!$B$2:$C$1795,2,0)),"",(VLOOKUP($A1225,'Data Pull Sheet'!$B$2:$C$1795,2,0)))</f>
        <v>BABY</v>
      </c>
      <c r="C1225" s="59" t="s">
        <v>457</v>
      </c>
      <c r="D1225" s="356" t="s">
        <v>2784</v>
      </c>
      <c r="E1225" s="356" t="s">
        <v>2785</v>
      </c>
      <c r="F1225" s="23" t="s">
        <v>2786</v>
      </c>
      <c r="G1225" s="23" t="s">
        <v>403</v>
      </c>
      <c r="H1225" s="353">
        <v>16168</v>
      </c>
      <c r="I1225" s="59"/>
      <c r="J1225" s="59" t="s">
        <v>2787</v>
      </c>
      <c r="K1225" s="20">
        <v>1</v>
      </c>
      <c r="L1225" s="20">
        <v>1</v>
      </c>
      <c r="M1225" s="357">
        <f>H1225</f>
        <v>16168</v>
      </c>
      <c r="N1225" s="411">
        <f>IFERROR((M1225/(VLOOKUP(B1225,'Data Pull Sheet'!$C:$H,6,FALSE))),"DC")</f>
        <v>1.6168000000000001E-4</v>
      </c>
      <c r="O1225" s="23" t="s">
        <v>597</v>
      </c>
      <c r="P1225" s="92" t="s">
        <v>676</v>
      </c>
      <c r="Q1225" s="92" t="s">
        <v>637</v>
      </c>
      <c r="R1225" s="372" t="str">
        <f t="shared" si="35"/>
        <v/>
      </c>
    </row>
    <row r="1226" spans="1:18" x14ac:dyDescent="0.25">
      <c r="A1226" s="23" t="s">
        <v>216</v>
      </c>
      <c r="B1226" s="18" t="str">
        <f>IF(ISNA(VLOOKUP($A1226,'Data Pull Sheet'!$B$2:$C$1795,2,0)),"",(VLOOKUP($A1226,'Data Pull Sheet'!$B$2:$C$1795,2,0)))</f>
        <v>DVA</v>
      </c>
      <c r="C1226" s="59" t="s">
        <v>545</v>
      </c>
      <c r="D1226" s="356" t="s">
        <v>546</v>
      </c>
      <c r="E1226" s="356" t="s">
        <v>464</v>
      </c>
      <c r="F1226" s="23" t="s">
        <v>1610</v>
      </c>
      <c r="G1226" s="23" t="s">
        <v>417</v>
      </c>
      <c r="H1226" s="353">
        <v>196984</v>
      </c>
      <c r="I1226" s="59" t="s">
        <v>442</v>
      </c>
      <c r="J1226" s="59" t="s">
        <v>1611</v>
      </c>
      <c r="K1226" s="20">
        <v>1</v>
      </c>
      <c r="L1226" s="20">
        <v>2</v>
      </c>
      <c r="M1226" s="357">
        <f>SUM(H1226:H1227)</f>
        <v>487840</v>
      </c>
      <c r="N1226" s="411" t="str">
        <f>IFERROR((M1226/(VLOOKUP(B1226,'Data Pull Sheet'!$C:$H,6,FALSE))),"DC")</f>
        <v>DC</v>
      </c>
      <c r="O1226" s="23" t="s">
        <v>1612</v>
      </c>
      <c r="P1226" s="92" t="s">
        <v>676</v>
      </c>
      <c r="Q1226" s="92" t="s">
        <v>640</v>
      </c>
      <c r="R1226" s="372" t="str">
        <f t="shared" si="35"/>
        <v/>
      </c>
    </row>
    <row r="1227" spans="1:18" x14ac:dyDescent="0.25">
      <c r="A1227" s="23" t="s">
        <v>216</v>
      </c>
      <c r="B1227" s="18" t="str">
        <f>IF(ISNA(VLOOKUP($A1227,'Data Pull Sheet'!$B$2:$C$1795,2,0)),"",(VLOOKUP($A1227,'Data Pull Sheet'!$B$2:$C$1795,2,0)))</f>
        <v>DVA</v>
      </c>
      <c r="C1227" s="59" t="s">
        <v>545</v>
      </c>
      <c r="D1227" s="356" t="s">
        <v>546</v>
      </c>
      <c r="E1227" s="356" t="s">
        <v>464</v>
      </c>
      <c r="F1227" s="23" t="s">
        <v>214</v>
      </c>
      <c r="G1227" s="23" t="s">
        <v>417</v>
      </c>
      <c r="H1227" s="353">
        <v>290856</v>
      </c>
      <c r="I1227" s="59" t="s">
        <v>413</v>
      </c>
      <c r="J1227" s="59" t="s">
        <v>1613</v>
      </c>
      <c r="K1227" s="20"/>
      <c r="L1227" s="20"/>
      <c r="M1227" s="357"/>
      <c r="N1227" s="411"/>
      <c r="O1227" s="23" t="s">
        <v>1612</v>
      </c>
      <c r="P1227" s="92" t="s">
        <v>676</v>
      </c>
      <c r="Q1227" s="92" t="s">
        <v>640</v>
      </c>
      <c r="R1227" s="372" t="str">
        <f t="shared" si="35"/>
        <v>FF</v>
      </c>
    </row>
    <row r="1228" spans="1:18" ht="30" x14ac:dyDescent="0.25">
      <c r="A1228" s="23" t="s">
        <v>3188</v>
      </c>
      <c r="B1228" s="18" t="str">
        <f>IF(ISNA(VLOOKUP($A1228,'Data Pull Sheet'!$B$2:$C$1795,2,0)),"",(VLOOKUP($A1228,'Data Pull Sheet'!$B$2:$C$1795,2,0)))</f>
        <v>PMD</v>
      </c>
      <c r="C1228" s="59" t="s">
        <v>409</v>
      </c>
      <c r="D1228" s="356" t="s">
        <v>463</v>
      </c>
      <c r="E1228" s="356" t="s">
        <v>464</v>
      </c>
      <c r="F1228" s="23" t="s">
        <v>3189</v>
      </c>
      <c r="G1228" s="23" t="s">
        <v>403</v>
      </c>
      <c r="H1228" s="353">
        <v>107.7</v>
      </c>
      <c r="I1228" s="59"/>
      <c r="J1228" s="59" t="s">
        <v>3190</v>
      </c>
      <c r="K1228" s="20">
        <v>2</v>
      </c>
      <c r="L1228" s="20">
        <v>5</v>
      </c>
      <c r="M1228" s="357">
        <f>SUM(H1228:H1232)</f>
        <v>1362.44</v>
      </c>
      <c r="N1228" s="411">
        <f>IFERROR((M1228/(VLOOKUP(B1228,'Data Pull Sheet'!$C:$H,6,FALSE))),"DC")</f>
        <v>1.397374358974359E-4</v>
      </c>
      <c r="O1228" s="23" t="s">
        <v>3191</v>
      </c>
      <c r="P1228" s="92" t="s">
        <v>632</v>
      </c>
      <c r="Q1228" s="92" t="s">
        <v>646</v>
      </c>
      <c r="R1228" s="372" t="str">
        <f t="shared" si="35"/>
        <v/>
      </c>
    </row>
    <row r="1229" spans="1:18" ht="30" x14ac:dyDescent="0.25">
      <c r="A1229" s="23" t="s">
        <v>3188</v>
      </c>
      <c r="B1229" s="18" t="str">
        <f>IF(ISNA(VLOOKUP($A1229,'Data Pull Sheet'!$B$2:$C$1795,2,0)),"",(VLOOKUP($A1229,'Data Pull Sheet'!$B$2:$C$1795,2,0)))</f>
        <v>PMD</v>
      </c>
      <c r="C1229" s="59" t="s">
        <v>409</v>
      </c>
      <c r="D1229" s="356" t="s">
        <v>463</v>
      </c>
      <c r="E1229" s="356" t="s">
        <v>464</v>
      </c>
      <c r="F1229" s="23" t="s">
        <v>3192</v>
      </c>
      <c r="G1229" s="23" t="s">
        <v>403</v>
      </c>
      <c r="H1229" s="353">
        <v>122.8</v>
      </c>
      <c r="I1229" s="59"/>
      <c r="J1229" s="59" t="s">
        <v>3193</v>
      </c>
      <c r="K1229" s="20"/>
      <c r="L1229" s="20"/>
      <c r="M1229" s="357"/>
      <c r="N1229" s="411"/>
      <c r="O1229" s="23" t="s">
        <v>3191</v>
      </c>
      <c r="P1229" s="92" t="s">
        <v>632</v>
      </c>
      <c r="Q1229" s="92" t="s">
        <v>646</v>
      </c>
      <c r="R1229" s="372" t="str">
        <f t="shared" si="35"/>
        <v/>
      </c>
    </row>
    <row r="1230" spans="1:18" ht="30" x14ac:dyDescent="0.25">
      <c r="A1230" s="23" t="s">
        <v>3188</v>
      </c>
      <c r="B1230" s="18" t="str">
        <f>IF(ISNA(VLOOKUP($A1230,'Data Pull Sheet'!$B$2:$C$1795,2,0)),"",(VLOOKUP($A1230,'Data Pull Sheet'!$B$2:$C$1795,2,0)))</f>
        <v>PMD</v>
      </c>
      <c r="C1230" s="59" t="s">
        <v>409</v>
      </c>
      <c r="D1230" s="356" t="s">
        <v>463</v>
      </c>
      <c r="E1230" s="356" t="s">
        <v>464</v>
      </c>
      <c r="F1230" s="23" t="s">
        <v>3194</v>
      </c>
      <c r="G1230" s="23" t="s">
        <v>403</v>
      </c>
      <c r="H1230" s="353">
        <v>242.32</v>
      </c>
      <c r="I1230" s="59"/>
      <c r="J1230" s="59" t="s">
        <v>3195</v>
      </c>
      <c r="K1230" s="20"/>
      <c r="L1230" s="20"/>
      <c r="M1230" s="357"/>
      <c r="N1230" s="411"/>
      <c r="O1230" s="23" t="s">
        <v>3191</v>
      </c>
      <c r="P1230" s="92" t="s">
        <v>632</v>
      </c>
      <c r="Q1230" s="92" t="s">
        <v>646</v>
      </c>
      <c r="R1230" s="372" t="str">
        <f t="shared" si="35"/>
        <v/>
      </c>
    </row>
    <row r="1231" spans="1:18" ht="30" x14ac:dyDescent="0.25">
      <c r="A1231" s="23" t="s">
        <v>3188</v>
      </c>
      <c r="B1231" s="18" t="str">
        <f>IF(ISNA(VLOOKUP($A1231,'Data Pull Sheet'!$B$2:$C$1795,2,0)),"",(VLOOKUP($A1231,'Data Pull Sheet'!$B$2:$C$1795,2,0)))</f>
        <v>PMD</v>
      </c>
      <c r="C1231" s="59" t="s">
        <v>409</v>
      </c>
      <c r="D1231" s="356" t="s">
        <v>463</v>
      </c>
      <c r="E1231" s="356" t="s">
        <v>464</v>
      </c>
      <c r="F1231" s="23" t="s">
        <v>3196</v>
      </c>
      <c r="G1231" s="23" t="s">
        <v>403</v>
      </c>
      <c r="H1231" s="353">
        <v>290.39</v>
      </c>
      <c r="I1231" s="59"/>
      <c r="J1231" s="59" t="s">
        <v>3197</v>
      </c>
      <c r="K1231" s="20"/>
      <c r="L1231" s="20"/>
      <c r="M1231" s="357"/>
      <c r="N1231" s="411"/>
      <c r="O1231" s="23" t="s">
        <v>3191</v>
      </c>
      <c r="P1231" s="92" t="s">
        <v>632</v>
      </c>
      <c r="Q1231" s="92" t="s">
        <v>646</v>
      </c>
      <c r="R1231" s="372" t="str">
        <f t="shared" si="35"/>
        <v/>
      </c>
    </row>
    <row r="1232" spans="1:18" ht="30" x14ac:dyDescent="0.25">
      <c r="A1232" s="23" t="s">
        <v>3188</v>
      </c>
      <c r="B1232" s="18" t="str">
        <f>IF(ISNA(VLOOKUP($A1232,'Data Pull Sheet'!$B$2:$C$1795,2,0)),"",(VLOOKUP($A1232,'Data Pull Sheet'!$B$2:$C$1795,2,0)))</f>
        <v>PMD</v>
      </c>
      <c r="C1232" s="59" t="s">
        <v>409</v>
      </c>
      <c r="D1232" s="356" t="s">
        <v>463</v>
      </c>
      <c r="E1232" s="356" t="s">
        <v>464</v>
      </c>
      <c r="F1232" s="23" t="s">
        <v>3198</v>
      </c>
      <c r="G1232" s="23" t="s">
        <v>403</v>
      </c>
      <c r="H1232" s="353">
        <v>599.23</v>
      </c>
      <c r="I1232" s="59"/>
      <c r="J1232" s="59" t="s">
        <v>3199</v>
      </c>
      <c r="K1232" s="20"/>
      <c r="L1232" s="20"/>
      <c r="M1232" s="357"/>
      <c r="N1232" s="411"/>
      <c r="O1232" s="23" t="s">
        <v>3191</v>
      </c>
      <c r="P1232" s="92" t="s">
        <v>632</v>
      </c>
      <c r="Q1232" s="92" t="s">
        <v>646</v>
      </c>
      <c r="R1232" s="372" t="str">
        <f t="shared" si="35"/>
        <v/>
      </c>
    </row>
    <row r="1233" spans="1:18" ht="30" x14ac:dyDescent="0.25">
      <c r="A1233" s="23" t="s">
        <v>3188</v>
      </c>
      <c r="B1233" s="18" t="str">
        <f>IF(ISNA(VLOOKUP($A1233,'Data Pull Sheet'!$B$2:$C$1795,2,0)),"",(VLOOKUP($A1233,'Data Pull Sheet'!$B$2:$C$1795,2,0)))</f>
        <v>PMD</v>
      </c>
      <c r="C1233" s="59" t="s">
        <v>409</v>
      </c>
      <c r="D1233" s="356" t="s">
        <v>463</v>
      </c>
      <c r="E1233" s="356" t="s">
        <v>464</v>
      </c>
      <c r="F1233" s="23" t="s">
        <v>3200</v>
      </c>
      <c r="G1233" s="23" t="s">
        <v>403</v>
      </c>
      <c r="H1233" s="353">
        <v>1667</v>
      </c>
      <c r="I1233" s="59"/>
      <c r="J1233" s="59" t="s">
        <v>3201</v>
      </c>
      <c r="K1233" s="20"/>
      <c r="L1233" s="20">
        <v>1</v>
      </c>
      <c r="M1233" s="357">
        <f>H1233</f>
        <v>1667</v>
      </c>
      <c r="N1233" s="411">
        <f>IFERROR((M1233/(VLOOKUP(B1233,'Data Pull Sheet'!$C:$H,6,FALSE))),"DC")</f>
        <v>1.7097435897435898E-4</v>
      </c>
      <c r="O1233" s="23" t="s">
        <v>3202</v>
      </c>
      <c r="P1233" s="92" t="s">
        <v>632</v>
      </c>
      <c r="Q1233" s="92" t="s">
        <v>637</v>
      </c>
      <c r="R1233" s="372" t="str">
        <f t="shared" si="35"/>
        <v/>
      </c>
    </row>
    <row r="1234" spans="1:18" x14ac:dyDescent="0.25">
      <c r="A1234" s="23" t="s">
        <v>3254</v>
      </c>
      <c r="B1234" s="18" t="str">
        <f>IF(ISNA(VLOOKUP($A1234,'Data Pull Sheet'!$B$2:$C$1795,2,0)),"",(VLOOKUP($A1234,'Data Pull Sheet'!$B$2:$C$1795,2,0)))</f>
        <v>RGLS</v>
      </c>
      <c r="C1234" s="59" t="s">
        <v>557</v>
      </c>
      <c r="D1234" s="356" t="s">
        <v>571</v>
      </c>
      <c r="E1234" s="356" t="s">
        <v>464</v>
      </c>
      <c r="F1234" s="23" t="s">
        <v>3255</v>
      </c>
      <c r="G1234" s="23" t="s">
        <v>403</v>
      </c>
      <c r="H1234" s="353">
        <v>50612.05</v>
      </c>
      <c r="I1234" s="59"/>
      <c r="J1234" s="59" t="s">
        <v>3256</v>
      </c>
      <c r="K1234" s="20">
        <v>2</v>
      </c>
      <c r="L1234" s="20">
        <v>2</v>
      </c>
      <c r="M1234" s="357">
        <f>SUM(H1234:H1235)</f>
        <v>106925.19</v>
      </c>
      <c r="N1234" s="411">
        <f>IFERROR((M1234/(VLOOKUP(B1234,'Data Pull Sheet'!$C:$H,6,FALSE))),"DC")</f>
        <v>4.2770076000000004E-3</v>
      </c>
      <c r="O1234" s="23" t="s">
        <v>63</v>
      </c>
      <c r="P1234" s="92" t="s">
        <v>632</v>
      </c>
      <c r="Q1234" s="92" t="s">
        <v>646</v>
      </c>
      <c r="R1234" s="372" t="str">
        <f t="shared" si="35"/>
        <v/>
      </c>
    </row>
    <row r="1235" spans="1:18" x14ac:dyDescent="0.25">
      <c r="A1235" s="23" t="s">
        <v>3254</v>
      </c>
      <c r="B1235" s="18" t="str">
        <f>IF(ISNA(VLOOKUP($A1235,'Data Pull Sheet'!$B$2:$C$1795,2,0)),"",(VLOOKUP($A1235,'Data Pull Sheet'!$B$2:$C$1795,2,0)))</f>
        <v>RGLS</v>
      </c>
      <c r="C1235" s="59" t="s">
        <v>557</v>
      </c>
      <c r="D1235" s="356" t="s">
        <v>571</v>
      </c>
      <c r="E1235" s="356" t="s">
        <v>464</v>
      </c>
      <c r="F1235" s="23" t="s">
        <v>3257</v>
      </c>
      <c r="G1235" s="23" t="s">
        <v>403</v>
      </c>
      <c r="H1235" s="353">
        <v>56313.14</v>
      </c>
      <c r="I1235" s="59"/>
      <c r="J1235" s="59" t="s">
        <v>3258</v>
      </c>
      <c r="K1235" s="20"/>
      <c r="L1235" s="20"/>
      <c r="M1235" s="357"/>
      <c r="N1235" s="411"/>
      <c r="O1235" s="23" t="s">
        <v>63</v>
      </c>
      <c r="P1235" s="92" t="s">
        <v>632</v>
      </c>
      <c r="Q1235" s="92" t="s">
        <v>646</v>
      </c>
      <c r="R1235" s="372" t="str">
        <f t="shared" si="35"/>
        <v/>
      </c>
    </row>
    <row r="1236" spans="1:18" x14ac:dyDescent="0.25">
      <c r="A1236" s="23" t="s">
        <v>3254</v>
      </c>
      <c r="B1236" s="18" t="str">
        <f>IF(ISNA(VLOOKUP($A1236,'Data Pull Sheet'!$B$2:$C$1795,2,0)),"",(VLOOKUP($A1236,'Data Pull Sheet'!$B$2:$C$1795,2,0)))</f>
        <v>RGLS</v>
      </c>
      <c r="C1236" s="59" t="s">
        <v>557</v>
      </c>
      <c r="D1236" s="356" t="s">
        <v>571</v>
      </c>
      <c r="E1236" s="356" t="s">
        <v>464</v>
      </c>
      <c r="F1236" s="23" t="s">
        <v>3259</v>
      </c>
      <c r="G1236" s="23" t="s">
        <v>403</v>
      </c>
      <c r="H1236" s="353">
        <v>53904</v>
      </c>
      <c r="I1236" s="59" t="s">
        <v>442</v>
      </c>
      <c r="J1236" s="59" t="s">
        <v>3260</v>
      </c>
      <c r="K1236" s="20"/>
      <c r="L1236" s="20">
        <v>3</v>
      </c>
      <c r="M1236" s="357">
        <f>SUM(H1236:H1238)</f>
        <v>232649</v>
      </c>
      <c r="N1236" s="411">
        <f>IFERROR((M1236/(VLOOKUP(B1236,'Data Pull Sheet'!$C:$H,6,FALSE))),"DC")</f>
        <v>9.3059600000000003E-3</v>
      </c>
      <c r="O1236" s="23" t="s">
        <v>1204</v>
      </c>
      <c r="P1236" s="92" t="s">
        <v>632</v>
      </c>
      <c r="Q1236" s="92" t="s">
        <v>646</v>
      </c>
      <c r="R1236" s="372" t="str">
        <f t="shared" si="35"/>
        <v/>
      </c>
    </row>
    <row r="1237" spans="1:18" x14ac:dyDescent="0.25">
      <c r="A1237" s="23" t="s">
        <v>3254</v>
      </c>
      <c r="B1237" s="18" t="str">
        <f>IF(ISNA(VLOOKUP($A1237,'Data Pull Sheet'!$B$2:$C$1795,2,0)),"",(VLOOKUP($A1237,'Data Pull Sheet'!$B$2:$C$1795,2,0)))</f>
        <v>RGLS</v>
      </c>
      <c r="C1237" s="59" t="s">
        <v>557</v>
      </c>
      <c r="D1237" s="356" t="s">
        <v>571</v>
      </c>
      <c r="E1237" s="356" t="s">
        <v>464</v>
      </c>
      <c r="F1237" s="23" t="s">
        <v>3261</v>
      </c>
      <c r="G1237" s="23" t="s">
        <v>403</v>
      </c>
      <c r="H1237" s="353">
        <v>62087</v>
      </c>
      <c r="I1237" s="59" t="s">
        <v>413</v>
      </c>
      <c r="J1237" s="59" t="s">
        <v>3262</v>
      </c>
      <c r="K1237" s="20"/>
      <c r="L1237" s="20"/>
      <c r="M1237" s="357"/>
      <c r="N1237" s="411"/>
      <c r="O1237" s="23" t="s">
        <v>1204</v>
      </c>
      <c r="P1237" s="92" t="s">
        <v>632</v>
      </c>
      <c r="Q1237" s="92" t="s">
        <v>646</v>
      </c>
      <c r="R1237" s="372" t="str">
        <f t="shared" si="35"/>
        <v/>
      </c>
    </row>
    <row r="1238" spans="1:18" x14ac:dyDescent="0.25">
      <c r="A1238" s="23" t="s">
        <v>3254</v>
      </c>
      <c r="B1238" s="18" t="str">
        <f>IF(ISNA(VLOOKUP($A1238,'Data Pull Sheet'!$B$2:$C$1795,2,0)),"",(VLOOKUP($A1238,'Data Pull Sheet'!$B$2:$C$1795,2,0)))</f>
        <v>RGLS</v>
      </c>
      <c r="C1238" s="59" t="s">
        <v>557</v>
      </c>
      <c r="D1238" s="356" t="s">
        <v>571</v>
      </c>
      <c r="E1238" s="356" t="s">
        <v>464</v>
      </c>
      <c r="F1238" s="23" t="s">
        <v>3263</v>
      </c>
      <c r="G1238" s="23" t="s">
        <v>403</v>
      </c>
      <c r="H1238" s="353">
        <v>116658</v>
      </c>
      <c r="I1238" s="59" t="s">
        <v>442</v>
      </c>
      <c r="J1238" s="59" t="s">
        <v>3264</v>
      </c>
      <c r="K1238" s="20"/>
      <c r="L1238" s="20"/>
      <c r="M1238" s="357"/>
      <c r="N1238" s="411"/>
      <c r="O1238" s="23" t="s">
        <v>1204</v>
      </c>
      <c r="P1238" s="92" t="s">
        <v>632</v>
      </c>
      <c r="Q1238" s="92" t="s">
        <v>646</v>
      </c>
      <c r="R1238" s="372" t="str">
        <f t="shared" si="35"/>
        <v/>
      </c>
    </row>
    <row r="1239" spans="1:18" x14ac:dyDescent="0.25">
      <c r="A1239" s="23" t="s">
        <v>42</v>
      </c>
      <c r="B1239" s="18" t="str">
        <f>IF(ISNA(VLOOKUP($A1239,'Data Pull Sheet'!$B$2:$C$1795,2,0)),"",(VLOOKUP($A1239,'Data Pull Sheet'!$B$2:$C$1795,2,0)))</f>
        <v>RH</v>
      </c>
      <c r="C1239" s="59" t="s">
        <v>457</v>
      </c>
      <c r="D1239" s="356" t="s">
        <v>463</v>
      </c>
      <c r="E1239" s="356" t="s">
        <v>464</v>
      </c>
      <c r="F1239" s="23" t="s">
        <v>39</v>
      </c>
      <c r="G1239" s="23" t="s">
        <v>417</v>
      </c>
      <c r="H1239" s="353">
        <v>1706737.7</v>
      </c>
      <c r="I1239" s="59"/>
      <c r="J1239" s="59" t="s">
        <v>3306</v>
      </c>
      <c r="K1239" s="20">
        <v>4</v>
      </c>
      <c r="L1239" s="20">
        <v>2</v>
      </c>
      <c r="M1239" s="357">
        <f>SUM(H1239:H1240)</f>
        <v>3595409.37</v>
      </c>
      <c r="N1239" s="411">
        <f>IFERROR((M1239/(VLOOKUP(B1239,'Data Pull Sheet'!$C:$H,6,FALSE))),"DC")</f>
        <v>4.7938791600000003E-3</v>
      </c>
      <c r="O1239" s="23" t="s">
        <v>1</v>
      </c>
      <c r="P1239" s="92" t="s">
        <v>632</v>
      </c>
      <c r="Q1239" s="92" t="s">
        <v>640</v>
      </c>
      <c r="R1239" s="372" t="str">
        <f t="shared" si="35"/>
        <v>FF</v>
      </c>
    </row>
    <row r="1240" spans="1:18" ht="30" x14ac:dyDescent="0.25">
      <c r="A1240" s="23" t="s">
        <v>42</v>
      </c>
      <c r="B1240" s="18" t="str">
        <f>IF(ISNA(VLOOKUP($A1240,'Data Pull Sheet'!$B$2:$C$1795,2,0)),"",(VLOOKUP($A1240,'Data Pull Sheet'!$B$2:$C$1795,2,0)))</f>
        <v>RH</v>
      </c>
      <c r="C1240" s="59" t="s">
        <v>457</v>
      </c>
      <c r="D1240" s="356" t="s">
        <v>463</v>
      </c>
      <c r="E1240" s="356" t="s">
        <v>464</v>
      </c>
      <c r="F1240" s="23" t="s">
        <v>303</v>
      </c>
      <c r="G1240" s="23" t="s">
        <v>417</v>
      </c>
      <c r="H1240" s="353">
        <v>1888671.67</v>
      </c>
      <c r="I1240" s="59" t="s">
        <v>413</v>
      </c>
      <c r="J1240" s="59" t="s">
        <v>3307</v>
      </c>
      <c r="K1240" s="20"/>
      <c r="L1240" s="20"/>
      <c r="M1240" s="357"/>
      <c r="N1240" s="411"/>
      <c r="O1240" s="23" t="s">
        <v>1</v>
      </c>
      <c r="P1240" s="92" t="s">
        <v>632</v>
      </c>
      <c r="Q1240" s="92" t="s">
        <v>640</v>
      </c>
      <c r="R1240" s="372" t="str">
        <f t="shared" si="35"/>
        <v>FF</v>
      </c>
    </row>
    <row r="1241" spans="1:18" x14ac:dyDescent="0.25">
      <c r="A1241" s="23" t="s">
        <v>42</v>
      </c>
      <c r="B1241" s="18" t="str">
        <f>IF(ISNA(VLOOKUP($A1241,'Data Pull Sheet'!$B$2:$C$1795,2,0)),"",(VLOOKUP($A1241,'Data Pull Sheet'!$B$2:$C$1795,2,0)))</f>
        <v>RH</v>
      </c>
      <c r="C1241" s="59" t="s">
        <v>457</v>
      </c>
      <c r="D1241" s="356" t="s">
        <v>463</v>
      </c>
      <c r="E1241" s="356" t="s">
        <v>464</v>
      </c>
      <c r="F1241" s="23" t="s">
        <v>3308</v>
      </c>
      <c r="G1241" s="23" t="s">
        <v>403</v>
      </c>
      <c r="H1241" s="353">
        <v>27403.61</v>
      </c>
      <c r="I1241" s="59"/>
      <c r="J1241" s="59" t="s">
        <v>3309</v>
      </c>
      <c r="K1241" s="20"/>
      <c r="L1241" s="20">
        <v>1</v>
      </c>
      <c r="M1241" s="357">
        <f>H1241</f>
        <v>27403.61</v>
      </c>
      <c r="N1241" s="411">
        <f>IFERROR((M1241/(VLOOKUP(B1241,'Data Pull Sheet'!$C:$H,6,FALSE))),"DC")</f>
        <v>3.6538146666666667E-5</v>
      </c>
      <c r="O1241" s="23" t="s">
        <v>63</v>
      </c>
      <c r="P1241" s="92" t="s">
        <v>632</v>
      </c>
      <c r="Q1241" s="92" t="s">
        <v>637</v>
      </c>
      <c r="R1241" s="372" t="str">
        <f t="shared" si="35"/>
        <v/>
      </c>
    </row>
    <row r="1242" spans="1:18" x14ac:dyDescent="0.25">
      <c r="A1242" s="23" t="s">
        <v>42</v>
      </c>
      <c r="B1242" s="18" t="str">
        <f>IF(ISNA(VLOOKUP($A1242,'Data Pull Sheet'!$B$2:$C$1795,2,0)),"",(VLOOKUP($A1242,'Data Pull Sheet'!$B$2:$C$1795,2,0)))</f>
        <v>RH</v>
      </c>
      <c r="C1242" s="59" t="s">
        <v>457</v>
      </c>
      <c r="D1242" s="356" t="s">
        <v>463</v>
      </c>
      <c r="E1242" s="356" t="s">
        <v>464</v>
      </c>
      <c r="F1242" s="23" t="s">
        <v>3310</v>
      </c>
      <c r="G1242" s="23" t="s">
        <v>403</v>
      </c>
      <c r="H1242" s="353">
        <v>20530</v>
      </c>
      <c r="I1242" s="59"/>
      <c r="J1242" s="59" t="s">
        <v>3311</v>
      </c>
      <c r="K1242" s="20"/>
      <c r="L1242" s="20">
        <v>4</v>
      </c>
      <c r="M1242" s="357">
        <f>SUM(H1242:H1245)</f>
        <v>104940</v>
      </c>
      <c r="N1242" s="411">
        <f>IFERROR((M1242/(VLOOKUP(B1242,'Data Pull Sheet'!$C:$H,6,FALSE))),"DC")</f>
        <v>1.3992E-4</v>
      </c>
      <c r="O1242" s="23" t="s">
        <v>1204</v>
      </c>
      <c r="P1242" s="92" t="s">
        <v>632</v>
      </c>
      <c r="Q1242" s="92" t="s">
        <v>646</v>
      </c>
      <c r="R1242" s="372" t="str">
        <f t="shared" si="35"/>
        <v/>
      </c>
    </row>
    <row r="1243" spans="1:18" x14ac:dyDescent="0.25">
      <c r="A1243" s="23" t="s">
        <v>42</v>
      </c>
      <c r="B1243" s="18" t="str">
        <f>IF(ISNA(VLOOKUP($A1243,'Data Pull Sheet'!$B$2:$C$1795,2,0)),"",(VLOOKUP($A1243,'Data Pull Sheet'!$B$2:$C$1795,2,0)))</f>
        <v>RH</v>
      </c>
      <c r="C1243" s="59" t="s">
        <v>457</v>
      </c>
      <c r="D1243" s="356" t="s">
        <v>463</v>
      </c>
      <c r="E1243" s="356" t="s">
        <v>464</v>
      </c>
      <c r="F1243" s="23" t="s">
        <v>3312</v>
      </c>
      <c r="G1243" s="23" t="s">
        <v>403</v>
      </c>
      <c r="H1243" s="353">
        <v>20545</v>
      </c>
      <c r="I1243" s="59"/>
      <c r="J1243" s="59" t="s">
        <v>3313</v>
      </c>
      <c r="K1243" s="20"/>
      <c r="L1243" s="20"/>
      <c r="M1243" s="357"/>
      <c r="N1243" s="411"/>
      <c r="O1243" s="23" t="s">
        <v>1204</v>
      </c>
      <c r="P1243" s="92" t="s">
        <v>632</v>
      </c>
      <c r="Q1243" s="92" t="s">
        <v>646</v>
      </c>
      <c r="R1243" s="372" t="str">
        <f t="shared" si="35"/>
        <v/>
      </c>
    </row>
    <row r="1244" spans="1:18" x14ac:dyDescent="0.25">
      <c r="A1244" s="23" t="s">
        <v>42</v>
      </c>
      <c r="B1244" s="18" t="str">
        <f>IF(ISNA(VLOOKUP($A1244,'Data Pull Sheet'!$B$2:$C$1795,2,0)),"",(VLOOKUP($A1244,'Data Pull Sheet'!$B$2:$C$1795,2,0)))</f>
        <v>RH</v>
      </c>
      <c r="C1244" s="59" t="s">
        <v>457</v>
      </c>
      <c r="D1244" s="356" t="s">
        <v>463</v>
      </c>
      <c r="E1244" s="356" t="s">
        <v>464</v>
      </c>
      <c r="F1244" s="23" t="s">
        <v>3314</v>
      </c>
      <c r="G1244" s="23" t="s">
        <v>403</v>
      </c>
      <c r="H1244" s="353">
        <v>20920</v>
      </c>
      <c r="I1244" s="59"/>
      <c r="J1244" s="59" t="s">
        <v>3315</v>
      </c>
      <c r="K1244" s="20"/>
      <c r="L1244" s="20"/>
      <c r="M1244" s="357"/>
      <c r="N1244" s="411"/>
      <c r="O1244" s="23" t="s">
        <v>1204</v>
      </c>
      <c r="P1244" s="92" t="s">
        <v>632</v>
      </c>
      <c r="Q1244" s="92" t="s">
        <v>646</v>
      </c>
      <c r="R1244" s="372" t="str">
        <f t="shared" si="35"/>
        <v/>
      </c>
    </row>
    <row r="1245" spans="1:18" x14ac:dyDescent="0.25">
      <c r="A1245" s="23" t="s">
        <v>42</v>
      </c>
      <c r="B1245" s="18" t="str">
        <f>IF(ISNA(VLOOKUP($A1245,'Data Pull Sheet'!$B$2:$C$1795,2,0)),"",(VLOOKUP($A1245,'Data Pull Sheet'!$B$2:$C$1795,2,0)))</f>
        <v>RH</v>
      </c>
      <c r="C1245" s="59" t="s">
        <v>457</v>
      </c>
      <c r="D1245" s="356" t="s">
        <v>463</v>
      </c>
      <c r="E1245" s="356" t="s">
        <v>464</v>
      </c>
      <c r="F1245" s="23" t="s">
        <v>3316</v>
      </c>
      <c r="G1245" s="23" t="s">
        <v>403</v>
      </c>
      <c r="H1245" s="353">
        <v>42945</v>
      </c>
      <c r="I1245" s="59"/>
      <c r="J1245" s="59" t="s">
        <v>3317</v>
      </c>
      <c r="K1245" s="20"/>
      <c r="L1245" s="20"/>
      <c r="M1245" s="357"/>
      <c r="N1245" s="411"/>
      <c r="O1245" s="23" t="s">
        <v>1204</v>
      </c>
      <c r="P1245" s="92" t="s">
        <v>632</v>
      </c>
      <c r="Q1245" s="92" t="s">
        <v>646</v>
      </c>
      <c r="R1245" s="372" t="str">
        <f t="shared" si="35"/>
        <v/>
      </c>
    </row>
    <row r="1246" spans="1:18" ht="45" x14ac:dyDescent="0.25">
      <c r="A1246" s="23" t="s">
        <v>42</v>
      </c>
      <c r="B1246" s="18" t="str">
        <f>IF(ISNA(VLOOKUP($A1246,'Data Pull Sheet'!$B$2:$C$1795,2,0)),"",(VLOOKUP($A1246,'Data Pull Sheet'!$B$2:$C$1795,2,0)))</f>
        <v>RH</v>
      </c>
      <c r="C1246" s="59" t="s">
        <v>457</v>
      </c>
      <c r="D1246" s="356" t="s">
        <v>463</v>
      </c>
      <c r="E1246" s="356" t="s">
        <v>464</v>
      </c>
      <c r="F1246" s="23" t="s">
        <v>227</v>
      </c>
      <c r="G1246" s="23" t="s">
        <v>417</v>
      </c>
      <c r="H1246" s="353">
        <v>367454.57</v>
      </c>
      <c r="I1246" s="59"/>
      <c r="J1246" s="59" t="s">
        <v>3318</v>
      </c>
      <c r="K1246" s="20"/>
      <c r="L1246" s="20">
        <v>1</v>
      </c>
      <c r="M1246" s="357">
        <f>H1246</f>
        <v>367454.57</v>
      </c>
      <c r="N1246" s="411">
        <f>IFERROR((M1246/(VLOOKUP(B1246,'Data Pull Sheet'!$C:$H,6,FALSE))),"DC")</f>
        <v>4.8993942666666662E-4</v>
      </c>
      <c r="O1246" s="23" t="s">
        <v>7</v>
      </c>
      <c r="P1246" s="92" t="s">
        <v>632</v>
      </c>
      <c r="Q1246" s="92" t="s">
        <v>633</v>
      </c>
      <c r="R1246" s="372" t="str">
        <f t="shared" si="35"/>
        <v>FF</v>
      </c>
    </row>
    <row r="1247" spans="1:18" x14ac:dyDescent="0.25">
      <c r="A1247" s="23" t="s">
        <v>252</v>
      </c>
      <c r="B1247" s="18" t="str">
        <f>IF(ISNA(VLOOKUP($A1247,'Data Pull Sheet'!$B$2:$C$1795,2,0)),"",(VLOOKUP($A1247,'Data Pull Sheet'!$B$2:$C$1795,2,0)))</f>
        <v>RRTS</v>
      </c>
      <c r="C1247" s="59" t="s">
        <v>570</v>
      </c>
      <c r="D1247" s="356" t="s">
        <v>571</v>
      </c>
      <c r="E1247" s="356" t="s">
        <v>464</v>
      </c>
      <c r="F1247" s="23" t="s">
        <v>249</v>
      </c>
      <c r="G1247" s="23" t="s">
        <v>417</v>
      </c>
      <c r="H1247" s="353">
        <v>796029</v>
      </c>
      <c r="I1247" s="59" t="s">
        <v>442</v>
      </c>
      <c r="J1247" s="59" t="s">
        <v>3341</v>
      </c>
      <c r="K1247" s="20">
        <v>4</v>
      </c>
      <c r="L1247" s="20">
        <v>1</v>
      </c>
      <c r="M1247" s="357">
        <f>H1247</f>
        <v>796029</v>
      </c>
      <c r="N1247" s="411">
        <f>IFERROR((M1247/(VLOOKUP(B1247,'Data Pull Sheet'!$C:$H,6,FALSE))),"DC")</f>
        <v>1.592058E-2</v>
      </c>
      <c r="O1247" s="23" t="s">
        <v>4634</v>
      </c>
      <c r="P1247" s="92" t="s">
        <v>632</v>
      </c>
      <c r="Q1247" s="92" t="s">
        <v>633</v>
      </c>
      <c r="R1247" s="372" t="str">
        <f t="shared" si="35"/>
        <v>FF</v>
      </c>
    </row>
    <row r="1248" spans="1:18" x14ac:dyDescent="0.25">
      <c r="A1248" s="23" t="s">
        <v>252</v>
      </c>
      <c r="B1248" s="18" t="str">
        <f>IF(ISNA(VLOOKUP($A1248,'Data Pull Sheet'!$B$2:$C$1795,2,0)),"",(VLOOKUP($A1248,'Data Pull Sheet'!$B$2:$C$1795,2,0)))</f>
        <v>RRTS</v>
      </c>
      <c r="C1248" s="59" t="s">
        <v>570</v>
      </c>
      <c r="D1248" s="356" t="s">
        <v>571</v>
      </c>
      <c r="E1248" s="356" t="s">
        <v>464</v>
      </c>
      <c r="F1248" s="23" t="s">
        <v>3342</v>
      </c>
      <c r="G1248" s="23" t="s">
        <v>403</v>
      </c>
      <c r="H1248" s="353">
        <v>35847.9</v>
      </c>
      <c r="I1248" s="59"/>
      <c r="J1248" s="59" t="s">
        <v>3343</v>
      </c>
      <c r="K1248" s="20"/>
      <c r="L1248" s="20">
        <v>1</v>
      </c>
      <c r="M1248" s="357">
        <f>H1248</f>
        <v>35847.9</v>
      </c>
      <c r="N1248" s="411">
        <f>IFERROR((M1248/(VLOOKUP(B1248,'Data Pull Sheet'!$C:$H,6,FALSE))),"DC")</f>
        <v>7.1695800000000007E-4</v>
      </c>
      <c r="O1248" s="23" t="s">
        <v>3344</v>
      </c>
      <c r="P1248" s="92" t="s">
        <v>632</v>
      </c>
      <c r="Q1248" s="92" t="s">
        <v>637</v>
      </c>
      <c r="R1248" s="372" t="str">
        <f t="shared" si="35"/>
        <v/>
      </c>
    </row>
    <row r="1249" spans="1:18" ht="30" x14ac:dyDescent="0.25">
      <c r="A1249" s="23" t="s">
        <v>252</v>
      </c>
      <c r="B1249" s="18" t="str">
        <f>IF(ISNA(VLOOKUP($A1249,'Data Pull Sheet'!$B$2:$C$1795,2,0)),"",(VLOOKUP($A1249,'Data Pull Sheet'!$B$2:$C$1795,2,0)))</f>
        <v>RRTS</v>
      </c>
      <c r="C1249" s="59" t="s">
        <v>570</v>
      </c>
      <c r="D1249" s="356" t="s">
        <v>571</v>
      </c>
      <c r="E1249" s="356" t="s">
        <v>464</v>
      </c>
      <c r="F1249" s="23" t="s">
        <v>3345</v>
      </c>
      <c r="G1249" s="23" t="s">
        <v>403</v>
      </c>
      <c r="H1249" s="353">
        <v>75632</v>
      </c>
      <c r="I1249" s="59" t="s">
        <v>406</v>
      </c>
      <c r="J1249" s="59" t="s">
        <v>3346</v>
      </c>
      <c r="K1249" s="20"/>
      <c r="L1249" s="20">
        <v>1</v>
      </c>
      <c r="M1249" s="357">
        <f>H1249</f>
        <v>75632</v>
      </c>
      <c r="N1249" s="411">
        <f>IFERROR((M1249/(VLOOKUP(B1249,'Data Pull Sheet'!$C:$H,6,FALSE))),"DC")</f>
        <v>1.51264E-3</v>
      </c>
      <c r="O1249" s="23" t="s">
        <v>11184</v>
      </c>
      <c r="P1249" s="92" t="s">
        <v>632</v>
      </c>
      <c r="Q1249" s="92" t="s">
        <v>637</v>
      </c>
      <c r="R1249" s="372" t="str">
        <f t="shared" si="35"/>
        <v/>
      </c>
    </row>
    <row r="1250" spans="1:18" x14ac:dyDescent="0.25">
      <c r="A1250" s="23" t="s">
        <v>252</v>
      </c>
      <c r="B1250" s="18" t="str">
        <f>IF(ISNA(VLOOKUP($A1250,'Data Pull Sheet'!$B$2:$C$1795,2,0)),"",(VLOOKUP($A1250,'Data Pull Sheet'!$B$2:$C$1795,2,0)))</f>
        <v>RRTS</v>
      </c>
      <c r="C1250" s="59" t="s">
        <v>570</v>
      </c>
      <c r="D1250" s="356" t="s">
        <v>571</v>
      </c>
      <c r="E1250" s="356" t="s">
        <v>464</v>
      </c>
      <c r="F1250" s="23" t="s">
        <v>3348</v>
      </c>
      <c r="G1250" s="23" t="s">
        <v>403</v>
      </c>
      <c r="H1250" s="353">
        <v>100481.7</v>
      </c>
      <c r="I1250" s="59"/>
      <c r="J1250" s="59" t="s">
        <v>3349</v>
      </c>
      <c r="K1250" s="20"/>
      <c r="L1250" s="20">
        <v>1</v>
      </c>
      <c r="M1250" s="357">
        <f>H1250</f>
        <v>100481.7</v>
      </c>
      <c r="N1250" s="411">
        <f>IFERROR((M1250/(VLOOKUP(B1250,'Data Pull Sheet'!$C:$H,6,FALSE))),"DC")</f>
        <v>2.0096339999999997E-3</v>
      </c>
      <c r="O1250" s="23" t="s">
        <v>3350</v>
      </c>
      <c r="P1250" s="92" t="s">
        <v>632</v>
      </c>
      <c r="Q1250" s="92" t="s">
        <v>637</v>
      </c>
      <c r="R1250" s="372" t="str">
        <f t="shared" si="35"/>
        <v/>
      </c>
    </row>
    <row r="1251" spans="1:18" x14ac:dyDescent="0.25">
      <c r="A1251" s="23" t="s">
        <v>3468</v>
      </c>
      <c r="B1251" s="18" t="str">
        <f>IF(ISNA(VLOOKUP($A1251,'Data Pull Sheet'!$B$2:$C$1795,2,0)),"",(VLOOKUP($A1251,'Data Pull Sheet'!$B$2:$C$1795,2,0)))</f>
        <v>STML</v>
      </c>
      <c r="C1251" s="59" t="s">
        <v>418</v>
      </c>
      <c r="D1251" s="356" t="s">
        <v>3469</v>
      </c>
      <c r="E1251" s="356" t="s">
        <v>3470</v>
      </c>
      <c r="F1251" s="23" t="s">
        <v>3471</v>
      </c>
      <c r="G1251" s="23" t="s">
        <v>403</v>
      </c>
      <c r="H1251" s="353">
        <v>2702.42</v>
      </c>
      <c r="I1251" s="59"/>
      <c r="J1251" s="59" t="s">
        <v>3472</v>
      </c>
      <c r="K1251" s="20">
        <v>2</v>
      </c>
      <c r="L1251" s="20">
        <v>3</v>
      </c>
      <c r="M1251" s="357">
        <f>SUM(H1251:H1253)</f>
        <v>20669.940000000002</v>
      </c>
      <c r="N1251" s="411">
        <f>IFERROR((M1251/(VLOOKUP(B1251,'Data Pull Sheet'!$C:$H,6,FALSE))),"DC")</f>
        <v>7.6555333333333346E-4</v>
      </c>
      <c r="O1251" s="23" t="s">
        <v>1280</v>
      </c>
      <c r="P1251" s="92" t="s">
        <v>632</v>
      </c>
      <c r="Q1251" s="92" t="s">
        <v>646</v>
      </c>
      <c r="R1251" s="372" t="str">
        <f t="shared" si="35"/>
        <v/>
      </c>
    </row>
    <row r="1252" spans="1:18" x14ac:dyDescent="0.25">
      <c r="A1252" s="23" t="s">
        <v>3468</v>
      </c>
      <c r="B1252" s="18" t="str">
        <f>IF(ISNA(VLOOKUP($A1252,'Data Pull Sheet'!$B$2:$C$1795,2,0)),"",(VLOOKUP($A1252,'Data Pull Sheet'!$B$2:$C$1795,2,0)))</f>
        <v>STML</v>
      </c>
      <c r="C1252" s="59" t="s">
        <v>418</v>
      </c>
      <c r="D1252" s="356" t="s">
        <v>3469</v>
      </c>
      <c r="E1252" s="356" t="s">
        <v>3470</v>
      </c>
      <c r="F1252" s="23" t="s">
        <v>3473</v>
      </c>
      <c r="G1252" s="23" t="s">
        <v>403</v>
      </c>
      <c r="H1252" s="353">
        <v>5397.52</v>
      </c>
      <c r="I1252" s="59"/>
      <c r="J1252" s="59" t="s">
        <v>3474</v>
      </c>
      <c r="K1252" s="20"/>
      <c r="L1252" s="20"/>
      <c r="M1252" s="357"/>
      <c r="N1252" s="411"/>
      <c r="O1252" s="23" t="s">
        <v>1280</v>
      </c>
      <c r="P1252" s="92" t="s">
        <v>632</v>
      </c>
      <c r="Q1252" s="92" t="s">
        <v>646</v>
      </c>
      <c r="R1252" s="372" t="str">
        <f t="shared" si="35"/>
        <v/>
      </c>
    </row>
    <row r="1253" spans="1:18" x14ac:dyDescent="0.25">
      <c r="A1253" s="23" t="s">
        <v>3468</v>
      </c>
      <c r="B1253" s="18" t="str">
        <f>IF(ISNA(VLOOKUP($A1253,'Data Pull Sheet'!$B$2:$C$1795,2,0)),"",(VLOOKUP($A1253,'Data Pull Sheet'!$B$2:$C$1795,2,0)))</f>
        <v>STML</v>
      </c>
      <c r="C1253" s="59" t="s">
        <v>418</v>
      </c>
      <c r="D1253" s="356" t="s">
        <v>3469</v>
      </c>
      <c r="E1253" s="356" t="s">
        <v>3470</v>
      </c>
      <c r="F1253" s="23" t="s">
        <v>3475</v>
      </c>
      <c r="G1253" s="23" t="s">
        <v>403</v>
      </c>
      <c r="H1253" s="353">
        <v>12570</v>
      </c>
      <c r="I1253" s="59"/>
      <c r="J1253" s="59" t="s">
        <v>3476</v>
      </c>
      <c r="K1253" s="20"/>
      <c r="L1253" s="20"/>
      <c r="M1253" s="357"/>
      <c r="N1253" s="411"/>
      <c r="O1253" s="23" t="s">
        <v>1280</v>
      </c>
      <c r="P1253" s="92" t="s">
        <v>632</v>
      </c>
      <c r="Q1253" s="92" t="s">
        <v>646</v>
      </c>
      <c r="R1253" s="372" t="str">
        <f t="shared" si="35"/>
        <v/>
      </c>
    </row>
    <row r="1254" spans="1:18" x14ac:dyDescent="0.25">
      <c r="A1254" s="23" t="s">
        <v>3468</v>
      </c>
      <c r="B1254" s="18" t="str">
        <f>IF(ISNA(VLOOKUP($A1254,'Data Pull Sheet'!$B$2:$C$1795,2,0)),"",(VLOOKUP($A1254,'Data Pull Sheet'!$B$2:$C$1795,2,0)))</f>
        <v>STML</v>
      </c>
      <c r="C1254" s="59" t="s">
        <v>418</v>
      </c>
      <c r="D1254" s="356" t="s">
        <v>3469</v>
      </c>
      <c r="E1254" s="356" t="s">
        <v>3470</v>
      </c>
      <c r="F1254" s="23" t="s">
        <v>3477</v>
      </c>
      <c r="G1254" s="23" t="s">
        <v>403</v>
      </c>
      <c r="H1254" s="353">
        <v>7275</v>
      </c>
      <c r="I1254" s="59"/>
      <c r="J1254" s="59" t="s">
        <v>3478</v>
      </c>
      <c r="K1254" s="20"/>
      <c r="L1254" s="20">
        <v>3</v>
      </c>
      <c r="M1254" s="357">
        <f>SUM(H1254:H1256)</f>
        <v>32425.53</v>
      </c>
      <c r="N1254" s="411">
        <f>IFERROR((M1254/(VLOOKUP(B1254,'Data Pull Sheet'!$C:$H,6,FALSE))),"DC")</f>
        <v>1.2009455555555555E-3</v>
      </c>
      <c r="O1254" s="23" t="s">
        <v>554</v>
      </c>
      <c r="P1254" s="92" t="s">
        <v>632</v>
      </c>
      <c r="Q1254" s="92" t="s">
        <v>646</v>
      </c>
      <c r="R1254" s="372" t="str">
        <f t="shared" si="35"/>
        <v>FF</v>
      </c>
    </row>
    <row r="1255" spans="1:18" x14ac:dyDescent="0.25">
      <c r="A1255" s="23" t="s">
        <v>3468</v>
      </c>
      <c r="B1255" s="18" t="str">
        <f>IF(ISNA(VLOOKUP($A1255,'Data Pull Sheet'!$B$2:$C$1795,2,0)),"",(VLOOKUP($A1255,'Data Pull Sheet'!$B$2:$C$1795,2,0)))</f>
        <v>STML</v>
      </c>
      <c r="C1255" s="59" t="s">
        <v>418</v>
      </c>
      <c r="D1255" s="356" t="s">
        <v>3469</v>
      </c>
      <c r="E1255" s="356" t="s">
        <v>3470</v>
      </c>
      <c r="F1255" s="23" t="s">
        <v>3479</v>
      </c>
      <c r="G1255" s="23" t="s">
        <v>403</v>
      </c>
      <c r="H1255" s="353">
        <v>9197.5300000000007</v>
      </c>
      <c r="I1255" s="59"/>
      <c r="J1255" s="59" t="s">
        <v>3480</v>
      </c>
      <c r="K1255" s="20"/>
      <c r="L1255" s="20"/>
      <c r="M1255" s="357"/>
      <c r="N1255" s="411"/>
      <c r="O1255" s="23" t="s">
        <v>554</v>
      </c>
      <c r="P1255" s="92" t="s">
        <v>632</v>
      </c>
      <c r="Q1255" s="92" t="s">
        <v>646</v>
      </c>
      <c r="R1255" s="372" t="str">
        <f t="shared" si="35"/>
        <v/>
      </c>
    </row>
    <row r="1256" spans="1:18" x14ac:dyDescent="0.25">
      <c r="A1256" s="23" t="s">
        <v>3468</v>
      </c>
      <c r="B1256" s="18" t="str">
        <f>IF(ISNA(VLOOKUP($A1256,'Data Pull Sheet'!$B$2:$C$1795,2,0)),"",(VLOOKUP($A1256,'Data Pull Sheet'!$B$2:$C$1795,2,0)))</f>
        <v>STML</v>
      </c>
      <c r="C1256" s="59" t="s">
        <v>418</v>
      </c>
      <c r="D1256" s="356" t="s">
        <v>3469</v>
      </c>
      <c r="E1256" s="356" t="s">
        <v>3470</v>
      </c>
      <c r="F1256" s="23" t="s">
        <v>3481</v>
      </c>
      <c r="G1256" s="23" t="s">
        <v>403</v>
      </c>
      <c r="H1256" s="353">
        <v>15953</v>
      </c>
      <c r="I1256" s="59"/>
      <c r="J1256" s="59" t="s">
        <v>3482</v>
      </c>
      <c r="K1256" s="20"/>
      <c r="L1256" s="20"/>
      <c r="M1256" s="357"/>
      <c r="N1256" s="411"/>
      <c r="O1256" s="23" t="s">
        <v>554</v>
      </c>
      <c r="P1256" s="92" t="s">
        <v>632</v>
      </c>
      <c r="Q1256" s="92" t="s">
        <v>646</v>
      </c>
      <c r="R1256" s="372" t="str">
        <f t="shared" si="35"/>
        <v/>
      </c>
    </row>
    <row r="1257" spans="1:18" x14ac:dyDescent="0.25">
      <c r="A1257" s="23" t="s">
        <v>547</v>
      </c>
      <c r="B1257" s="18" t="str">
        <f>IF(ISNA(VLOOKUP($A1257,'Data Pull Sheet'!$B$2:$C$1795,2,0)),"",(VLOOKUP($A1257,'Data Pull Sheet'!$B$2:$C$1795,2,0)))</f>
        <v>PETX</v>
      </c>
      <c r="C1257" s="59" t="s">
        <v>418</v>
      </c>
      <c r="D1257" s="356" t="s">
        <v>548</v>
      </c>
      <c r="E1257" s="356" t="s">
        <v>549</v>
      </c>
      <c r="F1257" s="23" t="s">
        <v>920</v>
      </c>
      <c r="G1257" s="23" t="s">
        <v>403</v>
      </c>
      <c r="H1257" s="353">
        <v>5465</v>
      </c>
      <c r="I1257" s="59"/>
      <c r="J1257" s="59" t="s">
        <v>921</v>
      </c>
      <c r="K1257" s="20">
        <v>2</v>
      </c>
      <c r="L1257" s="20">
        <v>1</v>
      </c>
      <c r="M1257" s="357">
        <f>H1257</f>
        <v>5465</v>
      </c>
      <c r="N1257" s="411">
        <f>IFERROR((M1257/(VLOOKUP(B1257,'Data Pull Sheet'!$C:$H,6,FALSE))),"DC")</f>
        <v>1.8216666666666666E-4</v>
      </c>
      <c r="O1257" s="23" t="s">
        <v>584</v>
      </c>
      <c r="P1257" s="92" t="s">
        <v>632</v>
      </c>
      <c r="Q1257" s="92" t="s">
        <v>637</v>
      </c>
      <c r="R1257" s="372" t="str">
        <f t="shared" si="35"/>
        <v/>
      </c>
    </row>
    <row r="1258" spans="1:18" x14ac:dyDescent="0.25">
      <c r="A1258" s="23" t="s">
        <v>547</v>
      </c>
      <c r="B1258" s="18" t="str">
        <f>IF(ISNA(VLOOKUP($A1258,'Data Pull Sheet'!$B$2:$C$1795,2,0)),"",(VLOOKUP($A1258,'Data Pull Sheet'!$B$2:$C$1795,2,0)))</f>
        <v>PETX</v>
      </c>
      <c r="C1258" s="59" t="s">
        <v>418</v>
      </c>
      <c r="D1258" s="356" t="s">
        <v>548</v>
      </c>
      <c r="E1258" s="356" t="s">
        <v>549</v>
      </c>
      <c r="F1258" s="23" t="s">
        <v>922</v>
      </c>
      <c r="G1258" s="23" t="s">
        <v>403</v>
      </c>
      <c r="H1258" s="353">
        <v>10937.67</v>
      </c>
      <c r="I1258" s="59"/>
      <c r="J1258" s="59" t="s">
        <v>923</v>
      </c>
      <c r="K1258" s="20"/>
      <c r="L1258" s="20">
        <v>3</v>
      </c>
      <c r="M1258" s="357">
        <f>SUM(H1258:H1260)</f>
        <v>74044.209999999992</v>
      </c>
      <c r="N1258" s="411">
        <f>IFERROR((M1258/(VLOOKUP(B1258,'Data Pull Sheet'!$C:$H,6,FALSE))),"DC")</f>
        <v>2.4681403333333329E-3</v>
      </c>
      <c r="O1258" s="23" t="s">
        <v>63</v>
      </c>
      <c r="P1258" s="92" t="s">
        <v>632</v>
      </c>
      <c r="Q1258" s="92" t="s">
        <v>646</v>
      </c>
      <c r="R1258" s="372" t="str">
        <f t="shared" si="35"/>
        <v/>
      </c>
    </row>
    <row r="1259" spans="1:18" x14ac:dyDescent="0.25">
      <c r="A1259" s="23" t="s">
        <v>547</v>
      </c>
      <c r="B1259" s="18" t="str">
        <f>IF(ISNA(VLOOKUP($A1259,'Data Pull Sheet'!$B$2:$C$1795,2,0)),"",(VLOOKUP($A1259,'Data Pull Sheet'!$B$2:$C$1795,2,0)))</f>
        <v>PETX</v>
      </c>
      <c r="C1259" s="59" t="s">
        <v>418</v>
      </c>
      <c r="D1259" s="356" t="s">
        <v>548</v>
      </c>
      <c r="E1259" s="356" t="s">
        <v>549</v>
      </c>
      <c r="F1259" s="23" t="s">
        <v>924</v>
      </c>
      <c r="G1259" s="23" t="s">
        <v>403</v>
      </c>
      <c r="H1259" s="353">
        <v>14131.96</v>
      </c>
      <c r="I1259" s="59"/>
      <c r="J1259" s="59" t="s">
        <v>925</v>
      </c>
      <c r="K1259" s="20"/>
      <c r="L1259" s="20"/>
      <c r="M1259" s="357"/>
      <c r="N1259" s="411"/>
      <c r="O1259" s="23" t="s">
        <v>63</v>
      </c>
      <c r="P1259" s="92" t="s">
        <v>632</v>
      </c>
      <c r="Q1259" s="92" t="s">
        <v>646</v>
      </c>
      <c r="R1259" s="372" t="str">
        <f t="shared" si="35"/>
        <v/>
      </c>
    </row>
    <row r="1260" spans="1:18" x14ac:dyDescent="0.25">
      <c r="A1260" s="23" t="s">
        <v>547</v>
      </c>
      <c r="B1260" s="18" t="str">
        <f>IF(ISNA(VLOOKUP($A1260,'Data Pull Sheet'!$B$2:$C$1795,2,0)),"",(VLOOKUP($A1260,'Data Pull Sheet'!$B$2:$C$1795,2,0)))</f>
        <v>PETX</v>
      </c>
      <c r="C1260" s="59" t="s">
        <v>418</v>
      </c>
      <c r="D1260" s="356" t="s">
        <v>548</v>
      </c>
      <c r="E1260" s="356" t="s">
        <v>549</v>
      </c>
      <c r="F1260" s="23" t="s">
        <v>550</v>
      </c>
      <c r="G1260" s="23" t="s">
        <v>403</v>
      </c>
      <c r="H1260" s="353">
        <v>48974.58</v>
      </c>
      <c r="I1260" s="59"/>
      <c r="J1260" s="59" t="s">
        <v>926</v>
      </c>
      <c r="K1260" s="20"/>
      <c r="L1260" s="20"/>
      <c r="M1260" s="357"/>
      <c r="N1260" s="411"/>
      <c r="O1260" s="23" t="s">
        <v>63</v>
      </c>
      <c r="P1260" s="92" t="s">
        <v>632</v>
      </c>
      <c r="Q1260" s="92" t="s">
        <v>646</v>
      </c>
      <c r="R1260" s="372" t="str">
        <f t="shared" si="35"/>
        <v>FF</v>
      </c>
    </row>
    <row r="1261" spans="1:18" x14ac:dyDescent="0.25">
      <c r="A1261" s="23" t="s">
        <v>2002</v>
      </c>
      <c r="B1261" s="18" t="str">
        <f>IF(ISNA(VLOOKUP($A1261,'Data Pull Sheet'!$B$2:$C$1795,2,0)),"",(VLOOKUP($A1261,'Data Pull Sheet'!$B$2:$C$1795,2,0)))</f>
        <v>GLBR</v>
      </c>
      <c r="C1261" s="59" t="s">
        <v>418</v>
      </c>
      <c r="D1261" s="356" t="s">
        <v>2003</v>
      </c>
      <c r="E1261" s="356" t="s">
        <v>2004</v>
      </c>
      <c r="F1261" s="23" t="s">
        <v>2005</v>
      </c>
      <c r="G1261" s="23" t="s">
        <v>403</v>
      </c>
      <c r="H1261" s="353">
        <v>9440.11</v>
      </c>
      <c r="I1261" s="59" t="s">
        <v>406</v>
      </c>
      <c r="J1261" s="59" t="s">
        <v>2006</v>
      </c>
      <c r="K1261" s="20">
        <v>8</v>
      </c>
      <c r="L1261" s="20">
        <v>2</v>
      </c>
      <c r="M1261" s="357">
        <f>SUM(H1261:H1262)</f>
        <v>100779.57</v>
      </c>
      <c r="N1261" s="411">
        <f>IFERROR((M1261/(VLOOKUP(B1261,'Data Pull Sheet'!$C:$H,6,FALSE))),"DC")</f>
        <v>5.9282100000000006E-3</v>
      </c>
      <c r="O1261" s="23" t="s">
        <v>1196</v>
      </c>
      <c r="P1261" s="92" t="s">
        <v>632</v>
      </c>
      <c r="Q1261" s="92" t="s">
        <v>646</v>
      </c>
      <c r="R1261" s="372" t="str">
        <f t="shared" si="35"/>
        <v/>
      </c>
    </row>
    <row r="1262" spans="1:18" x14ac:dyDescent="0.25">
      <c r="A1262" s="23" t="s">
        <v>2002</v>
      </c>
      <c r="B1262" s="18" t="str">
        <f>IF(ISNA(VLOOKUP($A1262,'Data Pull Sheet'!$B$2:$C$1795,2,0)),"",(VLOOKUP($A1262,'Data Pull Sheet'!$B$2:$C$1795,2,0)))</f>
        <v>GLBR</v>
      </c>
      <c r="C1262" s="59" t="s">
        <v>418</v>
      </c>
      <c r="D1262" s="356" t="s">
        <v>2003</v>
      </c>
      <c r="E1262" s="356" t="s">
        <v>2004</v>
      </c>
      <c r="F1262" s="23" t="s">
        <v>2007</v>
      </c>
      <c r="G1262" s="23" t="s">
        <v>403</v>
      </c>
      <c r="H1262" s="353">
        <v>91339.46</v>
      </c>
      <c r="I1262" s="59" t="s">
        <v>406</v>
      </c>
      <c r="J1262" s="59" t="s">
        <v>2008</v>
      </c>
      <c r="K1262" s="20"/>
      <c r="L1262" s="20"/>
      <c r="M1262" s="357"/>
      <c r="N1262" s="411"/>
      <c r="O1262" s="23" t="s">
        <v>1196</v>
      </c>
      <c r="P1262" s="92" t="s">
        <v>632</v>
      </c>
      <c r="Q1262" s="92" t="s">
        <v>646</v>
      </c>
      <c r="R1262" s="372" t="str">
        <f t="shared" si="35"/>
        <v/>
      </c>
    </row>
    <row r="1263" spans="1:18" x14ac:dyDescent="0.25">
      <c r="A1263" s="23" t="s">
        <v>2002</v>
      </c>
      <c r="B1263" s="18" t="str">
        <f>IF(ISNA(VLOOKUP($A1263,'Data Pull Sheet'!$B$2:$C$1795,2,0)),"",(VLOOKUP($A1263,'Data Pull Sheet'!$B$2:$C$1795,2,0)))</f>
        <v>GLBR</v>
      </c>
      <c r="C1263" s="59" t="s">
        <v>418</v>
      </c>
      <c r="D1263" s="356" t="s">
        <v>2003</v>
      </c>
      <c r="E1263" s="356" t="s">
        <v>2004</v>
      </c>
      <c r="F1263" s="23" t="s">
        <v>2009</v>
      </c>
      <c r="G1263" s="23" t="s">
        <v>403</v>
      </c>
      <c r="H1263" s="353">
        <v>16081.58</v>
      </c>
      <c r="I1263" s="59" t="s">
        <v>476</v>
      </c>
      <c r="J1263" s="59" t="s">
        <v>2010</v>
      </c>
      <c r="K1263" s="20"/>
      <c r="L1263" s="20">
        <v>1</v>
      </c>
      <c r="M1263" s="357">
        <f>H1263</f>
        <v>16081.58</v>
      </c>
      <c r="N1263" s="411">
        <f>IFERROR((M1263/(VLOOKUP(B1263,'Data Pull Sheet'!$C:$H,6,FALSE))),"DC")</f>
        <v>9.4597529411764706E-4</v>
      </c>
      <c r="O1263" s="23" t="s">
        <v>1280</v>
      </c>
      <c r="P1263" s="92" t="s">
        <v>632</v>
      </c>
      <c r="Q1263" s="92" t="s">
        <v>637</v>
      </c>
      <c r="R1263" s="372" t="str">
        <f t="shared" si="35"/>
        <v/>
      </c>
    </row>
    <row r="1264" spans="1:18" x14ac:dyDescent="0.25">
      <c r="A1264" s="23" t="s">
        <v>2002</v>
      </c>
      <c r="B1264" s="18" t="str">
        <f>IF(ISNA(VLOOKUP($A1264,'Data Pull Sheet'!$B$2:$C$1795,2,0)),"",(VLOOKUP($A1264,'Data Pull Sheet'!$B$2:$C$1795,2,0)))</f>
        <v>GLBR</v>
      </c>
      <c r="C1264" s="59" t="s">
        <v>418</v>
      </c>
      <c r="D1264" s="356" t="s">
        <v>2003</v>
      </c>
      <c r="E1264" s="356" t="s">
        <v>2004</v>
      </c>
      <c r="F1264" s="23" t="s">
        <v>2011</v>
      </c>
      <c r="G1264" s="23" t="s">
        <v>403</v>
      </c>
      <c r="H1264" s="353">
        <v>143810</v>
      </c>
      <c r="I1264" s="59"/>
      <c r="J1264" s="59" t="s">
        <v>2012</v>
      </c>
      <c r="K1264" s="20"/>
      <c r="L1264" s="20">
        <v>1</v>
      </c>
      <c r="M1264" s="357">
        <f>H1264</f>
        <v>143810</v>
      </c>
      <c r="N1264" s="411">
        <f>IFERROR((M1264/(VLOOKUP(B1264,'Data Pull Sheet'!$C:$H,6,FALSE))),"DC")</f>
        <v>8.459411764705882E-3</v>
      </c>
      <c r="O1264" s="23" t="s">
        <v>60</v>
      </c>
      <c r="P1264" s="92" t="s">
        <v>632</v>
      </c>
      <c r="Q1264" s="92" t="s">
        <v>637</v>
      </c>
      <c r="R1264" s="372" t="str">
        <f t="shared" si="35"/>
        <v/>
      </c>
    </row>
    <row r="1265" spans="1:18" x14ac:dyDescent="0.25">
      <c r="A1265" s="23" t="s">
        <v>2002</v>
      </c>
      <c r="B1265" s="18" t="str">
        <f>IF(ISNA(VLOOKUP($A1265,'Data Pull Sheet'!$B$2:$C$1795,2,0)),"",(VLOOKUP($A1265,'Data Pull Sheet'!$B$2:$C$1795,2,0)))</f>
        <v>GLBR</v>
      </c>
      <c r="C1265" s="59" t="s">
        <v>418</v>
      </c>
      <c r="D1265" s="356" t="s">
        <v>2003</v>
      </c>
      <c r="E1265" s="356" t="s">
        <v>2004</v>
      </c>
      <c r="F1265" s="23" t="s">
        <v>2013</v>
      </c>
      <c r="G1265" s="23" t="s">
        <v>403</v>
      </c>
      <c r="H1265" s="353">
        <v>537683.12</v>
      </c>
      <c r="I1265" s="59"/>
      <c r="J1265" s="59" t="s">
        <v>2014</v>
      </c>
      <c r="K1265" s="20"/>
      <c r="L1265" s="20">
        <v>1</v>
      </c>
      <c r="M1265" s="357">
        <f>H1265</f>
        <v>537683.12</v>
      </c>
      <c r="N1265" s="411">
        <f>IFERROR((M1265/(VLOOKUP(B1265,'Data Pull Sheet'!$C:$H,6,FALSE))),"DC")</f>
        <v>3.162841882352941E-2</v>
      </c>
      <c r="O1265" s="23" t="s">
        <v>2015</v>
      </c>
      <c r="P1265" s="92" t="s">
        <v>632</v>
      </c>
      <c r="Q1265" s="92" t="s">
        <v>637</v>
      </c>
      <c r="R1265" s="372" t="str">
        <f t="shared" si="35"/>
        <v/>
      </c>
    </row>
    <row r="1266" spans="1:18" x14ac:dyDescent="0.25">
      <c r="A1266" s="23" t="s">
        <v>2002</v>
      </c>
      <c r="B1266" s="18" t="str">
        <f>IF(ISNA(VLOOKUP($A1266,'Data Pull Sheet'!$B$2:$C$1795,2,0)),"",(VLOOKUP($A1266,'Data Pull Sheet'!$B$2:$C$1795,2,0)))</f>
        <v>GLBR</v>
      </c>
      <c r="C1266" s="59" t="s">
        <v>418</v>
      </c>
      <c r="D1266" s="356" t="s">
        <v>2003</v>
      </c>
      <c r="E1266" s="356" t="s">
        <v>2004</v>
      </c>
      <c r="F1266" s="23" t="s">
        <v>2016</v>
      </c>
      <c r="G1266" s="23" t="s">
        <v>403</v>
      </c>
      <c r="H1266" s="353">
        <v>558432</v>
      </c>
      <c r="I1266" s="59" t="s">
        <v>442</v>
      </c>
      <c r="J1266" s="59" t="s">
        <v>2017</v>
      </c>
      <c r="K1266" s="20"/>
      <c r="L1266" s="20">
        <v>1</v>
      </c>
      <c r="M1266" s="357">
        <f>H1266</f>
        <v>558432</v>
      </c>
      <c r="N1266" s="411">
        <f>IFERROR((M1266/(VLOOKUP(B1266,'Data Pull Sheet'!$C:$H,6,FALSE))),"DC")</f>
        <v>3.2848941176470588E-2</v>
      </c>
      <c r="O1266" s="23" t="s">
        <v>2018</v>
      </c>
      <c r="P1266" s="92" t="s">
        <v>632</v>
      </c>
      <c r="Q1266" s="92" t="s">
        <v>637</v>
      </c>
      <c r="R1266" s="372" t="str">
        <f t="shared" si="35"/>
        <v/>
      </c>
    </row>
    <row r="1267" spans="1:18" ht="30" x14ac:dyDescent="0.25">
      <c r="A1267" s="23" t="s">
        <v>2002</v>
      </c>
      <c r="B1267" s="18" t="str">
        <f>IF(ISNA(VLOOKUP($A1267,'Data Pull Sheet'!$B$2:$C$1795,2,0)),"",(VLOOKUP($A1267,'Data Pull Sheet'!$B$2:$C$1795,2,0)))</f>
        <v>GLBR</v>
      </c>
      <c r="C1267" s="59" t="s">
        <v>418</v>
      </c>
      <c r="D1267" s="356" t="s">
        <v>2003</v>
      </c>
      <c r="E1267" s="356" t="s">
        <v>2004</v>
      </c>
      <c r="F1267" s="23" t="s">
        <v>2019</v>
      </c>
      <c r="G1267" s="23" t="s">
        <v>403</v>
      </c>
      <c r="H1267" s="353">
        <v>40828</v>
      </c>
      <c r="I1267" s="59"/>
      <c r="J1267" s="59" t="s">
        <v>2020</v>
      </c>
      <c r="K1267" s="20"/>
      <c r="L1267" s="20">
        <v>4</v>
      </c>
      <c r="M1267" s="357">
        <f>SUM(H1267:H1270)</f>
        <v>375515</v>
      </c>
      <c r="N1267" s="411">
        <f>IFERROR((M1267/(VLOOKUP(B1267,'Data Pull Sheet'!$C:$H,6,FALSE))),"DC")</f>
        <v>2.2089117647058825E-2</v>
      </c>
      <c r="O1267" s="23" t="s">
        <v>11179</v>
      </c>
      <c r="P1267" s="92" t="s">
        <v>632</v>
      </c>
      <c r="Q1267" s="92" t="s">
        <v>646</v>
      </c>
      <c r="R1267" s="372" t="str">
        <f t="shared" si="35"/>
        <v/>
      </c>
    </row>
    <row r="1268" spans="1:18" ht="30" x14ac:dyDescent="0.25">
      <c r="A1268" s="23" t="s">
        <v>2002</v>
      </c>
      <c r="B1268" s="18" t="str">
        <f>IF(ISNA(VLOOKUP($A1268,'Data Pull Sheet'!$B$2:$C$1795,2,0)),"",(VLOOKUP($A1268,'Data Pull Sheet'!$B$2:$C$1795,2,0)))</f>
        <v>GLBR</v>
      </c>
      <c r="C1268" s="59" t="s">
        <v>418</v>
      </c>
      <c r="D1268" s="356" t="s">
        <v>2003</v>
      </c>
      <c r="E1268" s="356" t="s">
        <v>2004</v>
      </c>
      <c r="F1268" s="23" t="s">
        <v>2021</v>
      </c>
      <c r="G1268" s="23" t="s">
        <v>403</v>
      </c>
      <c r="H1268" s="353">
        <v>42895</v>
      </c>
      <c r="I1268" s="59"/>
      <c r="J1268" s="59" t="s">
        <v>2022</v>
      </c>
      <c r="K1268" s="20"/>
      <c r="L1268" s="20"/>
      <c r="M1268" s="357"/>
      <c r="N1268" s="411"/>
      <c r="O1268" s="23" t="s">
        <v>11179</v>
      </c>
      <c r="P1268" s="92" t="s">
        <v>632</v>
      </c>
      <c r="Q1268" s="92" t="s">
        <v>646</v>
      </c>
      <c r="R1268" s="372" t="str">
        <f t="shared" si="35"/>
        <v/>
      </c>
    </row>
    <row r="1269" spans="1:18" ht="30" x14ac:dyDescent="0.25">
      <c r="A1269" s="23" t="s">
        <v>2002</v>
      </c>
      <c r="B1269" s="18" t="str">
        <f>IF(ISNA(VLOOKUP($A1269,'Data Pull Sheet'!$B$2:$C$1795,2,0)),"",(VLOOKUP($A1269,'Data Pull Sheet'!$B$2:$C$1795,2,0)))</f>
        <v>GLBR</v>
      </c>
      <c r="C1269" s="59" t="s">
        <v>418</v>
      </c>
      <c r="D1269" s="356" t="s">
        <v>2003</v>
      </c>
      <c r="E1269" s="356" t="s">
        <v>2004</v>
      </c>
      <c r="F1269" s="23" t="s">
        <v>2023</v>
      </c>
      <c r="G1269" s="23" t="s">
        <v>403</v>
      </c>
      <c r="H1269" s="353">
        <v>103841</v>
      </c>
      <c r="I1269" s="59"/>
      <c r="J1269" s="59" t="s">
        <v>2024</v>
      </c>
      <c r="K1269" s="20"/>
      <c r="L1269" s="20"/>
      <c r="M1269" s="357"/>
      <c r="N1269" s="411"/>
      <c r="O1269" s="23" t="s">
        <v>11179</v>
      </c>
      <c r="P1269" s="92" t="s">
        <v>632</v>
      </c>
      <c r="Q1269" s="92" t="s">
        <v>646</v>
      </c>
      <c r="R1269" s="372" t="str">
        <f t="shared" si="35"/>
        <v/>
      </c>
    </row>
    <row r="1270" spans="1:18" ht="30" x14ac:dyDescent="0.25">
      <c r="A1270" s="23" t="s">
        <v>2002</v>
      </c>
      <c r="B1270" s="18" t="str">
        <f>IF(ISNA(VLOOKUP($A1270,'Data Pull Sheet'!$B$2:$C$1795,2,0)),"",(VLOOKUP($A1270,'Data Pull Sheet'!$B$2:$C$1795,2,0)))</f>
        <v>GLBR</v>
      </c>
      <c r="C1270" s="59" t="s">
        <v>418</v>
      </c>
      <c r="D1270" s="356" t="s">
        <v>2003</v>
      </c>
      <c r="E1270" s="356" t="s">
        <v>2004</v>
      </c>
      <c r="F1270" s="23" t="s">
        <v>2025</v>
      </c>
      <c r="G1270" s="23" t="s">
        <v>403</v>
      </c>
      <c r="H1270" s="353">
        <v>187951</v>
      </c>
      <c r="I1270" s="59"/>
      <c r="J1270" s="59" t="s">
        <v>2026</v>
      </c>
      <c r="K1270" s="20"/>
      <c r="L1270" s="20"/>
      <c r="M1270" s="357"/>
      <c r="N1270" s="411"/>
      <c r="O1270" s="23" t="s">
        <v>11179</v>
      </c>
      <c r="P1270" s="92" t="s">
        <v>632</v>
      </c>
      <c r="Q1270" s="92" t="s">
        <v>646</v>
      </c>
      <c r="R1270" s="372" t="str">
        <f t="shared" si="35"/>
        <v/>
      </c>
    </row>
    <row r="1271" spans="1:18" x14ac:dyDescent="0.25">
      <c r="A1271" s="23" t="s">
        <v>2002</v>
      </c>
      <c r="B1271" s="18" t="str">
        <f>IF(ISNA(VLOOKUP($A1271,'Data Pull Sheet'!$B$2:$C$1795,2,0)),"",(VLOOKUP($A1271,'Data Pull Sheet'!$B$2:$C$1795,2,0)))</f>
        <v>GLBR</v>
      </c>
      <c r="C1271" s="59" t="s">
        <v>418</v>
      </c>
      <c r="D1271" s="356" t="s">
        <v>2003</v>
      </c>
      <c r="E1271" s="356" t="s">
        <v>2004</v>
      </c>
      <c r="F1271" s="23" t="s">
        <v>2027</v>
      </c>
      <c r="G1271" s="23" t="s">
        <v>417</v>
      </c>
      <c r="H1271" s="353">
        <v>960874.33</v>
      </c>
      <c r="I1271" s="59"/>
      <c r="J1271" s="59" t="s">
        <v>11843</v>
      </c>
      <c r="K1271" s="20"/>
      <c r="L1271" s="20">
        <v>2</v>
      </c>
      <c r="M1271" s="357">
        <f>SUM(H1271:H1272)</f>
        <v>8754514.3300000001</v>
      </c>
      <c r="N1271" s="411">
        <f>IFERROR((M1271/(VLOOKUP(B1271,'Data Pull Sheet'!$C:$H,6,FALSE))),"DC")</f>
        <v>0.5149714311764706</v>
      </c>
      <c r="O1271" s="23" t="s">
        <v>682</v>
      </c>
      <c r="P1271" s="92" t="s">
        <v>632</v>
      </c>
      <c r="Q1271" s="92" t="s">
        <v>640</v>
      </c>
      <c r="R1271" s="372" t="str">
        <f t="shared" si="35"/>
        <v/>
      </c>
    </row>
    <row r="1272" spans="1:18" x14ac:dyDescent="0.25">
      <c r="A1272" s="23" t="s">
        <v>2002</v>
      </c>
      <c r="B1272" s="18" t="str">
        <f>IF(ISNA(VLOOKUP($A1272,'Data Pull Sheet'!$B$2:$C$1795,2,0)),"",(VLOOKUP($A1272,'Data Pull Sheet'!$B$2:$C$1795,2,0)))</f>
        <v>GLBR</v>
      </c>
      <c r="C1272" s="59" t="s">
        <v>418</v>
      </c>
      <c r="D1272" s="356" t="s">
        <v>2003</v>
      </c>
      <c r="E1272" s="356" t="s">
        <v>2004</v>
      </c>
      <c r="F1272" s="23" t="s">
        <v>2029</v>
      </c>
      <c r="G1272" s="23" t="s">
        <v>417</v>
      </c>
      <c r="H1272" s="353">
        <v>7793640</v>
      </c>
      <c r="I1272" s="59"/>
      <c r="J1272" s="59" t="s">
        <v>2028</v>
      </c>
      <c r="K1272" s="20"/>
      <c r="L1272" s="20"/>
      <c r="M1272" s="357"/>
      <c r="N1272" s="411"/>
      <c r="O1272" s="23" t="s">
        <v>682</v>
      </c>
      <c r="P1272" s="92" t="s">
        <v>632</v>
      </c>
      <c r="Q1272" s="92" t="s">
        <v>640</v>
      </c>
      <c r="R1272" s="372" t="str">
        <f t="shared" si="35"/>
        <v/>
      </c>
    </row>
    <row r="1273" spans="1:18" x14ac:dyDescent="0.25">
      <c r="A1273" s="23" t="s">
        <v>2002</v>
      </c>
      <c r="B1273" s="18" t="str">
        <f>IF(ISNA(VLOOKUP($A1273,'Data Pull Sheet'!$B$2:$C$1795,2,0)),"",(VLOOKUP($A1273,'Data Pull Sheet'!$B$2:$C$1795,2,0)))</f>
        <v>GLBR</v>
      </c>
      <c r="C1273" s="59" t="s">
        <v>418</v>
      </c>
      <c r="D1273" s="356" t="s">
        <v>2003</v>
      </c>
      <c r="E1273" s="356" t="s">
        <v>2004</v>
      </c>
      <c r="F1273" s="23" t="s">
        <v>2030</v>
      </c>
      <c r="G1273" s="23" t="s">
        <v>403</v>
      </c>
      <c r="H1273" s="353">
        <v>2165815.13</v>
      </c>
      <c r="I1273" s="59"/>
      <c r="J1273" s="59" t="s">
        <v>2031</v>
      </c>
      <c r="K1273" s="20"/>
      <c r="L1273" s="20">
        <v>1</v>
      </c>
      <c r="M1273" s="357">
        <f>H1273</f>
        <v>2165815.13</v>
      </c>
      <c r="N1273" s="411">
        <f>IFERROR((M1273/(VLOOKUP(B1273,'Data Pull Sheet'!$C:$H,6,FALSE))),"DC")</f>
        <v>0.12740088999999999</v>
      </c>
      <c r="O1273" s="23" t="s">
        <v>192</v>
      </c>
      <c r="P1273" s="92" t="s">
        <v>632</v>
      </c>
      <c r="Q1273" s="92" t="s">
        <v>637</v>
      </c>
      <c r="R1273" s="372" t="str">
        <f t="shared" si="35"/>
        <v/>
      </c>
    </row>
    <row r="1274" spans="1:18" x14ac:dyDescent="0.25">
      <c r="A1274" s="23" t="s">
        <v>2521</v>
      </c>
      <c r="B1274" s="18" t="str">
        <f>IF(ISNA(VLOOKUP($A1274,'Data Pull Sheet'!$B$2:$C$1795,2,0)),"",(VLOOKUP($A1274,'Data Pull Sheet'!$B$2:$C$1795,2,0)))</f>
        <v>KTOV</v>
      </c>
      <c r="C1274" s="59" t="s">
        <v>418</v>
      </c>
      <c r="D1274" s="356" t="s">
        <v>2003</v>
      </c>
      <c r="E1274" s="356" t="s">
        <v>2004</v>
      </c>
      <c r="F1274" s="23" t="s">
        <v>2522</v>
      </c>
      <c r="G1274" s="23" t="s">
        <v>403</v>
      </c>
      <c r="H1274" s="353">
        <v>64904</v>
      </c>
      <c r="I1274" s="59"/>
      <c r="J1274" s="59" t="s">
        <v>2523</v>
      </c>
      <c r="K1274" s="20">
        <v>1</v>
      </c>
      <c r="L1274" s="20">
        <v>2</v>
      </c>
      <c r="M1274" s="357">
        <f>SUM(H1274:H1275)</f>
        <v>137471.13</v>
      </c>
      <c r="N1274" s="411">
        <f>IFERROR((M1274/(VLOOKUP(B1274,'Data Pull Sheet'!$C:$H,6,FALSE))),"DC")</f>
        <v>3.0549140000000002E-2</v>
      </c>
      <c r="O1274" s="23" t="s">
        <v>554</v>
      </c>
      <c r="P1274" s="92" t="s">
        <v>676</v>
      </c>
      <c r="Q1274" s="92" t="s">
        <v>646</v>
      </c>
      <c r="R1274" s="372" t="str">
        <f t="shared" si="35"/>
        <v/>
      </c>
    </row>
    <row r="1275" spans="1:18" x14ac:dyDescent="0.25">
      <c r="A1275" s="23" t="s">
        <v>2521</v>
      </c>
      <c r="B1275" s="18" t="str">
        <f>IF(ISNA(VLOOKUP($A1275,'Data Pull Sheet'!$B$2:$C$1795,2,0)),"",(VLOOKUP($A1275,'Data Pull Sheet'!$B$2:$C$1795,2,0)))</f>
        <v>KTOV</v>
      </c>
      <c r="C1275" s="59" t="s">
        <v>418</v>
      </c>
      <c r="D1275" s="356" t="s">
        <v>2003</v>
      </c>
      <c r="E1275" s="356" t="s">
        <v>2004</v>
      </c>
      <c r="F1275" s="23" t="s">
        <v>2524</v>
      </c>
      <c r="G1275" s="23" t="s">
        <v>403</v>
      </c>
      <c r="H1275" s="353">
        <v>72567.13</v>
      </c>
      <c r="I1275" s="59"/>
      <c r="J1275" s="59" t="s">
        <v>2525</v>
      </c>
      <c r="K1275" s="20"/>
      <c r="L1275" s="20"/>
      <c r="M1275" s="357"/>
      <c r="N1275" s="411"/>
      <c r="O1275" s="23" t="s">
        <v>554</v>
      </c>
      <c r="P1275" s="92" t="s">
        <v>676</v>
      </c>
      <c r="Q1275" s="92" t="s">
        <v>646</v>
      </c>
      <c r="R1275" s="372" t="str">
        <f t="shared" si="35"/>
        <v/>
      </c>
    </row>
    <row r="1276" spans="1:18" x14ac:dyDescent="0.25">
      <c r="A1276" s="23" t="s">
        <v>3974</v>
      </c>
      <c r="B1276" s="18" t="str">
        <f>IF(ISNA(VLOOKUP($A1276,'Data Pull Sheet'!$B$2:$C$1795,2,0)),"",(VLOOKUP($A1276,'Data Pull Sheet'!$B$2:$C$1795,2,0)))</f>
        <v>UA</v>
      </c>
      <c r="C1276" s="59" t="s">
        <v>817</v>
      </c>
      <c r="D1276" s="356" t="s">
        <v>2936</v>
      </c>
      <c r="E1276" s="356" t="s">
        <v>3975</v>
      </c>
      <c r="F1276" s="23" t="s">
        <v>3976</v>
      </c>
      <c r="G1276" s="23" t="s">
        <v>417</v>
      </c>
      <c r="H1276" s="353">
        <v>795207.3</v>
      </c>
      <c r="I1276" s="59" t="s">
        <v>406</v>
      </c>
      <c r="J1276" s="59" t="s">
        <v>3977</v>
      </c>
      <c r="K1276" s="20">
        <v>3</v>
      </c>
      <c r="L1276" s="20">
        <f>1</f>
        <v>1</v>
      </c>
      <c r="M1276" s="357">
        <f>H1276</f>
        <v>795207.3</v>
      </c>
      <c r="N1276" s="411">
        <f>IFERROR((M1276/(VLOOKUP(B1276,'Data Pull Sheet'!$C:$H,6,FALSE))),"DC")</f>
        <v>9.3553800000000008E-4</v>
      </c>
      <c r="O1276" s="23" t="s">
        <v>3978</v>
      </c>
      <c r="P1276" s="92" t="s">
        <v>632</v>
      </c>
      <c r="Q1276" s="92" t="s">
        <v>633</v>
      </c>
      <c r="R1276" s="372" t="str">
        <f t="shared" si="35"/>
        <v/>
      </c>
    </row>
    <row r="1277" spans="1:18" x14ac:dyDescent="0.25">
      <c r="A1277" s="23" t="s">
        <v>3974</v>
      </c>
      <c r="B1277" s="18" t="str">
        <f>IF(ISNA(VLOOKUP($A1277,'Data Pull Sheet'!$B$2:$C$1795,2,0)),"",(VLOOKUP($A1277,'Data Pull Sheet'!$B$2:$C$1795,2,0)))</f>
        <v>UA</v>
      </c>
      <c r="C1277" s="59" t="s">
        <v>817</v>
      </c>
      <c r="D1277" s="356" t="s">
        <v>2936</v>
      </c>
      <c r="E1277" s="356" t="s">
        <v>3975</v>
      </c>
      <c r="F1277" s="23" t="s">
        <v>3979</v>
      </c>
      <c r="G1277" s="23" t="s">
        <v>403</v>
      </c>
      <c r="H1277" s="353">
        <v>132000</v>
      </c>
      <c r="I1277" s="59"/>
      <c r="J1277" s="59" t="s">
        <v>3980</v>
      </c>
      <c r="K1277" s="20"/>
      <c r="L1277" s="20">
        <v>3</v>
      </c>
      <c r="M1277" s="357">
        <f>SUM(H1277:H1279)</f>
        <v>1206918</v>
      </c>
      <c r="N1277" s="411">
        <f>IFERROR((M1277/(VLOOKUP(B1277,'Data Pull Sheet'!$C:$H,6,FALSE))),"DC")</f>
        <v>1.4199035294117648E-3</v>
      </c>
      <c r="O1277" s="23" t="s">
        <v>3981</v>
      </c>
      <c r="P1277" s="92" t="s">
        <v>632</v>
      </c>
      <c r="Q1277" s="92" t="s">
        <v>646</v>
      </c>
      <c r="R1277" s="372" t="str">
        <f t="shared" si="35"/>
        <v/>
      </c>
    </row>
    <row r="1278" spans="1:18" x14ac:dyDescent="0.25">
      <c r="A1278" s="23" t="s">
        <v>3974</v>
      </c>
      <c r="B1278" s="18" t="str">
        <f>IF(ISNA(VLOOKUP($A1278,'Data Pull Sheet'!$B$2:$C$1795,2,0)),"",(VLOOKUP($A1278,'Data Pull Sheet'!$B$2:$C$1795,2,0)))</f>
        <v>UA</v>
      </c>
      <c r="C1278" s="59" t="s">
        <v>817</v>
      </c>
      <c r="D1278" s="356" t="s">
        <v>2936</v>
      </c>
      <c r="E1278" s="356" t="s">
        <v>3975</v>
      </c>
      <c r="F1278" s="23" t="s">
        <v>3982</v>
      </c>
      <c r="G1278" s="23" t="s">
        <v>403</v>
      </c>
      <c r="H1278" s="353">
        <v>522396</v>
      </c>
      <c r="I1278" s="59"/>
      <c r="J1278" s="59" t="s">
        <v>3983</v>
      </c>
      <c r="K1278" s="20"/>
      <c r="L1278" s="20"/>
      <c r="M1278" s="357"/>
      <c r="N1278" s="411"/>
      <c r="O1278" s="23" t="s">
        <v>3981</v>
      </c>
      <c r="P1278" s="92" t="s">
        <v>632</v>
      </c>
      <c r="Q1278" s="92" t="s">
        <v>646</v>
      </c>
      <c r="R1278" s="372" t="str">
        <f t="shared" si="35"/>
        <v/>
      </c>
    </row>
    <row r="1279" spans="1:18" x14ac:dyDescent="0.25">
      <c r="A1279" s="23" t="s">
        <v>3974</v>
      </c>
      <c r="B1279" s="18" t="str">
        <f>IF(ISNA(VLOOKUP($A1279,'Data Pull Sheet'!$B$2:$C$1795,2,0)),"",(VLOOKUP($A1279,'Data Pull Sheet'!$B$2:$C$1795,2,0)))</f>
        <v>UA</v>
      </c>
      <c r="C1279" s="59" t="s">
        <v>817</v>
      </c>
      <c r="D1279" s="356" t="s">
        <v>2936</v>
      </c>
      <c r="E1279" s="356" t="s">
        <v>3975</v>
      </c>
      <c r="F1279" s="23" t="s">
        <v>3984</v>
      </c>
      <c r="G1279" s="23" t="s">
        <v>403</v>
      </c>
      <c r="H1279" s="353">
        <v>552522</v>
      </c>
      <c r="I1279" s="59"/>
      <c r="J1279" s="59" t="s">
        <v>3985</v>
      </c>
      <c r="K1279" s="20"/>
      <c r="L1279" s="20"/>
      <c r="M1279" s="357"/>
      <c r="N1279" s="411"/>
      <c r="O1279" s="23" t="s">
        <v>3981</v>
      </c>
      <c r="P1279" s="92" t="s">
        <v>632</v>
      </c>
      <c r="Q1279" s="92" t="s">
        <v>646</v>
      </c>
      <c r="R1279" s="372" t="str">
        <f t="shared" si="35"/>
        <v/>
      </c>
    </row>
    <row r="1280" spans="1:18" ht="30" x14ac:dyDescent="0.25">
      <c r="A1280" s="23" t="s">
        <v>3974</v>
      </c>
      <c r="B1280" s="18" t="str">
        <f>IF(ISNA(VLOOKUP($A1280,'Data Pull Sheet'!$B$2:$C$1795,2,0)),"",(VLOOKUP($A1280,'Data Pull Sheet'!$B$2:$C$1795,2,0)))</f>
        <v>UA</v>
      </c>
      <c r="C1280" s="59" t="s">
        <v>817</v>
      </c>
      <c r="D1280" s="356" t="s">
        <v>2936</v>
      </c>
      <c r="E1280" s="356" t="s">
        <v>3975</v>
      </c>
      <c r="F1280" s="23" t="s">
        <v>3986</v>
      </c>
      <c r="G1280" s="23" t="s">
        <v>417</v>
      </c>
      <c r="H1280" s="353">
        <v>8956650.5500000007</v>
      </c>
      <c r="I1280" s="59"/>
      <c r="J1280" s="59" t="s">
        <v>3987</v>
      </c>
      <c r="K1280" s="20"/>
      <c r="L1280" s="20">
        <v>1</v>
      </c>
      <c r="M1280" s="357">
        <f>H1280</f>
        <v>8956650.5500000007</v>
      </c>
      <c r="N1280" s="411">
        <f>IFERROR((M1280/(VLOOKUP(B1280,'Data Pull Sheet'!$C:$H,6,FALSE))),"DC")</f>
        <v>1.0537235941176471E-2</v>
      </c>
      <c r="O1280" s="23" t="s">
        <v>3988</v>
      </c>
      <c r="P1280" s="92" t="s">
        <v>632</v>
      </c>
      <c r="Q1280" s="92" t="s">
        <v>633</v>
      </c>
      <c r="R1280" s="372" t="str">
        <f t="shared" si="35"/>
        <v/>
      </c>
    </row>
    <row r="1281" spans="1:18" x14ac:dyDescent="0.25">
      <c r="A1281" s="23" t="s">
        <v>2039</v>
      </c>
      <c r="B1281" s="18" t="str">
        <f>IF(ISNA(VLOOKUP($A1281,'Data Pull Sheet'!$B$2:$C$1795,2,0)),"",(VLOOKUP($A1281,'Data Pull Sheet'!$B$2:$C$1795,2,0)))</f>
        <v>GALE</v>
      </c>
      <c r="C1281" s="59" t="s">
        <v>424</v>
      </c>
      <c r="D1281" s="356" t="s">
        <v>893</v>
      </c>
      <c r="E1281" s="356" t="s">
        <v>2040</v>
      </c>
      <c r="F1281" s="23" t="s">
        <v>2041</v>
      </c>
      <c r="G1281" s="23" t="s">
        <v>403</v>
      </c>
      <c r="H1281" s="353">
        <v>54489.120000000003</v>
      </c>
      <c r="I1281" s="59"/>
      <c r="J1281" s="59" t="s">
        <v>2042</v>
      </c>
      <c r="K1281" s="20">
        <v>2</v>
      </c>
      <c r="L1281" s="20">
        <v>1</v>
      </c>
      <c r="M1281" s="357">
        <f>H1281</f>
        <v>54489.120000000003</v>
      </c>
      <c r="N1281" s="411">
        <f>IFERROR((M1281/(VLOOKUP(B1281,'Data Pull Sheet'!$C:$H,6,FALSE))),"DC")</f>
        <v>3.6326080000000003E-3</v>
      </c>
      <c r="O1281" s="23" t="s">
        <v>407</v>
      </c>
      <c r="P1281" s="92" t="s">
        <v>632</v>
      </c>
      <c r="Q1281" s="92" t="s">
        <v>637</v>
      </c>
      <c r="R1281" s="372" t="str">
        <f t="shared" si="35"/>
        <v/>
      </c>
    </row>
    <row r="1282" spans="1:18" x14ac:dyDescent="0.25">
      <c r="A1282" s="23" t="s">
        <v>2039</v>
      </c>
      <c r="B1282" s="18" t="str">
        <f>IF(ISNA(VLOOKUP($A1282,'Data Pull Sheet'!$B$2:$C$1795,2,0)),"",(VLOOKUP($A1282,'Data Pull Sheet'!$B$2:$C$1795,2,0)))</f>
        <v>GALE</v>
      </c>
      <c r="C1282" s="59" t="s">
        <v>424</v>
      </c>
      <c r="D1282" s="356" t="s">
        <v>893</v>
      </c>
      <c r="E1282" s="356" t="s">
        <v>2040</v>
      </c>
      <c r="F1282" s="23" t="s">
        <v>2043</v>
      </c>
      <c r="G1282" s="23" t="s">
        <v>403</v>
      </c>
      <c r="H1282" s="353">
        <v>211675</v>
      </c>
      <c r="I1282" s="59"/>
      <c r="J1282" s="59" t="s">
        <v>2044</v>
      </c>
      <c r="K1282" s="20"/>
      <c r="L1282" s="20">
        <v>5</v>
      </c>
      <c r="M1282" s="357">
        <f>SUM(H1282:H1286)</f>
        <v>2139620.4500000002</v>
      </c>
      <c r="N1282" s="411">
        <f>IFERROR((M1282/(VLOOKUP(B1282,'Data Pull Sheet'!$C:$H,6,FALSE))),"DC")</f>
        <v>0.14264136333333335</v>
      </c>
      <c r="O1282" s="23" t="s">
        <v>10955</v>
      </c>
      <c r="P1282" s="92" t="s">
        <v>632</v>
      </c>
      <c r="Q1282" s="92" t="s">
        <v>646</v>
      </c>
      <c r="R1282" s="372" t="str">
        <f t="shared" ref="R1282:R1345" si="36">IF(COUNTIF(F:F,F1282)&gt;=2,"FF","")</f>
        <v/>
      </c>
    </row>
    <row r="1283" spans="1:18" x14ac:dyDescent="0.25">
      <c r="A1283" s="23" t="s">
        <v>2039</v>
      </c>
      <c r="B1283" s="18" t="str">
        <f>IF(ISNA(VLOOKUP($A1283,'Data Pull Sheet'!$B$2:$C$1795,2,0)),"",(VLOOKUP($A1283,'Data Pull Sheet'!$B$2:$C$1795,2,0)))</f>
        <v>GALE</v>
      </c>
      <c r="C1283" s="59" t="s">
        <v>424</v>
      </c>
      <c r="D1283" s="356" t="s">
        <v>893</v>
      </c>
      <c r="E1283" s="356" t="s">
        <v>2040</v>
      </c>
      <c r="F1283" s="23" t="s">
        <v>2046</v>
      </c>
      <c r="G1283" s="23" t="s">
        <v>403</v>
      </c>
      <c r="H1283" s="353">
        <v>215419.65</v>
      </c>
      <c r="I1283" s="59"/>
      <c r="J1283" s="59" t="s">
        <v>2047</v>
      </c>
      <c r="K1283" s="20"/>
      <c r="L1283" s="20"/>
      <c r="M1283" s="357"/>
      <c r="N1283" s="411"/>
      <c r="O1283" s="23" t="s">
        <v>10955</v>
      </c>
      <c r="P1283" s="92" t="s">
        <v>632</v>
      </c>
      <c r="Q1283" s="92" t="s">
        <v>646</v>
      </c>
      <c r="R1283" s="372" t="str">
        <f t="shared" si="36"/>
        <v/>
      </c>
    </row>
    <row r="1284" spans="1:18" x14ac:dyDescent="0.25">
      <c r="A1284" s="23" t="s">
        <v>2039</v>
      </c>
      <c r="B1284" s="18" t="str">
        <f>IF(ISNA(VLOOKUP($A1284,'Data Pull Sheet'!$B$2:$C$1795,2,0)),"",(VLOOKUP($A1284,'Data Pull Sheet'!$B$2:$C$1795,2,0)))</f>
        <v>GALE</v>
      </c>
      <c r="C1284" s="59" t="s">
        <v>424</v>
      </c>
      <c r="D1284" s="356" t="s">
        <v>893</v>
      </c>
      <c r="E1284" s="356" t="s">
        <v>2040</v>
      </c>
      <c r="F1284" s="23" t="s">
        <v>2048</v>
      </c>
      <c r="G1284" s="23" t="s">
        <v>403</v>
      </c>
      <c r="H1284" s="353">
        <v>356952.13</v>
      </c>
      <c r="I1284" s="59"/>
      <c r="J1284" s="59" t="s">
        <v>2049</v>
      </c>
      <c r="K1284" s="20"/>
      <c r="L1284" s="20"/>
      <c r="M1284" s="357"/>
      <c r="N1284" s="411"/>
      <c r="O1284" s="23" t="s">
        <v>10955</v>
      </c>
      <c r="P1284" s="92" t="s">
        <v>632</v>
      </c>
      <c r="Q1284" s="92" t="s">
        <v>646</v>
      </c>
      <c r="R1284" s="372" t="str">
        <f t="shared" si="36"/>
        <v/>
      </c>
    </row>
    <row r="1285" spans="1:18" x14ac:dyDescent="0.25">
      <c r="A1285" s="23" t="s">
        <v>2039</v>
      </c>
      <c r="B1285" s="18" t="str">
        <f>IF(ISNA(VLOOKUP($A1285,'Data Pull Sheet'!$B$2:$C$1795,2,0)),"",(VLOOKUP($A1285,'Data Pull Sheet'!$B$2:$C$1795,2,0)))</f>
        <v>GALE</v>
      </c>
      <c r="C1285" s="59" t="s">
        <v>424</v>
      </c>
      <c r="D1285" s="356" t="s">
        <v>893</v>
      </c>
      <c r="E1285" s="356" t="s">
        <v>2040</v>
      </c>
      <c r="F1285" s="23" t="s">
        <v>2050</v>
      </c>
      <c r="G1285" s="23" t="s">
        <v>403</v>
      </c>
      <c r="H1285" s="353">
        <v>557757.03</v>
      </c>
      <c r="I1285" s="59"/>
      <c r="J1285" s="59" t="s">
        <v>2051</v>
      </c>
      <c r="K1285" s="20"/>
      <c r="L1285" s="20"/>
      <c r="M1285" s="357"/>
      <c r="N1285" s="411"/>
      <c r="O1285" s="23" t="s">
        <v>10955</v>
      </c>
      <c r="P1285" s="92" t="s">
        <v>632</v>
      </c>
      <c r="Q1285" s="92" t="s">
        <v>646</v>
      </c>
      <c r="R1285" s="372" t="str">
        <f t="shared" si="36"/>
        <v/>
      </c>
    </row>
    <row r="1286" spans="1:18" x14ac:dyDescent="0.25">
      <c r="A1286" s="23" t="s">
        <v>2039</v>
      </c>
      <c r="B1286" s="18" t="str">
        <f>IF(ISNA(VLOOKUP($A1286,'Data Pull Sheet'!$B$2:$C$1795,2,0)),"",(VLOOKUP($A1286,'Data Pull Sheet'!$B$2:$C$1795,2,0)))</f>
        <v>GALE</v>
      </c>
      <c r="C1286" s="59" t="s">
        <v>424</v>
      </c>
      <c r="D1286" s="356" t="s">
        <v>893</v>
      </c>
      <c r="E1286" s="356" t="s">
        <v>2040</v>
      </c>
      <c r="F1286" s="23" t="s">
        <v>2052</v>
      </c>
      <c r="G1286" s="23" t="s">
        <v>403</v>
      </c>
      <c r="H1286" s="353">
        <v>797816.64</v>
      </c>
      <c r="I1286" s="59"/>
      <c r="J1286" s="59" t="s">
        <v>2053</v>
      </c>
      <c r="K1286" s="20"/>
      <c r="L1286" s="20"/>
      <c r="M1286" s="357"/>
      <c r="N1286" s="411"/>
      <c r="O1286" s="23" t="s">
        <v>10955</v>
      </c>
      <c r="P1286" s="92" t="s">
        <v>632</v>
      </c>
      <c r="Q1286" s="92" t="s">
        <v>646</v>
      </c>
      <c r="R1286" s="372" t="str">
        <f t="shared" si="36"/>
        <v/>
      </c>
    </row>
    <row r="1287" spans="1:18" x14ac:dyDescent="0.25">
      <c r="A1287" s="23" t="s">
        <v>4026</v>
      </c>
      <c r="B1287" s="18" t="str">
        <f>IF(ISNA(VLOOKUP($A1287,'Data Pull Sheet'!$B$2:$C$1795,2,0)),"",(VLOOKUP($A1287,'Data Pull Sheet'!$B$2:$C$1795,2,0)))</f>
        <v>USNA</v>
      </c>
      <c r="C1287" s="59" t="s">
        <v>536</v>
      </c>
      <c r="D1287" s="356" t="s">
        <v>893</v>
      </c>
      <c r="E1287" s="356" t="s">
        <v>2040</v>
      </c>
      <c r="F1287" s="23" t="s">
        <v>4027</v>
      </c>
      <c r="G1287" s="23" t="s">
        <v>403</v>
      </c>
      <c r="H1287" s="353">
        <v>161101</v>
      </c>
      <c r="I1287" s="59"/>
      <c r="J1287" s="59" t="s">
        <v>4028</v>
      </c>
      <c r="K1287" s="20">
        <v>1</v>
      </c>
      <c r="L1287" s="20">
        <v>1</v>
      </c>
      <c r="M1287" s="357">
        <f>H1287</f>
        <v>161101</v>
      </c>
      <c r="N1287" s="411">
        <f>IFERROR((M1287/(VLOOKUP(B1287,'Data Pull Sheet'!$C:$H,6,FALSE))),"DC")</f>
        <v>2.4784769230769229E-3</v>
      </c>
      <c r="O1287" s="23" t="s">
        <v>584</v>
      </c>
      <c r="P1287" s="92" t="s">
        <v>676</v>
      </c>
      <c r="Q1287" s="92" t="s">
        <v>637</v>
      </c>
      <c r="R1287" s="372" t="str">
        <f t="shared" si="36"/>
        <v/>
      </c>
    </row>
    <row r="1288" spans="1:18" x14ac:dyDescent="0.25">
      <c r="A1288" s="23" t="s">
        <v>892</v>
      </c>
      <c r="B1288" s="18" t="str">
        <f>IF(ISNA(VLOOKUP($A1288,'Data Pull Sheet'!$B$2:$C$1795,2,0)),"",(VLOOKUP($A1288,'Data Pull Sheet'!$B$2:$C$1795,2,0)))</f>
        <v>ANTH</v>
      </c>
      <c r="C1288" s="59" t="s">
        <v>457</v>
      </c>
      <c r="D1288" s="356" t="s">
        <v>893</v>
      </c>
      <c r="E1288" s="356" t="s">
        <v>776</v>
      </c>
      <c r="F1288" s="23" t="s">
        <v>894</v>
      </c>
      <c r="G1288" s="23" t="s">
        <v>403</v>
      </c>
      <c r="H1288" s="353">
        <v>869253.27</v>
      </c>
      <c r="I1288" s="59"/>
      <c r="J1288" s="59" t="s">
        <v>895</v>
      </c>
      <c r="K1288" s="20">
        <v>2</v>
      </c>
      <c r="L1288" s="20">
        <v>1</v>
      </c>
      <c r="M1288" s="357">
        <f>H1288</f>
        <v>869253.27</v>
      </c>
      <c r="N1288" s="411">
        <f>IFERROR((M1288/(VLOOKUP(B1288,'Data Pull Sheet'!$C:$H,6,FALSE))),"DC")</f>
        <v>1.4487554499999999E-2</v>
      </c>
      <c r="O1288" s="23" t="s">
        <v>63</v>
      </c>
      <c r="P1288" s="92" t="s">
        <v>676</v>
      </c>
      <c r="Q1288" s="92" t="s">
        <v>637</v>
      </c>
      <c r="R1288" s="372" t="str">
        <f t="shared" si="36"/>
        <v/>
      </c>
    </row>
    <row r="1289" spans="1:18" x14ac:dyDescent="0.25">
      <c r="A1289" s="23" t="s">
        <v>892</v>
      </c>
      <c r="B1289" s="18" t="str">
        <f>IF(ISNA(VLOOKUP($A1289,'Data Pull Sheet'!$B$2:$C$1795,2,0)),"",(VLOOKUP($A1289,'Data Pull Sheet'!$B$2:$C$1795,2,0)))</f>
        <v>ANTH</v>
      </c>
      <c r="C1289" s="59" t="s">
        <v>457</v>
      </c>
      <c r="D1289" s="356" t="s">
        <v>893</v>
      </c>
      <c r="E1289" s="356" t="s">
        <v>776</v>
      </c>
      <c r="F1289" s="23" t="s">
        <v>896</v>
      </c>
      <c r="G1289" s="23" t="s">
        <v>403</v>
      </c>
      <c r="H1289" s="353">
        <v>10912.85</v>
      </c>
      <c r="I1289" s="59"/>
      <c r="J1289" s="59" t="s">
        <v>897</v>
      </c>
      <c r="K1289" s="20"/>
      <c r="L1289" s="20">
        <v>4</v>
      </c>
      <c r="M1289" s="357">
        <f>SUM(H1289:H1292)</f>
        <v>168553.82</v>
      </c>
      <c r="N1289" s="411">
        <f>IFERROR((M1289/(VLOOKUP(B1289,'Data Pull Sheet'!$C:$H,6,FALSE))),"DC")</f>
        <v>2.8092303333333334E-3</v>
      </c>
      <c r="O1289" s="23" t="s">
        <v>898</v>
      </c>
      <c r="P1289" s="92" t="s">
        <v>676</v>
      </c>
      <c r="Q1289" s="92" t="s">
        <v>646</v>
      </c>
      <c r="R1289" s="372" t="str">
        <f t="shared" si="36"/>
        <v/>
      </c>
    </row>
    <row r="1290" spans="1:18" x14ac:dyDescent="0.25">
      <c r="A1290" s="23" t="s">
        <v>892</v>
      </c>
      <c r="B1290" s="18" t="str">
        <f>IF(ISNA(VLOOKUP($A1290,'Data Pull Sheet'!$B$2:$C$1795,2,0)),"",(VLOOKUP($A1290,'Data Pull Sheet'!$B$2:$C$1795,2,0)))</f>
        <v>ANTH</v>
      </c>
      <c r="C1290" s="59" t="s">
        <v>457</v>
      </c>
      <c r="D1290" s="356" t="s">
        <v>893</v>
      </c>
      <c r="E1290" s="356" t="s">
        <v>776</v>
      </c>
      <c r="F1290" s="23" t="s">
        <v>899</v>
      </c>
      <c r="G1290" s="23" t="s">
        <v>403</v>
      </c>
      <c r="H1290" s="353">
        <v>15369.9</v>
      </c>
      <c r="I1290" s="59"/>
      <c r="J1290" s="59" t="s">
        <v>900</v>
      </c>
      <c r="K1290" s="20"/>
      <c r="L1290" s="20"/>
      <c r="M1290" s="357"/>
      <c r="N1290" s="411"/>
      <c r="O1290" s="23" t="s">
        <v>898</v>
      </c>
      <c r="P1290" s="92" t="s">
        <v>676</v>
      </c>
      <c r="Q1290" s="92" t="s">
        <v>646</v>
      </c>
      <c r="R1290" s="372" t="str">
        <f t="shared" si="36"/>
        <v/>
      </c>
    </row>
    <row r="1291" spans="1:18" x14ac:dyDescent="0.25">
      <c r="A1291" s="23" t="s">
        <v>892</v>
      </c>
      <c r="B1291" s="18" t="str">
        <f>IF(ISNA(VLOOKUP($A1291,'Data Pull Sheet'!$B$2:$C$1795,2,0)),"",(VLOOKUP($A1291,'Data Pull Sheet'!$B$2:$C$1795,2,0)))</f>
        <v>ANTH</v>
      </c>
      <c r="C1291" s="59" t="s">
        <v>457</v>
      </c>
      <c r="D1291" s="356" t="s">
        <v>893</v>
      </c>
      <c r="E1291" s="356" t="s">
        <v>776</v>
      </c>
      <c r="F1291" s="23" t="s">
        <v>901</v>
      </c>
      <c r="G1291" s="23" t="s">
        <v>403</v>
      </c>
      <c r="H1291" s="353">
        <v>60518.65</v>
      </c>
      <c r="I1291" s="59"/>
      <c r="J1291" s="59" t="s">
        <v>902</v>
      </c>
      <c r="K1291" s="20"/>
      <c r="L1291" s="20"/>
      <c r="M1291" s="357"/>
      <c r="N1291" s="411"/>
      <c r="O1291" s="23" t="s">
        <v>898</v>
      </c>
      <c r="P1291" s="92" t="s">
        <v>676</v>
      </c>
      <c r="Q1291" s="92" t="s">
        <v>646</v>
      </c>
      <c r="R1291" s="372" t="str">
        <f t="shared" si="36"/>
        <v/>
      </c>
    </row>
    <row r="1292" spans="1:18" x14ac:dyDescent="0.25">
      <c r="A1292" s="23" t="s">
        <v>892</v>
      </c>
      <c r="B1292" s="18" t="str">
        <f>IF(ISNA(VLOOKUP($A1292,'Data Pull Sheet'!$B$2:$C$1795,2,0)),"",(VLOOKUP($A1292,'Data Pull Sheet'!$B$2:$C$1795,2,0)))</f>
        <v>ANTH</v>
      </c>
      <c r="C1292" s="59" t="s">
        <v>457</v>
      </c>
      <c r="D1292" s="356" t="s">
        <v>893</v>
      </c>
      <c r="E1292" s="356" t="s">
        <v>776</v>
      </c>
      <c r="F1292" s="23" t="s">
        <v>903</v>
      </c>
      <c r="G1292" s="23" t="s">
        <v>403</v>
      </c>
      <c r="H1292" s="353">
        <v>81752.42</v>
      </c>
      <c r="I1292" s="59"/>
      <c r="J1292" s="59" t="s">
        <v>904</v>
      </c>
      <c r="K1292" s="20"/>
      <c r="L1292" s="20"/>
      <c r="M1292" s="357"/>
      <c r="N1292" s="411"/>
      <c r="O1292" s="23" t="s">
        <v>898</v>
      </c>
      <c r="P1292" s="92" t="s">
        <v>676</v>
      </c>
      <c r="Q1292" s="92" t="s">
        <v>646</v>
      </c>
      <c r="R1292" s="372" t="str">
        <f t="shared" si="36"/>
        <v/>
      </c>
    </row>
    <row r="1293" spans="1:18" x14ac:dyDescent="0.25">
      <c r="A1293" s="23" t="s">
        <v>2859</v>
      </c>
      <c r="B1293" s="18" t="str">
        <f>IF(ISNA(VLOOKUP($A1293,'Data Pull Sheet'!$B$2:$C$1795,2,0)),"",(VLOOKUP($A1293,'Data Pull Sheet'!$B$2:$C$1795,2,0)))</f>
        <v>NAK</v>
      </c>
      <c r="C1293" s="59" t="s">
        <v>446</v>
      </c>
      <c r="D1293" s="356" t="s">
        <v>810</v>
      </c>
      <c r="E1293" s="356" t="s">
        <v>776</v>
      </c>
      <c r="F1293" s="23" t="s">
        <v>2860</v>
      </c>
      <c r="G1293" s="23" t="s">
        <v>403</v>
      </c>
      <c r="H1293" s="353">
        <v>42032</v>
      </c>
      <c r="I1293" s="59" t="s">
        <v>1651</v>
      </c>
      <c r="J1293" s="59" t="s">
        <v>2861</v>
      </c>
      <c r="K1293" s="20">
        <v>4</v>
      </c>
      <c r="L1293" s="20">
        <v>2</v>
      </c>
      <c r="M1293" s="357">
        <f>SUM(H1293:H1294)</f>
        <v>221821</v>
      </c>
      <c r="N1293" s="411">
        <f>IFERROR((M1293/(VLOOKUP(B1293,'Data Pull Sheet'!$C:$H,6,FALSE))),"DC")</f>
        <v>5.5455249999999999E-3</v>
      </c>
      <c r="O1293" s="23" t="s">
        <v>2862</v>
      </c>
      <c r="P1293" s="92" t="s">
        <v>632</v>
      </c>
      <c r="Q1293" s="92" t="s">
        <v>646</v>
      </c>
      <c r="R1293" s="372" t="str">
        <f t="shared" si="36"/>
        <v/>
      </c>
    </row>
    <row r="1294" spans="1:18" x14ac:dyDescent="0.25">
      <c r="A1294" s="23" t="s">
        <v>2859</v>
      </c>
      <c r="B1294" s="18" t="str">
        <f>IF(ISNA(VLOOKUP($A1294,'Data Pull Sheet'!$B$2:$C$1795,2,0)),"",(VLOOKUP($A1294,'Data Pull Sheet'!$B$2:$C$1795,2,0)))</f>
        <v>NAK</v>
      </c>
      <c r="C1294" s="59" t="s">
        <v>446</v>
      </c>
      <c r="D1294" s="356" t="s">
        <v>810</v>
      </c>
      <c r="E1294" s="356" t="s">
        <v>776</v>
      </c>
      <c r="F1294" s="23" t="s">
        <v>2863</v>
      </c>
      <c r="G1294" s="23" t="s">
        <v>403</v>
      </c>
      <c r="H1294" s="353">
        <v>179789</v>
      </c>
      <c r="I1294" s="59"/>
      <c r="J1294" s="59" t="s">
        <v>2864</v>
      </c>
      <c r="K1294" s="20"/>
      <c r="L1294" s="20"/>
      <c r="M1294" s="357"/>
      <c r="N1294" s="411"/>
      <c r="O1294" s="23" t="s">
        <v>2862</v>
      </c>
      <c r="P1294" s="92" t="s">
        <v>632</v>
      </c>
      <c r="Q1294" s="92" t="s">
        <v>646</v>
      </c>
      <c r="R1294" s="372" t="str">
        <f t="shared" si="36"/>
        <v/>
      </c>
    </row>
    <row r="1295" spans="1:18" x14ac:dyDescent="0.25">
      <c r="A1295" s="23" t="s">
        <v>2859</v>
      </c>
      <c r="B1295" s="18" t="str">
        <f>IF(ISNA(VLOOKUP($A1295,'Data Pull Sheet'!$B$2:$C$1795,2,0)),"",(VLOOKUP($A1295,'Data Pull Sheet'!$B$2:$C$1795,2,0)))</f>
        <v>NAK</v>
      </c>
      <c r="C1295" s="59" t="s">
        <v>446</v>
      </c>
      <c r="D1295" s="356" t="s">
        <v>810</v>
      </c>
      <c r="E1295" s="356" t="s">
        <v>776</v>
      </c>
      <c r="F1295" s="23" t="s">
        <v>2865</v>
      </c>
      <c r="G1295" s="23" t="s">
        <v>417</v>
      </c>
      <c r="H1295" s="353">
        <v>83736.19</v>
      </c>
      <c r="I1295" s="59"/>
      <c r="J1295" s="59" t="s">
        <v>2866</v>
      </c>
      <c r="K1295" s="20"/>
      <c r="L1295" s="20">
        <v>1</v>
      </c>
      <c r="M1295" s="357">
        <f>H1295</f>
        <v>83736.19</v>
      </c>
      <c r="N1295" s="411">
        <f>IFERROR((M1295/(VLOOKUP(B1295,'Data Pull Sheet'!$C:$H,6,FALSE))),"DC")</f>
        <v>2.0934047500000001E-3</v>
      </c>
      <c r="O1295" s="23" t="s">
        <v>63</v>
      </c>
      <c r="P1295" s="92" t="s">
        <v>632</v>
      </c>
      <c r="Q1295" s="92" t="s">
        <v>633</v>
      </c>
      <c r="R1295" s="372" t="str">
        <f t="shared" si="36"/>
        <v/>
      </c>
    </row>
    <row r="1296" spans="1:18" x14ac:dyDescent="0.25">
      <c r="A1296" s="23" t="s">
        <v>2859</v>
      </c>
      <c r="B1296" s="18" t="str">
        <f>IF(ISNA(VLOOKUP($A1296,'Data Pull Sheet'!$B$2:$C$1795,2,0)),"",(VLOOKUP($A1296,'Data Pull Sheet'!$B$2:$C$1795,2,0)))</f>
        <v>NAK</v>
      </c>
      <c r="C1296" s="59" t="s">
        <v>446</v>
      </c>
      <c r="D1296" s="356" t="s">
        <v>810</v>
      </c>
      <c r="E1296" s="356" t="s">
        <v>776</v>
      </c>
      <c r="F1296" s="23" t="s">
        <v>2867</v>
      </c>
      <c r="G1296" s="23" t="s">
        <v>403</v>
      </c>
      <c r="H1296" s="353">
        <v>9954.8799999999992</v>
      </c>
      <c r="I1296" s="59"/>
      <c r="J1296" s="59" t="s">
        <v>2868</v>
      </c>
      <c r="K1296" s="20"/>
      <c r="L1296" s="20">
        <v>2</v>
      </c>
      <c r="M1296" s="357">
        <f>SUM(H1296:H1297)</f>
        <v>24574.449999999997</v>
      </c>
      <c r="N1296" s="411">
        <f>IFERROR((M1296/(VLOOKUP(B1296,'Data Pull Sheet'!$C:$H,6,FALSE))),"DC")</f>
        <v>6.1436124999999988E-4</v>
      </c>
      <c r="O1296" s="23" t="s">
        <v>2869</v>
      </c>
      <c r="P1296" s="92" t="s">
        <v>632</v>
      </c>
      <c r="Q1296" s="92" t="s">
        <v>646</v>
      </c>
      <c r="R1296" s="372" t="str">
        <f t="shared" si="36"/>
        <v/>
      </c>
    </row>
    <row r="1297" spans="1:18" x14ac:dyDescent="0.25">
      <c r="A1297" s="23" t="s">
        <v>2859</v>
      </c>
      <c r="B1297" s="18" t="str">
        <f>IF(ISNA(VLOOKUP($A1297,'Data Pull Sheet'!$B$2:$C$1795,2,0)),"",(VLOOKUP($A1297,'Data Pull Sheet'!$B$2:$C$1795,2,0)))</f>
        <v>NAK</v>
      </c>
      <c r="C1297" s="59" t="s">
        <v>446</v>
      </c>
      <c r="D1297" s="356" t="s">
        <v>810</v>
      </c>
      <c r="E1297" s="356" t="s">
        <v>776</v>
      </c>
      <c r="F1297" s="23" t="s">
        <v>2870</v>
      </c>
      <c r="G1297" s="23" t="s">
        <v>403</v>
      </c>
      <c r="H1297" s="353">
        <v>14619.57</v>
      </c>
      <c r="I1297" s="59"/>
      <c r="J1297" s="59" t="s">
        <v>2871</v>
      </c>
      <c r="K1297" s="20"/>
      <c r="L1297" s="20"/>
      <c r="M1297" s="357"/>
      <c r="N1297" s="411"/>
      <c r="O1297" s="23" t="s">
        <v>2869</v>
      </c>
      <c r="P1297" s="92" t="s">
        <v>632</v>
      </c>
      <c r="Q1297" s="92" t="s">
        <v>646</v>
      </c>
      <c r="R1297" s="372" t="str">
        <f t="shared" si="36"/>
        <v/>
      </c>
    </row>
    <row r="1298" spans="1:18" x14ac:dyDescent="0.25">
      <c r="A1298" s="23" t="s">
        <v>2859</v>
      </c>
      <c r="B1298" s="18" t="str">
        <f>IF(ISNA(VLOOKUP($A1298,'Data Pull Sheet'!$B$2:$C$1795,2,0)),"",(VLOOKUP($A1298,'Data Pull Sheet'!$B$2:$C$1795,2,0)))</f>
        <v>NAK</v>
      </c>
      <c r="C1298" s="59" t="s">
        <v>446</v>
      </c>
      <c r="D1298" s="356" t="s">
        <v>810</v>
      </c>
      <c r="E1298" s="356" t="s">
        <v>776</v>
      </c>
      <c r="F1298" s="23" t="s">
        <v>2872</v>
      </c>
      <c r="G1298" s="23" t="s">
        <v>403</v>
      </c>
      <c r="H1298" s="353">
        <v>90480</v>
      </c>
      <c r="I1298" s="59"/>
      <c r="J1298" s="59" t="s">
        <v>2873</v>
      </c>
      <c r="K1298" s="20"/>
      <c r="L1298" s="20">
        <v>2</v>
      </c>
      <c r="M1298" s="357">
        <f>SUM(H1298:H1299)</f>
        <v>269100</v>
      </c>
      <c r="N1298" s="411">
        <f>IFERROR((M1298/(VLOOKUP(B1298,'Data Pull Sheet'!$C:$H,6,FALSE))),"DC")</f>
        <v>6.7275E-3</v>
      </c>
      <c r="O1298" s="23" t="s">
        <v>554</v>
      </c>
      <c r="P1298" s="92" t="s">
        <v>632</v>
      </c>
      <c r="Q1298" s="92" t="s">
        <v>646</v>
      </c>
      <c r="R1298" s="372" t="str">
        <f t="shared" si="36"/>
        <v/>
      </c>
    </row>
    <row r="1299" spans="1:18" x14ac:dyDescent="0.25">
      <c r="A1299" s="23" t="s">
        <v>2859</v>
      </c>
      <c r="B1299" s="18" t="str">
        <f>IF(ISNA(VLOOKUP($A1299,'Data Pull Sheet'!$B$2:$C$1795,2,0)),"",(VLOOKUP($A1299,'Data Pull Sheet'!$B$2:$C$1795,2,0)))</f>
        <v>NAK</v>
      </c>
      <c r="C1299" s="59" t="s">
        <v>446</v>
      </c>
      <c r="D1299" s="356" t="s">
        <v>810</v>
      </c>
      <c r="E1299" s="356" t="s">
        <v>776</v>
      </c>
      <c r="F1299" s="23" t="s">
        <v>2874</v>
      </c>
      <c r="G1299" s="23" t="s">
        <v>403</v>
      </c>
      <c r="H1299" s="353">
        <v>178620</v>
      </c>
      <c r="I1299" s="59"/>
      <c r="J1299" s="59" t="s">
        <v>2875</v>
      </c>
      <c r="K1299" s="20"/>
      <c r="L1299" s="20"/>
      <c r="M1299" s="357"/>
      <c r="N1299" s="411"/>
      <c r="O1299" s="23" t="s">
        <v>554</v>
      </c>
      <c r="P1299" s="92" t="s">
        <v>632</v>
      </c>
      <c r="Q1299" s="92" t="s">
        <v>646</v>
      </c>
      <c r="R1299" s="372" t="str">
        <f t="shared" si="36"/>
        <v/>
      </c>
    </row>
    <row r="1300" spans="1:18" x14ac:dyDescent="0.25">
      <c r="A1300" s="23" t="s">
        <v>705</v>
      </c>
      <c r="B1300" s="18" t="str">
        <f>IF(ISNA(VLOOKUP($A1300,'Data Pull Sheet'!$B$2:$C$1795,2,0)),"",(VLOOKUP($A1300,'Data Pull Sheet'!$B$2:$C$1795,2,0)))</f>
        <v>ADHD</v>
      </c>
      <c r="C1300" s="59" t="s">
        <v>418</v>
      </c>
      <c r="D1300" s="356" t="s">
        <v>706</v>
      </c>
      <c r="E1300" s="356" t="s">
        <v>707</v>
      </c>
      <c r="F1300" s="23" t="s">
        <v>708</v>
      </c>
      <c r="G1300" s="23" t="s">
        <v>403</v>
      </c>
      <c r="H1300" s="353">
        <v>8585</v>
      </c>
      <c r="I1300" s="59"/>
      <c r="J1300" s="59" t="s">
        <v>709</v>
      </c>
      <c r="K1300" s="20">
        <v>1</v>
      </c>
      <c r="L1300" s="20">
        <v>2</v>
      </c>
      <c r="M1300" s="357">
        <f>SUM(H1300:H1301)</f>
        <v>19085</v>
      </c>
      <c r="N1300" s="411">
        <f>IFERROR((M1300/(VLOOKUP(B1300,'Data Pull Sheet'!$C:$H,6,FALSE))),"DC")</f>
        <v>3.1808333333333336E-4</v>
      </c>
      <c r="O1300" s="23" t="s">
        <v>192</v>
      </c>
      <c r="P1300" s="92" t="s">
        <v>676</v>
      </c>
      <c r="Q1300" s="92" t="s">
        <v>646</v>
      </c>
      <c r="R1300" s="372" t="str">
        <f t="shared" si="36"/>
        <v/>
      </c>
    </row>
    <row r="1301" spans="1:18" x14ac:dyDescent="0.25">
      <c r="A1301" s="23" t="s">
        <v>705</v>
      </c>
      <c r="B1301" s="18" t="str">
        <f>IF(ISNA(VLOOKUP($A1301,'Data Pull Sheet'!$B$2:$C$1795,2,0)),"",(VLOOKUP($A1301,'Data Pull Sheet'!$B$2:$C$1795,2,0)))</f>
        <v>ADHD</v>
      </c>
      <c r="C1301" s="59" t="s">
        <v>418</v>
      </c>
      <c r="D1301" s="356" t="s">
        <v>706</v>
      </c>
      <c r="E1301" s="356" t="s">
        <v>707</v>
      </c>
      <c r="F1301" s="23" t="s">
        <v>710</v>
      </c>
      <c r="G1301" s="23" t="s">
        <v>403</v>
      </c>
      <c r="H1301" s="353">
        <v>10500</v>
      </c>
      <c r="I1301" s="59"/>
      <c r="J1301" s="59" t="s">
        <v>711</v>
      </c>
      <c r="K1301" s="20"/>
      <c r="L1301" s="20"/>
      <c r="M1301" s="357"/>
      <c r="N1301" s="411"/>
      <c r="O1301" s="23" t="s">
        <v>192</v>
      </c>
      <c r="P1301" s="92" t="s">
        <v>676</v>
      </c>
      <c r="Q1301" s="92" t="s">
        <v>646</v>
      </c>
      <c r="R1301" s="372" t="str">
        <f t="shared" si="36"/>
        <v/>
      </c>
    </row>
    <row r="1302" spans="1:18" x14ac:dyDescent="0.25">
      <c r="A1302" s="23" t="s">
        <v>1995</v>
      </c>
      <c r="B1302" s="18" t="str">
        <f>IF(ISNA(VLOOKUP($A1302,'Data Pull Sheet'!$B$2:$C$1795,2,0)),"",(VLOOKUP($A1302,'Data Pull Sheet'!$B$2:$C$1795,2,0)))</f>
        <v>FSPM</v>
      </c>
      <c r="C1302" s="59" t="s">
        <v>545</v>
      </c>
      <c r="D1302" s="356" t="s">
        <v>706</v>
      </c>
      <c r="E1302" s="356" t="s">
        <v>707</v>
      </c>
      <c r="F1302" s="23" t="s">
        <v>1996</v>
      </c>
      <c r="G1302" s="23" t="s">
        <v>403</v>
      </c>
      <c r="H1302" s="353">
        <v>108405</v>
      </c>
      <c r="I1302" s="59"/>
      <c r="J1302" s="59" t="s">
        <v>1997</v>
      </c>
      <c r="K1302" s="20">
        <v>2</v>
      </c>
      <c r="L1302" s="20">
        <v>1</v>
      </c>
      <c r="M1302" s="357">
        <f>H1302</f>
        <v>108405</v>
      </c>
      <c r="N1302" s="411">
        <f>IFERROR((M1302/(VLOOKUP(B1302,'Data Pull Sheet'!$C:$H,6,FALSE))),"DC")</f>
        <v>1.2045E-2</v>
      </c>
      <c r="O1302" s="23" t="s">
        <v>1998</v>
      </c>
      <c r="P1302" s="92" t="s">
        <v>632</v>
      </c>
      <c r="Q1302" s="92" t="s">
        <v>637</v>
      </c>
      <c r="R1302" s="372" t="str">
        <f t="shared" si="36"/>
        <v/>
      </c>
    </row>
    <row r="1303" spans="1:18" ht="30" x14ac:dyDescent="0.25">
      <c r="A1303" s="23" t="s">
        <v>1995</v>
      </c>
      <c r="B1303" s="18" t="str">
        <f>IF(ISNA(VLOOKUP($A1303,'Data Pull Sheet'!$B$2:$C$1795,2,0)),"",(VLOOKUP($A1303,'Data Pull Sheet'!$B$2:$C$1795,2,0)))</f>
        <v>FSPM</v>
      </c>
      <c r="C1303" s="59" t="s">
        <v>545</v>
      </c>
      <c r="D1303" s="356" t="s">
        <v>706</v>
      </c>
      <c r="E1303" s="356" t="s">
        <v>707</v>
      </c>
      <c r="F1303" s="23" t="s">
        <v>1999</v>
      </c>
      <c r="G1303" s="23" t="s">
        <v>403</v>
      </c>
      <c r="H1303" s="353">
        <v>27101.200000000001</v>
      </c>
      <c r="I1303" s="59"/>
      <c r="J1303" s="59" t="s">
        <v>2000</v>
      </c>
      <c r="K1303" s="20"/>
      <c r="L1303" s="20">
        <v>1</v>
      </c>
      <c r="M1303" s="357">
        <f>H1303</f>
        <v>27101.200000000001</v>
      </c>
      <c r="N1303" s="411">
        <f>IFERROR((M1303/(VLOOKUP(B1303,'Data Pull Sheet'!$C:$H,6,FALSE))),"DC")</f>
        <v>3.0112444444444445E-3</v>
      </c>
      <c r="O1303" s="23" t="s">
        <v>2001</v>
      </c>
      <c r="P1303" s="92" t="s">
        <v>632</v>
      </c>
      <c r="Q1303" s="92" t="s">
        <v>637</v>
      </c>
      <c r="R1303" s="372" t="str">
        <f t="shared" si="36"/>
        <v/>
      </c>
    </row>
    <row r="1304" spans="1:18" x14ac:dyDescent="0.25">
      <c r="A1304" s="23" t="s">
        <v>3416</v>
      </c>
      <c r="B1304" s="18" t="str">
        <f>IF(ISNA(VLOOKUP($A1304,'Data Pull Sheet'!$B$2:$C$1795,2,0)),"",(VLOOKUP($A1304,'Data Pull Sheet'!$B$2:$C$1795,2,0)))</f>
        <v>SITO</v>
      </c>
      <c r="C1304" s="59" t="s">
        <v>424</v>
      </c>
      <c r="D1304" s="356" t="s">
        <v>706</v>
      </c>
      <c r="E1304" s="356" t="s">
        <v>707</v>
      </c>
      <c r="F1304" s="23" t="s">
        <v>3417</v>
      </c>
      <c r="G1304" s="23" t="s">
        <v>417</v>
      </c>
      <c r="H1304" s="359">
        <f>M1304/4</f>
        <v>181977.61</v>
      </c>
      <c r="I1304" s="59"/>
      <c r="J1304" s="59" t="s">
        <v>3418</v>
      </c>
      <c r="K1304" s="20">
        <v>1</v>
      </c>
      <c r="L1304" s="20">
        <v>4</v>
      </c>
      <c r="M1304" s="357">
        <v>727910.44</v>
      </c>
      <c r="N1304" s="411">
        <f>IFERROR((M1304/(VLOOKUP(B1304,'Data Pull Sheet'!$C:$H,6,FALSE))),"DC")</f>
        <v>6.0659203333333328E-2</v>
      </c>
      <c r="O1304" s="23" t="s">
        <v>63</v>
      </c>
      <c r="P1304" s="92" t="s">
        <v>676</v>
      </c>
      <c r="Q1304" s="92" t="s">
        <v>640</v>
      </c>
      <c r="R1304" s="372" t="str">
        <f t="shared" si="36"/>
        <v/>
      </c>
    </row>
    <row r="1305" spans="1:18" x14ac:dyDescent="0.25">
      <c r="A1305" s="23" t="s">
        <v>3416</v>
      </c>
      <c r="B1305" s="18" t="str">
        <f>IF(ISNA(VLOOKUP($A1305,'Data Pull Sheet'!$B$2:$C$1795,2,0)),"",(VLOOKUP($A1305,'Data Pull Sheet'!$B$2:$C$1795,2,0)))</f>
        <v>SITO</v>
      </c>
      <c r="C1305" s="59" t="s">
        <v>424</v>
      </c>
      <c r="D1305" s="356" t="s">
        <v>706</v>
      </c>
      <c r="E1305" s="356" t="s">
        <v>707</v>
      </c>
      <c r="F1305" s="23" t="s">
        <v>3419</v>
      </c>
      <c r="G1305" s="23" t="s">
        <v>417</v>
      </c>
      <c r="H1305" s="359">
        <f>M1304/4</f>
        <v>181977.61</v>
      </c>
      <c r="I1305" s="59"/>
      <c r="J1305" s="59" t="s">
        <v>3420</v>
      </c>
      <c r="K1305" s="20"/>
      <c r="L1305" s="20"/>
      <c r="M1305" s="357"/>
      <c r="N1305" s="411"/>
      <c r="O1305" s="23" t="s">
        <v>63</v>
      </c>
      <c r="P1305" s="92" t="s">
        <v>676</v>
      </c>
      <c r="Q1305" s="92" t="s">
        <v>640</v>
      </c>
      <c r="R1305" s="372" t="str">
        <f t="shared" si="36"/>
        <v/>
      </c>
    </row>
    <row r="1306" spans="1:18" x14ac:dyDescent="0.25">
      <c r="A1306" s="23" t="s">
        <v>3416</v>
      </c>
      <c r="B1306" s="18" t="str">
        <f>IF(ISNA(VLOOKUP($A1306,'Data Pull Sheet'!$B$2:$C$1795,2,0)),"",(VLOOKUP($A1306,'Data Pull Sheet'!$B$2:$C$1795,2,0)))</f>
        <v>SITO</v>
      </c>
      <c r="C1306" s="59" t="s">
        <v>424</v>
      </c>
      <c r="D1306" s="356" t="s">
        <v>706</v>
      </c>
      <c r="E1306" s="356" t="s">
        <v>707</v>
      </c>
      <c r="F1306" s="23" t="s">
        <v>3421</v>
      </c>
      <c r="G1306" s="23" t="s">
        <v>417</v>
      </c>
      <c r="H1306" s="359">
        <f>M1304/4</f>
        <v>181977.61</v>
      </c>
      <c r="I1306" s="59"/>
      <c r="J1306" s="59" t="s">
        <v>3422</v>
      </c>
      <c r="K1306" s="20"/>
      <c r="L1306" s="20"/>
      <c r="M1306" s="357"/>
      <c r="N1306" s="411"/>
      <c r="O1306" s="23" t="s">
        <v>63</v>
      </c>
      <c r="P1306" s="92" t="s">
        <v>676</v>
      </c>
      <c r="Q1306" s="92" t="s">
        <v>640</v>
      </c>
      <c r="R1306" s="372" t="str">
        <f t="shared" si="36"/>
        <v/>
      </c>
    </row>
    <row r="1307" spans="1:18" x14ac:dyDescent="0.25">
      <c r="A1307" s="23" t="s">
        <v>3416</v>
      </c>
      <c r="B1307" s="18" t="str">
        <f>IF(ISNA(VLOOKUP($A1307,'Data Pull Sheet'!$B$2:$C$1795,2,0)),"",(VLOOKUP($A1307,'Data Pull Sheet'!$B$2:$C$1795,2,0)))</f>
        <v>SITO</v>
      </c>
      <c r="C1307" s="59" t="s">
        <v>424</v>
      </c>
      <c r="D1307" s="356" t="s">
        <v>706</v>
      </c>
      <c r="E1307" s="356" t="s">
        <v>707</v>
      </c>
      <c r="F1307" s="23" t="s">
        <v>3423</v>
      </c>
      <c r="G1307" s="23" t="s">
        <v>417</v>
      </c>
      <c r="H1307" s="359">
        <f>M1304/4</f>
        <v>181977.61</v>
      </c>
      <c r="I1307" s="59"/>
      <c r="J1307" s="59" t="s">
        <v>3424</v>
      </c>
      <c r="K1307" s="20"/>
      <c r="L1307" s="20"/>
      <c r="M1307" s="357"/>
      <c r="N1307" s="411"/>
      <c r="O1307" s="23" t="s">
        <v>63</v>
      </c>
      <c r="P1307" s="92" t="s">
        <v>676</v>
      </c>
      <c r="Q1307" s="92" t="s">
        <v>640</v>
      </c>
      <c r="R1307" s="372" t="str">
        <f t="shared" si="36"/>
        <v/>
      </c>
    </row>
    <row r="1308" spans="1:18" x14ac:dyDescent="0.25">
      <c r="A1308" s="23" t="s">
        <v>4217</v>
      </c>
      <c r="B1308" s="18" t="str">
        <f>IF(ISNA(VLOOKUP($A1308,'Data Pull Sheet'!$B$2:$C$1795,2,0)),"",(VLOOKUP($A1308,'Data Pull Sheet'!$B$2:$C$1795,2,0)))</f>
        <v>ENT</v>
      </c>
      <c r="C1308" s="59" t="s">
        <v>446</v>
      </c>
      <c r="D1308" s="356">
        <v>42789</v>
      </c>
      <c r="E1308" s="356">
        <v>42849</v>
      </c>
      <c r="F1308" s="23" t="s">
        <v>10996</v>
      </c>
      <c r="G1308" s="59" t="s">
        <v>403</v>
      </c>
      <c r="H1308" s="353" t="s">
        <v>10798</v>
      </c>
      <c r="I1308" s="59"/>
      <c r="J1308" s="59" t="s">
        <v>10997</v>
      </c>
      <c r="K1308" s="20">
        <v>1</v>
      </c>
      <c r="L1308" s="20">
        <v>1</v>
      </c>
      <c r="M1308" s="357" t="s">
        <v>10798</v>
      </c>
      <c r="N1308" s="411" t="str">
        <f>IFERROR((M1308/(VLOOKUP(B1308,'Data Pull Sheet'!$C:$H,6,FALSE))),"DC")</f>
        <v>DC</v>
      </c>
      <c r="O1308" s="23" t="s">
        <v>10998</v>
      </c>
      <c r="P1308" s="18" t="s">
        <v>676</v>
      </c>
      <c r="Q1308" s="18" t="s">
        <v>637</v>
      </c>
      <c r="R1308" s="372" t="str">
        <f t="shared" si="36"/>
        <v/>
      </c>
    </row>
    <row r="1309" spans="1:18" x14ac:dyDescent="0.25">
      <c r="A1309" s="23" t="s">
        <v>3281</v>
      </c>
      <c r="B1309" s="18" t="str">
        <f>IF(ISNA(VLOOKUP($A1309,'Data Pull Sheet'!$B$2:$C$1795,2,0)),"",(VLOOKUP($A1309,'Data Pull Sheet'!$B$2:$C$1795,2,0)))</f>
        <v>RTK</v>
      </c>
      <c r="C1309" s="59" t="s">
        <v>1008</v>
      </c>
      <c r="D1309" s="356" t="s">
        <v>3282</v>
      </c>
      <c r="E1309" s="356" t="s">
        <v>3283</v>
      </c>
      <c r="F1309" s="23" t="s">
        <v>3284</v>
      </c>
      <c r="G1309" s="23" t="s">
        <v>403</v>
      </c>
      <c r="H1309" s="353">
        <v>44215.8</v>
      </c>
      <c r="I1309" s="59"/>
      <c r="J1309" s="59" t="s">
        <v>3285</v>
      </c>
      <c r="K1309" s="20">
        <v>2</v>
      </c>
      <c r="L1309" s="20">
        <v>1</v>
      </c>
      <c r="M1309" s="357">
        <f>H1309</f>
        <v>44215.8</v>
      </c>
      <c r="N1309" s="411">
        <f>IFERROR((M1309/(VLOOKUP(B1309,'Data Pull Sheet'!$C:$H,6,FALSE))),"DC")</f>
        <v>7.3693000000000005E-3</v>
      </c>
      <c r="O1309" s="23" t="s">
        <v>2410</v>
      </c>
      <c r="P1309" s="92" t="s">
        <v>632</v>
      </c>
      <c r="Q1309" s="92" t="s">
        <v>637</v>
      </c>
      <c r="R1309" s="372" t="str">
        <f t="shared" si="36"/>
        <v/>
      </c>
    </row>
    <row r="1310" spans="1:18" x14ac:dyDescent="0.25">
      <c r="A1310" s="23" t="s">
        <v>3281</v>
      </c>
      <c r="B1310" s="18" t="str">
        <f>IF(ISNA(VLOOKUP($A1310,'Data Pull Sheet'!$B$2:$C$1795,2,0)),"",(VLOOKUP($A1310,'Data Pull Sheet'!$B$2:$C$1795,2,0)))</f>
        <v>RTK</v>
      </c>
      <c r="C1310" s="59" t="s">
        <v>1008</v>
      </c>
      <c r="D1310" s="356" t="s">
        <v>3282</v>
      </c>
      <c r="E1310" s="356" t="s">
        <v>3283</v>
      </c>
      <c r="F1310" s="23" t="s">
        <v>3286</v>
      </c>
      <c r="G1310" s="23" t="s">
        <v>403</v>
      </c>
      <c r="H1310" s="353">
        <v>1776</v>
      </c>
      <c r="I1310" s="59"/>
      <c r="J1310" s="59" t="s">
        <v>3287</v>
      </c>
      <c r="K1310" s="20"/>
      <c r="L1310" s="20">
        <v>3</v>
      </c>
      <c r="M1310" s="357">
        <f>SUM(H1310:H1312)</f>
        <v>10552.75</v>
      </c>
      <c r="N1310" s="411">
        <f>IFERROR((M1310/(VLOOKUP(B1310,'Data Pull Sheet'!$C:$H,6,FALSE))),"DC")</f>
        <v>1.7587916666666667E-3</v>
      </c>
      <c r="O1310" s="23" t="s">
        <v>682</v>
      </c>
      <c r="P1310" s="92" t="s">
        <v>632</v>
      </c>
      <c r="Q1310" s="92" t="s">
        <v>646</v>
      </c>
      <c r="R1310" s="372" t="str">
        <f t="shared" si="36"/>
        <v/>
      </c>
    </row>
    <row r="1311" spans="1:18" x14ac:dyDescent="0.25">
      <c r="A1311" s="23" t="s">
        <v>3281</v>
      </c>
      <c r="B1311" s="18" t="str">
        <f>IF(ISNA(VLOOKUP($A1311,'Data Pull Sheet'!$B$2:$C$1795,2,0)),"",(VLOOKUP($A1311,'Data Pull Sheet'!$B$2:$C$1795,2,0)))</f>
        <v>RTK</v>
      </c>
      <c r="C1311" s="59" t="s">
        <v>1008</v>
      </c>
      <c r="D1311" s="356" t="s">
        <v>3282</v>
      </c>
      <c r="E1311" s="356" t="s">
        <v>3283</v>
      </c>
      <c r="F1311" s="23" t="s">
        <v>3288</v>
      </c>
      <c r="G1311" s="23" t="s">
        <v>403</v>
      </c>
      <c r="H1311" s="353">
        <v>2244</v>
      </c>
      <c r="I1311" s="59"/>
      <c r="J1311" s="59" t="s">
        <v>3289</v>
      </c>
      <c r="K1311" s="20"/>
      <c r="L1311" s="20"/>
      <c r="M1311" s="357"/>
      <c r="N1311" s="411"/>
      <c r="O1311" s="23" t="s">
        <v>682</v>
      </c>
      <c r="P1311" s="92" t="s">
        <v>632</v>
      </c>
      <c r="Q1311" s="92" t="s">
        <v>646</v>
      </c>
      <c r="R1311" s="372" t="str">
        <f t="shared" si="36"/>
        <v/>
      </c>
    </row>
    <row r="1312" spans="1:18" x14ac:dyDescent="0.25">
      <c r="A1312" s="23" t="s">
        <v>3281</v>
      </c>
      <c r="B1312" s="18" t="str">
        <f>IF(ISNA(VLOOKUP($A1312,'Data Pull Sheet'!$B$2:$C$1795,2,0)),"",(VLOOKUP($A1312,'Data Pull Sheet'!$B$2:$C$1795,2,0)))</f>
        <v>RTK</v>
      </c>
      <c r="C1312" s="59" t="s">
        <v>1008</v>
      </c>
      <c r="D1312" s="356" t="s">
        <v>3282</v>
      </c>
      <c r="E1312" s="356" t="s">
        <v>3283</v>
      </c>
      <c r="F1312" s="23" t="s">
        <v>3290</v>
      </c>
      <c r="G1312" s="23" t="s">
        <v>403</v>
      </c>
      <c r="H1312" s="353">
        <v>6532.75</v>
      </c>
      <c r="I1312" s="59"/>
      <c r="J1312" s="59" t="s">
        <v>3291</v>
      </c>
      <c r="K1312" s="20"/>
      <c r="L1312" s="20"/>
      <c r="M1312" s="357"/>
      <c r="N1312" s="411"/>
      <c r="O1312" s="23" t="s">
        <v>682</v>
      </c>
      <c r="P1312" s="92" t="s">
        <v>632</v>
      </c>
      <c r="Q1312" s="92" t="s">
        <v>646</v>
      </c>
      <c r="R1312" s="372" t="str">
        <f t="shared" si="36"/>
        <v/>
      </c>
    </row>
    <row r="1313" spans="1:18" x14ac:dyDescent="0.25">
      <c r="A1313" s="23" t="s">
        <v>1239</v>
      </c>
      <c r="B1313" s="18" t="str">
        <f>IF(ISNA(VLOOKUP($A1313,'Data Pull Sheet'!$B$2:$C$1795,2,0)),"",(VLOOKUP($A1313,'Data Pull Sheet'!$B$2:$C$1795,2,0)))</f>
        <v>CETX</v>
      </c>
      <c r="C1313" s="59" t="s">
        <v>1008</v>
      </c>
      <c r="D1313" s="356" t="s">
        <v>1240</v>
      </c>
      <c r="E1313" s="356" t="s">
        <v>1241</v>
      </c>
      <c r="F1313" s="23" t="s">
        <v>1242</v>
      </c>
      <c r="G1313" s="23" t="s">
        <v>403</v>
      </c>
      <c r="H1313" s="353">
        <v>89964.94</v>
      </c>
      <c r="I1313" s="59"/>
      <c r="J1313" s="59" t="s">
        <v>1243</v>
      </c>
      <c r="K1313" s="20">
        <v>4</v>
      </c>
      <c r="L1313" s="20">
        <v>1</v>
      </c>
      <c r="M1313" s="357">
        <f>H1313</f>
        <v>89964.94</v>
      </c>
      <c r="N1313" s="411">
        <f>IFERROR((M1313/(VLOOKUP(B1313,'Data Pull Sheet'!$C:$H,6,FALSE))),"DC")</f>
        <v>2.9988313333333336E-2</v>
      </c>
      <c r="O1313" s="23" t="s">
        <v>60</v>
      </c>
      <c r="P1313" s="92" t="s">
        <v>632</v>
      </c>
      <c r="Q1313" s="92" t="s">
        <v>646</v>
      </c>
      <c r="R1313" s="372" t="str">
        <f t="shared" si="36"/>
        <v/>
      </c>
    </row>
    <row r="1314" spans="1:18" x14ac:dyDescent="0.25">
      <c r="A1314" s="23" t="s">
        <v>1239</v>
      </c>
      <c r="B1314" s="18" t="str">
        <f>IF(ISNA(VLOOKUP($A1314,'Data Pull Sheet'!$B$2:$C$1795,2,0)),"",(VLOOKUP($A1314,'Data Pull Sheet'!$B$2:$C$1795,2,0)))</f>
        <v>CETX</v>
      </c>
      <c r="C1314" s="59" t="s">
        <v>1008</v>
      </c>
      <c r="D1314" s="356" t="s">
        <v>1240</v>
      </c>
      <c r="E1314" s="356" t="s">
        <v>1241</v>
      </c>
      <c r="F1314" s="23" t="s">
        <v>1244</v>
      </c>
      <c r="G1314" s="23" t="s">
        <v>403</v>
      </c>
      <c r="H1314" s="353">
        <v>15393.02</v>
      </c>
      <c r="I1314" s="59" t="s">
        <v>406</v>
      </c>
      <c r="J1314" s="59" t="s">
        <v>1245</v>
      </c>
      <c r="K1314" s="20"/>
      <c r="L1314" s="20">
        <v>5</v>
      </c>
      <c r="M1314" s="357">
        <f>SUM(H1314:H1318)</f>
        <v>181942.6</v>
      </c>
      <c r="N1314" s="411">
        <f>IFERROR((M1314/(VLOOKUP(B1314,'Data Pull Sheet'!$C:$H,6,FALSE))),"DC")</f>
        <v>6.0647533333333337E-2</v>
      </c>
      <c r="O1314" s="23" t="s">
        <v>1246</v>
      </c>
      <c r="P1314" s="92" t="s">
        <v>632</v>
      </c>
      <c r="Q1314" s="92" t="s">
        <v>646</v>
      </c>
      <c r="R1314" s="372" t="str">
        <f t="shared" si="36"/>
        <v/>
      </c>
    </row>
    <row r="1315" spans="1:18" x14ac:dyDescent="0.25">
      <c r="A1315" s="23" t="s">
        <v>1239</v>
      </c>
      <c r="B1315" s="18" t="str">
        <f>IF(ISNA(VLOOKUP($A1315,'Data Pull Sheet'!$B$2:$C$1795,2,0)),"",(VLOOKUP($A1315,'Data Pull Sheet'!$B$2:$C$1795,2,0)))</f>
        <v>CETX</v>
      </c>
      <c r="C1315" s="59" t="s">
        <v>1008</v>
      </c>
      <c r="D1315" s="356" t="s">
        <v>1240</v>
      </c>
      <c r="E1315" s="356" t="s">
        <v>1241</v>
      </c>
      <c r="F1315" s="23" t="s">
        <v>1247</v>
      </c>
      <c r="G1315" s="23" t="s">
        <v>403</v>
      </c>
      <c r="H1315" s="353">
        <v>16677.87</v>
      </c>
      <c r="I1315" s="59" t="s">
        <v>406</v>
      </c>
      <c r="J1315" s="59" t="s">
        <v>1248</v>
      </c>
      <c r="K1315" s="20"/>
      <c r="L1315" s="20"/>
      <c r="M1315" s="357"/>
      <c r="N1315" s="411"/>
      <c r="O1315" s="23" t="s">
        <v>1246</v>
      </c>
      <c r="P1315" s="92" t="s">
        <v>632</v>
      </c>
      <c r="Q1315" s="92" t="s">
        <v>646</v>
      </c>
      <c r="R1315" s="372" t="str">
        <f t="shared" si="36"/>
        <v/>
      </c>
    </row>
    <row r="1316" spans="1:18" x14ac:dyDescent="0.25">
      <c r="A1316" s="23" t="s">
        <v>1239</v>
      </c>
      <c r="B1316" s="18" t="str">
        <f>IF(ISNA(VLOOKUP($A1316,'Data Pull Sheet'!$B$2:$C$1795,2,0)),"",(VLOOKUP($A1316,'Data Pull Sheet'!$B$2:$C$1795,2,0)))</f>
        <v>CETX</v>
      </c>
      <c r="C1316" s="59" t="s">
        <v>1008</v>
      </c>
      <c r="D1316" s="356" t="s">
        <v>1240</v>
      </c>
      <c r="E1316" s="356" t="s">
        <v>1241</v>
      </c>
      <c r="F1316" s="23" t="s">
        <v>1249</v>
      </c>
      <c r="G1316" s="23" t="s">
        <v>403</v>
      </c>
      <c r="H1316" s="353">
        <v>23749.5</v>
      </c>
      <c r="I1316" s="59" t="s">
        <v>406</v>
      </c>
      <c r="J1316" s="59" t="s">
        <v>1250</v>
      </c>
      <c r="K1316" s="20"/>
      <c r="L1316" s="20"/>
      <c r="M1316" s="357"/>
      <c r="N1316" s="411"/>
      <c r="O1316" s="23" t="s">
        <v>1246</v>
      </c>
      <c r="P1316" s="92" t="s">
        <v>632</v>
      </c>
      <c r="Q1316" s="92" t="s">
        <v>646</v>
      </c>
      <c r="R1316" s="372" t="str">
        <f t="shared" si="36"/>
        <v/>
      </c>
    </row>
    <row r="1317" spans="1:18" x14ac:dyDescent="0.25">
      <c r="A1317" s="23" t="s">
        <v>1239</v>
      </c>
      <c r="B1317" s="18" t="str">
        <f>IF(ISNA(VLOOKUP($A1317,'Data Pull Sheet'!$B$2:$C$1795,2,0)),"",(VLOOKUP($A1317,'Data Pull Sheet'!$B$2:$C$1795,2,0)))</f>
        <v>CETX</v>
      </c>
      <c r="C1317" s="59" t="s">
        <v>1008</v>
      </c>
      <c r="D1317" s="356" t="s">
        <v>1240</v>
      </c>
      <c r="E1317" s="356" t="s">
        <v>1241</v>
      </c>
      <c r="F1317" s="23" t="s">
        <v>1251</v>
      </c>
      <c r="G1317" s="23" t="s">
        <v>403</v>
      </c>
      <c r="H1317" s="353">
        <v>27839.55</v>
      </c>
      <c r="I1317" s="59" t="s">
        <v>406</v>
      </c>
      <c r="J1317" s="59" t="s">
        <v>1252</v>
      </c>
      <c r="K1317" s="20"/>
      <c r="L1317" s="20"/>
      <c r="M1317" s="357"/>
      <c r="N1317" s="411"/>
      <c r="O1317" s="23" t="s">
        <v>1246</v>
      </c>
      <c r="P1317" s="92" t="s">
        <v>632</v>
      </c>
      <c r="Q1317" s="92" t="s">
        <v>646</v>
      </c>
      <c r="R1317" s="372" t="str">
        <f t="shared" si="36"/>
        <v/>
      </c>
    </row>
    <row r="1318" spans="1:18" x14ac:dyDescent="0.25">
      <c r="A1318" s="23" t="s">
        <v>1239</v>
      </c>
      <c r="B1318" s="18" t="str">
        <f>IF(ISNA(VLOOKUP($A1318,'Data Pull Sheet'!$B$2:$C$1795,2,0)),"",(VLOOKUP($A1318,'Data Pull Sheet'!$B$2:$C$1795,2,0)))</f>
        <v>CETX</v>
      </c>
      <c r="C1318" s="59" t="s">
        <v>1008</v>
      </c>
      <c r="D1318" s="356" t="s">
        <v>1240</v>
      </c>
      <c r="E1318" s="356" t="s">
        <v>1241</v>
      </c>
      <c r="F1318" s="23" t="s">
        <v>1253</v>
      </c>
      <c r="G1318" s="23" t="s">
        <v>403</v>
      </c>
      <c r="H1318" s="353">
        <v>98282.66</v>
      </c>
      <c r="I1318" s="59" t="s">
        <v>406</v>
      </c>
      <c r="J1318" s="59" t="s">
        <v>1254</v>
      </c>
      <c r="K1318" s="20"/>
      <c r="L1318" s="20"/>
      <c r="M1318" s="357"/>
      <c r="N1318" s="411"/>
      <c r="O1318" s="23" t="s">
        <v>1246</v>
      </c>
      <c r="P1318" s="92" t="s">
        <v>632</v>
      </c>
      <c r="Q1318" s="92" t="s">
        <v>646</v>
      </c>
      <c r="R1318" s="372" t="str">
        <f t="shared" si="36"/>
        <v/>
      </c>
    </row>
    <row r="1319" spans="1:18" x14ac:dyDescent="0.25">
      <c r="A1319" s="23" t="s">
        <v>1239</v>
      </c>
      <c r="B1319" s="18" t="str">
        <f>IF(ISNA(VLOOKUP($A1319,'Data Pull Sheet'!$B$2:$C$1795,2,0)),"",(VLOOKUP($A1319,'Data Pull Sheet'!$B$2:$C$1795,2,0)))</f>
        <v>CETX</v>
      </c>
      <c r="C1319" s="59" t="s">
        <v>1008</v>
      </c>
      <c r="D1319" s="356" t="s">
        <v>1240</v>
      </c>
      <c r="E1319" s="356" t="s">
        <v>1241</v>
      </c>
      <c r="F1319" s="23" t="s">
        <v>1255</v>
      </c>
      <c r="G1319" s="23" t="s">
        <v>403</v>
      </c>
      <c r="H1319" s="353">
        <v>33300</v>
      </c>
      <c r="I1319" s="59" t="s">
        <v>442</v>
      </c>
      <c r="J1319" s="59" t="s">
        <v>1256</v>
      </c>
      <c r="K1319" s="20"/>
      <c r="L1319" s="20">
        <v>1</v>
      </c>
      <c r="M1319" s="357">
        <f>H1319</f>
        <v>33300</v>
      </c>
      <c r="N1319" s="411">
        <f>IFERROR((M1319/(VLOOKUP(B1319,'Data Pull Sheet'!$C:$H,6,FALSE))),"DC")</f>
        <v>1.11E-2</v>
      </c>
      <c r="O1319" s="23" t="s">
        <v>1257</v>
      </c>
      <c r="P1319" s="92" t="s">
        <v>632</v>
      </c>
      <c r="Q1319" s="92" t="s">
        <v>637</v>
      </c>
      <c r="R1319" s="372" t="str">
        <f t="shared" si="36"/>
        <v/>
      </c>
    </row>
    <row r="1320" spans="1:18" x14ac:dyDescent="0.25">
      <c r="A1320" s="23" t="s">
        <v>1239</v>
      </c>
      <c r="B1320" s="18" t="str">
        <f>IF(ISNA(VLOOKUP($A1320,'Data Pull Sheet'!$B$2:$C$1795,2,0)),"",(VLOOKUP($A1320,'Data Pull Sheet'!$B$2:$C$1795,2,0)))</f>
        <v>CETX</v>
      </c>
      <c r="C1320" s="59" t="s">
        <v>1008</v>
      </c>
      <c r="D1320" s="356" t="s">
        <v>1240</v>
      </c>
      <c r="E1320" s="356" t="s">
        <v>1241</v>
      </c>
      <c r="F1320" s="23" t="s">
        <v>1258</v>
      </c>
      <c r="G1320" s="23" t="s">
        <v>403</v>
      </c>
      <c r="H1320" s="353">
        <v>13731.98</v>
      </c>
      <c r="I1320" s="59"/>
      <c r="J1320" s="59" t="s">
        <v>1259</v>
      </c>
      <c r="K1320" s="20"/>
      <c r="L1320" s="20">
        <v>5</v>
      </c>
      <c r="M1320" s="357">
        <f>SUM(H1320:H1324)</f>
        <v>139022.17000000001</v>
      </c>
      <c r="N1320" s="411">
        <f>IFERROR((M1320/(VLOOKUP(B1320,'Data Pull Sheet'!$C:$H,6,FALSE))),"DC")</f>
        <v>4.634072333333334E-2</v>
      </c>
      <c r="O1320" s="23" t="s">
        <v>877</v>
      </c>
      <c r="P1320" s="92" t="s">
        <v>632</v>
      </c>
      <c r="Q1320" s="92" t="s">
        <v>646</v>
      </c>
      <c r="R1320" s="372" t="str">
        <f t="shared" si="36"/>
        <v/>
      </c>
    </row>
    <row r="1321" spans="1:18" x14ac:dyDescent="0.25">
      <c r="A1321" s="23" t="s">
        <v>1239</v>
      </c>
      <c r="B1321" s="18" t="str">
        <f>IF(ISNA(VLOOKUP($A1321,'Data Pull Sheet'!$B$2:$C$1795,2,0)),"",(VLOOKUP($A1321,'Data Pull Sheet'!$B$2:$C$1795,2,0)))</f>
        <v>CETX</v>
      </c>
      <c r="C1321" s="59" t="s">
        <v>1008</v>
      </c>
      <c r="D1321" s="356" t="s">
        <v>1240</v>
      </c>
      <c r="E1321" s="356" t="s">
        <v>1241</v>
      </c>
      <c r="F1321" s="23" t="s">
        <v>1260</v>
      </c>
      <c r="G1321" s="23" t="s">
        <v>403</v>
      </c>
      <c r="H1321" s="353">
        <v>18836.59</v>
      </c>
      <c r="I1321" s="59"/>
      <c r="J1321" s="59" t="s">
        <v>1261</v>
      </c>
      <c r="K1321" s="20"/>
      <c r="L1321" s="20"/>
      <c r="M1321" s="357"/>
      <c r="N1321" s="411"/>
      <c r="O1321" s="23" t="s">
        <v>877</v>
      </c>
      <c r="P1321" s="92" t="s">
        <v>632</v>
      </c>
      <c r="Q1321" s="92" t="s">
        <v>646</v>
      </c>
      <c r="R1321" s="372" t="str">
        <f t="shared" si="36"/>
        <v/>
      </c>
    </row>
    <row r="1322" spans="1:18" x14ac:dyDescent="0.25">
      <c r="A1322" s="23" t="s">
        <v>1239</v>
      </c>
      <c r="B1322" s="18" t="str">
        <f>IF(ISNA(VLOOKUP($A1322,'Data Pull Sheet'!$B$2:$C$1795,2,0)),"",(VLOOKUP($A1322,'Data Pull Sheet'!$B$2:$C$1795,2,0)))</f>
        <v>CETX</v>
      </c>
      <c r="C1322" s="59" t="s">
        <v>1008</v>
      </c>
      <c r="D1322" s="356" t="s">
        <v>1240</v>
      </c>
      <c r="E1322" s="356" t="s">
        <v>1241</v>
      </c>
      <c r="F1322" s="23" t="s">
        <v>1262</v>
      </c>
      <c r="G1322" s="23" t="s">
        <v>403</v>
      </c>
      <c r="H1322" s="353">
        <v>20282.43</v>
      </c>
      <c r="I1322" s="59"/>
      <c r="J1322" s="59" t="s">
        <v>1263</v>
      </c>
      <c r="K1322" s="20"/>
      <c r="L1322" s="20"/>
      <c r="M1322" s="357"/>
      <c r="N1322" s="411"/>
      <c r="O1322" s="23" t="s">
        <v>877</v>
      </c>
      <c r="P1322" s="92" t="s">
        <v>632</v>
      </c>
      <c r="Q1322" s="92" t="s">
        <v>646</v>
      </c>
      <c r="R1322" s="372" t="str">
        <f t="shared" si="36"/>
        <v/>
      </c>
    </row>
    <row r="1323" spans="1:18" x14ac:dyDescent="0.25">
      <c r="A1323" s="23" t="s">
        <v>1239</v>
      </c>
      <c r="B1323" s="18" t="str">
        <f>IF(ISNA(VLOOKUP($A1323,'Data Pull Sheet'!$B$2:$C$1795,2,0)),"",(VLOOKUP($A1323,'Data Pull Sheet'!$B$2:$C$1795,2,0)))</f>
        <v>CETX</v>
      </c>
      <c r="C1323" s="59" t="s">
        <v>1008</v>
      </c>
      <c r="D1323" s="356" t="s">
        <v>1240</v>
      </c>
      <c r="E1323" s="356" t="s">
        <v>1241</v>
      </c>
      <c r="F1323" s="23" t="s">
        <v>1264</v>
      </c>
      <c r="G1323" s="23" t="s">
        <v>403</v>
      </c>
      <c r="H1323" s="353">
        <v>27839.55</v>
      </c>
      <c r="I1323" s="59"/>
      <c r="J1323" s="59" t="s">
        <v>1265</v>
      </c>
      <c r="K1323" s="20"/>
      <c r="L1323" s="20"/>
      <c r="M1323" s="357"/>
      <c r="N1323" s="411"/>
      <c r="O1323" s="23" t="s">
        <v>877</v>
      </c>
      <c r="P1323" s="92" t="s">
        <v>632</v>
      </c>
      <c r="Q1323" s="92" t="s">
        <v>646</v>
      </c>
      <c r="R1323" s="372" t="str">
        <f t="shared" si="36"/>
        <v/>
      </c>
    </row>
    <row r="1324" spans="1:18" x14ac:dyDescent="0.25">
      <c r="A1324" s="23" t="s">
        <v>1239</v>
      </c>
      <c r="B1324" s="18" t="str">
        <f>IF(ISNA(VLOOKUP($A1324,'Data Pull Sheet'!$B$2:$C$1795,2,0)),"",(VLOOKUP($A1324,'Data Pull Sheet'!$B$2:$C$1795,2,0)))</f>
        <v>CETX</v>
      </c>
      <c r="C1324" s="59" t="s">
        <v>1008</v>
      </c>
      <c r="D1324" s="356" t="s">
        <v>1240</v>
      </c>
      <c r="E1324" s="356" t="s">
        <v>1241</v>
      </c>
      <c r="F1324" s="23" t="s">
        <v>1266</v>
      </c>
      <c r="G1324" s="23" t="s">
        <v>403</v>
      </c>
      <c r="H1324" s="353">
        <v>58331.62</v>
      </c>
      <c r="I1324" s="59"/>
      <c r="J1324" s="59" t="s">
        <v>1267</v>
      </c>
      <c r="K1324" s="20"/>
      <c r="L1324" s="20"/>
      <c r="M1324" s="357"/>
      <c r="N1324" s="411"/>
      <c r="O1324" s="23" t="s">
        <v>877</v>
      </c>
      <c r="P1324" s="92" t="s">
        <v>632</v>
      </c>
      <c r="Q1324" s="92" t="s">
        <v>646</v>
      </c>
      <c r="R1324" s="372" t="str">
        <f t="shared" si="36"/>
        <v/>
      </c>
    </row>
    <row r="1325" spans="1:18" x14ac:dyDescent="0.25">
      <c r="A1325" s="23" t="s">
        <v>3061</v>
      </c>
      <c r="B1325" s="18" t="str">
        <f>IF(ISNA(VLOOKUP($A1325,'Data Pull Sheet'!$B$2:$C$1795,2,0)),"",(VLOOKUP($A1325,'Data Pull Sheet'!$B$2:$C$1795,2,0)))</f>
        <v>PSO</v>
      </c>
      <c r="C1325" s="59" t="s">
        <v>418</v>
      </c>
      <c r="D1325" s="356" t="s">
        <v>1240</v>
      </c>
      <c r="E1325" s="356" t="s">
        <v>1241</v>
      </c>
      <c r="F1325" s="23" t="s">
        <v>3062</v>
      </c>
      <c r="G1325" s="23" t="s">
        <v>403</v>
      </c>
      <c r="H1325" s="353">
        <v>2481.61</v>
      </c>
      <c r="I1325" s="59"/>
      <c r="J1325" s="59" t="s">
        <v>3063</v>
      </c>
      <c r="K1325" s="20">
        <v>2</v>
      </c>
      <c r="L1325" s="20">
        <v>2</v>
      </c>
      <c r="M1325" s="357">
        <f>SUM(H1325:H1326)</f>
        <v>7159.93</v>
      </c>
      <c r="N1325" s="411">
        <f>IFERROR((M1325/(VLOOKUP(B1325,'Data Pull Sheet'!$C:$H,6,FALSE))),"DC")</f>
        <v>4.3393515151515151E-5</v>
      </c>
      <c r="O1325" s="23" t="s">
        <v>63</v>
      </c>
      <c r="P1325" s="92" t="s">
        <v>632</v>
      </c>
      <c r="Q1325" s="92" t="s">
        <v>646</v>
      </c>
      <c r="R1325" s="372" t="str">
        <f t="shared" si="36"/>
        <v/>
      </c>
    </row>
    <row r="1326" spans="1:18" x14ac:dyDescent="0.25">
      <c r="A1326" s="23" t="s">
        <v>3061</v>
      </c>
      <c r="B1326" s="18" t="str">
        <f>IF(ISNA(VLOOKUP($A1326,'Data Pull Sheet'!$B$2:$C$1795,2,0)),"",(VLOOKUP($A1326,'Data Pull Sheet'!$B$2:$C$1795,2,0)))</f>
        <v>PSO</v>
      </c>
      <c r="C1326" s="59" t="s">
        <v>418</v>
      </c>
      <c r="D1326" s="356" t="s">
        <v>1240</v>
      </c>
      <c r="E1326" s="356" t="s">
        <v>1241</v>
      </c>
      <c r="F1326" s="23" t="s">
        <v>3064</v>
      </c>
      <c r="G1326" s="23" t="s">
        <v>403</v>
      </c>
      <c r="H1326" s="353">
        <v>4678.32</v>
      </c>
      <c r="I1326" s="59" t="s">
        <v>406</v>
      </c>
      <c r="J1326" s="59" t="s">
        <v>3065</v>
      </c>
      <c r="K1326" s="20"/>
      <c r="L1326" s="20"/>
      <c r="M1326" s="357"/>
      <c r="N1326" s="411"/>
      <c r="O1326" s="23" t="s">
        <v>63</v>
      </c>
      <c r="P1326" s="92" t="s">
        <v>632</v>
      </c>
      <c r="Q1326" s="92" t="s">
        <v>646</v>
      </c>
      <c r="R1326" s="372" t="str">
        <f t="shared" si="36"/>
        <v/>
      </c>
    </row>
    <row r="1327" spans="1:18" x14ac:dyDescent="0.25">
      <c r="A1327" s="23" t="s">
        <v>3061</v>
      </c>
      <c r="B1327" s="18" t="str">
        <f>IF(ISNA(VLOOKUP($A1327,'Data Pull Sheet'!$B$2:$C$1795,2,0)),"",(VLOOKUP($A1327,'Data Pull Sheet'!$B$2:$C$1795,2,0)))</f>
        <v>PSO</v>
      </c>
      <c r="C1327" s="59" t="s">
        <v>418</v>
      </c>
      <c r="D1327" s="356" t="s">
        <v>1240</v>
      </c>
      <c r="E1327" s="356" t="s">
        <v>1241</v>
      </c>
      <c r="F1327" s="23" t="s">
        <v>3066</v>
      </c>
      <c r="G1327" s="23" t="s">
        <v>403</v>
      </c>
      <c r="H1327" s="353">
        <v>1149.07</v>
      </c>
      <c r="I1327" s="59"/>
      <c r="J1327" s="59" t="s">
        <v>3067</v>
      </c>
      <c r="K1327" s="20"/>
      <c r="L1327" s="20">
        <v>1</v>
      </c>
      <c r="M1327" s="357">
        <f>H1327</f>
        <v>1149.07</v>
      </c>
      <c r="N1327" s="411">
        <f>IFERROR((M1327/(VLOOKUP(B1327,'Data Pull Sheet'!$C:$H,6,FALSE))),"DC")</f>
        <v>6.9640606060606056E-6</v>
      </c>
      <c r="O1327" s="23" t="s">
        <v>682</v>
      </c>
      <c r="P1327" s="92" t="s">
        <v>632</v>
      </c>
      <c r="Q1327" s="92" t="s">
        <v>637</v>
      </c>
      <c r="R1327" s="372" t="str">
        <f t="shared" si="36"/>
        <v/>
      </c>
    </row>
    <row r="1328" spans="1:18" x14ac:dyDescent="0.25">
      <c r="A1328" s="23" t="s">
        <v>2182</v>
      </c>
      <c r="B1328" s="18" t="str">
        <f>IF(ISNA(VLOOKUP($A1328,'Data Pull Sheet'!$B$2:$C$1795,2,0)),"",(VLOOKUP($A1328,'Data Pull Sheet'!$B$2:$C$1795,2,0)))</f>
        <v>GRAM</v>
      </c>
      <c r="C1328" s="59" t="s">
        <v>1008</v>
      </c>
      <c r="D1328" s="356" t="s">
        <v>2183</v>
      </c>
      <c r="E1328" s="356" t="s">
        <v>1124</v>
      </c>
      <c r="F1328" s="23" t="s">
        <v>2184</v>
      </c>
      <c r="G1328" s="23" t="s">
        <v>417</v>
      </c>
      <c r="H1328" s="353">
        <v>76437.38</v>
      </c>
      <c r="I1328" s="59"/>
      <c r="J1328" s="59" t="s">
        <v>2185</v>
      </c>
      <c r="K1328" s="20">
        <v>2</v>
      </c>
      <c r="L1328" s="20">
        <v>1</v>
      </c>
      <c r="M1328" s="357">
        <f>H1328</f>
        <v>76437.38</v>
      </c>
      <c r="N1328" s="411">
        <f>IFERROR((M1328/(VLOOKUP(B1328,'Data Pull Sheet'!$C:$H,6,FALSE))),"DC")</f>
        <v>1.0191650666666668E-3</v>
      </c>
      <c r="O1328" s="23" t="s">
        <v>1583</v>
      </c>
      <c r="P1328" s="92" t="s">
        <v>632</v>
      </c>
      <c r="Q1328" s="92" t="s">
        <v>633</v>
      </c>
      <c r="R1328" s="372" t="str">
        <f t="shared" si="36"/>
        <v/>
      </c>
    </row>
    <row r="1329" spans="1:18" ht="30" x14ac:dyDescent="0.25">
      <c r="A1329" s="23" t="s">
        <v>2182</v>
      </c>
      <c r="B1329" s="18" t="str">
        <f>IF(ISNA(VLOOKUP($A1329,'Data Pull Sheet'!$B$2:$C$1795,2,0)),"",(VLOOKUP($A1329,'Data Pull Sheet'!$B$2:$C$1795,2,0)))</f>
        <v>GRAM</v>
      </c>
      <c r="C1329" s="59" t="s">
        <v>1008</v>
      </c>
      <c r="D1329" s="356" t="s">
        <v>2183</v>
      </c>
      <c r="E1329" s="356" t="s">
        <v>1124</v>
      </c>
      <c r="F1329" s="23" t="s">
        <v>2186</v>
      </c>
      <c r="G1329" s="23" t="s">
        <v>403</v>
      </c>
      <c r="H1329" s="353">
        <v>2102.83</v>
      </c>
      <c r="I1329" s="59"/>
      <c r="J1329" s="59" t="s">
        <v>2187</v>
      </c>
      <c r="K1329" s="20"/>
      <c r="L1329" s="20">
        <v>4</v>
      </c>
      <c r="M1329" s="357">
        <f>SUM(H1329:H1332)</f>
        <v>81479.709999999992</v>
      </c>
      <c r="N1329" s="411">
        <f>IFERROR((M1329/(VLOOKUP(B1329,'Data Pull Sheet'!$C:$H,6,FALSE))),"DC")</f>
        <v>1.0863961333333332E-3</v>
      </c>
      <c r="O1329" s="23" t="s">
        <v>11185</v>
      </c>
      <c r="P1329" s="92" t="s">
        <v>632</v>
      </c>
      <c r="Q1329" s="92" t="s">
        <v>646</v>
      </c>
      <c r="R1329" s="372" t="str">
        <f t="shared" si="36"/>
        <v/>
      </c>
    </row>
    <row r="1330" spans="1:18" ht="30" x14ac:dyDescent="0.25">
      <c r="A1330" s="23" t="s">
        <v>2182</v>
      </c>
      <c r="B1330" s="18" t="str">
        <f>IF(ISNA(VLOOKUP($A1330,'Data Pull Sheet'!$B$2:$C$1795,2,0)),"",(VLOOKUP($A1330,'Data Pull Sheet'!$B$2:$C$1795,2,0)))</f>
        <v>GRAM</v>
      </c>
      <c r="C1330" s="59" t="s">
        <v>1008</v>
      </c>
      <c r="D1330" s="356" t="s">
        <v>2183</v>
      </c>
      <c r="E1330" s="356" t="s">
        <v>1124</v>
      </c>
      <c r="F1330" s="23" t="s">
        <v>2189</v>
      </c>
      <c r="G1330" s="23" t="s">
        <v>403</v>
      </c>
      <c r="H1330" s="353">
        <v>4696.9399999999996</v>
      </c>
      <c r="I1330" s="59"/>
      <c r="J1330" s="59" t="s">
        <v>2190</v>
      </c>
      <c r="K1330" s="20"/>
      <c r="L1330" s="20"/>
      <c r="M1330" s="357"/>
      <c r="N1330" s="411"/>
      <c r="O1330" s="23" t="s">
        <v>11185</v>
      </c>
      <c r="P1330" s="92" t="s">
        <v>632</v>
      </c>
      <c r="Q1330" s="92" t="s">
        <v>646</v>
      </c>
      <c r="R1330" s="372" t="str">
        <f t="shared" si="36"/>
        <v/>
      </c>
    </row>
    <row r="1331" spans="1:18" ht="30" x14ac:dyDescent="0.25">
      <c r="A1331" s="23" t="s">
        <v>2182</v>
      </c>
      <c r="B1331" s="18" t="str">
        <f>IF(ISNA(VLOOKUP($A1331,'Data Pull Sheet'!$B$2:$C$1795,2,0)),"",(VLOOKUP($A1331,'Data Pull Sheet'!$B$2:$C$1795,2,0)))</f>
        <v>GRAM</v>
      </c>
      <c r="C1331" s="59" t="s">
        <v>1008</v>
      </c>
      <c r="D1331" s="356" t="s">
        <v>2183</v>
      </c>
      <c r="E1331" s="356" t="s">
        <v>1124</v>
      </c>
      <c r="F1331" s="23" t="s">
        <v>2191</v>
      </c>
      <c r="G1331" s="23" t="s">
        <v>403</v>
      </c>
      <c r="H1331" s="353">
        <v>10599.94</v>
      </c>
      <c r="I1331" s="59"/>
      <c r="J1331" s="59" t="s">
        <v>2192</v>
      </c>
      <c r="K1331" s="20"/>
      <c r="L1331" s="20"/>
      <c r="M1331" s="357"/>
      <c r="N1331" s="411"/>
      <c r="O1331" s="23" t="s">
        <v>11185</v>
      </c>
      <c r="P1331" s="92" t="s">
        <v>632</v>
      </c>
      <c r="Q1331" s="92" t="s">
        <v>646</v>
      </c>
      <c r="R1331" s="372" t="str">
        <f t="shared" si="36"/>
        <v/>
      </c>
    </row>
    <row r="1332" spans="1:18" ht="30" x14ac:dyDescent="0.25">
      <c r="A1332" s="23" t="s">
        <v>2182</v>
      </c>
      <c r="B1332" s="18" t="str">
        <f>IF(ISNA(VLOOKUP($A1332,'Data Pull Sheet'!$B$2:$C$1795,2,0)),"",(VLOOKUP($A1332,'Data Pull Sheet'!$B$2:$C$1795,2,0)))</f>
        <v>GRAM</v>
      </c>
      <c r="C1332" s="59" t="s">
        <v>1008</v>
      </c>
      <c r="D1332" s="356" t="s">
        <v>2183</v>
      </c>
      <c r="E1332" s="356" t="s">
        <v>1124</v>
      </c>
      <c r="F1332" s="23" t="s">
        <v>2193</v>
      </c>
      <c r="G1332" s="23" t="s">
        <v>403</v>
      </c>
      <c r="H1332" s="353">
        <v>64080</v>
      </c>
      <c r="I1332" s="59"/>
      <c r="J1332" s="59" t="s">
        <v>2194</v>
      </c>
      <c r="K1332" s="20"/>
      <c r="L1332" s="20"/>
      <c r="M1332" s="357"/>
      <c r="N1332" s="411"/>
      <c r="O1332" s="23" t="s">
        <v>11185</v>
      </c>
      <c r="P1332" s="92" t="s">
        <v>632</v>
      </c>
      <c r="Q1332" s="92" t="s">
        <v>646</v>
      </c>
      <c r="R1332" s="372" t="str">
        <f t="shared" si="36"/>
        <v/>
      </c>
    </row>
    <row r="1333" spans="1:18" x14ac:dyDescent="0.25">
      <c r="A1333" s="23" t="s">
        <v>2407</v>
      </c>
      <c r="B1333" s="18" t="str">
        <f>IF(ISNA(VLOOKUP($A1333,'Data Pull Sheet'!$B$2:$C$1795,2,0)),"",(VLOOKUP($A1333,'Data Pull Sheet'!$B$2:$C$1795,2,0)))</f>
        <v>IVTY</v>
      </c>
      <c r="C1333" s="59" t="s">
        <v>457</v>
      </c>
      <c r="D1333" s="356" t="s">
        <v>2183</v>
      </c>
      <c r="E1333" s="356" t="s">
        <v>1124</v>
      </c>
      <c r="F1333" s="23" t="s">
        <v>2408</v>
      </c>
      <c r="G1333" s="23" t="s">
        <v>403</v>
      </c>
      <c r="H1333" s="353">
        <v>2051.91</v>
      </c>
      <c r="I1333" s="59" t="s">
        <v>413</v>
      </c>
      <c r="J1333" s="59" t="s">
        <v>2409</v>
      </c>
      <c r="K1333" s="20">
        <v>2</v>
      </c>
      <c r="L1333" s="20">
        <v>1</v>
      </c>
      <c r="M1333" s="357">
        <f t="shared" ref="M1333:M1338" si="37">H1333</f>
        <v>2051.91</v>
      </c>
      <c r="N1333" s="411">
        <f>IFERROR((M1333/(VLOOKUP(B1333,'Data Pull Sheet'!$C:$H,6,FALSE))),"DC")</f>
        <v>1.2824437499999998E-4</v>
      </c>
      <c r="O1333" s="23" t="s">
        <v>2410</v>
      </c>
      <c r="P1333" s="92" t="s">
        <v>632</v>
      </c>
      <c r="Q1333" s="92" t="s">
        <v>637</v>
      </c>
      <c r="R1333" s="372" t="str">
        <f t="shared" si="36"/>
        <v/>
      </c>
    </row>
    <row r="1334" spans="1:18" x14ac:dyDescent="0.25">
      <c r="A1334" s="23" t="s">
        <v>2407</v>
      </c>
      <c r="B1334" s="18" t="str">
        <f>IF(ISNA(VLOOKUP($A1334,'Data Pull Sheet'!$B$2:$C$1795,2,0)),"",(VLOOKUP($A1334,'Data Pull Sheet'!$B$2:$C$1795,2,0)))</f>
        <v>IVTY</v>
      </c>
      <c r="C1334" s="59" t="s">
        <v>457</v>
      </c>
      <c r="D1334" s="356" t="s">
        <v>2183</v>
      </c>
      <c r="E1334" s="356" t="s">
        <v>1124</v>
      </c>
      <c r="F1334" s="23" t="s">
        <v>2411</v>
      </c>
      <c r="G1334" s="23" t="s">
        <v>403</v>
      </c>
      <c r="H1334" s="353">
        <v>1422.63</v>
      </c>
      <c r="I1334" s="59"/>
      <c r="J1334" s="59" t="s">
        <v>2412</v>
      </c>
      <c r="K1334" s="20"/>
      <c r="L1334" s="20">
        <v>1</v>
      </c>
      <c r="M1334" s="357">
        <f t="shared" si="37"/>
        <v>1422.63</v>
      </c>
      <c r="N1334" s="411">
        <f>IFERROR((M1334/(VLOOKUP(B1334,'Data Pull Sheet'!$C:$H,6,FALSE))),"DC")</f>
        <v>8.8914375000000002E-5</v>
      </c>
      <c r="O1334" s="23" t="s">
        <v>877</v>
      </c>
      <c r="P1334" s="92" t="s">
        <v>632</v>
      </c>
      <c r="Q1334" s="92" t="s">
        <v>637</v>
      </c>
      <c r="R1334" s="372" t="str">
        <f t="shared" si="36"/>
        <v/>
      </c>
    </row>
    <row r="1335" spans="1:18" x14ac:dyDescent="0.25">
      <c r="A1335" s="23" t="s">
        <v>66</v>
      </c>
      <c r="B1335" s="18" t="str">
        <f>IF(ISNA(VLOOKUP($A1335,'Data Pull Sheet'!$B$2:$C$1795,2,0)),"",(VLOOKUP($A1335,'Data Pull Sheet'!$B$2:$C$1795,2,0)))</f>
        <v>AFSI</v>
      </c>
      <c r="C1335" s="59" t="s">
        <v>446</v>
      </c>
      <c r="D1335" s="356" t="s">
        <v>470</v>
      </c>
      <c r="E1335" s="356" t="s">
        <v>471</v>
      </c>
      <c r="F1335" s="23" t="s">
        <v>839</v>
      </c>
      <c r="G1335" s="23" t="s">
        <v>417</v>
      </c>
      <c r="H1335" s="353">
        <v>894552.73</v>
      </c>
      <c r="I1335" s="59" t="s">
        <v>413</v>
      </c>
      <c r="J1335" s="59" t="s">
        <v>840</v>
      </c>
      <c r="K1335" s="20">
        <v>9</v>
      </c>
      <c r="L1335" s="20">
        <v>1</v>
      </c>
      <c r="M1335" s="357">
        <f t="shared" si="37"/>
        <v>894552.73</v>
      </c>
      <c r="N1335" s="411">
        <f>IFERROR((M1335/(VLOOKUP(B1335,'Data Pull Sheet'!$C:$H,6,FALSE))),"DC")</f>
        <v>1.8636515208333333E-3</v>
      </c>
      <c r="O1335" s="23" t="s">
        <v>841</v>
      </c>
      <c r="P1335" s="92" t="s">
        <v>632</v>
      </c>
      <c r="Q1335" s="92" t="s">
        <v>633</v>
      </c>
      <c r="R1335" s="372" t="str">
        <f t="shared" si="36"/>
        <v>FF</v>
      </c>
    </row>
    <row r="1336" spans="1:18" ht="30" x14ac:dyDescent="0.25">
      <c r="A1336" s="23" t="s">
        <v>66</v>
      </c>
      <c r="B1336" s="18" t="str">
        <f>IF(ISNA(VLOOKUP($A1336,'Data Pull Sheet'!$B$2:$C$1795,2,0)),"",(VLOOKUP($A1336,'Data Pull Sheet'!$B$2:$C$1795,2,0)))</f>
        <v>AFSI</v>
      </c>
      <c r="C1336" s="59" t="s">
        <v>446</v>
      </c>
      <c r="D1336" s="356" t="s">
        <v>470</v>
      </c>
      <c r="E1336" s="356" t="s">
        <v>471</v>
      </c>
      <c r="F1336" s="23" t="s">
        <v>65</v>
      </c>
      <c r="G1336" s="23" t="s">
        <v>417</v>
      </c>
      <c r="H1336" s="353">
        <v>1315107.51</v>
      </c>
      <c r="I1336" s="59" t="s">
        <v>406</v>
      </c>
      <c r="J1336" s="59" t="s">
        <v>842</v>
      </c>
      <c r="K1336" s="20"/>
      <c r="L1336" s="20">
        <v>1</v>
      </c>
      <c r="M1336" s="357">
        <f t="shared" si="37"/>
        <v>1315107.51</v>
      </c>
      <c r="N1336" s="411">
        <f>IFERROR((M1336/(VLOOKUP(B1336,'Data Pull Sheet'!$C:$H,6,FALSE))),"DC")</f>
        <v>2.7398073125000002E-3</v>
      </c>
      <c r="O1336" s="23" t="s">
        <v>843</v>
      </c>
      <c r="P1336" s="92" t="s">
        <v>632</v>
      </c>
      <c r="Q1336" s="92" t="s">
        <v>633</v>
      </c>
      <c r="R1336" s="372" t="str">
        <f t="shared" si="36"/>
        <v>FF</v>
      </c>
    </row>
    <row r="1337" spans="1:18" ht="30" x14ac:dyDescent="0.25">
      <c r="A1337" s="23" t="s">
        <v>66</v>
      </c>
      <c r="B1337" s="18" t="str">
        <f>IF(ISNA(VLOOKUP($A1337,'Data Pull Sheet'!$B$2:$C$1795,2,0)),"",(VLOOKUP($A1337,'Data Pull Sheet'!$B$2:$C$1795,2,0)))</f>
        <v>AFSI</v>
      </c>
      <c r="C1337" s="59" t="s">
        <v>446</v>
      </c>
      <c r="D1337" s="356" t="s">
        <v>470</v>
      </c>
      <c r="E1337" s="356" t="s">
        <v>471</v>
      </c>
      <c r="F1337" s="23" t="s">
        <v>844</v>
      </c>
      <c r="G1337" s="23" t="s">
        <v>403</v>
      </c>
      <c r="H1337" s="353">
        <v>8392</v>
      </c>
      <c r="I1337" s="59"/>
      <c r="J1337" s="59" t="s">
        <v>845</v>
      </c>
      <c r="K1337" s="20"/>
      <c r="L1337" s="20">
        <v>1</v>
      </c>
      <c r="M1337" s="357">
        <f t="shared" si="37"/>
        <v>8392</v>
      </c>
      <c r="N1337" s="411">
        <f>IFERROR((M1337/(VLOOKUP(B1337,'Data Pull Sheet'!$C:$H,6,FALSE))),"DC")</f>
        <v>1.7483333333333333E-5</v>
      </c>
      <c r="O1337" s="23" t="s">
        <v>846</v>
      </c>
      <c r="P1337" s="92" t="s">
        <v>632</v>
      </c>
      <c r="Q1337" s="92" t="s">
        <v>637</v>
      </c>
      <c r="R1337" s="372" t="str">
        <f t="shared" si="36"/>
        <v/>
      </c>
    </row>
    <row r="1338" spans="1:18" x14ac:dyDescent="0.25">
      <c r="A1338" s="23" t="s">
        <v>66</v>
      </c>
      <c r="B1338" s="18" t="str">
        <f>IF(ISNA(VLOOKUP($A1338,'Data Pull Sheet'!$B$2:$C$1795,2,0)),"",(VLOOKUP($A1338,'Data Pull Sheet'!$B$2:$C$1795,2,0)))</f>
        <v>AFSI</v>
      </c>
      <c r="C1338" s="59" t="s">
        <v>446</v>
      </c>
      <c r="D1338" s="356" t="s">
        <v>470</v>
      </c>
      <c r="E1338" s="356" t="s">
        <v>471</v>
      </c>
      <c r="F1338" s="23" t="s">
        <v>847</v>
      </c>
      <c r="G1338" s="23" t="s">
        <v>403</v>
      </c>
      <c r="H1338" s="353">
        <v>69090.289999999994</v>
      </c>
      <c r="I1338" s="59"/>
      <c r="J1338" s="59" t="s">
        <v>848</v>
      </c>
      <c r="K1338" s="20"/>
      <c r="L1338" s="20">
        <v>1</v>
      </c>
      <c r="M1338" s="357">
        <f t="shared" si="37"/>
        <v>69090.289999999994</v>
      </c>
      <c r="N1338" s="411">
        <f>IFERROR((M1338/(VLOOKUP(B1338,'Data Pull Sheet'!$C:$H,6,FALSE))),"DC")</f>
        <v>1.4393810416666664E-4</v>
      </c>
      <c r="O1338" s="23" t="s">
        <v>849</v>
      </c>
      <c r="P1338" s="92" t="s">
        <v>632</v>
      </c>
      <c r="Q1338" s="92" t="s">
        <v>637</v>
      </c>
      <c r="R1338" s="372" t="str">
        <f t="shared" si="36"/>
        <v/>
      </c>
    </row>
    <row r="1339" spans="1:18" ht="30" x14ac:dyDescent="0.25">
      <c r="A1339" s="23" t="s">
        <v>66</v>
      </c>
      <c r="B1339" s="18" t="str">
        <f>IF(ISNA(VLOOKUP($A1339,'Data Pull Sheet'!$B$2:$C$1795,2,0)),"",(VLOOKUP($A1339,'Data Pull Sheet'!$B$2:$C$1795,2,0)))</f>
        <v>AFSI</v>
      </c>
      <c r="C1339" s="59" t="s">
        <v>446</v>
      </c>
      <c r="D1339" s="356" t="s">
        <v>470</v>
      </c>
      <c r="E1339" s="356" t="s">
        <v>471</v>
      </c>
      <c r="F1339" s="23" t="s">
        <v>850</v>
      </c>
      <c r="G1339" s="23" t="s">
        <v>403</v>
      </c>
      <c r="H1339" s="353">
        <v>3540</v>
      </c>
      <c r="I1339" s="59"/>
      <c r="J1339" s="59" t="s">
        <v>851</v>
      </c>
      <c r="K1339" s="20"/>
      <c r="L1339" s="20">
        <v>5</v>
      </c>
      <c r="M1339" s="357">
        <f>SUM(H1339:H1343)</f>
        <v>169733</v>
      </c>
      <c r="N1339" s="411">
        <f>IFERROR((M1339/(VLOOKUP(B1339,'Data Pull Sheet'!$C:$H,6,FALSE))),"DC")</f>
        <v>3.5361041666666669E-4</v>
      </c>
      <c r="O1339" s="23" t="s">
        <v>11179</v>
      </c>
      <c r="P1339" s="92" t="s">
        <v>632</v>
      </c>
      <c r="Q1339" s="92" t="s">
        <v>662</v>
      </c>
      <c r="R1339" s="372" t="str">
        <f t="shared" si="36"/>
        <v/>
      </c>
    </row>
    <row r="1340" spans="1:18" ht="30" x14ac:dyDescent="0.25">
      <c r="A1340" s="23" t="s">
        <v>66</v>
      </c>
      <c r="B1340" s="18" t="str">
        <f>IF(ISNA(VLOOKUP($A1340,'Data Pull Sheet'!$B$2:$C$1795,2,0)),"",(VLOOKUP($A1340,'Data Pull Sheet'!$B$2:$C$1795,2,0)))</f>
        <v>AFSI</v>
      </c>
      <c r="C1340" s="59" t="s">
        <v>446</v>
      </c>
      <c r="D1340" s="356" t="s">
        <v>470</v>
      </c>
      <c r="E1340" s="356" t="s">
        <v>471</v>
      </c>
      <c r="F1340" s="23" t="s">
        <v>853</v>
      </c>
      <c r="G1340" s="23" t="s">
        <v>403</v>
      </c>
      <c r="H1340" s="353">
        <v>7836</v>
      </c>
      <c r="I1340" s="59"/>
      <c r="J1340" s="59" t="s">
        <v>854</v>
      </c>
      <c r="K1340" s="20"/>
      <c r="L1340" s="20"/>
      <c r="M1340" s="357"/>
      <c r="N1340" s="411"/>
      <c r="O1340" s="23" t="s">
        <v>11179</v>
      </c>
      <c r="P1340" s="92" t="s">
        <v>632</v>
      </c>
      <c r="Q1340" s="92" t="s">
        <v>662</v>
      </c>
      <c r="R1340" s="372" t="str">
        <f t="shared" si="36"/>
        <v/>
      </c>
    </row>
    <row r="1341" spans="1:18" ht="30" x14ac:dyDescent="0.25">
      <c r="A1341" s="23" t="s">
        <v>66</v>
      </c>
      <c r="B1341" s="18" t="str">
        <f>IF(ISNA(VLOOKUP($A1341,'Data Pull Sheet'!$B$2:$C$1795,2,0)),"",(VLOOKUP($A1341,'Data Pull Sheet'!$B$2:$C$1795,2,0)))</f>
        <v>AFSI</v>
      </c>
      <c r="C1341" s="59" t="s">
        <v>446</v>
      </c>
      <c r="D1341" s="356" t="s">
        <v>470</v>
      </c>
      <c r="E1341" s="356" t="s">
        <v>471</v>
      </c>
      <c r="F1341" s="23" t="s">
        <v>855</v>
      </c>
      <c r="G1341" s="23" t="s">
        <v>403</v>
      </c>
      <c r="H1341" s="353">
        <v>17466</v>
      </c>
      <c r="I1341" s="59"/>
      <c r="J1341" s="59" t="s">
        <v>856</v>
      </c>
      <c r="K1341" s="20"/>
      <c r="L1341" s="20"/>
      <c r="M1341" s="357"/>
      <c r="N1341" s="411"/>
      <c r="O1341" s="23" t="s">
        <v>11179</v>
      </c>
      <c r="P1341" s="92" t="s">
        <v>632</v>
      </c>
      <c r="Q1341" s="92" t="s">
        <v>662</v>
      </c>
      <c r="R1341" s="372" t="str">
        <f t="shared" si="36"/>
        <v/>
      </c>
    </row>
    <row r="1342" spans="1:18" ht="30" x14ac:dyDescent="0.25">
      <c r="A1342" s="23" t="s">
        <v>66</v>
      </c>
      <c r="B1342" s="18" t="str">
        <f>IF(ISNA(VLOOKUP($A1342,'Data Pull Sheet'!$B$2:$C$1795,2,0)),"",(VLOOKUP($A1342,'Data Pull Sheet'!$B$2:$C$1795,2,0)))</f>
        <v>AFSI</v>
      </c>
      <c r="C1342" s="59" t="s">
        <v>446</v>
      </c>
      <c r="D1342" s="356" t="s">
        <v>470</v>
      </c>
      <c r="E1342" s="356" t="s">
        <v>471</v>
      </c>
      <c r="F1342" s="23" t="s">
        <v>857</v>
      </c>
      <c r="G1342" s="23" t="s">
        <v>403</v>
      </c>
      <c r="H1342" s="353">
        <v>39632</v>
      </c>
      <c r="I1342" s="59"/>
      <c r="J1342" s="59" t="s">
        <v>858</v>
      </c>
      <c r="K1342" s="20"/>
      <c r="L1342" s="20"/>
      <c r="M1342" s="357"/>
      <c r="N1342" s="411"/>
      <c r="O1342" s="23" t="s">
        <v>11179</v>
      </c>
      <c r="P1342" s="92" t="s">
        <v>632</v>
      </c>
      <c r="Q1342" s="92" t="s">
        <v>662</v>
      </c>
      <c r="R1342" s="372" t="str">
        <f t="shared" si="36"/>
        <v/>
      </c>
    </row>
    <row r="1343" spans="1:18" ht="30" x14ac:dyDescent="0.25">
      <c r="A1343" s="23" t="s">
        <v>66</v>
      </c>
      <c r="B1343" s="18" t="str">
        <f>IF(ISNA(VLOOKUP($A1343,'Data Pull Sheet'!$B$2:$C$1795,2,0)),"",(VLOOKUP($A1343,'Data Pull Sheet'!$B$2:$C$1795,2,0)))</f>
        <v>AFSI</v>
      </c>
      <c r="C1343" s="59" t="s">
        <v>446</v>
      </c>
      <c r="D1343" s="356" t="s">
        <v>470</v>
      </c>
      <c r="E1343" s="356" t="s">
        <v>471</v>
      </c>
      <c r="F1343" s="23" t="s">
        <v>859</v>
      </c>
      <c r="G1343" s="23" t="s">
        <v>417</v>
      </c>
      <c r="H1343" s="353">
        <v>101259</v>
      </c>
      <c r="I1343" s="59"/>
      <c r="J1343" s="59" t="s">
        <v>860</v>
      </c>
      <c r="K1343" s="20"/>
      <c r="L1343" s="20"/>
      <c r="M1343" s="357"/>
      <c r="N1343" s="411"/>
      <c r="O1343" s="23" t="s">
        <v>11179</v>
      </c>
      <c r="P1343" s="92" t="s">
        <v>632</v>
      </c>
      <c r="Q1343" s="92" t="s">
        <v>662</v>
      </c>
      <c r="R1343" s="372" t="str">
        <f t="shared" si="36"/>
        <v/>
      </c>
    </row>
    <row r="1344" spans="1:18" x14ac:dyDescent="0.25">
      <c r="A1344" s="23" t="s">
        <v>66</v>
      </c>
      <c r="B1344" s="18" t="str">
        <f>IF(ISNA(VLOOKUP($A1344,'Data Pull Sheet'!$B$2:$C$1795,2,0)),"",(VLOOKUP($A1344,'Data Pull Sheet'!$B$2:$C$1795,2,0)))</f>
        <v>AFSI</v>
      </c>
      <c r="C1344" s="59" t="s">
        <v>446</v>
      </c>
      <c r="D1344" s="356" t="s">
        <v>470</v>
      </c>
      <c r="E1344" s="356" t="s">
        <v>471</v>
      </c>
      <c r="F1344" s="23" t="s">
        <v>861</v>
      </c>
      <c r="G1344" s="23" t="s">
        <v>417</v>
      </c>
      <c r="H1344" s="353">
        <v>269914.83</v>
      </c>
      <c r="I1344" s="59"/>
      <c r="J1344" s="59" t="s">
        <v>862</v>
      </c>
      <c r="K1344" s="20"/>
      <c r="L1344" s="20">
        <v>2</v>
      </c>
      <c r="M1344" s="357">
        <f>SUM(H1344:H1345)</f>
        <v>561425.59000000008</v>
      </c>
      <c r="N1344" s="411">
        <f>IFERROR((M1344/(VLOOKUP(B1344,'Data Pull Sheet'!$C:$H,6,FALSE))),"DC")</f>
        <v>1.1696366458333336E-3</v>
      </c>
      <c r="O1344" s="23" t="s">
        <v>7</v>
      </c>
      <c r="P1344" s="92" t="s">
        <v>632</v>
      </c>
      <c r="Q1344" s="92" t="s">
        <v>640</v>
      </c>
      <c r="R1344" s="372" t="str">
        <f t="shared" si="36"/>
        <v/>
      </c>
    </row>
    <row r="1345" spans="1:18" x14ac:dyDescent="0.25">
      <c r="A1345" s="23" t="s">
        <v>66</v>
      </c>
      <c r="B1345" s="18" t="str">
        <f>IF(ISNA(VLOOKUP($A1345,'Data Pull Sheet'!$B$2:$C$1795,2,0)),"",(VLOOKUP($A1345,'Data Pull Sheet'!$B$2:$C$1795,2,0)))</f>
        <v>AFSI</v>
      </c>
      <c r="C1345" s="59" t="s">
        <v>446</v>
      </c>
      <c r="D1345" s="356" t="s">
        <v>470</v>
      </c>
      <c r="E1345" s="356" t="s">
        <v>471</v>
      </c>
      <c r="F1345" s="23" t="s">
        <v>863</v>
      </c>
      <c r="G1345" s="23" t="s">
        <v>417</v>
      </c>
      <c r="H1345" s="353">
        <v>291510.76</v>
      </c>
      <c r="I1345" s="59"/>
      <c r="J1345" s="59" t="s">
        <v>864</v>
      </c>
      <c r="K1345" s="20"/>
      <c r="L1345" s="20"/>
      <c r="M1345" s="357"/>
      <c r="N1345" s="411"/>
      <c r="O1345" s="23" t="s">
        <v>7</v>
      </c>
      <c r="P1345" s="92" t="s">
        <v>632</v>
      </c>
      <c r="Q1345" s="92" t="s">
        <v>640</v>
      </c>
      <c r="R1345" s="372" t="str">
        <f t="shared" si="36"/>
        <v/>
      </c>
    </row>
    <row r="1346" spans="1:18" ht="30" x14ac:dyDescent="0.25">
      <c r="A1346" s="23" t="s">
        <v>66</v>
      </c>
      <c r="B1346" s="18" t="str">
        <f>IF(ISNA(VLOOKUP($A1346,'Data Pull Sheet'!$B$2:$C$1795,2,0)),"",(VLOOKUP($A1346,'Data Pull Sheet'!$B$2:$C$1795,2,0)))</f>
        <v>AFSI</v>
      </c>
      <c r="C1346" s="59" t="s">
        <v>446</v>
      </c>
      <c r="D1346" s="356" t="s">
        <v>470</v>
      </c>
      <c r="E1346" s="356" t="s">
        <v>471</v>
      </c>
      <c r="F1346" s="23" t="s">
        <v>195</v>
      </c>
      <c r="G1346" s="23" t="s">
        <v>417</v>
      </c>
      <c r="H1346" s="353">
        <v>199927.17</v>
      </c>
      <c r="I1346" s="59"/>
      <c r="J1346" s="59" t="s">
        <v>865</v>
      </c>
      <c r="K1346" s="20"/>
      <c r="L1346" s="20">
        <v>1</v>
      </c>
      <c r="M1346" s="357">
        <f t="shared" ref="M1346:M1351" si="38">H1346</f>
        <v>199927.17</v>
      </c>
      <c r="N1346" s="411">
        <f>IFERROR((M1346/(VLOOKUP(B1346,'Data Pull Sheet'!$C:$H,6,FALSE))),"DC")</f>
        <v>4.1651493750000004E-4</v>
      </c>
      <c r="O1346" s="23" t="s">
        <v>199</v>
      </c>
      <c r="P1346" s="92" t="s">
        <v>632</v>
      </c>
      <c r="Q1346" s="92" t="s">
        <v>633</v>
      </c>
      <c r="R1346" s="372" t="str">
        <f t="shared" ref="R1346:R1409" si="39">IF(COUNTIF(F:F,F1346)&gt;=2,"FF","")</f>
        <v>FF</v>
      </c>
    </row>
    <row r="1347" spans="1:18" x14ac:dyDescent="0.25">
      <c r="A1347" s="23" t="s">
        <v>66</v>
      </c>
      <c r="B1347" s="18" t="str">
        <f>IF(ISNA(VLOOKUP($A1347,'Data Pull Sheet'!$B$2:$C$1795,2,0)),"",(VLOOKUP($A1347,'Data Pull Sheet'!$B$2:$C$1795,2,0)))</f>
        <v>AFSI</v>
      </c>
      <c r="C1347" s="59" t="s">
        <v>446</v>
      </c>
      <c r="D1347" s="356" t="s">
        <v>470</v>
      </c>
      <c r="E1347" s="356" t="s">
        <v>471</v>
      </c>
      <c r="F1347" s="23" t="s">
        <v>384</v>
      </c>
      <c r="G1347" s="23" t="s">
        <v>417</v>
      </c>
      <c r="H1347" s="353">
        <v>202798.45</v>
      </c>
      <c r="I1347" s="59" t="s">
        <v>476</v>
      </c>
      <c r="J1347" s="59" t="s">
        <v>866</v>
      </c>
      <c r="K1347" s="20"/>
      <c r="L1347" s="20">
        <v>1</v>
      </c>
      <c r="M1347" s="357">
        <f t="shared" si="38"/>
        <v>202798.45</v>
      </c>
      <c r="N1347" s="411">
        <f>IFERROR((M1347/(VLOOKUP(B1347,'Data Pull Sheet'!$C:$H,6,FALSE))),"DC")</f>
        <v>4.2249677083333338E-4</v>
      </c>
      <c r="O1347" s="23" t="s">
        <v>867</v>
      </c>
      <c r="P1347" s="92" t="s">
        <v>632</v>
      </c>
      <c r="Q1347" s="92" t="s">
        <v>633</v>
      </c>
      <c r="R1347" s="372" t="str">
        <f t="shared" si="39"/>
        <v>FF</v>
      </c>
    </row>
    <row r="1348" spans="1:18" x14ac:dyDescent="0.25">
      <c r="A1348" s="23" t="s">
        <v>66</v>
      </c>
      <c r="B1348" s="18" t="str">
        <f>IF(ISNA(VLOOKUP($A1348,'Data Pull Sheet'!$B$2:$C$1795,2,0)),"",(VLOOKUP($A1348,'Data Pull Sheet'!$B$2:$C$1795,2,0)))</f>
        <v>AFSI</v>
      </c>
      <c r="C1348" s="59" t="s">
        <v>446</v>
      </c>
      <c r="D1348" s="356" t="s">
        <v>470</v>
      </c>
      <c r="E1348" s="356" t="s">
        <v>471</v>
      </c>
      <c r="F1348" s="23" t="s">
        <v>868</v>
      </c>
      <c r="G1348" s="23" t="s">
        <v>417</v>
      </c>
      <c r="H1348" s="353">
        <v>27024.54</v>
      </c>
      <c r="I1348" s="59"/>
      <c r="J1348" s="59" t="s">
        <v>869</v>
      </c>
      <c r="K1348" s="20"/>
      <c r="L1348" s="20">
        <v>1</v>
      </c>
      <c r="M1348" s="357">
        <f t="shared" si="38"/>
        <v>27024.54</v>
      </c>
      <c r="N1348" s="411">
        <f>IFERROR((M1348/(VLOOKUP(B1348,'Data Pull Sheet'!$C:$H,6,FALSE))),"DC")</f>
        <v>5.6301125000000004E-5</v>
      </c>
      <c r="O1348" s="23" t="s">
        <v>682</v>
      </c>
      <c r="P1348" s="92" t="s">
        <v>632</v>
      </c>
      <c r="Q1348" s="92" t="s">
        <v>633</v>
      </c>
      <c r="R1348" s="372" t="str">
        <f t="shared" si="39"/>
        <v/>
      </c>
    </row>
    <row r="1349" spans="1:18" x14ac:dyDescent="0.25">
      <c r="A1349" s="23" t="s">
        <v>107</v>
      </c>
      <c r="B1349" s="18" t="str">
        <f>IF(ISNA(VLOOKUP($A1349,'Data Pull Sheet'!$B$2:$C$1795,2,0)),"",(VLOOKUP($A1349,'Data Pull Sheet'!$B$2:$C$1795,2,0)))</f>
        <v>CBI</v>
      </c>
      <c r="C1349" s="59" t="s">
        <v>418</v>
      </c>
      <c r="D1349" s="356" t="s">
        <v>489</v>
      </c>
      <c r="E1349" s="356" t="s">
        <v>471</v>
      </c>
      <c r="F1349" s="23" t="s">
        <v>1326</v>
      </c>
      <c r="G1349" s="23" t="s">
        <v>417</v>
      </c>
      <c r="H1349" s="353">
        <v>397800.06</v>
      </c>
      <c r="I1349" s="59"/>
      <c r="J1349" s="59" t="s">
        <v>1327</v>
      </c>
      <c r="K1349" s="20">
        <v>6</v>
      </c>
      <c r="L1349" s="20">
        <v>1</v>
      </c>
      <c r="M1349" s="357">
        <f t="shared" si="38"/>
        <v>397800.06</v>
      </c>
      <c r="N1349" s="411">
        <f>IFERROR((M1349/(VLOOKUP(B1349,'Data Pull Sheet'!$C:$H,6,FALSE))),"DC")</f>
        <v>4.6800007058823528E-4</v>
      </c>
      <c r="O1349" s="23" t="s">
        <v>1328</v>
      </c>
      <c r="P1349" s="92" t="s">
        <v>632</v>
      </c>
      <c r="Q1349" s="92" t="s">
        <v>633</v>
      </c>
      <c r="R1349" s="372" t="str">
        <f t="shared" si="39"/>
        <v/>
      </c>
    </row>
    <row r="1350" spans="1:18" x14ac:dyDescent="0.25">
      <c r="A1350" s="23" t="s">
        <v>107</v>
      </c>
      <c r="B1350" s="18" t="str">
        <f>IF(ISNA(VLOOKUP($A1350,'Data Pull Sheet'!$B$2:$C$1795,2,0)),"",(VLOOKUP($A1350,'Data Pull Sheet'!$B$2:$C$1795,2,0)))</f>
        <v>CBI</v>
      </c>
      <c r="C1350" s="59" t="s">
        <v>418</v>
      </c>
      <c r="D1350" s="356" t="s">
        <v>489</v>
      </c>
      <c r="E1350" s="356" t="s">
        <v>471</v>
      </c>
      <c r="F1350" s="23" t="s">
        <v>1329</v>
      </c>
      <c r="G1350" s="23" t="s">
        <v>417</v>
      </c>
      <c r="H1350" s="353">
        <v>850127.1</v>
      </c>
      <c r="I1350" s="59"/>
      <c r="J1350" s="59" t="s">
        <v>1330</v>
      </c>
      <c r="K1350" s="20"/>
      <c r="L1350" s="20">
        <v>1</v>
      </c>
      <c r="M1350" s="357">
        <f t="shared" si="38"/>
        <v>850127.1</v>
      </c>
      <c r="N1350" s="411">
        <f>IFERROR((M1350/(VLOOKUP(B1350,'Data Pull Sheet'!$C:$H,6,FALSE))),"DC")</f>
        <v>1.0001495294117647E-3</v>
      </c>
      <c r="O1350" s="23" t="s">
        <v>1331</v>
      </c>
      <c r="P1350" s="92" t="s">
        <v>632</v>
      </c>
      <c r="Q1350" s="92" t="s">
        <v>633</v>
      </c>
      <c r="R1350" s="372" t="str">
        <f t="shared" si="39"/>
        <v/>
      </c>
    </row>
    <row r="1351" spans="1:18" x14ac:dyDescent="0.25">
      <c r="A1351" s="23" t="s">
        <v>107</v>
      </c>
      <c r="B1351" s="18" t="str">
        <f>IF(ISNA(VLOOKUP($A1351,'Data Pull Sheet'!$B$2:$C$1795,2,0)),"",(VLOOKUP($A1351,'Data Pull Sheet'!$B$2:$C$1795,2,0)))</f>
        <v>CBI</v>
      </c>
      <c r="C1351" s="59" t="s">
        <v>418</v>
      </c>
      <c r="D1351" s="356" t="s">
        <v>489</v>
      </c>
      <c r="E1351" s="356" t="s">
        <v>471</v>
      </c>
      <c r="F1351" s="23" t="s">
        <v>1332</v>
      </c>
      <c r="G1351" s="23" t="s">
        <v>417</v>
      </c>
      <c r="H1351" s="353">
        <v>3076000.83</v>
      </c>
      <c r="I1351" s="59"/>
      <c r="J1351" s="59" t="s">
        <v>1333</v>
      </c>
      <c r="K1351" s="20"/>
      <c r="L1351" s="20">
        <v>1</v>
      </c>
      <c r="M1351" s="357">
        <f t="shared" si="38"/>
        <v>3076000.83</v>
      </c>
      <c r="N1351" s="411">
        <f>IFERROR((M1351/(VLOOKUP(B1351,'Data Pull Sheet'!$C:$H,6,FALSE))),"DC")</f>
        <v>3.618824505882353E-3</v>
      </c>
      <c r="O1351" s="23" t="s">
        <v>849</v>
      </c>
      <c r="P1351" s="92" t="s">
        <v>632</v>
      </c>
      <c r="Q1351" s="92" t="s">
        <v>633</v>
      </c>
      <c r="R1351" s="372" t="str">
        <f t="shared" si="39"/>
        <v/>
      </c>
    </row>
    <row r="1352" spans="1:18" x14ac:dyDescent="0.25">
      <c r="A1352" s="23" t="s">
        <v>107</v>
      </c>
      <c r="B1352" s="18" t="str">
        <f>IF(ISNA(VLOOKUP($A1352,'Data Pull Sheet'!$B$2:$C$1795,2,0)),"",(VLOOKUP($A1352,'Data Pull Sheet'!$B$2:$C$1795,2,0)))</f>
        <v>CBI</v>
      </c>
      <c r="C1352" s="59" t="s">
        <v>418</v>
      </c>
      <c r="D1352" s="356" t="s">
        <v>489</v>
      </c>
      <c r="E1352" s="356" t="s">
        <v>471</v>
      </c>
      <c r="F1352" s="23" t="s">
        <v>1334</v>
      </c>
      <c r="G1352" s="23" t="s">
        <v>417</v>
      </c>
      <c r="H1352" s="353">
        <v>1526000</v>
      </c>
      <c r="I1352" s="59" t="s">
        <v>442</v>
      </c>
      <c r="J1352" s="59" t="s">
        <v>1335</v>
      </c>
      <c r="K1352" s="20"/>
      <c r="L1352" s="20">
        <v>2</v>
      </c>
      <c r="M1352" s="357">
        <f>SUM(H1352:H1353)</f>
        <v>3210612</v>
      </c>
      <c r="N1352" s="411">
        <f>IFERROR((M1352/(VLOOKUP(B1352,'Data Pull Sheet'!$C:$H,6,FALSE))),"DC")</f>
        <v>3.777190588235294E-3</v>
      </c>
      <c r="O1352" s="23" t="s">
        <v>79</v>
      </c>
      <c r="P1352" s="92" t="s">
        <v>632</v>
      </c>
      <c r="Q1352" s="92" t="s">
        <v>640</v>
      </c>
      <c r="R1352" s="372" t="str">
        <f t="shared" si="39"/>
        <v>FF</v>
      </c>
    </row>
    <row r="1353" spans="1:18" ht="30" x14ac:dyDescent="0.25">
      <c r="A1353" s="23" t="s">
        <v>107</v>
      </c>
      <c r="B1353" s="18" t="str">
        <f>IF(ISNA(VLOOKUP($A1353,'Data Pull Sheet'!$B$2:$C$1795,2,0)),"",(VLOOKUP($A1353,'Data Pull Sheet'!$B$2:$C$1795,2,0)))</f>
        <v>CBI</v>
      </c>
      <c r="C1353" s="59" t="s">
        <v>418</v>
      </c>
      <c r="D1353" s="356" t="s">
        <v>489</v>
      </c>
      <c r="E1353" s="356" t="s">
        <v>471</v>
      </c>
      <c r="F1353" s="23" t="s">
        <v>206</v>
      </c>
      <c r="G1353" s="23" t="s">
        <v>417</v>
      </c>
      <c r="H1353" s="353">
        <v>1684612</v>
      </c>
      <c r="I1353" s="59" t="s">
        <v>413</v>
      </c>
      <c r="J1353" s="59" t="s">
        <v>1336</v>
      </c>
      <c r="K1353" s="20"/>
      <c r="L1353" s="20"/>
      <c r="M1353" s="357"/>
      <c r="N1353" s="411"/>
      <c r="O1353" s="23" t="s">
        <v>79</v>
      </c>
      <c r="P1353" s="92" t="s">
        <v>632</v>
      </c>
      <c r="Q1353" s="92" t="s">
        <v>640</v>
      </c>
      <c r="R1353" s="372" t="str">
        <f t="shared" si="39"/>
        <v>FF</v>
      </c>
    </row>
    <row r="1354" spans="1:18" x14ac:dyDescent="0.25">
      <c r="A1354" s="23" t="s">
        <v>107</v>
      </c>
      <c r="B1354" s="18" t="str">
        <f>IF(ISNA(VLOOKUP($A1354,'Data Pull Sheet'!$B$2:$C$1795,2,0)),"",(VLOOKUP($A1354,'Data Pull Sheet'!$B$2:$C$1795,2,0)))</f>
        <v>CBI</v>
      </c>
      <c r="C1354" s="59" t="s">
        <v>418</v>
      </c>
      <c r="D1354" s="356" t="s">
        <v>489</v>
      </c>
      <c r="E1354" s="356" t="s">
        <v>471</v>
      </c>
      <c r="F1354" s="23" t="s">
        <v>10860</v>
      </c>
      <c r="G1354" s="23" t="s">
        <v>417</v>
      </c>
      <c r="H1354" s="353">
        <v>501193.45</v>
      </c>
      <c r="I1354" s="59"/>
      <c r="J1354" s="59" t="s">
        <v>1337</v>
      </c>
      <c r="K1354" s="20"/>
      <c r="L1354" s="20">
        <v>2</v>
      </c>
      <c r="M1354" s="357">
        <f>SUM(H1354:H1355)</f>
        <v>2171229.77</v>
      </c>
      <c r="N1354" s="411">
        <f>IFERROR((M1354/(VLOOKUP(B1354,'Data Pull Sheet'!$C:$H,6,FALSE))),"DC")</f>
        <v>2.5543879647058824E-3</v>
      </c>
      <c r="O1354" s="23" t="s">
        <v>7</v>
      </c>
      <c r="P1354" s="92" t="s">
        <v>632</v>
      </c>
      <c r="Q1354" s="92" t="s">
        <v>640</v>
      </c>
      <c r="R1354" s="372" t="str">
        <f t="shared" si="39"/>
        <v>FF</v>
      </c>
    </row>
    <row r="1355" spans="1:18" x14ac:dyDescent="0.25">
      <c r="A1355" s="23" t="s">
        <v>107</v>
      </c>
      <c r="B1355" s="18" t="str">
        <f>IF(ISNA(VLOOKUP($A1355,'Data Pull Sheet'!$B$2:$C$1795,2,0)),"",(VLOOKUP($A1355,'Data Pull Sheet'!$B$2:$C$1795,2,0)))</f>
        <v>CBI</v>
      </c>
      <c r="C1355" s="59" t="s">
        <v>418</v>
      </c>
      <c r="D1355" s="356" t="s">
        <v>489</v>
      </c>
      <c r="E1355" s="356" t="s">
        <v>471</v>
      </c>
      <c r="F1355" s="23" t="s">
        <v>111</v>
      </c>
      <c r="G1355" s="23" t="s">
        <v>417</v>
      </c>
      <c r="H1355" s="353">
        <v>1670036.32</v>
      </c>
      <c r="I1355" s="59"/>
      <c r="J1355" s="59" t="s">
        <v>1338</v>
      </c>
      <c r="K1355" s="20"/>
      <c r="L1355" s="20"/>
      <c r="M1355" s="357"/>
      <c r="N1355" s="411"/>
      <c r="O1355" s="23" t="s">
        <v>7</v>
      </c>
      <c r="P1355" s="92" t="s">
        <v>632</v>
      </c>
      <c r="Q1355" s="92" t="s">
        <v>640</v>
      </c>
      <c r="R1355" s="372" t="str">
        <f t="shared" si="39"/>
        <v>FF</v>
      </c>
    </row>
    <row r="1356" spans="1:18" ht="30" x14ac:dyDescent="0.25">
      <c r="A1356" s="23" t="s">
        <v>107</v>
      </c>
      <c r="B1356" s="18" t="str">
        <f>IF(ISNA(VLOOKUP($A1356,'Data Pull Sheet'!$B$2:$C$1795,2,0)),"",(VLOOKUP($A1356,'Data Pull Sheet'!$B$2:$C$1795,2,0)))</f>
        <v>CBI</v>
      </c>
      <c r="C1356" s="59" t="s">
        <v>418</v>
      </c>
      <c r="D1356" s="356" t="s">
        <v>489</v>
      </c>
      <c r="E1356" s="356" t="s">
        <v>471</v>
      </c>
      <c r="F1356" s="23" t="s">
        <v>1323</v>
      </c>
      <c r="G1356" s="23" t="s">
        <v>417</v>
      </c>
      <c r="H1356" s="353">
        <v>762373.56</v>
      </c>
      <c r="I1356" s="59" t="s">
        <v>406</v>
      </c>
      <c r="J1356" s="59" t="s">
        <v>1324</v>
      </c>
      <c r="K1356" s="20"/>
      <c r="L1356" s="20">
        <v>2</v>
      </c>
      <c r="M1356" s="357">
        <f>SUM(H1356:H1357)</f>
        <v>1661826.21</v>
      </c>
      <c r="N1356" s="411">
        <f>IFERROR((M1356/(VLOOKUP(B1356,'Data Pull Sheet'!$C:$H,6,FALSE))),"DC")</f>
        <v>1.9550896588235293E-3</v>
      </c>
      <c r="O1356" s="23" t="s">
        <v>10839</v>
      </c>
      <c r="P1356" s="92" t="s">
        <v>632</v>
      </c>
      <c r="Q1356" s="92" t="s">
        <v>640</v>
      </c>
      <c r="R1356" s="372" t="str">
        <f t="shared" si="39"/>
        <v/>
      </c>
    </row>
    <row r="1357" spans="1:18" ht="30" x14ac:dyDescent="0.25">
      <c r="A1357" s="23" t="s">
        <v>107</v>
      </c>
      <c r="B1357" s="18" t="str">
        <f>IF(ISNA(VLOOKUP($A1357,'Data Pull Sheet'!$B$2:$C$1795,2,0)),"",(VLOOKUP($A1357,'Data Pull Sheet'!$B$2:$C$1795,2,0)))</f>
        <v>CBI</v>
      </c>
      <c r="C1357" s="59" t="s">
        <v>418</v>
      </c>
      <c r="D1357" s="356" t="s">
        <v>489</v>
      </c>
      <c r="E1357" s="356" t="s">
        <v>471</v>
      </c>
      <c r="F1357" s="23" t="s">
        <v>332</v>
      </c>
      <c r="G1357" s="23" t="s">
        <v>417</v>
      </c>
      <c r="H1357" s="353">
        <v>899452.65</v>
      </c>
      <c r="I1357" s="59" t="s">
        <v>406</v>
      </c>
      <c r="J1357" s="59" t="s">
        <v>1325</v>
      </c>
      <c r="K1357" s="20"/>
      <c r="L1357" s="20"/>
      <c r="M1357" s="357"/>
      <c r="N1357" s="411"/>
      <c r="O1357" s="23" t="s">
        <v>10839</v>
      </c>
      <c r="P1357" s="92" t="s">
        <v>632</v>
      </c>
      <c r="Q1357" s="92" t="s">
        <v>640</v>
      </c>
      <c r="R1357" s="372" t="str">
        <f t="shared" si="39"/>
        <v>FF</v>
      </c>
    </row>
    <row r="1358" spans="1:18" x14ac:dyDescent="0.25">
      <c r="A1358" s="23" t="s">
        <v>2804</v>
      </c>
      <c r="B1358" s="18" t="str">
        <f>IF(ISNA(VLOOKUP($A1358,'Data Pull Sheet'!$B$2:$C$1795,2,0)),"",(VLOOKUP($A1358,'Data Pull Sheet'!$B$2:$C$1795,2,0)))</f>
        <v>NFLX</v>
      </c>
      <c r="C1358" s="59" t="s">
        <v>457</v>
      </c>
      <c r="D1358" s="356" t="s">
        <v>2805</v>
      </c>
      <c r="E1358" s="356" t="s">
        <v>471</v>
      </c>
      <c r="F1358" s="23" t="s">
        <v>2806</v>
      </c>
      <c r="G1358" s="23" t="s">
        <v>403</v>
      </c>
      <c r="H1358" s="353">
        <v>18865.5</v>
      </c>
      <c r="I1358" s="59"/>
      <c r="J1358" s="59" t="s">
        <v>2807</v>
      </c>
      <c r="K1358" s="20">
        <v>2</v>
      </c>
      <c r="L1358" s="20">
        <v>1</v>
      </c>
      <c r="M1358" s="357">
        <f>H1358</f>
        <v>18865.5</v>
      </c>
      <c r="N1358" s="411">
        <f>IFERROR((M1358/(VLOOKUP(B1358,'Data Pull Sheet'!$C:$H,6,FALSE))),"DC")</f>
        <v>2.5154000000000001E-6</v>
      </c>
      <c r="O1358" s="23" t="s">
        <v>2808</v>
      </c>
      <c r="P1358" s="92" t="s">
        <v>632</v>
      </c>
      <c r="Q1358" s="92" t="s">
        <v>637</v>
      </c>
      <c r="R1358" s="372" t="str">
        <f t="shared" si="39"/>
        <v/>
      </c>
    </row>
    <row r="1359" spans="1:18" x14ac:dyDescent="0.25">
      <c r="A1359" s="23" t="s">
        <v>2804</v>
      </c>
      <c r="B1359" s="18" t="str">
        <f>IF(ISNA(VLOOKUP($A1359,'Data Pull Sheet'!$B$2:$C$1795,2,0)),"",(VLOOKUP($A1359,'Data Pull Sheet'!$B$2:$C$1795,2,0)))</f>
        <v>NFLX</v>
      </c>
      <c r="C1359" s="59" t="s">
        <v>457</v>
      </c>
      <c r="D1359" s="356" t="s">
        <v>2805</v>
      </c>
      <c r="E1359" s="356" t="s">
        <v>471</v>
      </c>
      <c r="F1359" s="23" t="s">
        <v>2809</v>
      </c>
      <c r="G1359" s="23" t="s">
        <v>403</v>
      </c>
      <c r="H1359" s="353">
        <v>8428.34</v>
      </c>
      <c r="I1359" s="59"/>
      <c r="J1359" s="59" t="s">
        <v>2810</v>
      </c>
      <c r="K1359" s="20"/>
      <c r="L1359" s="20">
        <v>1</v>
      </c>
      <c r="M1359" s="357">
        <f>H1359</f>
        <v>8428.34</v>
      </c>
      <c r="N1359" s="411">
        <f>IFERROR((M1359/(VLOOKUP(B1359,'Data Pull Sheet'!$C:$H,6,FALSE))),"DC")</f>
        <v>1.1237786666666667E-6</v>
      </c>
      <c r="O1359" s="23" t="s">
        <v>63</v>
      </c>
      <c r="P1359" s="92" t="s">
        <v>632</v>
      </c>
      <c r="Q1359" s="92" t="s">
        <v>637</v>
      </c>
      <c r="R1359" s="372" t="str">
        <f t="shared" si="39"/>
        <v/>
      </c>
    </row>
    <row r="1360" spans="1:18" x14ac:dyDescent="0.25">
      <c r="A1360" s="23" t="s">
        <v>2917</v>
      </c>
      <c r="B1360" s="18" t="str">
        <f>IF(ISNA(VLOOKUP($A1360,'Data Pull Sheet'!$B$2:$C$1795,2,0)),"",(VLOOKUP($A1360,'Data Pull Sheet'!$B$2:$C$1795,2,0)))</f>
        <v>OME</v>
      </c>
      <c r="C1360" s="59" t="s">
        <v>446</v>
      </c>
      <c r="D1360" s="356" t="s">
        <v>451</v>
      </c>
      <c r="E1360" s="356" t="s">
        <v>471</v>
      </c>
      <c r="F1360" s="23" t="s">
        <v>2918</v>
      </c>
      <c r="G1360" s="23" t="s">
        <v>403</v>
      </c>
      <c r="H1360" s="353">
        <v>663</v>
      </c>
      <c r="I1360" s="59"/>
      <c r="J1360" s="59" t="s">
        <v>2919</v>
      </c>
      <c r="K1360" s="20">
        <v>2</v>
      </c>
      <c r="L1360" s="20">
        <v>7</v>
      </c>
      <c r="M1360" s="357">
        <f>SUM(H1360:H1366)</f>
        <v>8521</v>
      </c>
      <c r="N1360" s="411">
        <f>IFERROR((M1360/(VLOOKUP(B1360,'Data Pull Sheet'!$C:$H,6,FALSE))),"DC")</f>
        <v>1.2172857142857142E-4</v>
      </c>
      <c r="O1360" s="23" t="s">
        <v>554</v>
      </c>
      <c r="P1360" s="92" t="s">
        <v>632</v>
      </c>
      <c r="Q1360" s="92" t="s">
        <v>646</v>
      </c>
      <c r="R1360" s="372" t="str">
        <f t="shared" si="39"/>
        <v/>
      </c>
    </row>
    <row r="1361" spans="1:18" x14ac:dyDescent="0.25">
      <c r="A1361" s="23" t="s">
        <v>2917</v>
      </c>
      <c r="B1361" s="18" t="str">
        <f>IF(ISNA(VLOOKUP($A1361,'Data Pull Sheet'!$B$2:$C$1795,2,0)),"",(VLOOKUP($A1361,'Data Pull Sheet'!$B$2:$C$1795,2,0)))</f>
        <v>OME</v>
      </c>
      <c r="C1361" s="59" t="s">
        <v>446</v>
      </c>
      <c r="D1361" s="356" t="s">
        <v>451</v>
      </c>
      <c r="E1361" s="356" t="s">
        <v>471</v>
      </c>
      <c r="F1361" s="23" t="s">
        <v>2920</v>
      </c>
      <c r="G1361" s="23" t="s">
        <v>403</v>
      </c>
      <c r="H1361" s="353">
        <v>811</v>
      </c>
      <c r="I1361" s="59"/>
      <c r="J1361" s="59" t="s">
        <v>2921</v>
      </c>
      <c r="K1361" s="20"/>
      <c r="L1361" s="20"/>
      <c r="M1361" s="357"/>
      <c r="N1361" s="411"/>
      <c r="O1361" s="23" t="s">
        <v>554</v>
      </c>
      <c r="P1361" s="92" t="s">
        <v>632</v>
      </c>
      <c r="Q1361" s="92" t="s">
        <v>646</v>
      </c>
      <c r="R1361" s="372" t="str">
        <f t="shared" si="39"/>
        <v/>
      </c>
    </row>
    <row r="1362" spans="1:18" x14ac:dyDescent="0.25">
      <c r="A1362" s="23" t="s">
        <v>2917</v>
      </c>
      <c r="B1362" s="18" t="str">
        <f>IF(ISNA(VLOOKUP($A1362,'Data Pull Sheet'!$B$2:$C$1795,2,0)),"",(VLOOKUP($A1362,'Data Pull Sheet'!$B$2:$C$1795,2,0)))</f>
        <v>OME</v>
      </c>
      <c r="C1362" s="59" t="s">
        <v>446</v>
      </c>
      <c r="D1362" s="356" t="s">
        <v>451</v>
      </c>
      <c r="E1362" s="356" t="s">
        <v>471</v>
      </c>
      <c r="F1362" s="23" t="s">
        <v>2922</v>
      </c>
      <c r="G1362" s="23" t="s">
        <v>403</v>
      </c>
      <c r="H1362" s="353">
        <v>881</v>
      </c>
      <c r="I1362" s="59"/>
      <c r="J1362" s="59" t="s">
        <v>2923</v>
      </c>
      <c r="K1362" s="20"/>
      <c r="L1362" s="20"/>
      <c r="M1362" s="357"/>
      <c r="N1362" s="411"/>
      <c r="O1362" s="23" t="s">
        <v>554</v>
      </c>
      <c r="P1362" s="92" t="s">
        <v>632</v>
      </c>
      <c r="Q1362" s="92" t="s">
        <v>646</v>
      </c>
      <c r="R1362" s="372" t="str">
        <f t="shared" si="39"/>
        <v/>
      </c>
    </row>
    <row r="1363" spans="1:18" x14ac:dyDescent="0.25">
      <c r="A1363" s="23" t="s">
        <v>2917</v>
      </c>
      <c r="B1363" s="18" t="str">
        <f>IF(ISNA(VLOOKUP($A1363,'Data Pull Sheet'!$B$2:$C$1795,2,0)),"",(VLOOKUP($A1363,'Data Pull Sheet'!$B$2:$C$1795,2,0)))</f>
        <v>OME</v>
      </c>
      <c r="C1363" s="59" t="s">
        <v>446</v>
      </c>
      <c r="D1363" s="356" t="s">
        <v>451</v>
      </c>
      <c r="E1363" s="356" t="s">
        <v>471</v>
      </c>
      <c r="F1363" s="23" t="s">
        <v>2924</v>
      </c>
      <c r="G1363" s="23" t="s">
        <v>403</v>
      </c>
      <c r="H1363" s="353">
        <v>1081</v>
      </c>
      <c r="I1363" s="59"/>
      <c r="J1363" s="59" t="s">
        <v>2925</v>
      </c>
      <c r="K1363" s="20"/>
      <c r="L1363" s="20"/>
      <c r="M1363" s="357"/>
      <c r="N1363" s="411"/>
      <c r="O1363" s="23" t="s">
        <v>554</v>
      </c>
      <c r="P1363" s="92" t="s">
        <v>632</v>
      </c>
      <c r="Q1363" s="92" t="s">
        <v>646</v>
      </c>
      <c r="R1363" s="372" t="str">
        <f t="shared" si="39"/>
        <v/>
      </c>
    </row>
    <row r="1364" spans="1:18" x14ac:dyDescent="0.25">
      <c r="A1364" s="23" t="s">
        <v>2917</v>
      </c>
      <c r="B1364" s="18" t="str">
        <f>IF(ISNA(VLOOKUP($A1364,'Data Pull Sheet'!$B$2:$C$1795,2,0)),"",(VLOOKUP($A1364,'Data Pull Sheet'!$B$2:$C$1795,2,0)))</f>
        <v>OME</v>
      </c>
      <c r="C1364" s="59" t="s">
        <v>446</v>
      </c>
      <c r="D1364" s="356" t="s">
        <v>451</v>
      </c>
      <c r="E1364" s="356" t="s">
        <v>471</v>
      </c>
      <c r="F1364" s="23" t="s">
        <v>2926</v>
      </c>
      <c r="G1364" s="23" t="s">
        <v>403</v>
      </c>
      <c r="H1364" s="353">
        <v>1266</v>
      </c>
      <c r="I1364" s="59"/>
      <c r="J1364" s="59" t="s">
        <v>2927</v>
      </c>
      <c r="K1364" s="20"/>
      <c r="L1364" s="20"/>
      <c r="M1364" s="357"/>
      <c r="N1364" s="411"/>
      <c r="O1364" s="23" t="s">
        <v>554</v>
      </c>
      <c r="P1364" s="92" t="s">
        <v>632</v>
      </c>
      <c r="Q1364" s="92" t="s">
        <v>646</v>
      </c>
      <c r="R1364" s="372" t="str">
        <f t="shared" si="39"/>
        <v/>
      </c>
    </row>
    <row r="1365" spans="1:18" x14ac:dyDescent="0.25">
      <c r="A1365" s="23" t="s">
        <v>2917</v>
      </c>
      <c r="B1365" s="18" t="str">
        <f>IF(ISNA(VLOOKUP($A1365,'Data Pull Sheet'!$B$2:$C$1795,2,0)),"",(VLOOKUP($A1365,'Data Pull Sheet'!$B$2:$C$1795,2,0)))</f>
        <v>OME</v>
      </c>
      <c r="C1365" s="59" t="s">
        <v>446</v>
      </c>
      <c r="D1365" s="356" t="s">
        <v>451</v>
      </c>
      <c r="E1365" s="356" t="s">
        <v>471</v>
      </c>
      <c r="F1365" s="23" t="s">
        <v>2928</v>
      </c>
      <c r="G1365" s="23" t="s">
        <v>403</v>
      </c>
      <c r="H1365" s="353">
        <v>1893</v>
      </c>
      <c r="I1365" s="59"/>
      <c r="J1365" s="59" t="s">
        <v>2929</v>
      </c>
      <c r="K1365" s="20"/>
      <c r="L1365" s="20"/>
      <c r="M1365" s="357"/>
      <c r="N1365" s="411"/>
      <c r="O1365" s="23" t="s">
        <v>554</v>
      </c>
      <c r="P1365" s="92" t="s">
        <v>632</v>
      </c>
      <c r="Q1365" s="92" t="s">
        <v>646</v>
      </c>
      <c r="R1365" s="372" t="str">
        <f t="shared" si="39"/>
        <v/>
      </c>
    </row>
    <row r="1366" spans="1:18" x14ac:dyDescent="0.25">
      <c r="A1366" s="23" t="s">
        <v>2917</v>
      </c>
      <c r="B1366" s="18" t="str">
        <f>IF(ISNA(VLOOKUP($A1366,'Data Pull Sheet'!$B$2:$C$1795,2,0)),"",(VLOOKUP($A1366,'Data Pull Sheet'!$B$2:$C$1795,2,0)))</f>
        <v>OME</v>
      </c>
      <c r="C1366" s="59" t="s">
        <v>446</v>
      </c>
      <c r="D1366" s="356" t="s">
        <v>451</v>
      </c>
      <c r="E1366" s="356" t="s">
        <v>471</v>
      </c>
      <c r="F1366" s="23" t="s">
        <v>2930</v>
      </c>
      <c r="G1366" s="23" t="s">
        <v>403</v>
      </c>
      <c r="H1366" s="353">
        <v>1926</v>
      </c>
      <c r="I1366" s="59"/>
      <c r="J1366" s="59" t="s">
        <v>2931</v>
      </c>
      <c r="K1366" s="20"/>
      <c r="L1366" s="20"/>
      <c r="M1366" s="357"/>
      <c r="N1366" s="411"/>
      <c r="O1366" s="23" t="s">
        <v>554</v>
      </c>
      <c r="P1366" s="92" t="s">
        <v>632</v>
      </c>
      <c r="Q1366" s="92" t="s">
        <v>646</v>
      </c>
      <c r="R1366" s="372" t="str">
        <f t="shared" si="39"/>
        <v/>
      </c>
    </row>
    <row r="1367" spans="1:18" ht="30" x14ac:dyDescent="0.25">
      <c r="A1367" s="23" t="s">
        <v>2917</v>
      </c>
      <c r="B1367" s="18" t="str">
        <f>IF(ISNA(VLOOKUP($A1367,'Data Pull Sheet'!$B$2:$C$1795,2,0)),"",(VLOOKUP($A1367,'Data Pull Sheet'!$B$2:$C$1795,2,0)))</f>
        <v>OME</v>
      </c>
      <c r="C1367" s="59" t="s">
        <v>446</v>
      </c>
      <c r="D1367" s="356" t="s">
        <v>451</v>
      </c>
      <c r="E1367" s="356" t="s">
        <v>471</v>
      </c>
      <c r="F1367" s="23" t="s">
        <v>2932</v>
      </c>
      <c r="G1367" s="23" t="s">
        <v>417</v>
      </c>
      <c r="H1367" s="353">
        <v>24251.94</v>
      </c>
      <c r="I1367" s="59"/>
      <c r="J1367" s="59" t="s">
        <v>2933</v>
      </c>
      <c r="K1367" s="20"/>
      <c r="L1367" s="20">
        <v>1</v>
      </c>
      <c r="M1367" s="357">
        <f>H1367</f>
        <v>24251.94</v>
      </c>
      <c r="N1367" s="411">
        <f>IFERROR((M1367/(VLOOKUP(B1367,'Data Pull Sheet'!$C:$H,6,FALSE))),"DC")</f>
        <v>3.464562857142857E-4</v>
      </c>
      <c r="O1367" s="23" t="s">
        <v>2934</v>
      </c>
      <c r="P1367" s="92" t="s">
        <v>632</v>
      </c>
      <c r="Q1367" s="92" t="s">
        <v>633</v>
      </c>
      <c r="R1367" s="372" t="str">
        <f t="shared" si="39"/>
        <v>FF</v>
      </c>
    </row>
    <row r="1368" spans="1:18" x14ac:dyDescent="0.25">
      <c r="A1368" s="23" t="s">
        <v>49</v>
      </c>
      <c r="B1368" s="18" t="str">
        <f>IF(ISNA(VLOOKUP($A1368,'Data Pull Sheet'!$B$2:$C$1795,2,0)),"",(VLOOKUP($A1368,'Data Pull Sheet'!$B$2:$C$1795,2,0)))</f>
        <v>BW</v>
      </c>
      <c r="C1368" s="59" t="s">
        <v>450</v>
      </c>
      <c r="D1368" s="356" t="s">
        <v>451</v>
      </c>
      <c r="E1368" s="356" t="s">
        <v>452</v>
      </c>
      <c r="F1368" s="23" t="s">
        <v>39</v>
      </c>
      <c r="G1368" s="23" t="s">
        <v>417</v>
      </c>
      <c r="H1368" s="353">
        <v>5470011.8700000001</v>
      </c>
      <c r="I1368" s="59" t="s">
        <v>406</v>
      </c>
      <c r="J1368" s="59" t="s">
        <v>980</v>
      </c>
      <c r="K1368" s="20">
        <v>2</v>
      </c>
      <c r="L1368" s="20">
        <v>1</v>
      </c>
      <c r="M1368" s="357">
        <f>H1368</f>
        <v>5470011.8700000001</v>
      </c>
      <c r="N1368" s="411">
        <f>IFERROR((M1368/(VLOOKUP(B1368,'Data Pull Sheet'!$C:$H,6,FALSE))),"DC")</f>
        <v>2.2791716125E-2</v>
      </c>
      <c r="O1368" s="23" t="s">
        <v>981</v>
      </c>
      <c r="P1368" s="92" t="s">
        <v>632</v>
      </c>
      <c r="Q1368" s="92" t="s">
        <v>633</v>
      </c>
      <c r="R1368" s="372" t="str">
        <f t="shared" si="39"/>
        <v>FF</v>
      </c>
    </row>
    <row r="1369" spans="1:18" ht="30" x14ac:dyDescent="0.25">
      <c r="A1369" s="23" t="s">
        <v>49</v>
      </c>
      <c r="B1369" s="18" t="str">
        <f>IF(ISNA(VLOOKUP($A1369,'Data Pull Sheet'!$B$2:$C$1795,2,0)),"",(VLOOKUP($A1369,'Data Pull Sheet'!$B$2:$C$1795,2,0)))</f>
        <v>BW</v>
      </c>
      <c r="C1369" s="59" t="s">
        <v>450</v>
      </c>
      <c r="D1369" s="356" t="s">
        <v>451</v>
      </c>
      <c r="E1369" s="356" t="s">
        <v>452</v>
      </c>
      <c r="F1369" s="23" t="s">
        <v>118</v>
      </c>
      <c r="G1369" s="23" t="s">
        <v>417</v>
      </c>
      <c r="H1369" s="353">
        <v>468903.39</v>
      </c>
      <c r="I1369" s="59"/>
      <c r="J1369" s="59" t="s">
        <v>982</v>
      </c>
      <c r="K1369" s="20"/>
      <c r="L1369" s="20">
        <v>1</v>
      </c>
      <c r="M1369" s="357">
        <f>H1369</f>
        <v>468903.39</v>
      </c>
      <c r="N1369" s="411">
        <f>IFERROR((M1369/(VLOOKUP(B1369,'Data Pull Sheet'!$C:$H,6,FALSE))),"DC")</f>
        <v>1.9537641250000001E-3</v>
      </c>
      <c r="O1369" s="23" t="s">
        <v>983</v>
      </c>
      <c r="P1369" s="92" t="s">
        <v>632</v>
      </c>
      <c r="Q1369" s="92" t="s">
        <v>633</v>
      </c>
      <c r="R1369" s="372" t="str">
        <f t="shared" si="39"/>
        <v>FF</v>
      </c>
    </row>
    <row r="1370" spans="1:18" x14ac:dyDescent="0.25">
      <c r="A1370" s="23" t="s">
        <v>328</v>
      </c>
      <c r="B1370" s="18" t="str">
        <f>IF(ISNA(VLOOKUP($A1370,'Data Pull Sheet'!$B$2:$C$1795,2,0)),"",(VLOOKUP($A1370,'Data Pull Sheet'!$B$2:$C$1795,2,0)))</f>
        <v>CAT</v>
      </c>
      <c r="C1370" s="59" t="s">
        <v>465</v>
      </c>
      <c r="D1370" s="356" t="s">
        <v>451</v>
      </c>
      <c r="E1370" s="356" t="s">
        <v>452</v>
      </c>
      <c r="F1370" s="23" t="s">
        <v>327</v>
      </c>
      <c r="G1370" s="23" t="s">
        <v>417</v>
      </c>
      <c r="H1370" s="353">
        <v>990918.58</v>
      </c>
      <c r="I1370" s="59" t="s">
        <v>406</v>
      </c>
      <c r="J1370" s="59" t="s">
        <v>1165</v>
      </c>
      <c r="K1370" s="20">
        <v>2</v>
      </c>
      <c r="L1370" s="20">
        <v>1</v>
      </c>
      <c r="M1370" s="357">
        <f>H1370</f>
        <v>990918.58</v>
      </c>
      <c r="N1370" s="411">
        <f>IFERROR((M1370/(VLOOKUP(B1370,'Data Pull Sheet'!$C:$H,6,FALSE))),"DC")</f>
        <v>2.8311959428571429E-3</v>
      </c>
      <c r="O1370" s="23" t="s">
        <v>1166</v>
      </c>
      <c r="P1370" s="92" t="s">
        <v>632</v>
      </c>
      <c r="Q1370" s="92" t="s">
        <v>633</v>
      </c>
      <c r="R1370" s="372" t="str">
        <f t="shared" si="39"/>
        <v>FF</v>
      </c>
    </row>
    <row r="1371" spans="1:18" ht="30" x14ac:dyDescent="0.25">
      <c r="A1371" s="23" t="s">
        <v>328</v>
      </c>
      <c r="B1371" s="18" t="str">
        <f>IF(ISNA(VLOOKUP($A1371,'Data Pull Sheet'!$B$2:$C$1795,2,0)),"",(VLOOKUP($A1371,'Data Pull Sheet'!$B$2:$C$1795,2,0)))</f>
        <v>CAT</v>
      </c>
      <c r="C1371" s="59" t="s">
        <v>465</v>
      </c>
      <c r="D1371" s="356" t="s">
        <v>451</v>
      </c>
      <c r="E1371" s="356" t="s">
        <v>452</v>
      </c>
      <c r="F1371" s="23" t="s">
        <v>1167</v>
      </c>
      <c r="G1371" s="23" t="s">
        <v>403</v>
      </c>
      <c r="H1371" s="353">
        <v>362</v>
      </c>
      <c r="I1371" s="59"/>
      <c r="J1371" s="59" t="s">
        <v>1168</v>
      </c>
      <c r="K1371" s="20"/>
      <c r="L1371" s="20">
        <v>3</v>
      </c>
      <c r="M1371" s="357">
        <f>SUM(H1371:H1373)</f>
        <v>1643</v>
      </c>
      <c r="N1371" s="411">
        <f>IFERROR((M1371/(VLOOKUP(B1371,'Data Pull Sheet'!$C:$H,6,FALSE))),"DC")</f>
        <v>4.6942857142857141E-6</v>
      </c>
      <c r="O1371" s="23" t="s">
        <v>1169</v>
      </c>
      <c r="P1371" s="92" t="s">
        <v>632</v>
      </c>
      <c r="Q1371" s="92" t="s">
        <v>646</v>
      </c>
      <c r="R1371" s="372" t="str">
        <f t="shared" si="39"/>
        <v/>
      </c>
    </row>
    <row r="1372" spans="1:18" ht="30" x14ac:dyDescent="0.25">
      <c r="A1372" s="23" t="s">
        <v>328</v>
      </c>
      <c r="B1372" s="18" t="str">
        <f>IF(ISNA(VLOOKUP($A1372,'Data Pull Sheet'!$B$2:$C$1795,2,0)),"",(VLOOKUP($A1372,'Data Pull Sheet'!$B$2:$C$1795,2,0)))</f>
        <v>CAT</v>
      </c>
      <c r="C1372" s="59" t="s">
        <v>465</v>
      </c>
      <c r="D1372" s="356" t="s">
        <v>451</v>
      </c>
      <c r="E1372" s="356" t="s">
        <v>452</v>
      </c>
      <c r="F1372" s="23" t="s">
        <v>1170</v>
      </c>
      <c r="G1372" s="23" t="s">
        <v>403</v>
      </c>
      <c r="H1372" s="353">
        <v>384</v>
      </c>
      <c r="I1372" s="59"/>
      <c r="J1372" s="59" t="s">
        <v>1171</v>
      </c>
      <c r="K1372" s="20"/>
      <c r="L1372" s="20"/>
      <c r="M1372" s="357"/>
      <c r="N1372" s="411"/>
      <c r="O1372" s="23" t="s">
        <v>1169</v>
      </c>
      <c r="P1372" s="92" t="s">
        <v>632</v>
      </c>
      <c r="Q1372" s="92" t="s">
        <v>646</v>
      </c>
      <c r="R1372" s="372" t="str">
        <f t="shared" si="39"/>
        <v/>
      </c>
    </row>
    <row r="1373" spans="1:18" ht="30" x14ac:dyDescent="0.25">
      <c r="A1373" s="23" t="s">
        <v>328</v>
      </c>
      <c r="B1373" s="18" t="str">
        <f>IF(ISNA(VLOOKUP($A1373,'Data Pull Sheet'!$B$2:$C$1795,2,0)),"",(VLOOKUP($A1373,'Data Pull Sheet'!$B$2:$C$1795,2,0)))</f>
        <v>CAT</v>
      </c>
      <c r="C1373" s="59" t="s">
        <v>465</v>
      </c>
      <c r="D1373" s="356" t="s">
        <v>451</v>
      </c>
      <c r="E1373" s="356" t="s">
        <v>452</v>
      </c>
      <c r="F1373" s="23" t="s">
        <v>1172</v>
      </c>
      <c r="G1373" s="23" t="s">
        <v>403</v>
      </c>
      <c r="H1373" s="353">
        <v>897</v>
      </c>
      <c r="I1373" s="59"/>
      <c r="J1373" s="59" t="s">
        <v>1173</v>
      </c>
      <c r="K1373" s="20"/>
      <c r="L1373" s="20"/>
      <c r="M1373" s="357"/>
      <c r="N1373" s="411"/>
      <c r="O1373" s="23" t="s">
        <v>1169</v>
      </c>
      <c r="P1373" s="92" t="s">
        <v>632</v>
      </c>
      <c r="Q1373" s="92" t="s">
        <v>646</v>
      </c>
      <c r="R1373" s="372" t="str">
        <f t="shared" si="39"/>
        <v/>
      </c>
    </row>
    <row r="1374" spans="1:18" x14ac:dyDescent="0.25">
      <c r="A1374" s="23" t="s">
        <v>2221</v>
      </c>
      <c r="B1374" s="18" t="str">
        <f>IF(ISNA(VLOOKUP($A1374,'Data Pull Sheet'!$B$2:$C$1795,2,0)),"",(VLOOKUP($A1374,'Data Pull Sheet'!$B$2:$C$1795,2,0)))</f>
        <v>HMSY</v>
      </c>
      <c r="C1374" s="59" t="s">
        <v>424</v>
      </c>
      <c r="D1374" s="356" t="s">
        <v>451</v>
      </c>
      <c r="E1374" s="356" t="s">
        <v>452</v>
      </c>
      <c r="F1374" s="23" t="s">
        <v>2222</v>
      </c>
      <c r="G1374" s="23" t="s">
        <v>403</v>
      </c>
      <c r="H1374" s="353">
        <v>805.61</v>
      </c>
      <c r="I1374" s="59"/>
      <c r="J1374" s="59" t="s">
        <v>6706</v>
      </c>
      <c r="K1374" s="20">
        <v>1</v>
      </c>
      <c r="L1374" s="20">
        <v>2</v>
      </c>
      <c r="M1374" s="357">
        <f>SUM(H1374:H1375)</f>
        <v>2754.63</v>
      </c>
      <c r="N1374" s="411">
        <f>IFERROR((M1374/(VLOOKUP(B1374,'Data Pull Sheet'!$C:$H,6,FALSE))),"DC")</f>
        <v>2.7546299999999999E-4</v>
      </c>
      <c r="O1374" s="23" t="s">
        <v>682</v>
      </c>
      <c r="P1374" s="92" t="s">
        <v>676</v>
      </c>
      <c r="Q1374" s="92" t="s">
        <v>646</v>
      </c>
      <c r="R1374" s="372" t="str">
        <f t="shared" si="39"/>
        <v/>
      </c>
    </row>
    <row r="1375" spans="1:18" x14ac:dyDescent="0.25">
      <c r="A1375" s="23" t="s">
        <v>2221</v>
      </c>
      <c r="B1375" s="18" t="str">
        <f>IF(ISNA(VLOOKUP($A1375,'Data Pull Sheet'!$B$2:$C$1795,2,0)),"",(VLOOKUP($A1375,'Data Pull Sheet'!$B$2:$C$1795,2,0)))</f>
        <v>HMSY</v>
      </c>
      <c r="C1375" s="59" t="s">
        <v>424</v>
      </c>
      <c r="D1375" s="356" t="s">
        <v>451</v>
      </c>
      <c r="E1375" s="356" t="s">
        <v>452</v>
      </c>
      <c r="F1375" s="23" t="s">
        <v>2223</v>
      </c>
      <c r="G1375" s="23" t="s">
        <v>403</v>
      </c>
      <c r="H1375" s="353">
        <v>1949.02</v>
      </c>
      <c r="I1375" s="59"/>
      <c r="J1375" s="59" t="s">
        <v>6707</v>
      </c>
      <c r="K1375" s="20"/>
      <c r="L1375" s="20"/>
      <c r="M1375" s="357"/>
      <c r="N1375" s="411"/>
      <c r="O1375" s="23" t="s">
        <v>682</v>
      </c>
      <c r="P1375" s="92" t="s">
        <v>676</v>
      </c>
      <c r="Q1375" s="92" t="s">
        <v>646</v>
      </c>
      <c r="R1375" s="372" t="str">
        <f t="shared" si="39"/>
        <v/>
      </c>
    </row>
    <row r="1376" spans="1:18" x14ac:dyDescent="0.25">
      <c r="A1376" s="23" t="s">
        <v>3124</v>
      </c>
      <c r="B1376" s="18" t="str">
        <f>IF(ISNA(VLOOKUP($A1376,'Data Pull Sheet'!$B$2:$C$1795,2,0)),"",(VLOOKUP($A1376,'Data Pull Sheet'!$B$2:$C$1795,2,0)))</f>
        <v>PPMH</v>
      </c>
      <c r="C1376" s="59" t="s">
        <v>424</v>
      </c>
      <c r="D1376" s="356" t="s">
        <v>451</v>
      </c>
      <c r="E1376" s="356" t="s">
        <v>452</v>
      </c>
      <c r="F1376" s="23" t="s">
        <v>3125</v>
      </c>
      <c r="G1376" s="23" t="s">
        <v>403</v>
      </c>
      <c r="H1376" s="353">
        <v>2536.3000000000002</v>
      </c>
      <c r="I1376" s="59"/>
      <c r="J1376" s="59" t="s">
        <v>3126</v>
      </c>
      <c r="K1376" s="20">
        <v>1</v>
      </c>
      <c r="L1376" s="20">
        <v>3</v>
      </c>
      <c r="M1376" s="357">
        <f>SUM(H1376:H1378)</f>
        <v>16176.08</v>
      </c>
      <c r="N1376" s="411" t="str">
        <f>IFERROR((M1376/(VLOOKUP(B1376,'Data Pull Sheet'!$C:$H,6,FALSE))),"DC")</f>
        <v>DC</v>
      </c>
      <c r="O1376" s="23" t="s">
        <v>682</v>
      </c>
      <c r="P1376" s="92" t="s">
        <v>676</v>
      </c>
      <c r="Q1376" s="92" t="s">
        <v>646</v>
      </c>
      <c r="R1376" s="372" t="str">
        <f t="shared" si="39"/>
        <v/>
      </c>
    </row>
    <row r="1377" spans="1:18" x14ac:dyDescent="0.25">
      <c r="A1377" s="23" t="s">
        <v>3124</v>
      </c>
      <c r="B1377" s="18" t="str">
        <f>IF(ISNA(VLOOKUP($A1377,'Data Pull Sheet'!$B$2:$C$1795,2,0)),"",(VLOOKUP($A1377,'Data Pull Sheet'!$B$2:$C$1795,2,0)))</f>
        <v>PPMH</v>
      </c>
      <c r="C1377" s="59" t="s">
        <v>424</v>
      </c>
      <c r="D1377" s="356" t="s">
        <v>451</v>
      </c>
      <c r="E1377" s="356" t="s">
        <v>452</v>
      </c>
      <c r="F1377" s="23" t="s">
        <v>3127</v>
      </c>
      <c r="G1377" s="23" t="s">
        <v>403</v>
      </c>
      <c r="H1377" s="353">
        <v>3089.78</v>
      </c>
      <c r="I1377" s="59"/>
      <c r="J1377" s="59" t="s">
        <v>3128</v>
      </c>
      <c r="K1377" s="20"/>
      <c r="L1377" s="20"/>
      <c r="M1377" s="357"/>
      <c r="N1377" s="411"/>
      <c r="O1377" s="23" t="s">
        <v>682</v>
      </c>
      <c r="P1377" s="92" t="s">
        <v>676</v>
      </c>
      <c r="Q1377" s="92" t="s">
        <v>646</v>
      </c>
      <c r="R1377" s="372" t="str">
        <f t="shared" si="39"/>
        <v/>
      </c>
    </row>
    <row r="1378" spans="1:18" x14ac:dyDescent="0.25">
      <c r="A1378" s="23" t="s">
        <v>3124</v>
      </c>
      <c r="B1378" s="18" t="str">
        <f>IF(ISNA(VLOOKUP($A1378,'Data Pull Sheet'!$B$2:$C$1795,2,0)),"",(VLOOKUP($A1378,'Data Pull Sheet'!$B$2:$C$1795,2,0)))</f>
        <v>PPMH</v>
      </c>
      <c r="C1378" s="59" t="s">
        <v>424</v>
      </c>
      <c r="D1378" s="356" t="s">
        <v>451</v>
      </c>
      <c r="E1378" s="356" t="s">
        <v>452</v>
      </c>
      <c r="F1378" s="23" t="s">
        <v>3129</v>
      </c>
      <c r="G1378" s="23" t="s">
        <v>403</v>
      </c>
      <c r="H1378" s="353">
        <v>10550</v>
      </c>
      <c r="I1378" s="59"/>
      <c r="J1378" s="59" t="s">
        <v>3130</v>
      </c>
      <c r="K1378" s="20"/>
      <c r="L1378" s="20"/>
      <c r="M1378" s="357"/>
      <c r="N1378" s="411"/>
      <c r="O1378" s="23" t="s">
        <v>682</v>
      </c>
      <c r="P1378" s="92" t="s">
        <v>676</v>
      </c>
      <c r="Q1378" s="92" t="s">
        <v>646</v>
      </c>
      <c r="R1378" s="372" t="str">
        <f t="shared" si="39"/>
        <v/>
      </c>
    </row>
    <row r="1379" spans="1:18" ht="30" x14ac:dyDescent="0.25">
      <c r="A1379" s="23" t="s">
        <v>339</v>
      </c>
      <c r="B1379" s="18" t="str">
        <f>IF(ISNA(VLOOKUP($A1379,'Data Pull Sheet'!$B$2:$C$1795,2,0)),"",(VLOOKUP($A1379,'Data Pull Sheet'!$B$2:$C$1795,2,0)))</f>
        <v>NH</v>
      </c>
      <c r="C1379" s="59" t="s">
        <v>446</v>
      </c>
      <c r="D1379" s="356" t="s">
        <v>599</v>
      </c>
      <c r="E1379" s="356" t="s">
        <v>600</v>
      </c>
      <c r="F1379" s="23" t="s">
        <v>332</v>
      </c>
      <c r="G1379" s="23" t="s">
        <v>417</v>
      </c>
      <c r="H1379" s="353">
        <v>124992.74</v>
      </c>
      <c r="I1379" s="59" t="s">
        <v>442</v>
      </c>
      <c r="J1379" s="59" t="s">
        <v>2746</v>
      </c>
      <c r="K1379" s="20">
        <v>3</v>
      </c>
      <c r="L1379" s="20">
        <v>2</v>
      </c>
      <c r="M1379" s="357">
        <f>SUM(H1379:H1380)</f>
        <v>455909.32</v>
      </c>
      <c r="N1379" s="411">
        <f>IFERROR((M1379/(VLOOKUP(B1379,'Data Pull Sheet'!$C:$H,6,FALSE))),"DC")</f>
        <v>2.6818195294117646E-2</v>
      </c>
      <c r="O1379" s="23" t="s">
        <v>338</v>
      </c>
      <c r="P1379" s="92" t="s">
        <v>632</v>
      </c>
      <c r="Q1379" s="92" t="s">
        <v>662</v>
      </c>
      <c r="R1379" s="372" t="str">
        <f t="shared" si="39"/>
        <v>FF</v>
      </c>
    </row>
    <row r="1380" spans="1:18" x14ac:dyDescent="0.25">
      <c r="A1380" s="23" t="s">
        <v>339</v>
      </c>
      <c r="B1380" s="18" t="str">
        <f>IF(ISNA(VLOOKUP($A1380,'Data Pull Sheet'!$B$2:$C$1795,2,0)),"",(VLOOKUP($A1380,'Data Pull Sheet'!$B$2:$C$1795,2,0)))</f>
        <v>NH</v>
      </c>
      <c r="C1380" s="59" t="s">
        <v>446</v>
      </c>
      <c r="D1380" s="356" t="s">
        <v>599</v>
      </c>
      <c r="E1380" s="356" t="s">
        <v>600</v>
      </c>
      <c r="F1380" s="23" t="s">
        <v>2747</v>
      </c>
      <c r="G1380" s="23" t="s">
        <v>403</v>
      </c>
      <c r="H1380" s="353">
        <v>330916.58</v>
      </c>
      <c r="I1380" s="59" t="s">
        <v>442</v>
      </c>
      <c r="J1380" s="59" t="s">
        <v>2748</v>
      </c>
      <c r="K1380" s="20"/>
      <c r="L1380" s="20"/>
      <c r="M1380" s="357"/>
      <c r="N1380" s="411"/>
      <c r="O1380" s="23" t="s">
        <v>338</v>
      </c>
      <c r="P1380" s="92" t="s">
        <v>632</v>
      </c>
      <c r="Q1380" s="92" t="s">
        <v>662</v>
      </c>
      <c r="R1380" s="372" t="str">
        <f t="shared" si="39"/>
        <v/>
      </c>
    </row>
    <row r="1381" spans="1:18" ht="30" x14ac:dyDescent="0.25">
      <c r="A1381" s="23" t="s">
        <v>339</v>
      </c>
      <c r="B1381" s="18" t="str">
        <f>IF(ISNA(VLOOKUP($A1381,'Data Pull Sheet'!$B$2:$C$1795,2,0)),"",(VLOOKUP($A1381,'Data Pull Sheet'!$B$2:$C$1795,2,0)))</f>
        <v>NH</v>
      </c>
      <c r="C1381" s="59" t="s">
        <v>446</v>
      </c>
      <c r="D1381" s="356" t="s">
        <v>599</v>
      </c>
      <c r="E1381" s="356" t="s">
        <v>600</v>
      </c>
      <c r="F1381" s="23" t="s">
        <v>2749</v>
      </c>
      <c r="G1381" s="23" t="s">
        <v>403</v>
      </c>
      <c r="H1381" s="353">
        <v>81712.479999999996</v>
      </c>
      <c r="I1381" s="59"/>
      <c r="J1381" s="59" t="s">
        <v>2750</v>
      </c>
      <c r="K1381" s="20"/>
      <c r="L1381" s="20">
        <v>1</v>
      </c>
      <c r="M1381" s="357">
        <f>H1381</f>
        <v>81712.479999999996</v>
      </c>
      <c r="N1381" s="411">
        <f>IFERROR((M1381/(VLOOKUP(B1381,'Data Pull Sheet'!$C:$H,6,FALSE))),"DC")</f>
        <v>4.8066164705882347E-3</v>
      </c>
      <c r="O1381" s="23" t="s">
        <v>11186</v>
      </c>
      <c r="P1381" s="92" t="s">
        <v>632</v>
      </c>
      <c r="Q1381" s="92" t="s">
        <v>637</v>
      </c>
      <c r="R1381" s="372" t="str">
        <f t="shared" si="39"/>
        <v/>
      </c>
    </row>
    <row r="1382" spans="1:18" x14ac:dyDescent="0.25">
      <c r="A1382" s="23" t="s">
        <v>339</v>
      </c>
      <c r="B1382" s="18" t="str">
        <f>IF(ISNA(VLOOKUP($A1382,'Data Pull Sheet'!$B$2:$C$1795,2,0)),"",(VLOOKUP($A1382,'Data Pull Sheet'!$B$2:$C$1795,2,0)))</f>
        <v>NH</v>
      </c>
      <c r="C1382" s="59" t="s">
        <v>446</v>
      </c>
      <c r="D1382" s="356" t="s">
        <v>599</v>
      </c>
      <c r="E1382" s="356" t="s">
        <v>600</v>
      </c>
      <c r="F1382" s="23" t="s">
        <v>2752</v>
      </c>
      <c r="G1382" s="23" t="s">
        <v>403</v>
      </c>
      <c r="H1382" s="353">
        <v>10600</v>
      </c>
      <c r="I1382" s="59"/>
      <c r="J1382" s="59" t="s">
        <v>2753</v>
      </c>
      <c r="K1382" s="20"/>
      <c r="L1382" s="20">
        <v>5</v>
      </c>
      <c r="M1382" s="357">
        <f>SUM(H1382:H1386)</f>
        <v>146393.25</v>
      </c>
      <c r="N1382" s="411">
        <f>IFERROR((M1382/(VLOOKUP(B1382,'Data Pull Sheet'!$C:$H,6,FALSE))),"DC")</f>
        <v>8.6113676470588232E-3</v>
      </c>
      <c r="O1382" s="23" t="s">
        <v>682</v>
      </c>
      <c r="P1382" s="92" t="s">
        <v>632</v>
      </c>
      <c r="Q1382" s="92" t="s">
        <v>646</v>
      </c>
      <c r="R1382" s="372" t="str">
        <f t="shared" si="39"/>
        <v/>
      </c>
    </row>
    <row r="1383" spans="1:18" x14ac:dyDescent="0.25">
      <c r="A1383" s="23" t="s">
        <v>339</v>
      </c>
      <c r="B1383" s="18" t="str">
        <f>IF(ISNA(VLOOKUP($A1383,'Data Pull Sheet'!$B$2:$C$1795,2,0)),"",(VLOOKUP($A1383,'Data Pull Sheet'!$B$2:$C$1795,2,0)))</f>
        <v>NH</v>
      </c>
      <c r="C1383" s="59" t="s">
        <v>446</v>
      </c>
      <c r="D1383" s="356" t="s">
        <v>599</v>
      </c>
      <c r="E1383" s="356" t="s">
        <v>600</v>
      </c>
      <c r="F1383" s="23" t="s">
        <v>2754</v>
      </c>
      <c r="G1383" s="23" t="s">
        <v>403</v>
      </c>
      <c r="H1383" s="353">
        <v>17490</v>
      </c>
      <c r="I1383" s="59"/>
      <c r="J1383" s="59" t="s">
        <v>2755</v>
      </c>
      <c r="K1383" s="20"/>
      <c r="L1383" s="20"/>
      <c r="M1383" s="357"/>
      <c r="N1383" s="411"/>
      <c r="O1383" s="23" t="s">
        <v>682</v>
      </c>
      <c r="P1383" s="92" t="s">
        <v>632</v>
      </c>
      <c r="Q1383" s="92" t="s">
        <v>646</v>
      </c>
      <c r="R1383" s="372" t="str">
        <f t="shared" si="39"/>
        <v/>
      </c>
    </row>
    <row r="1384" spans="1:18" x14ac:dyDescent="0.25">
      <c r="A1384" s="23" t="s">
        <v>339</v>
      </c>
      <c r="B1384" s="18" t="str">
        <f>IF(ISNA(VLOOKUP($A1384,'Data Pull Sheet'!$B$2:$C$1795,2,0)),"",(VLOOKUP($A1384,'Data Pull Sheet'!$B$2:$C$1795,2,0)))</f>
        <v>NH</v>
      </c>
      <c r="C1384" s="59" t="s">
        <v>446</v>
      </c>
      <c r="D1384" s="356" t="s">
        <v>599</v>
      </c>
      <c r="E1384" s="356" t="s">
        <v>600</v>
      </c>
      <c r="F1384" s="23" t="s">
        <v>2756</v>
      </c>
      <c r="G1384" s="23" t="s">
        <v>403</v>
      </c>
      <c r="H1384" s="353">
        <v>22942.25</v>
      </c>
      <c r="I1384" s="59"/>
      <c r="J1384" s="59" t="s">
        <v>2757</v>
      </c>
      <c r="K1384" s="20"/>
      <c r="L1384" s="20"/>
      <c r="M1384" s="357"/>
      <c r="N1384" s="411"/>
      <c r="O1384" s="23" t="s">
        <v>682</v>
      </c>
      <c r="P1384" s="92" t="s">
        <v>632</v>
      </c>
      <c r="Q1384" s="92" t="s">
        <v>646</v>
      </c>
      <c r="R1384" s="372" t="str">
        <f t="shared" si="39"/>
        <v/>
      </c>
    </row>
    <row r="1385" spans="1:18" x14ac:dyDescent="0.25">
      <c r="A1385" s="23" t="s">
        <v>339</v>
      </c>
      <c r="B1385" s="18" t="str">
        <f>IF(ISNA(VLOOKUP($A1385,'Data Pull Sheet'!$B$2:$C$1795,2,0)),"",(VLOOKUP($A1385,'Data Pull Sheet'!$B$2:$C$1795,2,0)))</f>
        <v>NH</v>
      </c>
      <c r="C1385" s="59" t="s">
        <v>446</v>
      </c>
      <c r="D1385" s="356" t="s">
        <v>599</v>
      </c>
      <c r="E1385" s="356" t="s">
        <v>600</v>
      </c>
      <c r="F1385" s="23" t="s">
        <v>2758</v>
      </c>
      <c r="G1385" s="23" t="s">
        <v>403</v>
      </c>
      <c r="H1385" s="353">
        <v>44241</v>
      </c>
      <c r="I1385" s="59"/>
      <c r="J1385" s="59" t="s">
        <v>2759</v>
      </c>
      <c r="K1385" s="20"/>
      <c r="L1385" s="20"/>
      <c r="M1385" s="357"/>
      <c r="N1385" s="411"/>
      <c r="O1385" s="23" t="s">
        <v>682</v>
      </c>
      <c r="P1385" s="92" t="s">
        <v>632</v>
      </c>
      <c r="Q1385" s="92" t="s">
        <v>646</v>
      </c>
      <c r="R1385" s="372" t="str">
        <f t="shared" si="39"/>
        <v/>
      </c>
    </row>
    <row r="1386" spans="1:18" x14ac:dyDescent="0.25">
      <c r="A1386" s="23" t="s">
        <v>339</v>
      </c>
      <c r="B1386" s="18" t="str">
        <f>IF(ISNA(VLOOKUP($A1386,'Data Pull Sheet'!$B$2:$C$1795,2,0)),"",(VLOOKUP($A1386,'Data Pull Sheet'!$B$2:$C$1795,2,0)))</f>
        <v>NH</v>
      </c>
      <c r="C1386" s="59" t="s">
        <v>446</v>
      </c>
      <c r="D1386" s="356" t="s">
        <v>599</v>
      </c>
      <c r="E1386" s="356" t="s">
        <v>600</v>
      </c>
      <c r="F1386" s="23" t="s">
        <v>2760</v>
      </c>
      <c r="G1386" s="23" t="s">
        <v>403</v>
      </c>
      <c r="H1386" s="353">
        <v>51120</v>
      </c>
      <c r="I1386" s="59"/>
      <c r="J1386" s="59" t="s">
        <v>2761</v>
      </c>
      <c r="K1386" s="20"/>
      <c r="L1386" s="20"/>
      <c r="M1386" s="357"/>
      <c r="N1386" s="411"/>
      <c r="O1386" s="23" t="s">
        <v>682</v>
      </c>
      <c r="P1386" s="92" t="s">
        <v>632</v>
      </c>
      <c r="Q1386" s="92" t="s">
        <v>646</v>
      </c>
      <c r="R1386" s="372" t="str">
        <f t="shared" si="39"/>
        <v/>
      </c>
    </row>
    <row r="1387" spans="1:18" ht="30" x14ac:dyDescent="0.25">
      <c r="A1387" s="23" t="s">
        <v>3809</v>
      </c>
      <c r="B1387" s="18" t="str">
        <f>IF(ISNA(VLOOKUP($A1387,'Data Pull Sheet'!$B$2:$C$1795,2,0)),"",(VLOOKUP($A1387,'Data Pull Sheet'!$B$2:$C$1795,2,0)))</f>
        <v>TD</v>
      </c>
      <c r="C1387" s="59" t="s">
        <v>424</v>
      </c>
      <c r="D1387" s="356" t="s">
        <v>3810</v>
      </c>
      <c r="E1387" s="356" t="s">
        <v>3811</v>
      </c>
      <c r="F1387" s="23" t="s">
        <v>3812</v>
      </c>
      <c r="G1387" s="23" t="s">
        <v>403</v>
      </c>
      <c r="H1387" s="353">
        <v>23625</v>
      </c>
      <c r="I1387" s="59"/>
      <c r="J1387" s="59" t="s">
        <v>3813</v>
      </c>
      <c r="K1387" s="20">
        <v>3</v>
      </c>
      <c r="L1387" s="20">
        <v>1</v>
      </c>
      <c r="M1387" s="357">
        <f>H1387</f>
        <v>23625</v>
      </c>
      <c r="N1387" s="411">
        <f>IFERROR((M1387/(VLOOKUP(B1387,'Data Pull Sheet'!$C:$H,6,FALSE))),"DC")</f>
        <v>2.6249999999999998E-4</v>
      </c>
      <c r="O1387" s="23" t="s">
        <v>687</v>
      </c>
      <c r="P1387" s="92" t="s">
        <v>632</v>
      </c>
      <c r="Q1387" s="92" t="s">
        <v>637</v>
      </c>
      <c r="R1387" s="372" t="str">
        <f t="shared" si="39"/>
        <v/>
      </c>
    </row>
    <row r="1388" spans="1:18" ht="30" x14ac:dyDescent="0.25">
      <c r="A1388" s="23" t="s">
        <v>3809</v>
      </c>
      <c r="B1388" s="18" t="str">
        <f>IF(ISNA(VLOOKUP($A1388,'Data Pull Sheet'!$B$2:$C$1795,2,0)),"",(VLOOKUP($A1388,'Data Pull Sheet'!$B$2:$C$1795,2,0)))</f>
        <v>TD</v>
      </c>
      <c r="C1388" s="59" t="s">
        <v>424</v>
      </c>
      <c r="D1388" s="356" t="s">
        <v>3810</v>
      </c>
      <c r="E1388" s="356" t="s">
        <v>3811</v>
      </c>
      <c r="F1388" s="23" t="s">
        <v>3814</v>
      </c>
      <c r="G1388" s="23" t="s">
        <v>403</v>
      </c>
      <c r="H1388" s="353">
        <v>49669</v>
      </c>
      <c r="I1388" s="59"/>
      <c r="J1388" s="59" t="s">
        <v>3815</v>
      </c>
      <c r="K1388" s="20"/>
      <c r="L1388" s="20">
        <v>1</v>
      </c>
      <c r="M1388" s="357">
        <f>H1388</f>
        <v>49669</v>
      </c>
      <c r="N1388" s="411">
        <f>IFERROR((M1388/(VLOOKUP(B1388,'Data Pull Sheet'!$C:$H,6,FALSE))),"DC")</f>
        <v>5.5187777777777783E-4</v>
      </c>
      <c r="O1388" s="23" t="s">
        <v>1455</v>
      </c>
      <c r="P1388" s="92" t="s">
        <v>632</v>
      </c>
      <c r="Q1388" s="92" t="s">
        <v>637</v>
      </c>
      <c r="R1388" s="372" t="str">
        <f t="shared" si="39"/>
        <v>FF</v>
      </c>
    </row>
    <row r="1389" spans="1:18" x14ac:dyDescent="0.25">
      <c r="A1389" s="23" t="s">
        <v>3809</v>
      </c>
      <c r="B1389" s="18" t="str">
        <f>IF(ISNA(VLOOKUP($A1389,'Data Pull Sheet'!$B$2:$C$1795,2,0)),"",(VLOOKUP($A1389,'Data Pull Sheet'!$B$2:$C$1795,2,0)))</f>
        <v>TD</v>
      </c>
      <c r="C1389" s="59" t="s">
        <v>424</v>
      </c>
      <c r="D1389" s="356" t="s">
        <v>3810</v>
      </c>
      <c r="E1389" s="356" t="s">
        <v>3811</v>
      </c>
      <c r="F1389" s="23" t="s">
        <v>3816</v>
      </c>
      <c r="G1389" s="23" t="s">
        <v>403</v>
      </c>
      <c r="H1389" s="353">
        <v>1664.14</v>
      </c>
      <c r="I1389" s="59"/>
      <c r="J1389" s="59" t="s">
        <v>3817</v>
      </c>
      <c r="K1389" s="20"/>
      <c r="L1389" s="20">
        <v>2</v>
      </c>
      <c r="M1389" s="357">
        <f>SUM(H1389:H1390)</f>
        <v>8785.5399999999991</v>
      </c>
      <c r="N1389" s="411">
        <f>IFERROR((M1389/(VLOOKUP(B1389,'Data Pull Sheet'!$C:$H,6,FALSE))),"DC")</f>
        <v>9.76171111111111E-5</v>
      </c>
      <c r="O1389" s="23" t="s">
        <v>682</v>
      </c>
      <c r="P1389" s="92" t="s">
        <v>632</v>
      </c>
      <c r="Q1389" s="92" t="s">
        <v>646</v>
      </c>
      <c r="R1389" s="372" t="str">
        <f t="shared" si="39"/>
        <v/>
      </c>
    </row>
    <row r="1390" spans="1:18" x14ac:dyDescent="0.25">
      <c r="A1390" s="23" t="s">
        <v>3809</v>
      </c>
      <c r="B1390" s="18" t="str">
        <f>IF(ISNA(VLOOKUP($A1390,'Data Pull Sheet'!$B$2:$C$1795,2,0)),"",(VLOOKUP($A1390,'Data Pull Sheet'!$B$2:$C$1795,2,0)))</f>
        <v>TD</v>
      </c>
      <c r="C1390" s="59" t="s">
        <v>424</v>
      </c>
      <c r="D1390" s="356" t="s">
        <v>3810</v>
      </c>
      <c r="E1390" s="356" t="s">
        <v>3811</v>
      </c>
      <c r="F1390" s="23" t="s">
        <v>3818</v>
      </c>
      <c r="G1390" s="23" t="s">
        <v>403</v>
      </c>
      <c r="H1390" s="353">
        <v>7121.4</v>
      </c>
      <c r="I1390" s="59"/>
      <c r="J1390" s="59" t="s">
        <v>3819</v>
      </c>
      <c r="K1390" s="20"/>
      <c r="L1390" s="20"/>
      <c r="M1390" s="357"/>
      <c r="N1390" s="411"/>
      <c r="O1390" s="23" t="s">
        <v>682</v>
      </c>
      <c r="P1390" s="92" t="s">
        <v>632</v>
      </c>
      <c r="Q1390" s="92" t="s">
        <v>646</v>
      </c>
      <c r="R1390" s="372" t="str">
        <f t="shared" si="39"/>
        <v/>
      </c>
    </row>
    <row r="1391" spans="1:18" x14ac:dyDescent="0.25">
      <c r="A1391" s="23" t="s">
        <v>927</v>
      </c>
      <c r="B1391" s="18" t="str">
        <f>IF(ISNA(VLOOKUP($A1391,'Data Pull Sheet'!$B$2:$C$1795,2,0)),"",(VLOOKUP($A1391,'Data Pull Sheet'!$B$2:$C$1795,2,0)))</f>
        <v>ARGS </v>
      </c>
      <c r="C1391" s="59" t="s">
        <v>503</v>
      </c>
      <c r="D1391" s="356" t="s">
        <v>928</v>
      </c>
      <c r="E1391" s="356" t="s">
        <v>929</v>
      </c>
      <c r="F1391" s="23" t="s">
        <v>930</v>
      </c>
      <c r="G1391" s="23" t="s">
        <v>403</v>
      </c>
      <c r="H1391" s="353">
        <v>93176.71</v>
      </c>
      <c r="I1391" s="59"/>
      <c r="J1391" s="59" t="s">
        <v>931</v>
      </c>
      <c r="K1391" s="20">
        <v>2</v>
      </c>
      <c r="L1391" s="20">
        <v>5</v>
      </c>
      <c r="M1391" s="357">
        <f>SUM(H1391:H1395)</f>
        <v>1324687.99</v>
      </c>
      <c r="N1391" s="411">
        <f>IFERROR((M1391/(VLOOKUP(B1391,'Data Pull Sheet'!$C:$H,6,FALSE))),"DC")</f>
        <v>3.311719975E-2</v>
      </c>
      <c r="O1391" s="23" t="s">
        <v>932</v>
      </c>
      <c r="P1391" s="92" t="s">
        <v>632</v>
      </c>
      <c r="Q1391" s="92" t="s">
        <v>646</v>
      </c>
      <c r="R1391" s="372" t="str">
        <f t="shared" si="39"/>
        <v/>
      </c>
    </row>
    <row r="1392" spans="1:18" x14ac:dyDescent="0.25">
      <c r="A1392" s="23" t="s">
        <v>927</v>
      </c>
      <c r="B1392" s="18" t="str">
        <f>IF(ISNA(VLOOKUP($A1392,'Data Pull Sheet'!$B$2:$C$1795,2,0)),"",(VLOOKUP($A1392,'Data Pull Sheet'!$B$2:$C$1795,2,0)))</f>
        <v>ARGS </v>
      </c>
      <c r="C1392" s="59" t="s">
        <v>503</v>
      </c>
      <c r="D1392" s="356" t="s">
        <v>928</v>
      </c>
      <c r="E1392" s="356" t="s">
        <v>929</v>
      </c>
      <c r="F1392" s="23" t="s">
        <v>933</v>
      </c>
      <c r="G1392" s="23" t="s">
        <v>403</v>
      </c>
      <c r="H1392" s="353">
        <v>146236.74</v>
      </c>
      <c r="I1392" s="59" t="s">
        <v>406</v>
      </c>
      <c r="J1392" s="59" t="s">
        <v>934</v>
      </c>
      <c r="K1392" s="20"/>
      <c r="L1392" s="20"/>
      <c r="M1392" s="357"/>
      <c r="N1392" s="411"/>
      <c r="O1392" s="23" t="s">
        <v>932</v>
      </c>
      <c r="P1392" s="92" t="s">
        <v>632</v>
      </c>
      <c r="Q1392" s="92" t="s">
        <v>646</v>
      </c>
      <c r="R1392" s="372" t="str">
        <f t="shared" si="39"/>
        <v/>
      </c>
    </row>
    <row r="1393" spans="1:18" x14ac:dyDescent="0.25">
      <c r="A1393" s="23" t="s">
        <v>927</v>
      </c>
      <c r="B1393" s="18" t="str">
        <f>IF(ISNA(VLOOKUP($A1393,'Data Pull Sheet'!$B$2:$C$1795,2,0)),"",(VLOOKUP($A1393,'Data Pull Sheet'!$B$2:$C$1795,2,0)))</f>
        <v>ARGS </v>
      </c>
      <c r="C1393" s="59" t="s">
        <v>503</v>
      </c>
      <c r="D1393" s="356" t="s">
        <v>928</v>
      </c>
      <c r="E1393" s="356" t="s">
        <v>929</v>
      </c>
      <c r="F1393" s="23" t="s">
        <v>935</v>
      </c>
      <c r="G1393" s="23" t="s">
        <v>403</v>
      </c>
      <c r="H1393" s="353">
        <v>198710.96</v>
      </c>
      <c r="I1393" s="59" t="s">
        <v>406</v>
      </c>
      <c r="J1393" s="59" t="s">
        <v>936</v>
      </c>
      <c r="K1393" s="20"/>
      <c r="L1393" s="20"/>
      <c r="M1393" s="357"/>
      <c r="N1393" s="411"/>
      <c r="O1393" s="23" t="s">
        <v>932</v>
      </c>
      <c r="P1393" s="92" t="s">
        <v>632</v>
      </c>
      <c r="Q1393" s="92" t="s">
        <v>646</v>
      </c>
      <c r="R1393" s="372" t="str">
        <f t="shared" si="39"/>
        <v/>
      </c>
    </row>
    <row r="1394" spans="1:18" x14ac:dyDescent="0.25">
      <c r="A1394" s="23" t="s">
        <v>927</v>
      </c>
      <c r="B1394" s="18" t="str">
        <f>IF(ISNA(VLOOKUP($A1394,'Data Pull Sheet'!$B$2:$C$1795,2,0)),"",(VLOOKUP($A1394,'Data Pull Sheet'!$B$2:$C$1795,2,0)))</f>
        <v>ARGS </v>
      </c>
      <c r="C1394" s="59" t="s">
        <v>503</v>
      </c>
      <c r="D1394" s="356" t="s">
        <v>928</v>
      </c>
      <c r="E1394" s="356" t="s">
        <v>929</v>
      </c>
      <c r="F1394" s="23" t="s">
        <v>937</v>
      </c>
      <c r="G1394" s="23" t="s">
        <v>403</v>
      </c>
      <c r="H1394" s="353">
        <v>363820.61</v>
      </c>
      <c r="I1394" s="59" t="s">
        <v>406</v>
      </c>
      <c r="J1394" s="59" t="s">
        <v>938</v>
      </c>
      <c r="K1394" s="20"/>
      <c r="L1394" s="20"/>
      <c r="M1394" s="357"/>
      <c r="N1394" s="411"/>
      <c r="O1394" s="23" t="s">
        <v>932</v>
      </c>
      <c r="P1394" s="92" t="s">
        <v>632</v>
      </c>
      <c r="Q1394" s="92" t="s">
        <v>646</v>
      </c>
      <c r="R1394" s="372" t="str">
        <f t="shared" si="39"/>
        <v/>
      </c>
    </row>
    <row r="1395" spans="1:18" x14ac:dyDescent="0.25">
      <c r="A1395" s="23" t="s">
        <v>927</v>
      </c>
      <c r="B1395" s="18" t="str">
        <f>IF(ISNA(VLOOKUP($A1395,'Data Pull Sheet'!$B$2:$C$1795,2,0)),"",(VLOOKUP($A1395,'Data Pull Sheet'!$B$2:$C$1795,2,0)))</f>
        <v>ARGS </v>
      </c>
      <c r="C1395" s="59" t="s">
        <v>503</v>
      </c>
      <c r="D1395" s="356" t="s">
        <v>928</v>
      </c>
      <c r="E1395" s="356" t="s">
        <v>929</v>
      </c>
      <c r="F1395" s="23" t="s">
        <v>939</v>
      </c>
      <c r="G1395" s="23" t="s">
        <v>403</v>
      </c>
      <c r="H1395" s="353">
        <v>522742.97</v>
      </c>
      <c r="I1395" s="59" t="s">
        <v>406</v>
      </c>
      <c r="J1395" s="59" t="s">
        <v>940</v>
      </c>
      <c r="K1395" s="20"/>
      <c r="L1395" s="20"/>
      <c r="M1395" s="357"/>
      <c r="N1395" s="411"/>
      <c r="O1395" s="23" t="s">
        <v>932</v>
      </c>
      <c r="P1395" s="92" t="s">
        <v>632</v>
      </c>
      <c r="Q1395" s="92" t="s">
        <v>646</v>
      </c>
      <c r="R1395" s="372" t="str">
        <f t="shared" si="39"/>
        <v/>
      </c>
    </row>
    <row r="1396" spans="1:18" ht="30" x14ac:dyDescent="0.25">
      <c r="A1396" s="23" t="s">
        <v>927</v>
      </c>
      <c r="B1396" s="18" t="str">
        <f>IF(ISNA(VLOOKUP($A1396,'Data Pull Sheet'!$B$2:$C$1795,2,0)),"",(VLOOKUP($A1396,'Data Pull Sheet'!$B$2:$C$1795,2,0)))</f>
        <v>ARGS </v>
      </c>
      <c r="C1396" s="59" t="s">
        <v>503</v>
      </c>
      <c r="D1396" s="356" t="s">
        <v>928</v>
      </c>
      <c r="E1396" s="356" t="s">
        <v>929</v>
      </c>
      <c r="F1396" s="23" t="s">
        <v>941</v>
      </c>
      <c r="G1396" s="23" t="s">
        <v>403</v>
      </c>
      <c r="H1396" s="353">
        <v>193791.84</v>
      </c>
      <c r="I1396" s="59"/>
      <c r="J1396" s="59" t="s">
        <v>942</v>
      </c>
      <c r="K1396" s="20"/>
      <c r="L1396" s="20">
        <v>2</v>
      </c>
      <c r="M1396" s="357">
        <f>SUM(H1396:H1397)</f>
        <v>975503.4</v>
      </c>
      <c r="N1396" s="411">
        <f>IFERROR((M1396/(VLOOKUP(B1396,'Data Pull Sheet'!$C:$H,6,FALSE))),"DC")</f>
        <v>2.4387585E-2</v>
      </c>
      <c r="O1396" s="23" t="s">
        <v>943</v>
      </c>
      <c r="P1396" s="92" t="s">
        <v>632</v>
      </c>
      <c r="Q1396" s="92" t="s">
        <v>646</v>
      </c>
      <c r="R1396" s="372" t="str">
        <f t="shared" si="39"/>
        <v/>
      </c>
    </row>
    <row r="1397" spans="1:18" ht="30" x14ac:dyDescent="0.25">
      <c r="A1397" s="23" t="s">
        <v>927</v>
      </c>
      <c r="B1397" s="18" t="str">
        <f>IF(ISNA(VLOOKUP($A1397,'Data Pull Sheet'!$B$2:$C$1795,2,0)),"",(VLOOKUP($A1397,'Data Pull Sheet'!$B$2:$C$1795,2,0)))</f>
        <v>ARGS </v>
      </c>
      <c r="C1397" s="59" t="s">
        <v>503</v>
      </c>
      <c r="D1397" s="356" t="s">
        <v>928</v>
      </c>
      <c r="E1397" s="356" t="s">
        <v>929</v>
      </c>
      <c r="F1397" s="23" t="s">
        <v>944</v>
      </c>
      <c r="G1397" s="23" t="s">
        <v>403</v>
      </c>
      <c r="H1397" s="353">
        <v>781711.56</v>
      </c>
      <c r="I1397" s="59"/>
      <c r="J1397" s="59" t="s">
        <v>945</v>
      </c>
      <c r="K1397" s="20"/>
      <c r="L1397" s="20"/>
      <c r="M1397" s="357"/>
      <c r="N1397" s="411"/>
      <c r="O1397" s="23" t="s">
        <v>943</v>
      </c>
      <c r="P1397" s="92" t="s">
        <v>632</v>
      </c>
      <c r="Q1397" s="92" t="s">
        <v>646</v>
      </c>
      <c r="R1397" s="372" t="str">
        <f t="shared" si="39"/>
        <v/>
      </c>
    </row>
    <row r="1398" spans="1:18" x14ac:dyDescent="0.25">
      <c r="A1398" s="23" t="s">
        <v>1379</v>
      </c>
      <c r="B1398" s="18" t="str">
        <f>IF(ISNA(VLOOKUP($A1398,'Data Pull Sheet'!$B$2:$C$1795,2,0)),"",(VLOOKUP($A1398,'Data Pull Sheet'!$B$2:$C$1795,2,0)))</f>
        <v>CIA</v>
      </c>
      <c r="C1398" s="59" t="s">
        <v>1380</v>
      </c>
      <c r="D1398" s="356" t="s">
        <v>1381</v>
      </c>
      <c r="E1398" s="356" t="s">
        <v>929</v>
      </c>
      <c r="F1398" s="23" t="s">
        <v>1382</v>
      </c>
      <c r="G1398" s="23" t="s">
        <v>403</v>
      </c>
      <c r="H1398" s="353">
        <v>308.92</v>
      </c>
      <c r="I1398" s="59"/>
      <c r="J1398" s="59" t="s">
        <v>1383</v>
      </c>
      <c r="K1398" s="20">
        <v>1</v>
      </c>
      <c r="L1398" s="20">
        <v>2</v>
      </c>
      <c r="M1398" s="357">
        <f>SUM(H1398:H1399)</f>
        <v>998.92000000000007</v>
      </c>
      <c r="N1398" s="411">
        <f>IFERROR((M1398/(VLOOKUP(B1398,'Data Pull Sheet'!$C:$H,6,FALSE))),"DC")</f>
        <v>1.9978400000000002E-4</v>
      </c>
      <c r="O1398" s="23" t="s">
        <v>1384</v>
      </c>
      <c r="P1398" s="92" t="s">
        <v>676</v>
      </c>
      <c r="Q1398" s="92" t="s">
        <v>646</v>
      </c>
      <c r="R1398" s="372" t="str">
        <f t="shared" si="39"/>
        <v/>
      </c>
    </row>
    <row r="1399" spans="1:18" x14ac:dyDescent="0.25">
      <c r="A1399" s="23" t="s">
        <v>1379</v>
      </c>
      <c r="B1399" s="18" t="str">
        <f>IF(ISNA(VLOOKUP($A1399,'Data Pull Sheet'!$B$2:$C$1795,2,0)),"",(VLOOKUP($A1399,'Data Pull Sheet'!$B$2:$C$1795,2,0)))</f>
        <v>CIA</v>
      </c>
      <c r="C1399" s="59" t="s">
        <v>1380</v>
      </c>
      <c r="D1399" s="356" t="s">
        <v>1381</v>
      </c>
      <c r="E1399" s="356" t="s">
        <v>929</v>
      </c>
      <c r="F1399" s="23" t="s">
        <v>1385</v>
      </c>
      <c r="G1399" s="23" t="s">
        <v>403</v>
      </c>
      <c r="H1399" s="353">
        <v>690</v>
      </c>
      <c r="I1399" s="59"/>
      <c r="J1399" s="59" t="s">
        <v>1386</v>
      </c>
      <c r="K1399" s="20"/>
      <c r="L1399" s="20"/>
      <c r="M1399" s="357"/>
      <c r="N1399" s="411"/>
      <c r="O1399" s="23" t="s">
        <v>1384</v>
      </c>
      <c r="P1399" s="92" t="s">
        <v>676</v>
      </c>
      <c r="Q1399" s="92" t="s">
        <v>646</v>
      </c>
      <c r="R1399" s="372" t="str">
        <f t="shared" si="39"/>
        <v/>
      </c>
    </row>
    <row r="1400" spans="1:18" x14ac:dyDescent="0.25">
      <c r="A1400" s="23" t="s">
        <v>1614</v>
      </c>
      <c r="B1400" s="18" t="str">
        <f>IF(ISNA(VLOOKUP($A1400,'Data Pull Sheet'!$B$2:$C$1795,2,0)),"",(VLOOKUP($A1400,'Data Pull Sheet'!$B$2:$C$1795,2,0)))</f>
        <v>HOMEX </v>
      </c>
      <c r="C1400" s="59" t="s">
        <v>1008</v>
      </c>
      <c r="D1400" s="356" t="s">
        <v>928</v>
      </c>
      <c r="E1400" s="356" t="s">
        <v>929</v>
      </c>
      <c r="F1400" s="23" t="s">
        <v>1615</v>
      </c>
      <c r="G1400" s="23" t="s">
        <v>403</v>
      </c>
      <c r="H1400" s="353">
        <v>84274.43</v>
      </c>
      <c r="I1400" s="59"/>
      <c r="J1400" s="59" t="s">
        <v>1616</v>
      </c>
      <c r="K1400" s="20">
        <v>2</v>
      </c>
      <c r="L1400" s="20">
        <v>1</v>
      </c>
      <c r="M1400" s="357">
        <f>H1400</f>
        <v>84274.43</v>
      </c>
      <c r="N1400" s="411">
        <f>IFERROR((M1400/(VLOOKUP(B1400,'Data Pull Sheet'!$C:$H,6,FALSE))),"DC")</f>
        <v>2.1068607499999999E-4</v>
      </c>
      <c r="O1400" s="23" t="s">
        <v>1617</v>
      </c>
      <c r="P1400" s="92" t="s">
        <v>632</v>
      </c>
      <c r="Q1400" s="92" t="s">
        <v>637</v>
      </c>
      <c r="R1400" s="372" t="str">
        <f t="shared" si="39"/>
        <v/>
      </c>
    </row>
    <row r="1401" spans="1:18" x14ac:dyDescent="0.25">
      <c r="A1401" s="23" t="s">
        <v>1614</v>
      </c>
      <c r="B1401" s="18" t="str">
        <f>IF(ISNA(VLOOKUP($A1401,'Data Pull Sheet'!$B$2:$C$1795,2,0)),"",(VLOOKUP($A1401,'Data Pull Sheet'!$B$2:$C$1795,2,0)))</f>
        <v>HOMEX </v>
      </c>
      <c r="C1401" s="59" t="s">
        <v>1008</v>
      </c>
      <c r="D1401" s="356" t="s">
        <v>928</v>
      </c>
      <c r="E1401" s="356" t="s">
        <v>929</v>
      </c>
      <c r="F1401" s="23" t="s">
        <v>1618</v>
      </c>
      <c r="G1401" s="23" t="s">
        <v>403</v>
      </c>
      <c r="H1401" s="353">
        <v>322308.15000000002</v>
      </c>
      <c r="I1401" s="59"/>
      <c r="J1401" s="59" t="s">
        <v>1619</v>
      </c>
      <c r="K1401" s="20"/>
      <c r="L1401" s="20">
        <v>1</v>
      </c>
      <c r="M1401" s="357">
        <f>H1401</f>
        <v>322308.15000000002</v>
      </c>
      <c r="N1401" s="411">
        <f>IFERROR((M1401/(VLOOKUP(B1401,'Data Pull Sheet'!$C:$H,6,FALSE))),"DC")</f>
        <v>8.0577037500000005E-4</v>
      </c>
      <c r="O1401" s="23" t="s">
        <v>63</v>
      </c>
      <c r="P1401" s="92" t="s">
        <v>632</v>
      </c>
      <c r="Q1401" s="92" t="s">
        <v>637</v>
      </c>
      <c r="R1401" s="372" t="str">
        <f t="shared" si="39"/>
        <v/>
      </c>
    </row>
    <row r="1402" spans="1:18" x14ac:dyDescent="0.25">
      <c r="A1402" s="23" t="s">
        <v>4255</v>
      </c>
      <c r="B1402" s="59" t="s">
        <v>7552</v>
      </c>
      <c r="C1402" s="59" t="s">
        <v>418</v>
      </c>
      <c r="D1402" s="356" t="s">
        <v>1381</v>
      </c>
      <c r="E1402" s="356" t="s">
        <v>929</v>
      </c>
      <c r="F1402" s="23" t="s">
        <v>10450</v>
      </c>
      <c r="G1402" s="59" t="s">
        <v>403</v>
      </c>
      <c r="H1402" s="353">
        <v>120913.34</v>
      </c>
      <c r="I1402" s="59"/>
      <c r="J1402" s="59" t="s">
        <v>7901</v>
      </c>
      <c r="K1402" s="20">
        <v>6</v>
      </c>
      <c r="L1402" s="20">
        <v>1</v>
      </c>
      <c r="M1402" s="357">
        <f>+H1402</f>
        <v>120913.34</v>
      </c>
      <c r="N1402" s="411">
        <f>IFERROR((M1402/(VLOOKUP(B1402,'Data Pull Sheet'!$C:$H,6,FALSE))),"DC")</f>
        <v>1.5114167499999999E-2</v>
      </c>
      <c r="O1402" s="23" t="s">
        <v>407</v>
      </c>
      <c r="P1402" s="18" t="s">
        <v>632</v>
      </c>
      <c r="Q1402" s="18" t="s">
        <v>637</v>
      </c>
      <c r="R1402" s="372" t="str">
        <f t="shared" si="39"/>
        <v/>
      </c>
    </row>
    <row r="1403" spans="1:18" x14ac:dyDescent="0.25">
      <c r="A1403" s="23" t="s">
        <v>4255</v>
      </c>
      <c r="B1403" s="59" t="s">
        <v>7552</v>
      </c>
      <c r="C1403" s="59" t="s">
        <v>418</v>
      </c>
      <c r="D1403" s="356" t="s">
        <v>1381</v>
      </c>
      <c r="E1403" s="356" t="s">
        <v>929</v>
      </c>
      <c r="F1403" s="23" t="s">
        <v>7298</v>
      </c>
      <c r="G1403" s="59" t="s">
        <v>403</v>
      </c>
      <c r="H1403" s="353">
        <v>10784</v>
      </c>
      <c r="I1403" s="59"/>
      <c r="J1403" s="59" t="s">
        <v>7902</v>
      </c>
      <c r="K1403" s="20"/>
      <c r="L1403" s="20">
        <v>6</v>
      </c>
      <c r="M1403" s="357">
        <f>SUM(H1403:H1408)</f>
        <v>328625.61</v>
      </c>
      <c r="N1403" s="411">
        <f>IFERROR((M1403/(VLOOKUP(B1403,'Data Pull Sheet'!$C:$H,6,FALSE))),"DC")</f>
        <v>4.1078201250000002E-2</v>
      </c>
      <c r="O1403" s="23" t="s">
        <v>1558</v>
      </c>
      <c r="P1403" s="18" t="s">
        <v>632</v>
      </c>
      <c r="Q1403" s="18" t="s">
        <v>646</v>
      </c>
      <c r="R1403" s="372" t="str">
        <f t="shared" si="39"/>
        <v/>
      </c>
    </row>
    <row r="1404" spans="1:18" x14ac:dyDescent="0.25">
      <c r="A1404" s="23" t="s">
        <v>4255</v>
      </c>
      <c r="B1404" s="59" t="s">
        <v>7552</v>
      </c>
      <c r="C1404" s="59" t="s">
        <v>418</v>
      </c>
      <c r="D1404" s="356" t="s">
        <v>1381</v>
      </c>
      <c r="E1404" s="356" t="s">
        <v>929</v>
      </c>
      <c r="F1404" s="23" t="s">
        <v>7299</v>
      </c>
      <c r="G1404" s="59" t="s">
        <v>403</v>
      </c>
      <c r="H1404" s="353">
        <v>24510</v>
      </c>
      <c r="I1404" s="59"/>
      <c r="J1404" s="59" t="s">
        <v>7903</v>
      </c>
      <c r="K1404" s="20"/>
      <c r="L1404" s="20"/>
      <c r="M1404" s="357"/>
      <c r="N1404" s="411"/>
      <c r="O1404" s="23" t="s">
        <v>1558</v>
      </c>
      <c r="P1404" s="18" t="s">
        <v>632</v>
      </c>
      <c r="Q1404" s="18" t="s">
        <v>646</v>
      </c>
      <c r="R1404" s="372" t="str">
        <f t="shared" si="39"/>
        <v/>
      </c>
    </row>
    <row r="1405" spans="1:18" x14ac:dyDescent="0.25">
      <c r="A1405" s="23" t="s">
        <v>4255</v>
      </c>
      <c r="B1405" s="59" t="s">
        <v>7552</v>
      </c>
      <c r="C1405" s="59" t="s">
        <v>418</v>
      </c>
      <c r="D1405" s="356" t="s">
        <v>1381</v>
      </c>
      <c r="E1405" s="356" t="s">
        <v>929</v>
      </c>
      <c r="F1405" s="23" t="s">
        <v>7300</v>
      </c>
      <c r="G1405" s="59" t="s">
        <v>403</v>
      </c>
      <c r="H1405" s="353">
        <v>20015.2</v>
      </c>
      <c r="I1405" s="59"/>
      <c r="J1405" s="59" t="s">
        <v>7904</v>
      </c>
      <c r="K1405" s="20"/>
      <c r="L1405" s="20"/>
      <c r="M1405" s="357"/>
      <c r="N1405" s="411"/>
      <c r="O1405" s="23" t="s">
        <v>1558</v>
      </c>
      <c r="P1405" s="18" t="s">
        <v>632</v>
      </c>
      <c r="Q1405" s="18" t="s">
        <v>646</v>
      </c>
      <c r="R1405" s="372" t="str">
        <f t="shared" si="39"/>
        <v/>
      </c>
    </row>
    <row r="1406" spans="1:18" x14ac:dyDescent="0.25">
      <c r="A1406" s="23" t="s">
        <v>4255</v>
      </c>
      <c r="B1406" s="59" t="s">
        <v>7552</v>
      </c>
      <c r="C1406" s="59" t="s">
        <v>418</v>
      </c>
      <c r="D1406" s="356" t="s">
        <v>1381</v>
      </c>
      <c r="E1406" s="356" t="s">
        <v>929</v>
      </c>
      <c r="F1406" s="23" t="s">
        <v>7301</v>
      </c>
      <c r="G1406" s="59" t="s">
        <v>403</v>
      </c>
      <c r="H1406" s="353">
        <v>12306.84</v>
      </c>
      <c r="I1406" s="59"/>
      <c r="J1406" s="59" t="s">
        <v>7905</v>
      </c>
      <c r="K1406" s="20"/>
      <c r="L1406" s="20"/>
      <c r="M1406" s="357"/>
      <c r="N1406" s="411"/>
      <c r="O1406" s="23" t="s">
        <v>1558</v>
      </c>
      <c r="P1406" s="18" t="s">
        <v>632</v>
      </c>
      <c r="Q1406" s="18" t="s">
        <v>646</v>
      </c>
      <c r="R1406" s="372" t="str">
        <f t="shared" si="39"/>
        <v/>
      </c>
    </row>
    <row r="1407" spans="1:18" x14ac:dyDescent="0.25">
      <c r="A1407" s="23" t="s">
        <v>4255</v>
      </c>
      <c r="B1407" s="59" t="s">
        <v>7552</v>
      </c>
      <c r="C1407" s="59" t="s">
        <v>418</v>
      </c>
      <c r="D1407" s="356" t="s">
        <v>1381</v>
      </c>
      <c r="E1407" s="356" t="s">
        <v>929</v>
      </c>
      <c r="F1407" s="23" t="s">
        <v>7302</v>
      </c>
      <c r="G1407" s="59" t="s">
        <v>403</v>
      </c>
      <c r="H1407" s="353">
        <v>244510.03</v>
      </c>
      <c r="I1407" s="59"/>
      <c r="J1407" s="59" t="s">
        <v>7906</v>
      </c>
      <c r="K1407" s="20"/>
      <c r="L1407" s="20"/>
      <c r="M1407" s="357"/>
      <c r="N1407" s="411"/>
      <c r="O1407" s="23" t="s">
        <v>1558</v>
      </c>
      <c r="P1407" s="18" t="s">
        <v>632</v>
      </c>
      <c r="Q1407" s="18" t="s">
        <v>646</v>
      </c>
      <c r="R1407" s="372" t="str">
        <f t="shared" si="39"/>
        <v/>
      </c>
    </row>
    <row r="1408" spans="1:18" x14ac:dyDescent="0.25">
      <c r="A1408" s="23" t="s">
        <v>4255</v>
      </c>
      <c r="B1408" s="59" t="s">
        <v>7552</v>
      </c>
      <c r="C1408" s="59" t="s">
        <v>418</v>
      </c>
      <c r="D1408" s="356" t="s">
        <v>1381</v>
      </c>
      <c r="E1408" s="356" t="s">
        <v>929</v>
      </c>
      <c r="F1408" s="23" t="s">
        <v>7303</v>
      </c>
      <c r="G1408" s="59" t="s">
        <v>403</v>
      </c>
      <c r="H1408" s="353">
        <v>16499.54</v>
      </c>
      <c r="I1408" s="59"/>
      <c r="J1408" s="59" t="s">
        <v>7907</v>
      </c>
      <c r="K1408" s="20"/>
      <c r="L1408" s="20"/>
      <c r="M1408" s="357"/>
      <c r="N1408" s="411"/>
      <c r="O1408" s="23" t="s">
        <v>1558</v>
      </c>
      <c r="P1408" s="18" t="s">
        <v>632</v>
      </c>
      <c r="Q1408" s="18" t="s">
        <v>646</v>
      </c>
      <c r="R1408" s="372" t="str">
        <f t="shared" si="39"/>
        <v/>
      </c>
    </row>
    <row r="1409" spans="1:18" x14ac:dyDescent="0.25">
      <c r="A1409" s="23" t="s">
        <v>4255</v>
      </c>
      <c r="B1409" s="59" t="s">
        <v>7552</v>
      </c>
      <c r="C1409" s="59" t="s">
        <v>418</v>
      </c>
      <c r="D1409" s="356" t="s">
        <v>1381</v>
      </c>
      <c r="E1409" s="356" t="s">
        <v>929</v>
      </c>
      <c r="F1409" s="23" t="s">
        <v>7304</v>
      </c>
      <c r="G1409" s="59" t="s">
        <v>403</v>
      </c>
      <c r="H1409" s="353">
        <v>56488.66</v>
      </c>
      <c r="I1409" s="59"/>
      <c r="J1409" s="59" t="s">
        <v>7908</v>
      </c>
      <c r="K1409" s="20"/>
      <c r="L1409" s="20">
        <v>1</v>
      </c>
      <c r="M1409" s="357">
        <f>+H1409</f>
        <v>56488.66</v>
      </c>
      <c r="N1409" s="411">
        <f>IFERROR((M1409/(VLOOKUP(B1409,'Data Pull Sheet'!$C:$H,6,FALSE))),"DC")</f>
        <v>7.0610825000000004E-3</v>
      </c>
      <c r="O1409" s="23" t="s">
        <v>168</v>
      </c>
      <c r="P1409" s="18" t="s">
        <v>632</v>
      </c>
      <c r="Q1409" s="18" t="s">
        <v>637</v>
      </c>
      <c r="R1409" s="372" t="str">
        <f t="shared" si="39"/>
        <v/>
      </c>
    </row>
    <row r="1410" spans="1:18" x14ac:dyDescent="0.25">
      <c r="A1410" s="23" t="s">
        <v>4255</v>
      </c>
      <c r="B1410" s="59" t="s">
        <v>7552</v>
      </c>
      <c r="C1410" s="59" t="s">
        <v>418</v>
      </c>
      <c r="D1410" s="356" t="s">
        <v>1381</v>
      </c>
      <c r="E1410" s="356" t="s">
        <v>929</v>
      </c>
      <c r="F1410" s="23" t="s">
        <v>7305</v>
      </c>
      <c r="G1410" s="59" t="s">
        <v>403</v>
      </c>
      <c r="H1410" s="353">
        <v>485669</v>
      </c>
      <c r="I1410" s="59"/>
      <c r="J1410" s="59" t="s">
        <v>7910</v>
      </c>
      <c r="K1410" s="20"/>
      <c r="L1410" s="20">
        <v>1</v>
      </c>
      <c r="M1410" s="357">
        <f>+H1410</f>
        <v>485669</v>
      </c>
      <c r="N1410" s="411">
        <f>IFERROR((M1410/(VLOOKUP(B1410,'Data Pull Sheet'!$C:$H,6,FALSE))),"DC")</f>
        <v>6.0708625000000002E-2</v>
      </c>
      <c r="O1410" s="23" t="s">
        <v>60</v>
      </c>
      <c r="P1410" s="18" t="s">
        <v>632</v>
      </c>
      <c r="Q1410" s="18" t="s">
        <v>637</v>
      </c>
      <c r="R1410" s="372" t="str">
        <f t="shared" ref="R1410:R1473" si="40">IF(COUNTIF(F:F,F1410)&gt;=2,"FF","")</f>
        <v/>
      </c>
    </row>
    <row r="1411" spans="1:18" x14ac:dyDescent="0.25">
      <c r="A1411" s="23" t="s">
        <v>4255</v>
      </c>
      <c r="B1411" s="59" t="s">
        <v>7552</v>
      </c>
      <c r="C1411" s="59" t="s">
        <v>418</v>
      </c>
      <c r="D1411" s="356" t="s">
        <v>1381</v>
      </c>
      <c r="E1411" s="356" t="s">
        <v>929</v>
      </c>
      <c r="F1411" s="23" t="s">
        <v>7306</v>
      </c>
      <c r="G1411" s="59" t="s">
        <v>403</v>
      </c>
      <c r="H1411" s="353">
        <v>449972</v>
      </c>
      <c r="I1411" s="59"/>
      <c r="J1411" s="59" t="s">
        <v>7912</v>
      </c>
      <c r="K1411" s="20"/>
      <c r="L1411" s="20">
        <v>1</v>
      </c>
      <c r="M1411" s="357">
        <f>+H1411</f>
        <v>449972</v>
      </c>
      <c r="N1411" s="411">
        <f>IFERROR((M1411/(VLOOKUP(B1411,'Data Pull Sheet'!$C:$H,6,FALSE))),"DC")</f>
        <v>5.6246499999999998E-2</v>
      </c>
      <c r="O1411" s="23" t="s">
        <v>1598</v>
      </c>
      <c r="P1411" s="18" t="s">
        <v>632</v>
      </c>
      <c r="Q1411" s="18" t="s">
        <v>637</v>
      </c>
      <c r="R1411" s="372" t="str">
        <f t="shared" si="40"/>
        <v/>
      </c>
    </row>
    <row r="1412" spans="1:18" x14ac:dyDescent="0.25">
      <c r="A1412" s="23" t="s">
        <v>4255</v>
      </c>
      <c r="B1412" s="59" t="s">
        <v>7552</v>
      </c>
      <c r="C1412" s="59" t="s">
        <v>418</v>
      </c>
      <c r="D1412" s="356" t="s">
        <v>1381</v>
      </c>
      <c r="E1412" s="356" t="s">
        <v>929</v>
      </c>
      <c r="F1412" s="23" t="s">
        <v>7307</v>
      </c>
      <c r="G1412" s="59" t="s">
        <v>403</v>
      </c>
      <c r="H1412" s="353">
        <v>801.79</v>
      </c>
      <c r="I1412" s="59"/>
      <c r="J1412" s="59" t="s">
        <v>7913</v>
      </c>
      <c r="K1412" s="20"/>
      <c r="L1412" s="20">
        <v>3</v>
      </c>
      <c r="M1412" s="357">
        <f>SUM(H1412:H1414)</f>
        <v>43613.03</v>
      </c>
      <c r="N1412" s="411">
        <f>IFERROR((M1412/(VLOOKUP(B1412,'Data Pull Sheet'!$C:$H,6,FALSE))),"DC")</f>
        <v>5.4516287499999996E-3</v>
      </c>
      <c r="O1412" s="23" t="s">
        <v>682</v>
      </c>
      <c r="P1412" s="18" t="s">
        <v>632</v>
      </c>
      <c r="Q1412" s="18" t="s">
        <v>646</v>
      </c>
      <c r="R1412" s="372" t="str">
        <f t="shared" si="40"/>
        <v/>
      </c>
    </row>
    <row r="1413" spans="1:18" x14ac:dyDescent="0.25">
      <c r="A1413" s="23" t="s">
        <v>4255</v>
      </c>
      <c r="B1413" s="59" t="s">
        <v>7552</v>
      </c>
      <c r="C1413" s="59" t="s">
        <v>418</v>
      </c>
      <c r="D1413" s="356" t="s">
        <v>1381</v>
      </c>
      <c r="E1413" s="356" t="s">
        <v>929</v>
      </c>
      <c r="F1413" s="23" t="s">
        <v>7308</v>
      </c>
      <c r="G1413" s="59" t="s">
        <v>403</v>
      </c>
      <c r="H1413" s="353">
        <v>19834.419999999998</v>
      </c>
      <c r="I1413" s="59"/>
      <c r="J1413" s="59" t="s">
        <v>7914</v>
      </c>
      <c r="K1413" s="20"/>
      <c r="L1413" s="20"/>
      <c r="M1413" s="357"/>
      <c r="N1413" s="411"/>
      <c r="O1413" s="23" t="s">
        <v>682</v>
      </c>
      <c r="P1413" s="18" t="s">
        <v>632</v>
      </c>
      <c r="Q1413" s="18" t="s">
        <v>646</v>
      </c>
      <c r="R1413" s="372" t="str">
        <f t="shared" si="40"/>
        <v/>
      </c>
    </row>
    <row r="1414" spans="1:18" x14ac:dyDescent="0.25">
      <c r="A1414" s="23" t="s">
        <v>4255</v>
      </c>
      <c r="B1414" s="59" t="s">
        <v>7552</v>
      </c>
      <c r="C1414" s="59" t="s">
        <v>418</v>
      </c>
      <c r="D1414" s="356" t="s">
        <v>1381</v>
      </c>
      <c r="E1414" s="356" t="s">
        <v>929</v>
      </c>
      <c r="F1414" s="23" t="s">
        <v>7309</v>
      </c>
      <c r="G1414" s="59" t="s">
        <v>403</v>
      </c>
      <c r="H1414" s="353">
        <v>22976.82</v>
      </c>
      <c r="I1414" s="59"/>
      <c r="J1414" s="59" t="s">
        <v>7915</v>
      </c>
      <c r="K1414" s="20"/>
      <c r="L1414" s="20"/>
      <c r="M1414" s="357"/>
      <c r="N1414" s="411"/>
      <c r="O1414" s="23" t="s">
        <v>682</v>
      </c>
      <c r="P1414" s="18" t="s">
        <v>632</v>
      </c>
      <c r="Q1414" s="18" t="s">
        <v>646</v>
      </c>
      <c r="R1414" s="372" t="str">
        <f t="shared" si="40"/>
        <v/>
      </c>
    </row>
    <row r="1415" spans="1:18" x14ac:dyDescent="0.25">
      <c r="A1415" s="23" t="s">
        <v>3029</v>
      </c>
      <c r="B1415" s="18" t="str">
        <f>IF(ISNA(VLOOKUP($A1415,'Data Pull Sheet'!$B$2:$C$1795,2,0)),"",(VLOOKUP($A1415,'Data Pull Sheet'!$B$2:$C$1795,2,0)))</f>
        <v>PN</v>
      </c>
      <c r="C1415" s="59" t="s">
        <v>418</v>
      </c>
      <c r="D1415" s="356" t="s">
        <v>928</v>
      </c>
      <c r="E1415" s="356" t="s">
        <v>929</v>
      </c>
      <c r="F1415" s="23" t="s">
        <v>3030</v>
      </c>
      <c r="G1415" s="23" t="s">
        <v>403</v>
      </c>
      <c r="H1415" s="353">
        <v>11602.65</v>
      </c>
      <c r="I1415" s="59"/>
      <c r="J1415" s="59" t="s">
        <v>3031</v>
      </c>
      <c r="K1415" s="20">
        <v>4</v>
      </c>
      <c r="L1415" s="20">
        <v>2</v>
      </c>
      <c r="M1415" s="357">
        <f>SUM(H1415:H1416)</f>
        <v>56409.630000000005</v>
      </c>
      <c r="N1415" s="411">
        <f>IFERROR((M1415/(VLOOKUP(B1415,'Data Pull Sheet'!$C:$H,6,FALSE))),"DC")</f>
        <v>2.8204815000000003E-3</v>
      </c>
      <c r="O1415" s="23" t="s">
        <v>3032</v>
      </c>
      <c r="P1415" s="92" t="s">
        <v>632</v>
      </c>
      <c r="Q1415" s="92" t="s">
        <v>646</v>
      </c>
      <c r="R1415" s="372" t="str">
        <f t="shared" si="40"/>
        <v/>
      </c>
    </row>
    <row r="1416" spans="1:18" x14ac:dyDescent="0.25">
      <c r="A1416" s="23" t="s">
        <v>3029</v>
      </c>
      <c r="B1416" s="18" t="str">
        <f>IF(ISNA(VLOOKUP($A1416,'Data Pull Sheet'!$B$2:$C$1795,2,0)),"",(VLOOKUP($A1416,'Data Pull Sheet'!$B$2:$C$1795,2,0)))</f>
        <v>PN</v>
      </c>
      <c r="C1416" s="59" t="s">
        <v>418</v>
      </c>
      <c r="D1416" s="356" t="s">
        <v>928</v>
      </c>
      <c r="E1416" s="356" t="s">
        <v>929</v>
      </c>
      <c r="F1416" s="23" t="s">
        <v>3033</v>
      </c>
      <c r="G1416" s="23" t="s">
        <v>403</v>
      </c>
      <c r="H1416" s="353">
        <v>44806.98</v>
      </c>
      <c r="I1416" s="59"/>
      <c r="J1416" s="59" t="s">
        <v>3034</v>
      </c>
      <c r="K1416" s="20"/>
      <c r="L1416" s="20"/>
      <c r="M1416" s="357"/>
      <c r="N1416" s="411"/>
      <c r="O1416" s="23" t="s">
        <v>3032</v>
      </c>
      <c r="P1416" s="92" t="s">
        <v>632</v>
      </c>
      <c r="Q1416" s="92" t="s">
        <v>646</v>
      </c>
      <c r="R1416" s="372" t="str">
        <f t="shared" si="40"/>
        <v/>
      </c>
    </row>
    <row r="1417" spans="1:18" x14ac:dyDescent="0.25">
      <c r="A1417" s="23" t="s">
        <v>3029</v>
      </c>
      <c r="B1417" s="18" t="str">
        <f>IF(ISNA(VLOOKUP($A1417,'Data Pull Sheet'!$B$2:$C$1795,2,0)),"",(VLOOKUP($A1417,'Data Pull Sheet'!$B$2:$C$1795,2,0)))</f>
        <v>PN</v>
      </c>
      <c r="C1417" s="59" t="s">
        <v>418</v>
      </c>
      <c r="D1417" s="356" t="s">
        <v>928</v>
      </c>
      <c r="E1417" s="356" t="s">
        <v>929</v>
      </c>
      <c r="F1417" s="23" t="s">
        <v>3035</v>
      </c>
      <c r="G1417" s="23" t="s">
        <v>403</v>
      </c>
      <c r="H1417" s="353">
        <v>6970.7</v>
      </c>
      <c r="I1417" s="59"/>
      <c r="J1417" s="59" t="s">
        <v>3036</v>
      </c>
      <c r="K1417" s="20"/>
      <c r="L1417" s="20">
        <v>3</v>
      </c>
      <c r="M1417" s="357">
        <f>SUM(H1417:H1419)</f>
        <v>36507.19</v>
      </c>
      <c r="N1417" s="411">
        <f>IFERROR((M1417/(VLOOKUP(B1417,'Data Pull Sheet'!$C:$H,6,FALSE))),"DC")</f>
        <v>1.8253595000000001E-3</v>
      </c>
      <c r="O1417" s="23" t="s">
        <v>3037</v>
      </c>
      <c r="P1417" s="92" t="s">
        <v>632</v>
      </c>
      <c r="Q1417" s="92" t="s">
        <v>646</v>
      </c>
      <c r="R1417" s="372" t="str">
        <f t="shared" si="40"/>
        <v/>
      </c>
    </row>
    <row r="1418" spans="1:18" x14ac:dyDescent="0.25">
      <c r="A1418" s="23" t="s">
        <v>3029</v>
      </c>
      <c r="B1418" s="18" t="str">
        <f>IF(ISNA(VLOOKUP($A1418,'Data Pull Sheet'!$B$2:$C$1795,2,0)),"",(VLOOKUP($A1418,'Data Pull Sheet'!$B$2:$C$1795,2,0)))</f>
        <v>PN</v>
      </c>
      <c r="C1418" s="59" t="s">
        <v>418</v>
      </c>
      <c r="D1418" s="356" t="s">
        <v>928</v>
      </c>
      <c r="E1418" s="356" t="s">
        <v>929</v>
      </c>
      <c r="F1418" s="23" t="s">
        <v>3038</v>
      </c>
      <c r="G1418" s="23" t="s">
        <v>403</v>
      </c>
      <c r="H1418" s="353">
        <v>12188.08</v>
      </c>
      <c r="I1418" s="59"/>
      <c r="J1418" s="59" t="s">
        <v>3039</v>
      </c>
      <c r="K1418" s="20"/>
      <c r="L1418" s="20"/>
      <c r="M1418" s="357"/>
      <c r="N1418" s="411"/>
      <c r="O1418" s="23" t="s">
        <v>3037</v>
      </c>
      <c r="P1418" s="92" t="s">
        <v>632</v>
      </c>
      <c r="Q1418" s="92" t="s">
        <v>646</v>
      </c>
      <c r="R1418" s="372" t="str">
        <f t="shared" si="40"/>
        <v/>
      </c>
    </row>
    <row r="1419" spans="1:18" x14ac:dyDescent="0.25">
      <c r="A1419" s="23" t="s">
        <v>3029</v>
      </c>
      <c r="B1419" s="18" t="str">
        <f>IF(ISNA(VLOOKUP($A1419,'Data Pull Sheet'!$B$2:$C$1795,2,0)),"",(VLOOKUP($A1419,'Data Pull Sheet'!$B$2:$C$1795,2,0)))</f>
        <v>PN</v>
      </c>
      <c r="C1419" s="59" t="s">
        <v>418</v>
      </c>
      <c r="D1419" s="356" t="s">
        <v>928</v>
      </c>
      <c r="E1419" s="356" t="s">
        <v>929</v>
      </c>
      <c r="F1419" s="23" t="s">
        <v>3040</v>
      </c>
      <c r="G1419" s="23" t="s">
        <v>403</v>
      </c>
      <c r="H1419" s="353">
        <v>17348.41</v>
      </c>
      <c r="I1419" s="59"/>
      <c r="J1419" s="59" t="s">
        <v>3041</v>
      </c>
      <c r="K1419" s="20"/>
      <c r="L1419" s="20"/>
      <c r="M1419" s="357"/>
      <c r="N1419" s="411"/>
      <c r="O1419" s="23" t="s">
        <v>3037</v>
      </c>
      <c r="P1419" s="92" t="s">
        <v>632</v>
      </c>
      <c r="Q1419" s="92" t="s">
        <v>646</v>
      </c>
      <c r="R1419" s="372" t="str">
        <f t="shared" si="40"/>
        <v/>
      </c>
    </row>
    <row r="1420" spans="1:18" x14ac:dyDescent="0.25">
      <c r="A1420" s="23" t="s">
        <v>3029</v>
      </c>
      <c r="B1420" s="18" t="str">
        <f>IF(ISNA(VLOOKUP($A1420,'Data Pull Sheet'!$B$2:$C$1795,2,0)),"",(VLOOKUP($A1420,'Data Pull Sheet'!$B$2:$C$1795,2,0)))</f>
        <v>PN</v>
      </c>
      <c r="C1420" s="59" t="s">
        <v>418</v>
      </c>
      <c r="D1420" s="356" t="s">
        <v>928</v>
      </c>
      <c r="E1420" s="356" t="s">
        <v>929</v>
      </c>
      <c r="F1420" s="23" t="s">
        <v>3042</v>
      </c>
      <c r="G1420" s="23" t="s">
        <v>417</v>
      </c>
      <c r="H1420" s="353">
        <v>380227.73</v>
      </c>
      <c r="I1420" s="59"/>
      <c r="J1420" s="59" t="s">
        <v>3043</v>
      </c>
      <c r="K1420" s="20"/>
      <c r="L1420" s="20">
        <v>1</v>
      </c>
      <c r="M1420" s="357">
        <f>H1420</f>
        <v>380227.73</v>
      </c>
      <c r="N1420" s="411">
        <f>IFERROR((M1420/(VLOOKUP(B1420,'Data Pull Sheet'!$C:$H,6,FALSE))),"DC")</f>
        <v>1.9011386499999998E-2</v>
      </c>
      <c r="O1420" s="23" t="s">
        <v>597</v>
      </c>
      <c r="P1420" s="92" t="s">
        <v>632</v>
      </c>
      <c r="Q1420" s="92" t="s">
        <v>633</v>
      </c>
      <c r="R1420" s="372" t="str">
        <f t="shared" si="40"/>
        <v/>
      </c>
    </row>
    <row r="1421" spans="1:18" x14ac:dyDescent="0.25">
      <c r="A1421" s="23" t="s">
        <v>3029</v>
      </c>
      <c r="B1421" s="18" t="str">
        <f>IF(ISNA(VLOOKUP($A1421,'Data Pull Sheet'!$B$2:$C$1795,2,0)),"",(VLOOKUP($A1421,'Data Pull Sheet'!$B$2:$C$1795,2,0)))</f>
        <v>PN</v>
      </c>
      <c r="C1421" s="59" t="s">
        <v>418</v>
      </c>
      <c r="D1421" s="356" t="s">
        <v>928</v>
      </c>
      <c r="E1421" s="356" t="s">
        <v>929</v>
      </c>
      <c r="F1421" s="23" t="s">
        <v>3044</v>
      </c>
      <c r="G1421" s="23" t="s">
        <v>403</v>
      </c>
      <c r="H1421" s="353">
        <v>3714.82</v>
      </c>
      <c r="I1421" s="59"/>
      <c r="J1421" s="59" t="s">
        <v>3045</v>
      </c>
      <c r="K1421" s="20"/>
      <c r="L1421" s="20">
        <v>3</v>
      </c>
      <c r="M1421" s="357">
        <f>SUM(H1421:H1423)</f>
        <v>25156.11</v>
      </c>
      <c r="N1421" s="411">
        <f>IFERROR((M1421/(VLOOKUP(B1421,'Data Pull Sheet'!$C:$H,6,FALSE))),"DC")</f>
        <v>1.2578055E-3</v>
      </c>
      <c r="O1421" s="23" t="s">
        <v>877</v>
      </c>
      <c r="P1421" s="92" t="s">
        <v>632</v>
      </c>
      <c r="Q1421" s="92" t="s">
        <v>646</v>
      </c>
      <c r="R1421" s="372" t="str">
        <f t="shared" si="40"/>
        <v/>
      </c>
    </row>
    <row r="1422" spans="1:18" x14ac:dyDescent="0.25">
      <c r="A1422" s="23" t="s">
        <v>3029</v>
      </c>
      <c r="B1422" s="18" t="str">
        <f>IF(ISNA(VLOOKUP($A1422,'Data Pull Sheet'!$B$2:$C$1795,2,0)),"",(VLOOKUP($A1422,'Data Pull Sheet'!$B$2:$C$1795,2,0)))</f>
        <v>PN</v>
      </c>
      <c r="C1422" s="59" t="s">
        <v>418</v>
      </c>
      <c r="D1422" s="356" t="s">
        <v>928</v>
      </c>
      <c r="E1422" s="356" t="s">
        <v>929</v>
      </c>
      <c r="F1422" s="23" t="s">
        <v>3046</v>
      </c>
      <c r="G1422" s="23" t="s">
        <v>403</v>
      </c>
      <c r="H1422" s="353">
        <v>9322.02</v>
      </c>
      <c r="I1422" s="59"/>
      <c r="J1422" s="59" t="s">
        <v>3047</v>
      </c>
      <c r="K1422" s="20"/>
      <c r="L1422" s="20"/>
      <c r="M1422" s="357"/>
      <c r="N1422" s="411"/>
      <c r="O1422" s="23" t="s">
        <v>877</v>
      </c>
      <c r="P1422" s="92" t="s">
        <v>632</v>
      </c>
      <c r="Q1422" s="92" t="s">
        <v>646</v>
      </c>
      <c r="R1422" s="372" t="str">
        <f t="shared" si="40"/>
        <v/>
      </c>
    </row>
    <row r="1423" spans="1:18" x14ac:dyDescent="0.25">
      <c r="A1423" s="23" t="s">
        <v>3029</v>
      </c>
      <c r="B1423" s="18" t="str">
        <f>IF(ISNA(VLOOKUP($A1423,'Data Pull Sheet'!$B$2:$C$1795,2,0)),"",(VLOOKUP($A1423,'Data Pull Sheet'!$B$2:$C$1795,2,0)))</f>
        <v>PN</v>
      </c>
      <c r="C1423" s="59" t="s">
        <v>418</v>
      </c>
      <c r="D1423" s="356" t="s">
        <v>928</v>
      </c>
      <c r="E1423" s="356" t="s">
        <v>929</v>
      </c>
      <c r="F1423" s="23" t="s">
        <v>3048</v>
      </c>
      <c r="G1423" s="23" t="s">
        <v>403</v>
      </c>
      <c r="H1423" s="353">
        <v>12119.27</v>
      </c>
      <c r="I1423" s="59"/>
      <c r="J1423" s="59" t="s">
        <v>3049</v>
      </c>
      <c r="K1423" s="20"/>
      <c r="L1423" s="20"/>
      <c r="M1423" s="357"/>
      <c r="N1423" s="411"/>
      <c r="O1423" s="23" t="s">
        <v>877</v>
      </c>
      <c r="P1423" s="92" t="s">
        <v>632</v>
      </c>
      <c r="Q1423" s="92" t="s">
        <v>646</v>
      </c>
      <c r="R1423" s="372" t="str">
        <f t="shared" si="40"/>
        <v/>
      </c>
    </row>
    <row r="1424" spans="1:18" x14ac:dyDescent="0.25">
      <c r="A1424" s="23" t="s">
        <v>4095</v>
      </c>
      <c r="B1424" s="18" t="str">
        <f>IF(ISNA(VLOOKUP($A1424,'Data Pull Sheet'!$B$2:$C$1795,2,0)),"",(VLOOKUP($A1424,'Data Pull Sheet'!$B$2:$C$1795,2,0)))</f>
        <v>WAC</v>
      </c>
      <c r="C1424" s="59" t="s">
        <v>542</v>
      </c>
      <c r="D1424" s="356" t="s">
        <v>1381</v>
      </c>
      <c r="E1424" s="356" t="s">
        <v>929</v>
      </c>
      <c r="F1424" s="23" t="s">
        <v>4096</v>
      </c>
      <c r="G1424" s="23" t="s">
        <v>403</v>
      </c>
      <c r="H1424" s="353">
        <v>20671.88</v>
      </c>
      <c r="I1424" s="59"/>
      <c r="J1424" s="59" t="s">
        <v>4097</v>
      </c>
      <c r="K1424" s="20">
        <v>3</v>
      </c>
      <c r="L1424" s="20">
        <v>1</v>
      </c>
      <c r="M1424" s="357">
        <f>H1424</f>
        <v>20671.88</v>
      </c>
      <c r="N1424" s="411">
        <f>IFERROR((M1424/(VLOOKUP(B1424,'Data Pull Sheet'!$C:$H,6,FALSE))),"DC")</f>
        <v>1.2159929411764707E-3</v>
      </c>
      <c r="O1424" s="23" t="s">
        <v>4098</v>
      </c>
      <c r="P1424" s="92" t="s">
        <v>632</v>
      </c>
      <c r="Q1424" s="92" t="s">
        <v>637</v>
      </c>
      <c r="R1424" s="372" t="str">
        <f t="shared" si="40"/>
        <v/>
      </c>
    </row>
    <row r="1425" spans="1:18" x14ac:dyDescent="0.25">
      <c r="A1425" s="23" t="s">
        <v>4095</v>
      </c>
      <c r="B1425" s="18" t="str">
        <f>IF(ISNA(VLOOKUP($A1425,'Data Pull Sheet'!$B$2:$C$1795,2,0)),"",(VLOOKUP($A1425,'Data Pull Sheet'!$B$2:$C$1795,2,0)))</f>
        <v>WAC</v>
      </c>
      <c r="C1425" s="59" t="s">
        <v>542</v>
      </c>
      <c r="D1425" s="356" t="s">
        <v>1381</v>
      </c>
      <c r="E1425" s="356" t="s">
        <v>929</v>
      </c>
      <c r="F1425" s="23" t="s">
        <v>4099</v>
      </c>
      <c r="G1425" s="23" t="s">
        <v>403</v>
      </c>
      <c r="H1425" s="353">
        <v>83796.350000000006</v>
      </c>
      <c r="I1425" s="59"/>
      <c r="J1425" s="59" t="s">
        <v>4100</v>
      </c>
      <c r="K1425" s="20"/>
      <c r="L1425" s="20">
        <v>1</v>
      </c>
      <c r="M1425" s="357">
        <f>H1425</f>
        <v>83796.350000000006</v>
      </c>
      <c r="N1425" s="411">
        <f>IFERROR((M1425/(VLOOKUP(B1425,'Data Pull Sheet'!$C:$H,6,FALSE))),"DC")</f>
        <v>4.92919705882353E-3</v>
      </c>
      <c r="O1425" s="23" t="s">
        <v>597</v>
      </c>
      <c r="P1425" s="92" t="s">
        <v>632</v>
      </c>
      <c r="Q1425" s="92" t="s">
        <v>637</v>
      </c>
      <c r="R1425" s="372" t="str">
        <f t="shared" si="40"/>
        <v/>
      </c>
    </row>
    <row r="1426" spans="1:18" x14ac:dyDescent="0.25">
      <c r="A1426" s="23" t="s">
        <v>4095</v>
      </c>
      <c r="B1426" s="18" t="str">
        <f>IF(ISNA(VLOOKUP($A1426,'Data Pull Sheet'!$B$2:$C$1795,2,0)),"",(VLOOKUP($A1426,'Data Pull Sheet'!$B$2:$C$1795,2,0)))</f>
        <v>WAC</v>
      </c>
      <c r="C1426" s="59" t="s">
        <v>542</v>
      </c>
      <c r="D1426" s="356" t="s">
        <v>1381</v>
      </c>
      <c r="E1426" s="356" t="s">
        <v>929</v>
      </c>
      <c r="F1426" s="23" t="s">
        <v>4101</v>
      </c>
      <c r="G1426" s="23" t="s">
        <v>403</v>
      </c>
      <c r="H1426" s="353">
        <v>2947.41</v>
      </c>
      <c r="I1426" s="59"/>
      <c r="J1426" s="59" t="s">
        <v>4102</v>
      </c>
      <c r="K1426" s="20"/>
      <c r="L1426" s="20">
        <v>3</v>
      </c>
      <c r="M1426" s="357">
        <f>SUM(H1426:H1428)</f>
        <v>22456.23</v>
      </c>
      <c r="N1426" s="411">
        <f>IFERROR((M1426/(VLOOKUP(B1426,'Data Pull Sheet'!$C:$H,6,FALSE))),"DC")</f>
        <v>1.3209547058823528E-3</v>
      </c>
      <c r="O1426" s="23" t="s">
        <v>682</v>
      </c>
      <c r="P1426" s="92" t="s">
        <v>632</v>
      </c>
      <c r="Q1426" s="92" t="s">
        <v>646</v>
      </c>
      <c r="R1426" s="372" t="str">
        <f t="shared" si="40"/>
        <v/>
      </c>
    </row>
    <row r="1427" spans="1:18" x14ac:dyDescent="0.25">
      <c r="A1427" s="23" t="s">
        <v>4095</v>
      </c>
      <c r="B1427" s="18" t="str">
        <f>IF(ISNA(VLOOKUP($A1427,'Data Pull Sheet'!$B$2:$C$1795,2,0)),"",(VLOOKUP($A1427,'Data Pull Sheet'!$B$2:$C$1795,2,0)))</f>
        <v>WAC</v>
      </c>
      <c r="C1427" s="59" t="s">
        <v>542</v>
      </c>
      <c r="D1427" s="356" t="s">
        <v>1381</v>
      </c>
      <c r="E1427" s="356" t="s">
        <v>929</v>
      </c>
      <c r="F1427" s="23" t="s">
        <v>4103</v>
      </c>
      <c r="G1427" s="23" t="s">
        <v>403</v>
      </c>
      <c r="H1427" s="353">
        <v>3569.75</v>
      </c>
      <c r="I1427" s="59"/>
      <c r="J1427" s="59" t="s">
        <v>4104</v>
      </c>
      <c r="K1427" s="20"/>
      <c r="L1427" s="20"/>
      <c r="M1427" s="357"/>
      <c r="N1427" s="411"/>
      <c r="O1427" s="23" t="s">
        <v>682</v>
      </c>
      <c r="P1427" s="92" t="s">
        <v>632</v>
      </c>
      <c r="Q1427" s="92" t="s">
        <v>646</v>
      </c>
      <c r="R1427" s="372" t="str">
        <f t="shared" si="40"/>
        <v/>
      </c>
    </row>
    <row r="1428" spans="1:18" x14ac:dyDescent="0.25">
      <c r="A1428" s="23" t="s">
        <v>4095</v>
      </c>
      <c r="B1428" s="18" t="str">
        <f>IF(ISNA(VLOOKUP($A1428,'Data Pull Sheet'!$B$2:$C$1795,2,0)),"",(VLOOKUP($A1428,'Data Pull Sheet'!$B$2:$C$1795,2,0)))</f>
        <v>WAC</v>
      </c>
      <c r="C1428" s="59" t="s">
        <v>542</v>
      </c>
      <c r="D1428" s="356" t="s">
        <v>1381</v>
      </c>
      <c r="E1428" s="356" t="s">
        <v>929</v>
      </c>
      <c r="F1428" s="23" t="s">
        <v>4105</v>
      </c>
      <c r="G1428" s="23" t="s">
        <v>403</v>
      </c>
      <c r="H1428" s="353">
        <v>15939.07</v>
      </c>
      <c r="I1428" s="59"/>
      <c r="J1428" s="59" t="s">
        <v>4106</v>
      </c>
      <c r="K1428" s="20"/>
      <c r="L1428" s="20"/>
      <c r="M1428" s="357"/>
      <c r="N1428" s="411"/>
      <c r="O1428" s="23" t="s">
        <v>682</v>
      </c>
      <c r="P1428" s="92" t="s">
        <v>632</v>
      </c>
      <c r="Q1428" s="92" t="s">
        <v>646</v>
      </c>
      <c r="R1428" s="372" t="str">
        <f t="shared" si="40"/>
        <v/>
      </c>
    </row>
    <row r="1429" spans="1:18" x14ac:dyDescent="0.25">
      <c r="A1429" s="23" t="s">
        <v>2370</v>
      </c>
      <c r="B1429" s="18" t="s">
        <v>10738</v>
      </c>
      <c r="C1429" s="59" t="s">
        <v>418</v>
      </c>
      <c r="D1429" s="356" t="s">
        <v>2377</v>
      </c>
      <c r="E1429" s="356" t="s">
        <v>2378</v>
      </c>
      <c r="F1429" s="23" t="s">
        <v>2379</v>
      </c>
      <c r="G1429" s="23" t="s">
        <v>403</v>
      </c>
      <c r="H1429" s="353">
        <v>2498</v>
      </c>
      <c r="I1429" s="59"/>
      <c r="J1429" s="59" t="s">
        <v>10742</v>
      </c>
      <c r="K1429" s="20">
        <v>2</v>
      </c>
      <c r="L1429" s="20">
        <v>4</v>
      </c>
      <c r="M1429" s="357">
        <f>SUM(H1429:H1432)</f>
        <v>24466.82</v>
      </c>
      <c r="N1429" s="411">
        <f>IFERROR((M1429/(VLOOKUP(B1429,'Data Pull Sheet'!$C:$H,6,FALSE))),"DC")</f>
        <v>1.6311213333333334E-4</v>
      </c>
      <c r="O1429" s="23" t="s">
        <v>885</v>
      </c>
      <c r="P1429" s="92" t="s">
        <v>632</v>
      </c>
      <c r="Q1429" s="92" t="s">
        <v>646</v>
      </c>
      <c r="R1429" s="372" t="str">
        <f t="shared" si="40"/>
        <v/>
      </c>
    </row>
    <row r="1430" spans="1:18" x14ac:dyDescent="0.25">
      <c r="A1430" s="23" t="s">
        <v>2370</v>
      </c>
      <c r="B1430" s="18" t="s">
        <v>10738</v>
      </c>
      <c r="C1430" s="59" t="s">
        <v>418</v>
      </c>
      <c r="D1430" s="356" t="s">
        <v>2377</v>
      </c>
      <c r="E1430" s="356" t="s">
        <v>2378</v>
      </c>
      <c r="F1430" s="23" t="s">
        <v>2380</v>
      </c>
      <c r="G1430" s="23" t="s">
        <v>403</v>
      </c>
      <c r="H1430" s="353">
        <v>3989.5</v>
      </c>
      <c r="I1430" s="59"/>
      <c r="J1430" s="59" t="s">
        <v>10743</v>
      </c>
      <c r="K1430" s="20"/>
      <c r="L1430" s="20"/>
      <c r="M1430" s="357"/>
      <c r="N1430" s="411"/>
      <c r="O1430" s="23" t="s">
        <v>885</v>
      </c>
      <c r="P1430" s="92" t="s">
        <v>632</v>
      </c>
      <c r="Q1430" s="92" t="s">
        <v>646</v>
      </c>
      <c r="R1430" s="372" t="str">
        <f t="shared" si="40"/>
        <v/>
      </c>
    </row>
    <row r="1431" spans="1:18" x14ac:dyDescent="0.25">
      <c r="A1431" s="23" t="s">
        <v>2370</v>
      </c>
      <c r="B1431" s="18" t="s">
        <v>10738</v>
      </c>
      <c r="C1431" s="59" t="s">
        <v>418</v>
      </c>
      <c r="D1431" s="356" t="s">
        <v>2377</v>
      </c>
      <c r="E1431" s="356" t="s">
        <v>2378</v>
      </c>
      <c r="F1431" s="23" t="s">
        <v>2381</v>
      </c>
      <c r="G1431" s="23" t="s">
        <v>403</v>
      </c>
      <c r="H1431" s="353">
        <v>7451.11</v>
      </c>
      <c r="I1431" s="59"/>
      <c r="J1431" s="59" t="s">
        <v>10744</v>
      </c>
      <c r="K1431" s="20"/>
      <c r="L1431" s="20"/>
      <c r="M1431" s="357"/>
      <c r="N1431" s="411"/>
      <c r="O1431" s="23" t="s">
        <v>885</v>
      </c>
      <c r="P1431" s="92" t="s">
        <v>632</v>
      </c>
      <c r="Q1431" s="92" t="s">
        <v>646</v>
      </c>
      <c r="R1431" s="372" t="str">
        <f t="shared" si="40"/>
        <v/>
      </c>
    </row>
    <row r="1432" spans="1:18" x14ac:dyDescent="0.25">
      <c r="A1432" s="23" t="s">
        <v>2370</v>
      </c>
      <c r="B1432" s="18" t="s">
        <v>10738</v>
      </c>
      <c r="C1432" s="59" t="s">
        <v>418</v>
      </c>
      <c r="D1432" s="356" t="s">
        <v>2377</v>
      </c>
      <c r="E1432" s="356" t="s">
        <v>2378</v>
      </c>
      <c r="F1432" s="23" t="s">
        <v>2382</v>
      </c>
      <c r="G1432" s="23" t="s">
        <v>403</v>
      </c>
      <c r="H1432" s="353">
        <v>10528.21</v>
      </c>
      <c r="I1432" s="59"/>
      <c r="J1432" s="59" t="s">
        <v>10745</v>
      </c>
      <c r="K1432" s="20"/>
      <c r="L1432" s="20"/>
      <c r="M1432" s="357"/>
      <c r="N1432" s="411"/>
      <c r="O1432" s="23" t="s">
        <v>885</v>
      </c>
      <c r="P1432" s="92" t="s">
        <v>632</v>
      </c>
      <c r="Q1432" s="92" t="s">
        <v>646</v>
      </c>
      <c r="R1432" s="372" t="str">
        <f t="shared" si="40"/>
        <v/>
      </c>
    </row>
    <row r="1433" spans="1:18" x14ac:dyDescent="0.25">
      <c r="A1433" s="23" t="s">
        <v>2370</v>
      </c>
      <c r="B1433" s="18" t="s">
        <v>10738</v>
      </c>
      <c r="C1433" s="59" t="s">
        <v>418</v>
      </c>
      <c r="D1433" s="356" t="s">
        <v>2377</v>
      </c>
      <c r="E1433" s="356" t="s">
        <v>2378</v>
      </c>
      <c r="F1433" s="23" t="s">
        <v>2383</v>
      </c>
      <c r="G1433" s="23" t="s">
        <v>403</v>
      </c>
      <c r="H1433" s="353">
        <v>124470.12</v>
      </c>
      <c r="I1433" s="59" t="s">
        <v>406</v>
      </c>
      <c r="J1433" s="59" t="s">
        <v>10746</v>
      </c>
      <c r="K1433" s="20"/>
      <c r="L1433" s="20">
        <v>1</v>
      </c>
      <c r="M1433" s="357">
        <f t="shared" ref="M1433:M1443" si="41">H1433</f>
        <v>124470.12</v>
      </c>
      <c r="N1433" s="411">
        <f>IFERROR((M1433/(VLOOKUP(B1433,'Data Pull Sheet'!$C:$H,6,FALSE))),"DC")</f>
        <v>8.2980079999999995E-4</v>
      </c>
      <c r="O1433" s="23" t="s">
        <v>63</v>
      </c>
      <c r="P1433" s="92" t="s">
        <v>632</v>
      </c>
      <c r="Q1433" s="92" t="s">
        <v>637</v>
      </c>
      <c r="R1433" s="372" t="str">
        <f t="shared" si="40"/>
        <v/>
      </c>
    </row>
    <row r="1434" spans="1:18" x14ac:dyDescent="0.25">
      <c r="A1434" s="23" t="s">
        <v>1007</v>
      </c>
      <c r="B1434" s="18" t="str">
        <f>IF(ISNA(VLOOKUP($A1434,'Data Pull Sheet'!$B$2:$C$1795,2,0)),"",(VLOOKUP($A1434,'Data Pull Sheet'!$B$2:$C$1795,2,0)))</f>
        <v>BIOA </v>
      </c>
      <c r="C1434" s="59" t="s">
        <v>1008</v>
      </c>
      <c r="D1434" s="356" t="s">
        <v>1009</v>
      </c>
      <c r="E1434" s="356" t="s">
        <v>1010</v>
      </c>
      <c r="F1434" s="23" t="s">
        <v>1011</v>
      </c>
      <c r="G1434" s="23" t="s">
        <v>403</v>
      </c>
      <c r="H1434" s="353">
        <v>3527.25</v>
      </c>
      <c r="I1434" s="59"/>
      <c r="J1434" s="59" t="s">
        <v>1012</v>
      </c>
      <c r="K1434" s="20">
        <v>3</v>
      </c>
      <c r="L1434" s="20">
        <v>1</v>
      </c>
      <c r="M1434" s="357">
        <f t="shared" si="41"/>
        <v>3527.25</v>
      </c>
      <c r="N1434" s="411">
        <f>IFERROR((M1434/(VLOOKUP(B1434,'Data Pull Sheet'!$C:$H,6,FALSE))),"DC")</f>
        <v>6.4131818181818181E-4</v>
      </c>
      <c r="O1434" s="23" t="s">
        <v>597</v>
      </c>
      <c r="P1434" s="92" t="s">
        <v>632</v>
      </c>
      <c r="Q1434" s="92" t="s">
        <v>637</v>
      </c>
      <c r="R1434" s="372" t="str">
        <f t="shared" si="40"/>
        <v/>
      </c>
    </row>
    <row r="1435" spans="1:18" x14ac:dyDescent="0.25">
      <c r="A1435" s="23" t="s">
        <v>1007</v>
      </c>
      <c r="B1435" s="18" t="str">
        <f>IF(ISNA(VLOOKUP($A1435,'Data Pull Sheet'!$B$2:$C$1795,2,0)),"",(VLOOKUP($A1435,'Data Pull Sheet'!$B$2:$C$1795,2,0)))</f>
        <v>BIOA </v>
      </c>
      <c r="C1435" s="59" t="s">
        <v>1008</v>
      </c>
      <c r="D1435" s="356" t="s">
        <v>1009</v>
      </c>
      <c r="E1435" s="356" t="s">
        <v>1010</v>
      </c>
      <c r="F1435" s="23" t="s">
        <v>1013</v>
      </c>
      <c r="G1435" s="23" t="s">
        <v>403</v>
      </c>
      <c r="H1435" s="353">
        <v>71586.67</v>
      </c>
      <c r="I1435" s="59"/>
      <c r="J1435" s="59" t="s">
        <v>1014</v>
      </c>
      <c r="K1435" s="20"/>
      <c r="L1435" s="20">
        <v>1</v>
      </c>
      <c r="M1435" s="357">
        <f t="shared" si="41"/>
        <v>71586.67</v>
      </c>
      <c r="N1435" s="411">
        <f>IFERROR((M1435/(VLOOKUP(B1435,'Data Pull Sheet'!$C:$H,6,FALSE))),"DC")</f>
        <v>1.3015758181818181E-2</v>
      </c>
      <c r="O1435" s="23" t="s">
        <v>1015</v>
      </c>
      <c r="P1435" s="92" t="s">
        <v>632</v>
      </c>
      <c r="Q1435" s="92" t="s">
        <v>637</v>
      </c>
      <c r="R1435" s="372" t="str">
        <f t="shared" si="40"/>
        <v/>
      </c>
    </row>
    <row r="1436" spans="1:18" x14ac:dyDescent="0.25">
      <c r="A1436" s="23" t="s">
        <v>1007</v>
      </c>
      <c r="B1436" s="18" t="str">
        <f>IF(ISNA(VLOOKUP($A1436,'Data Pull Sheet'!$B$2:$C$1795,2,0)),"",(VLOOKUP($A1436,'Data Pull Sheet'!$B$2:$C$1795,2,0)))</f>
        <v>BIOA </v>
      </c>
      <c r="C1436" s="59" t="s">
        <v>1008</v>
      </c>
      <c r="D1436" s="356" t="s">
        <v>1009</v>
      </c>
      <c r="E1436" s="356" t="s">
        <v>1010</v>
      </c>
      <c r="F1436" s="23" t="s">
        <v>1016</v>
      </c>
      <c r="G1436" s="23" t="s">
        <v>403</v>
      </c>
      <c r="H1436" s="353">
        <v>5840.74</v>
      </c>
      <c r="I1436" s="59" t="s">
        <v>406</v>
      </c>
      <c r="J1436" s="59" t="s">
        <v>1017</v>
      </c>
      <c r="K1436" s="20"/>
      <c r="L1436" s="20">
        <v>1</v>
      </c>
      <c r="M1436" s="357">
        <f t="shared" si="41"/>
        <v>5840.74</v>
      </c>
      <c r="N1436" s="411">
        <f>IFERROR((M1436/(VLOOKUP(B1436,'Data Pull Sheet'!$C:$H,6,FALSE))),"DC")</f>
        <v>1.0619527272727272E-3</v>
      </c>
      <c r="O1436" s="23" t="s">
        <v>63</v>
      </c>
      <c r="P1436" s="92" t="s">
        <v>632</v>
      </c>
      <c r="Q1436" s="92" t="s">
        <v>637</v>
      </c>
      <c r="R1436" s="372" t="str">
        <f t="shared" si="40"/>
        <v/>
      </c>
    </row>
    <row r="1437" spans="1:18" x14ac:dyDescent="0.25">
      <c r="A1437" s="23" t="s">
        <v>1989</v>
      </c>
      <c r="B1437" s="18" t="str">
        <f>IF(ISNA(VLOOKUP($A1437,'Data Pull Sheet'!$B$2:$C$1795,2,0)),"",(VLOOKUP($A1437,'Data Pull Sheet'!$B$2:$C$1795,2,0)))</f>
        <v>FTD</v>
      </c>
      <c r="C1437" s="59" t="s">
        <v>465</v>
      </c>
      <c r="D1437" s="356" t="s">
        <v>441</v>
      </c>
      <c r="E1437" s="356" t="s">
        <v>1990</v>
      </c>
      <c r="F1437" s="23" t="s">
        <v>1991</v>
      </c>
      <c r="G1437" s="23" t="s">
        <v>403</v>
      </c>
      <c r="H1437" s="353">
        <v>1776</v>
      </c>
      <c r="I1437" s="59"/>
      <c r="J1437" s="59" t="s">
        <v>1992</v>
      </c>
      <c r="K1437" s="20">
        <v>2</v>
      </c>
      <c r="L1437" s="20">
        <v>1</v>
      </c>
      <c r="M1437" s="357">
        <f t="shared" si="41"/>
        <v>1776</v>
      </c>
      <c r="N1437" s="411">
        <f>IFERROR((M1437/(VLOOKUP(B1437,'Data Pull Sheet'!$C:$H,6,FALSE))),"DC")</f>
        <v>2.7323076923076923E-5</v>
      </c>
      <c r="O1437" s="23" t="s">
        <v>79</v>
      </c>
      <c r="P1437" s="92" t="s">
        <v>632</v>
      </c>
      <c r="Q1437" s="92" t="s">
        <v>637</v>
      </c>
      <c r="R1437" s="372" t="str">
        <f t="shared" si="40"/>
        <v/>
      </c>
    </row>
    <row r="1438" spans="1:18" ht="45" x14ac:dyDescent="0.25">
      <c r="A1438" s="23" t="s">
        <v>1989</v>
      </c>
      <c r="B1438" s="18" t="str">
        <f>IF(ISNA(VLOOKUP($A1438,'Data Pull Sheet'!$B$2:$C$1795,2,0)),"",(VLOOKUP($A1438,'Data Pull Sheet'!$B$2:$C$1795,2,0)))</f>
        <v>FTD</v>
      </c>
      <c r="C1438" s="59" t="s">
        <v>465</v>
      </c>
      <c r="D1438" s="356" t="s">
        <v>441</v>
      </c>
      <c r="E1438" s="356" t="s">
        <v>1990</v>
      </c>
      <c r="F1438" s="23" t="s">
        <v>1993</v>
      </c>
      <c r="G1438" s="23" t="s">
        <v>417</v>
      </c>
      <c r="H1438" s="353">
        <v>193034.37</v>
      </c>
      <c r="I1438" s="59"/>
      <c r="J1438" s="59" t="s">
        <v>1994</v>
      </c>
      <c r="K1438" s="20"/>
      <c r="L1438" s="20">
        <v>1</v>
      </c>
      <c r="M1438" s="357">
        <f t="shared" si="41"/>
        <v>193034.37</v>
      </c>
      <c r="N1438" s="411">
        <f>IFERROR((M1438/(VLOOKUP(B1438,'Data Pull Sheet'!$C:$H,6,FALSE))),"DC")</f>
        <v>2.9697595384615386E-3</v>
      </c>
      <c r="O1438" s="23" t="s">
        <v>7</v>
      </c>
      <c r="P1438" s="92" t="s">
        <v>632</v>
      </c>
      <c r="Q1438" s="92" t="s">
        <v>633</v>
      </c>
      <c r="R1438" s="372" t="str">
        <f t="shared" si="40"/>
        <v>FF</v>
      </c>
    </row>
    <row r="1439" spans="1:18" x14ac:dyDescent="0.25">
      <c r="A1439" s="23" t="s">
        <v>3708</v>
      </c>
      <c r="B1439" s="18" t="str">
        <f>IF(ISNA(VLOOKUP($A1439,'Data Pull Sheet'!$B$2:$C$1795,2,0)),"",(VLOOKUP($A1439,'Data Pull Sheet'!$B$2:$C$1795,2,0)))</f>
        <v>TPX</v>
      </c>
      <c r="C1439" s="59" t="s">
        <v>418</v>
      </c>
      <c r="D1439" s="356" t="s">
        <v>544</v>
      </c>
      <c r="E1439" s="356" t="s">
        <v>3709</v>
      </c>
      <c r="F1439" s="23" t="s">
        <v>3710</v>
      </c>
      <c r="G1439" s="23" t="s">
        <v>403</v>
      </c>
      <c r="H1439" s="353">
        <v>3681.68</v>
      </c>
      <c r="I1439" s="59"/>
      <c r="J1439" s="59" t="s">
        <v>3711</v>
      </c>
      <c r="K1439" s="20">
        <v>3</v>
      </c>
      <c r="L1439" s="20">
        <v>1</v>
      </c>
      <c r="M1439" s="357">
        <f t="shared" si="41"/>
        <v>3681.68</v>
      </c>
      <c r="N1439" s="411">
        <f>IFERROR((M1439/(VLOOKUP(B1439,'Data Pull Sheet'!$C:$H,6,FALSE))),"DC")</f>
        <v>8.1815111111111101E-6</v>
      </c>
      <c r="O1439" s="23" t="s">
        <v>1280</v>
      </c>
      <c r="P1439" s="92" t="s">
        <v>632</v>
      </c>
      <c r="Q1439" s="92" t="s">
        <v>637</v>
      </c>
      <c r="R1439" s="372" t="str">
        <f t="shared" si="40"/>
        <v/>
      </c>
    </row>
    <row r="1440" spans="1:18" x14ac:dyDescent="0.25">
      <c r="A1440" s="23" t="s">
        <v>3708</v>
      </c>
      <c r="B1440" s="18" t="str">
        <f>IF(ISNA(VLOOKUP($A1440,'Data Pull Sheet'!$B$2:$C$1795,2,0)),"",(VLOOKUP($A1440,'Data Pull Sheet'!$B$2:$C$1795,2,0)))</f>
        <v>TPX</v>
      </c>
      <c r="C1440" s="59" t="s">
        <v>418</v>
      </c>
      <c r="D1440" s="356" t="s">
        <v>544</v>
      </c>
      <c r="E1440" s="356" t="s">
        <v>3709</v>
      </c>
      <c r="F1440" s="23" t="s">
        <v>280</v>
      </c>
      <c r="G1440" s="23" t="s">
        <v>417</v>
      </c>
      <c r="H1440" s="353">
        <v>37833.58</v>
      </c>
      <c r="I1440" s="59" t="s">
        <v>406</v>
      </c>
      <c r="J1440" s="59" t="s">
        <v>3712</v>
      </c>
      <c r="K1440" s="20"/>
      <c r="L1440" s="20">
        <v>1</v>
      </c>
      <c r="M1440" s="357">
        <f t="shared" si="41"/>
        <v>37833.58</v>
      </c>
      <c r="N1440" s="411">
        <f>IFERROR((M1440/(VLOOKUP(B1440,'Data Pull Sheet'!$C:$H,6,FALSE))),"DC")</f>
        <v>8.4074622222222228E-5</v>
      </c>
      <c r="O1440" s="23" t="s">
        <v>56</v>
      </c>
      <c r="P1440" s="92" t="s">
        <v>632</v>
      </c>
      <c r="Q1440" s="92" t="s">
        <v>633</v>
      </c>
      <c r="R1440" s="372" t="str">
        <f t="shared" si="40"/>
        <v>FF</v>
      </c>
    </row>
    <row r="1441" spans="1:18" x14ac:dyDescent="0.25">
      <c r="A1441" s="23" t="s">
        <v>3708</v>
      </c>
      <c r="B1441" s="18" t="str">
        <f>IF(ISNA(VLOOKUP($A1441,'Data Pull Sheet'!$B$2:$C$1795,2,0)),"",(VLOOKUP($A1441,'Data Pull Sheet'!$B$2:$C$1795,2,0)))</f>
        <v>TPX</v>
      </c>
      <c r="C1441" s="59" t="s">
        <v>418</v>
      </c>
      <c r="D1441" s="356" t="s">
        <v>544</v>
      </c>
      <c r="E1441" s="356" t="s">
        <v>3709</v>
      </c>
      <c r="F1441" s="23" t="s">
        <v>3713</v>
      </c>
      <c r="G1441" s="23" t="s">
        <v>403</v>
      </c>
      <c r="H1441" s="353">
        <v>3654.84</v>
      </c>
      <c r="I1441" s="59"/>
      <c r="J1441" s="59" t="s">
        <v>3714</v>
      </c>
      <c r="K1441" s="20"/>
      <c r="L1441" s="20">
        <v>1</v>
      </c>
      <c r="M1441" s="357">
        <f t="shared" si="41"/>
        <v>3654.84</v>
      </c>
      <c r="N1441" s="411">
        <f>IFERROR((M1441/(VLOOKUP(B1441,'Data Pull Sheet'!$C:$H,6,FALSE))),"DC")</f>
        <v>8.1218666666666676E-6</v>
      </c>
      <c r="O1441" s="23" t="s">
        <v>682</v>
      </c>
      <c r="P1441" s="92" t="s">
        <v>632</v>
      </c>
      <c r="Q1441" s="92" t="s">
        <v>637</v>
      </c>
      <c r="R1441" s="372" t="str">
        <f t="shared" si="40"/>
        <v/>
      </c>
    </row>
    <row r="1442" spans="1:18" x14ac:dyDescent="0.25">
      <c r="A1442" s="23" t="s">
        <v>3013</v>
      </c>
      <c r="B1442" s="18" t="s">
        <v>10639</v>
      </c>
      <c r="C1442" s="59" t="s">
        <v>409</v>
      </c>
      <c r="D1442" s="356" t="s">
        <v>544</v>
      </c>
      <c r="E1442" s="356" t="s">
        <v>3014</v>
      </c>
      <c r="F1442" s="23" t="s">
        <v>3015</v>
      </c>
      <c r="G1442" s="23" t="s">
        <v>403</v>
      </c>
      <c r="H1442" s="353">
        <v>11745</v>
      </c>
      <c r="I1442" s="59"/>
      <c r="J1442" s="59" t="s">
        <v>10641</v>
      </c>
      <c r="K1442" s="20">
        <v>2</v>
      </c>
      <c r="L1442" s="20">
        <v>1</v>
      </c>
      <c r="M1442" s="357">
        <f t="shared" si="41"/>
        <v>11745</v>
      </c>
      <c r="N1442" s="411">
        <f>IFERROR((M1442/(VLOOKUP(B1442,'Data Pull Sheet'!$C:$H,6,FALSE))),"DC")</f>
        <v>5.8724999999999998E-5</v>
      </c>
      <c r="O1442" s="23" t="s">
        <v>2869</v>
      </c>
      <c r="P1442" s="92" t="s">
        <v>632</v>
      </c>
      <c r="Q1442" s="92" t="s">
        <v>637</v>
      </c>
      <c r="R1442" s="372" t="str">
        <f t="shared" si="40"/>
        <v/>
      </c>
    </row>
    <row r="1443" spans="1:18" ht="30" x14ac:dyDescent="0.25">
      <c r="A1443" s="23" t="s">
        <v>3013</v>
      </c>
      <c r="B1443" s="18" t="s">
        <v>10639</v>
      </c>
      <c r="C1443" s="59" t="s">
        <v>409</v>
      </c>
      <c r="D1443" s="356" t="s">
        <v>544</v>
      </c>
      <c r="E1443" s="356" t="s">
        <v>3014</v>
      </c>
      <c r="F1443" s="23" t="s">
        <v>3016</v>
      </c>
      <c r="G1443" s="23" t="s">
        <v>403</v>
      </c>
      <c r="H1443" s="353">
        <v>2162690.3199999998</v>
      </c>
      <c r="I1443" s="59"/>
      <c r="J1443" s="59" t="s">
        <v>10642</v>
      </c>
      <c r="K1443" s="20"/>
      <c r="L1443" s="20">
        <v>1</v>
      </c>
      <c r="M1443" s="357">
        <f t="shared" si="41"/>
        <v>2162690.3199999998</v>
      </c>
      <c r="N1443" s="411">
        <f>IFERROR((M1443/(VLOOKUP(B1443,'Data Pull Sheet'!$C:$H,6,FALSE))),"DC")</f>
        <v>1.0813451599999999E-2</v>
      </c>
      <c r="O1443" s="23" t="s">
        <v>3017</v>
      </c>
      <c r="P1443" s="92" t="s">
        <v>632</v>
      </c>
      <c r="Q1443" s="92" t="s">
        <v>637</v>
      </c>
      <c r="R1443" s="372" t="str">
        <f t="shared" si="40"/>
        <v/>
      </c>
    </row>
    <row r="1444" spans="1:18" x14ac:dyDescent="0.25">
      <c r="A1444" s="23" t="s">
        <v>2399</v>
      </c>
      <c r="B1444" s="18" t="str">
        <f>IF(ISNA(VLOOKUP($A1444,'Data Pull Sheet'!$B$2:$C$1795,2,0)),"",(VLOOKUP($A1444,'Data Pull Sheet'!$B$2:$C$1795,2,0)))</f>
        <v>SNAK</v>
      </c>
      <c r="C1444" s="59" t="s">
        <v>399</v>
      </c>
      <c r="D1444" s="356" t="s">
        <v>1717</v>
      </c>
      <c r="E1444" s="356" t="s">
        <v>2400</v>
      </c>
      <c r="F1444" s="23" t="s">
        <v>2401</v>
      </c>
      <c r="G1444" s="23" t="s">
        <v>403</v>
      </c>
      <c r="H1444" s="353">
        <v>5941.08</v>
      </c>
      <c r="I1444" s="59"/>
      <c r="J1444" s="59" t="s">
        <v>2402</v>
      </c>
      <c r="K1444" s="20">
        <v>2</v>
      </c>
      <c r="L1444" s="20">
        <v>1</v>
      </c>
      <c r="M1444" s="357">
        <f>SUM(H1444:H1445)</f>
        <v>16225.58</v>
      </c>
      <c r="N1444" s="411">
        <f>IFERROR((M1444/(VLOOKUP(B1444,'Data Pull Sheet'!$C:$H,6,FALSE))),"DC")</f>
        <v>1.6225580000000001E-3</v>
      </c>
      <c r="O1444" s="23" t="s">
        <v>1975</v>
      </c>
      <c r="P1444" s="92" t="s">
        <v>632</v>
      </c>
      <c r="Q1444" s="92" t="s">
        <v>646</v>
      </c>
      <c r="R1444" s="372" t="str">
        <f t="shared" si="40"/>
        <v/>
      </c>
    </row>
    <row r="1445" spans="1:18" x14ac:dyDescent="0.25">
      <c r="A1445" s="23" t="s">
        <v>2399</v>
      </c>
      <c r="B1445" s="18" t="str">
        <f>IF(ISNA(VLOOKUP($A1445,'Data Pull Sheet'!$B$2:$C$1795,2,0)),"",(VLOOKUP($A1445,'Data Pull Sheet'!$B$2:$C$1795,2,0)))</f>
        <v>SNAK</v>
      </c>
      <c r="C1445" s="59" t="s">
        <v>399</v>
      </c>
      <c r="D1445" s="356" t="s">
        <v>1717</v>
      </c>
      <c r="E1445" s="356" t="s">
        <v>2400</v>
      </c>
      <c r="F1445" s="23" t="s">
        <v>2403</v>
      </c>
      <c r="G1445" s="23" t="s">
        <v>403</v>
      </c>
      <c r="H1445" s="353">
        <v>10284.5</v>
      </c>
      <c r="I1445" s="59"/>
      <c r="J1445" s="59" t="s">
        <v>2404</v>
      </c>
      <c r="K1445" s="20"/>
      <c r="L1445" s="20"/>
      <c r="M1445" s="357"/>
      <c r="N1445" s="411"/>
      <c r="O1445" s="23" t="s">
        <v>1975</v>
      </c>
      <c r="P1445" s="92" t="s">
        <v>632</v>
      </c>
      <c r="Q1445" s="92" t="s">
        <v>646</v>
      </c>
      <c r="R1445" s="372" t="str">
        <f t="shared" si="40"/>
        <v/>
      </c>
    </row>
    <row r="1446" spans="1:18" x14ac:dyDescent="0.25">
      <c r="A1446" s="23" t="s">
        <v>2399</v>
      </c>
      <c r="B1446" s="18" t="str">
        <f>IF(ISNA(VLOOKUP($A1446,'Data Pull Sheet'!$B$2:$C$1795,2,0)),"",(VLOOKUP($A1446,'Data Pull Sheet'!$B$2:$C$1795,2,0)))</f>
        <v>SNAK</v>
      </c>
      <c r="C1446" s="59" t="s">
        <v>399</v>
      </c>
      <c r="D1446" s="356" t="s">
        <v>1717</v>
      </c>
      <c r="E1446" s="356" t="s">
        <v>2400</v>
      </c>
      <c r="F1446" s="23" t="s">
        <v>2405</v>
      </c>
      <c r="G1446" s="23" t="s">
        <v>403</v>
      </c>
      <c r="H1446" s="353">
        <v>5040</v>
      </c>
      <c r="I1446" s="59"/>
      <c r="J1446" s="59" t="s">
        <v>2406</v>
      </c>
      <c r="K1446" s="20"/>
      <c r="L1446" s="20">
        <v>1</v>
      </c>
      <c r="M1446" s="357">
        <f>SUM(H1446)</f>
        <v>5040</v>
      </c>
      <c r="N1446" s="411">
        <f>IFERROR((M1446/(VLOOKUP(B1446,'Data Pull Sheet'!$C:$H,6,FALSE))),"DC")</f>
        <v>5.04E-4</v>
      </c>
      <c r="O1446" s="23" t="s">
        <v>915</v>
      </c>
      <c r="P1446" s="92" t="s">
        <v>632</v>
      </c>
      <c r="Q1446" s="92" t="s">
        <v>637</v>
      </c>
      <c r="R1446" s="372" t="str">
        <f t="shared" si="40"/>
        <v/>
      </c>
    </row>
    <row r="1447" spans="1:18" ht="30" x14ac:dyDescent="0.25">
      <c r="A1447" s="23" t="s">
        <v>3961</v>
      </c>
      <c r="B1447" s="18" t="str">
        <f>IF(ISNA(VLOOKUP($A1447,'Data Pull Sheet'!$B$2:$C$1795,2,0)),"",(VLOOKUP($A1447,'Data Pull Sheet'!$B$2:$C$1795,2,0)))</f>
        <v>USCR</v>
      </c>
      <c r="C1447" s="59" t="s">
        <v>1815</v>
      </c>
      <c r="D1447" s="356" t="s">
        <v>1717</v>
      </c>
      <c r="E1447" s="356" t="s">
        <v>2400</v>
      </c>
      <c r="F1447" s="23" t="s">
        <v>3962</v>
      </c>
      <c r="G1447" s="23" t="s">
        <v>403</v>
      </c>
      <c r="H1447" s="353">
        <v>2113.59</v>
      </c>
      <c r="I1447" s="59"/>
      <c r="J1447" s="59" t="s">
        <v>3963</v>
      </c>
      <c r="K1447" s="20">
        <v>2</v>
      </c>
      <c r="L1447" s="20">
        <v>2</v>
      </c>
      <c r="M1447" s="357">
        <f>SUM(H1447:H1448)</f>
        <v>5500.96</v>
      </c>
      <c r="N1447" s="411">
        <f>IFERROR((M1447/(VLOOKUP(B1447,'Data Pull Sheet'!$C:$H,6,FALSE))),"DC")</f>
        <v>3.6673066666666665E-4</v>
      </c>
      <c r="O1447" s="23" t="s">
        <v>3964</v>
      </c>
      <c r="P1447" s="92" t="s">
        <v>632</v>
      </c>
      <c r="Q1447" s="92" t="s">
        <v>646</v>
      </c>
      <c r="R1447" s="372" t="str">
        <f t="shared" si="40"/>
        <v/>
      </c>
    </row>
    <row r="1448" spans="1:18" ht="30" x14ac:dyDescent="0.25">
      <c r="A1448" s="23" t="s">
        <v>3961</v>
      </c>
      <c r="B1448" s="18" t="str">
        <f>IF(ISNA(VLOOKUP($A1448,'Data Pull Sheet'!$B$2:$C$1795,2,0)),"",(VLOOKUP($A1448,'Data Pull Sheet'!$B$2:$C$1795,2,0)))</f>
        <v>USCR</v>
      </c>
      <c r="C1448" s="59" t="s">
        <v>1815</v>
      </c>
      <c r="D1448" s="356" t="s">
        <v>1717</v>
      </c>
      <c r="E1448" s="356" t="s">
        <v>2400</v>
      </c>
      <c r="F1448" s="23" t="s">
        <v>3965</v>
      </c>
      <c r="G1448" s="23" t="s">
        <v>403</v>
      </c>
      <c r="H1448" s="353">
        <v>3387.37</v>
      </c>
      <c r="I1448" s="59"/>
      <c r="J1448" s="59" t="s">
        <v>3966</v>
      </c>
      <c r="K1448" s="20"/>
      <c r="L1448" s="20"/>
      <c r="M1448" s="357"/>
      <c r="N1448" s="411"/>
      <c r="O1448" s="23" t="s">
        <v>3964</v>
      </c>
      <c r="P1448" s="92" t="s">
        <v>632</v>
      </c>
      <c r="Q1448" s="92" t="s">
        <v>646</v>
      </c>
      <c r="R1448" s="372" t="str">
        <f t="shared" si="40"/>
        <v/>
      </c>
    </row>
    <row r="1449" spans="1:18" ht="30" x14ac:dyDescent="0.25">
      <c r="A1449" s="23" t="s">
        <v>3961</v>
      </c>
      <c r="B1449" s="18" t="str">
        <f>IF(ISNA(VLOOKUP($A1449,'Data Pull Sheet'!$B$2:$C$1795,2,0)),"",(VLOOKUP($A1449,'Data Pull Sheet'!$B$2:$C$1795,2,0)))</f>
        <v>USCR</v>
      </c>
      <c r="C1449" s="59" t="s">
        <v>1815</v>
      </c>
      <c r="D1449" s="356" t="s">
        <v>1717</v>
      </c>
      <c r="E1449" s="356" t="s">
        <v>2400</v>
      </c>
      <c r="F1449" s="23" t="s">
        <v>3967</v>
      </c>
      <c r="G1449" s="23" t="s">
        <v>403</v>
      </c>
      <c r="H1449" s="353">
        <v>46661.33</v>
      </c>
      <c r="I1449" s="59"/>
      <c r="J1449" s="59" t="s">
        <v>3968</v>
      </c>
      <c r="K1449" s="20"/>
      <c r="L1449" s="20">
        <v>2</v>
      </c>
      <c r="M1449" s="357">
        <f>SUM(H1449:H1450)</f>
        <v>121125.58</v>
      </c>
      <c r="N1449" s="411">
        <f>IFERROR((M1449/(VLOOKUP(B1449,'Data Pull Sheet'!$C:$H,6,FALSE))),"DC")</f>
        <v>8.075038666666666E-3</v>
      </c>
      <c r="O1449" s="23" t="s">
        <v>645</v>
      </c>
      <c r="P1449" s="92" t="s">
        <v>632</v>
      </c>
      <c r="Q1449" s="92" t="s">
        <v>646</v>
      </c>
      <c r="R1449" s="372" t="str">
        <f t="shared" si="40"/>
        <v/>
      </c>
    </row>
    <row r="1450" spans="1:18" ht="30" x14ac:dyDescent="0.25">
      <c r="A1450" s="23" t="s">
        <v>3961</v>
      </c>
      <c r="B1450" s="18" t="str">
        <f>IF(ISNA(VLOOKUP($A1450,'Data Pull Sheet'!$B$2:$C$1795,2,0)),"",(VLOOKUP($A1450,'Data Pull Sheet'!$B$2:$C$1795,2,0)))</f>
        <v>USCR</v>
      </c>
      <c r="C1450" s="59" t="s">
        <v>1815</v>
      </c>
      <c r="D1450" s="356" t="s">
        <v>1717</v>
      </c>
      <c r="E1450" s="356" t="s">
        <v>2400</v>
      </c>
      <c r="F1450" s="23" t="s">
        <v>3969</v>
      </c>
      <c r="G1450" s="23" t="s">
        <v>403</v>
      </c>
      <c r="H1450" s="353">
        <v>74464.25</v>
      </c>
      <c r="I1450" s="59"/>
      <c r="J1450" s="59" t="s">
        <v>3970</v>
      </c>
      <c r="K1450" s="20"/>
      <c r="L1450" s="20"/>
      <c r="M1450" s="357"/>
      <c r="N1450" s="411"/>
      <c r="O1450" s="23" t="s">
        <v>645</v>
      </c>
      <c r="P1450" s="92" t="s">
        <v>632</v>
      </c>
      <c r="Q1450" s="92" t="s">
        <v>646</v>
      </c>
      <c r="R1450" s="372" t="str">
        <f t="shared" si="40"/>
        <v/>
      </c>
    </row>
    <row r="1451" spans="1:18" x14ac:dyDescent="0.25">
      <c r="A1451" s="23" t="s">
        <v>3971</v>
      </c>
      <c r="B1451" s="18" t="str">
        <f>IF(ISNA(VLOOKUP($A1451,'Data Pull Sheet'!$B$2:$C$1795,2,0)),"",(VLOOKUP($A1451,'Data Pull Sheet'!$B$2:$C$1795,2,0)))</f>
        <v>USPH</v>
      </c>
      <c r="C1451" s="59" t="s">
        <v>418</v>
      </c>
      <c r="D1451" s="356" t="s">
        <v>2785</v>
      </c>
      <c r="E1451" s="356" t="s">
        <v>2400</v>
      </c>
      <c r="F1451" s="23" t="s">
        <v>3972</v>
      </c>
      <c r="G1451" s="23" t="s">
        <v>403</v>
      </c>
      <c r="H1451" s="353">
        <v>162.81</v>
      </c>
      <c r="I1451" s="59"/>
      <c r="J1451" s="59" t="s">
        <v>3973</v>
      </c>
      <c r="K1451" s="20">
        <v>1</v>
      </c>
      <c r="L1451" s="20">
        <v>1</v>
      </c>
      <c r="M1451" s="357">
        <f>H1451</f>
        <v>162.81</v>
      </c>
      <c r="N1451" s="411">
        <f>IFERROR((M1451/(VLOOKUP(B1451,'Data Pull Sheet'!$C:$H,6,FALSE))),"DC")</f>
        <v>2.1007741935483872E-5</v>
      </c>
      <c r="O1451" s="23" t="s">
        <v>877</v>
      </c>
      <c r="P1451" s="92" t="s">
        <v>676</v>
      </c>
      <c r="Q1451" s="92" t="s">
        <v>637</v>
      </c>
      <c r="R1451" s="372" t="str">
        <f t="shared" si="40"/>
        <v/>
      </c>
    </row>
    <row r="1452" spans="1:18" x14ac:dyDescent="0.25">
      <c r="A1452" s="23" t="s">
        <v>1034</v>
      </c>
      <c r="B1452" s="18" t="str">
        <f>IF(ISNA(VLOOKUP($A1452,'Data Pull Sheet'!$B$2:$C$1795,2,0)),"",(VLOOKUP($A1452,'Data Pull Sheet'!$B$2:$C$1795,2,0)))</f>
        <v>BOFI</v>
      </c>
      <c r="C1452" s="59" t="s">
        <v>557</v>
      </c>
      <c r="D1452" s="356" t="s">
        <v>464</v>
      </c>
      <c r="E1452" s="356" t="s">
        <v>1035</v>
      </c>
      <c r="F1452" s="23" t="s">
        <v>1036</v>
      </c>
      <c r="G1452" s="23" t="s">
        <v>403</v>
      </c>
      <c r="H1452" s="353">
        <v>2619.92</v>
      </c>
      <c r="I1452" s="59" t="s">
        <v>406</v>
      </c>
      <c r="J1452" s="59" t="s">
        <v>1037</v>
      </c>
      <c r="K1452" s="20">
        <v>3</v>
      </c>
      <c r="L1452" s="20">
        <v>3</v>
      </c>
      <c r="M1452" s="357">
        <f>SUM(H1452:H1454)</f>
        <v>19962.919999999998</v>
      </c>
      <c r="N1452" s="411">
        <f>IFERROR((M1452/(VLOOKUP(B1452,'Data Pull Sheet'!$C:$H,6,FALSE))),"DC")</f>
        <v>1.1742894117647058E-4</v>
      </c>
      <c r="O1452" s="23" t="s">
        <v>1038</v>
      </c>
      <c r="P1452" s="92" t="s">
        <v>632</v>
      </c>
      <c r="Q1452" s="92" t="s">
        <v>646</v>
      </c>
      <c r="R1452" s="372" t="str">
        <f t="shared" si="40"/>
        <v/>
      </c>
    </row>
    <row r="1453" spans="1:18" x14ac:dyDescent="0.25">
      <c r="A1453" s="23" t="s">
        <v>1034</v>
      </c>
      <c r="B1453" s="18" t="str">
        <f>IF(ISNA(VLOOKUP($A1453,'Data Pull Sheet'!$B$2:$C$1795,2,0)),"",(VLOOKUP($A1453,'Data Pull Sheet'!$B$2:$C$1795,2,0)))</f>
        <v>BOFI</v>
      </c>
      <c r="C1453" s="59" t="s">
        <v>557</v>
      </c>
      <c r="D1453" s="356" t="s">
        <v>464</v>
      </c>
      <c r="E1453" s="356" t="s">
        <v>1035</v>
      </c>
      <c r="F1453" s="23" t="s">
        <v>1039</v>
      </c>
      <c r="G1453" s="23" t="s">
        <v>403</v>
      </c>
      <c r="H1453" s="353">
        <v>5240.7299999999996</v>
      </c>
      <c r="I1453" s="59" t="s">
        <v>406</v>
      </c>
      <c r="J1453" s="59" t="s">
        <v>1040</v>
      </c>
      <c r="K1453" s="20"/>
      <c r="L1453" s="20"/>
      <c r="M1453" s="357"/>
      <c r="N1453" s="411"/>
      <c r="O1453" s="23" t="s">
        <v>1038</v>
      </c>
      <c r="P1453" s="92" t="s">
        <v>632</v>
      </c>
      <c r="Q1453" s="92" t="s">
        <v>646</v>
      </c>
      <c r="R1453" s="372" t="str">
        <f t="shared" si="40"/>
        <v/>
      </c>
    </row>
    <row r="1454" spans="1:18" x14ac:dyDescent="0.25">
      <c r="A1454" s="23" t="s">
        <v>1034</v>
      </c>
      <c r="B1454" s="18" t="str">
        <f>IF(ISNA(VLOOKUP($A1454,'Data Pull Sheet'!$B$2:$C$1795,2,0)),"",(VLOOKUP($A1454,'Data Pull Sheet'!$B$2:$C$1795,2,0)))</f>
        <v>BOFI</v>
      </c>
      <c r="C1454" s="59" t="s">
        <v>557</v>
      </c>
      <c r="D1454" s="356" t="s">
        <v>464</v>
      </c>
      <c r="E1454" s="356" t="s">
        <v>1035</v>
      </c>
      <c r="F1454" s="23" t="s">
        <v>1041</v>
      </c>
      <c r="G1454" s="23" t="s">
        <v>403</v>
      </c>
      <c r="H1454" s="353">
        <v>12102.27</v>
      </c>
      <c r="I1454" s="59" t="s">
        <v>406</v>
      </c>
      <c r="J1454" s="59" t="s">
        <v>1042</v>
      </c>
      <c r="K1454" s="20"/>
      <c r="L1454" s="20"/>
      <c r="M1454" s="357"/>
      <c r="N1454" s="411"/>
      <c r="O1454" s="23" t="s">
        <v>1038</v>
      </c>
      <c r="P1454" s="92" t="s">
        <v>632</v>
      </c>
      <c r="Q1454" s="92" t="s">
        <v>646</v>
      </c>
      <c r="R1454" s="372" t="str">
        <f t="shared" si="40"/>
        <v/>
      </c>
    </row>
    <row r="1455" spans="1:18" x14ac:dyDescent="0.25">
      <c r="A1455" s="23" t="s">
        <v>1034</v>
      </c>
      <c r="B1455" s="18" t="str">
        <f>IF(ISNA(VLOOKUP($A1455,'Data Pull Sheet'!$B$2:$C$1795,2,0)),"",(VLOOKUP($A1455,'Data Pull Sheet'!$B$2:$C$1795,2,0)))</f>
        <v>BOFI</v>
      </c>
      <c r="C1455" s="59" t="s">
        <v>557</v>
      </c>
      <c r="D1455" s="356" t="s">
        <v>464</v>
      </c>
      <c r="E1455" s="356" t="s">
        <v>1035</v>
      </c>
      <c r="F1455" s="23" t="s">
        <v>1043</v>
      </c>
      <c r="G1455" s="23" t="s">
        <v>403</v>
      </c>
      <c r="H1455" s="353">
        <v>6492</v>
      </c>
      <c r="I1455" s="59"/>
      <c r="J1455" s="59" t="s">
        <v>1044</v>
      </c>
      <c r="K1455" s="20"/>
      <c r="L1455" s="20">
        <v>4</v>
      </c>
      <c r="M1455" s="357">
        <f>SUM(H1455:H1458)</f>
        <v>94038</v>
      </c>
      <c r="N1455" s="411">
        <f>IFERROR((M1455/(VLOOKUP(B1455,'Data Pull Sheet'!$C:$H,6,FALSE))),"DC")</f>
        <v>5.5316470588235298E-4</v>
      </c>
      <c r="O1455" s="23" t="s">
        <v>1045</v>
      </c>
      <c r="P1455" s="92" t="s">
        <v>632</v>
      </c>
      <c r="Q1455" s="92" t="s">
        <v>646</v>
      </c>
      <c r="R1455" s="372" t="str">
        <f t="shared" si="40"/>
        <v/>
      </c>
    </row>
    <row r="1456" spans="1:18" x14ac:dyDescent="0.25">
      <c r="A1456" s="23" t="s">
        <v>1034</v>
      </c>
      <c r="B1456" s="18" t="str">
        <f>IF(ISNA(VLOOKUP($A1456,'Data Pull Sheet'!$B$2:$C$1795,2,0)),"",(VLOOKUP($A1456,'Data Pull Sheet'!$B$2:$C$1795,2,0)))</f>
        <v>BOFI</v>
      </c>
      <c r="C1456" s="59" t="s">
        <v>557</v>
      </c>
      <c r="D1456" s="356" t="s">
        <v>464</v>
      </c>
      <c r="E1456" s="356" t="s">
        <v>1035</v>
      </c>
      <c r="F1456" s="23" t="s">
        <v>1046</v>
      </c>
      <c r="G1456" s="23" t="s">
        <v>403</v>
      </c>
      <c r="H1456" s="353">
        <v>12243</v>
      </c>
      <c r="I1456" s="59"/>
      <c r="J1456" s="59" t="s">
        <v>1047</v>
      </c>
      <c r="K1456" s="20"/>
      <c r="L1456" s="20"/>
      <c r="M1456" s="357"/>
      <c r="N1456" s="411"/>
      <c r="O1456" s="23" t="s">
        <v>1045</v>
      </c>
      <c r="P1456" s="92" t="s">
        <v>632</v>
      </c>
      <c r="Q1456" s="92" t="s">
        <v>646</v>
      </c>
      <c r="R1456" s="372" t="str">
        <f t="shared" si="40"/>
        <v/>
      </c>
    </row>
    <row r="1457" spans="1:18" x14ac:dyDescent="0.25">
      <c r="A1457" s="23" t="s">
        <v>1034</v>
      </c>
      <c r="B1457" s="18" t="str">
        <f>IF(ISNA(VLOOKUP($A1457,'Data Pull Sheet'!$B$2:$C$1795,2,0)),"",(VLOOKUP($A1457,'Data Pull Sheet'!$B$2:$C$1795,2,0)))</f>
        <v>BOFI</v>
      </c>
      <c r="C1457" s="59" t="s">
        <v>557</v>
      </c>
      <c r="D1457" s="356" t="s">
        <v>464</v>
      </c>
      <c r="E1457" s="356" t="s">
        <v>1035</v>
      </c>
      <c r="F1457" s="23" t="s">
        <v>1048</v>
      </c>
      <c r="G1457" s="23" t="s">
        <v>403</v>
      </c>
      <c r="H1457" s="353">
        <v>12983</v>
      </c>
      <c r="I1457" s="59"/>
      <c r="J1457" s="59" t="s">
        <v>1049</v>
      </c>
      <c r="K1457" s="20"/>
      <c r="L1457" s="20"/>
      <c r="M1457" s="357"/>
      <c r="N1457" s="411"/>
      <c r="O1457" s="23" t="s">
        <v>1045</v>
      </c>
      <c r="P1457" s="92" t="s">
        <v>632</v>
      </c>
      <c r="Q1457" s="92" t="s">
        <v>646</v>
      </c>
      <c r="R1457" s="372" t="str">
        <f t="shared" si="40"/>
        <v/>
      </c>
    </row>
    <row r="1458" spans="1:18" x14ac:dyDescent="0.25">
      <c r="A1458" s="23" t="s">
        <v>1034</v>
      </c>
      <c r="B1458" s="18" t="str">
        <f>IF(ISNA(VLOOKUP($A1458,'Data Pull Sheet'!$B$2:$C$1795,2,0)),"",(VLOOKUP($A1458,'Data Pull Sheet'!$B$2:$C$1795,2,0)))</f>
        <v>BOFI</v>
      </c>
      <c r="C1458" s="59" t="s">
        <v>557</v>
      </c>
      <c r="D1458" s="356" t="s">
        <v>464</v>
      </c>
      <c r="E1458" s="356" t="s">
        <v>1035</v>
      </c>
      <c r="F1458" s="23" t="s">
        <v>1050</v>
      </c>
      <c r="G1458" s="23" t="s">
        <v>403</v>
      </c>
      <c r="H1458" s="353">
        <v>62320</v>
      </c>
      <c r="I1458" s="59"/>
      <c r="J1458" s="59" t="s">
        <v>1051</v>
      </c>
      <c r="K1458" s="20"/>
      <c r="L1458" s="20"/>
      <c r="M1458" s="357"/>
      <c r="N1458" s="411"/>
      <c r="O1458" s="23" t="s">
        <v>1045</v>
      </c>
      <c r="P1458" s="92" t="s">
        <v>632</v>
      </c>
      <c r="Q1458" s="92" t="s">
        <v>646</v>
      </c>
      <c r="R1458" s="372" t="str">
        <f t="shared" si="40"/>
        <v/>
      </c>
    </row>
    <row r="1459" spans="1:18" x14ac:dyDescent="0.25">
      <c r="A1459" s="23" t="s">
        <v>1034</v>
      </c>
      <c r="B1459" s="18" t="str">
        <f>IF(ISNA(VLOOKUP($A1459,'Data Pull Sheet'!$B$2:$C$1795,2,0)),"",(VLOOKUP($A1459,'Data Pull Sheet'!$B$2:$C$1795,2,0)))</f>
        <v>BOFI</v>
      </c>
      <c r="C1459" s="59" t="s">
        <v>557</v>
      </c>
      <c r="D1459" s="356" t="s">
        <v>464</v>
      </c>
      <c r="E1459" s="356" t="s">
        <v>1035</v>
      </c>
      <c r="F1459" s="23" t="s">
        <v>1052</v>
      </c>
      <c r="G1459" s="23" t="s">
        <v>403</v>
      </c>
      <c r="H1459" s="353">
        <v>94049.42</v>
      </c>
      <c r="I1459" s="59"/>
      <c r="J1459" s="59" t="s">
        <v>10802</v>
      </c>
      <c r="K1459" s="20"/>
      <c r="L1459" s="20">
        <v>1</v>
      </c>
      <c r="M1459" s="357">
        <f>SUM(H1459)</f>
        <v>94049.42</v>
      </c>
      <c r="N1459" s="411">
        <f>IFERROR((M1459/(VLOOKUP(B1459,'Data Pull Sheet'!$C:$H,6,FALSE))),"DC")</f>
        <v>5.532318823529412E-4</v>
      </c>
      <c r="O1459" s="23" t="s">
        <v>63</v>
      </c>
      <c r="P1459" s="92" t="s">
        <v>632</v>
      </c>
      <c r="Q1459" s="92" t="s">
        <v>637</v>
      </c>
      <c r="R1459" s="372" t="str">
        <f t="shared" si="40"/>
        <v/>
      </c>
    </row>
    <row r="1460" spans="1:18" x14ac:dyDescent="0.25">
      <c r="A1460" s="23" t="s">
        <v>4149</v>
      </c>
      <c r="B1460" s="18" t="str">
        <f>IF(ISNA(VLOOKUP($A1460,'Data Pull Sheet'!$B$2:$C$1795,2,0)),"",(VLOOKUP($A1460,'Data Pull Sheet'!$B$2:$C$1795,2,0)))</f>
        <v>WINS</v>
      </c>
      <c r="C1460" s="59" t="s">
        <v>446</v>
      </c>
      <c r="D1460" s="356" t="s">
        <v>871</v>
      </c>
      <c r="E1460" s="356" t="s">
        <v>4150</v>
      </c>
      <c r="F1460" s="23" t="s">
        <v>4151</v>
      </c>
      <c r="G1460" s="23" t="s">
        <v>403</v>
      </c>
      <c r="H1460" s="353">
        <v>6157.93</v>
      </c>
      <c r="I1460" s="59" t="s">
        <v>406</v>
      </c>
      <c r="J1460" s="59" t="s">
        <v>4152</v>
      </c>
      <c r="K1460" s="20">
        <v>2</v>
      </c>
      <c r="L1460" s="20">
        <v>2</v>
      </c>
      <c r="M1460" s="357">
        <f>SUM(H1460:H1461)</f>
        <v>13976.33</v>
      </c>
      <c r="N1460" s="411">
        <f>IFERROR((M1460/(VLOOKUP(B1460,'Data Pull Sheet'!$C:$H,6,FALSE))),"DC")</f>
        <v>1.0751023076923077E-3</v>
      </c>
      <c r="O1460" s="23" t="s">
        <v>4153</v>
      </c>
      <c r="P1460" s="92" t="s">
        <v>632</v>
      </c>
      <c r="Q1460" s="92" t="s">
        <v>646</v>
      </c>
      <c r="R1460" s="372" t="str">
        <f t="shared" si="40"/>
        <v/>
      </c>
    </row>
    <row r="1461" spans="1:18" x14ac:dyDescent="0.25">
      <c r="A1461" s="23" t="s">
        <v>4149</v>
      </c>
      <c r="B1461" s="18" t="str">
        <f>IF(ISNA(VLOOKUP($A1461,'Data Pull Sheet'!$B$2:$C$1795,2,0)),"",(VLOOKUP($A1461,'Data Pull Sheet'!$B$2:$C$1795,2,0)))</f>
        <v>WINS</v>
      </c>
      <c r="C1461" s="59" t="s">
        <v>446</v>
      </c>
      <c r="D1461" s="356" t="s">
        <v>871</v>
      </c>
      <c r="E1461" s="356" t="s">
        <v>4150</v>
      </c>
      <c r="F1461" s="23" t="s">
        <v>4154</v>
      </c>
      <c r="G1461" s="23" t="s">
        <v>403</v>
      </c>
      <c r="H1461" s="353">
        <v>7818.4</v>
      </c>
      <c r="I1461" s="59" t="s">
        <v>406</v>
      </c>
      <c r="J1461" s="59" t="s">
        <v>4155</v>
      </c>
      <c r="K1461" s="20"/>
      <c r="L1461" s="20"/>
      <c r="M1461" s="357"/>
      <c r="N1461" s="411"/>
      <c r="O1461" s="23" t="s">
        <v>4153</v>
      </c>
      <c r="P1461" s="92" t="s">
        <v>632</v>
      </c>
      <c r="Q1461" s="92" t="s">
        <v>646</v>
      </c>
      <c r="R1461" s="372" t="str">
        <f t="shared" si="40"/>
        <v/>
      </c>
    </row>
    <row r="1462" spans="1:18" ht="30" x14ac:dyDescent="0.25">
      <c r="A1462" s="23" t="s">
        <v>4149</v>
      </c>
      <c r="B1462" s="18" t="str">
        <f>IF(ISNA(VLOOKUP($A1462,'Data Pull Sheet'!$B$2:$C$1795,2,0)),"",(VLOOKUP($A1462,'Data Pull Sheet'!$B$2:$C$1795,2,0)))</f>
        <v>WINS</v>
      </c>
      <c r="C1462" s="59" t="s">
        <v>446</v>
      </c>
      <c r="D1462" s="356" t="s">
        <v>871</v>
      </c>
      <c r="E1462" s="356" t="s">
        <v>4150</v>
      </c>
      <c r="F1462" s="23" t="s">
        <v>4156</v>
      </c>
      <c r="G1462" s="23" t="s">
        <v>403</v>
      </c>
      <c r="H1462" s="353">
        <v>25930.240000000002</v>
      </c>
      <c r="I1462" s="59"/>
      <c r="J1462" s="59" t="s">
        <v>4157</v>
      </c>
      <c r="K1462" s="20"/>
      <c r="L1462" s="20">
        <v>3</v>
      </c>
      <c r="M1462" s="357">
        <f>SUM(H1462:H1464)</f>
        <v>156075.24</v>
      </c>
      <c r="N1462" s="411">
        <f>IFERROR((M1462/(VLOOKUP(B1462,'Data Pull Sheet'!$C:$H,6,FALSE))),"DC")</f>
        <v>1.2005787692307691E-2</v>
      </c>
      <c r="O1462" s="23" t="s">
        <v>2174</v>
      </c>
      <c r="P1462" s="92" t="s">
        <v>632</v>
      </c>
      <c r="Q1462" s="92" t="s">
        <v>646</v>
      </c>
      <c r="R1462" s="372" t="str">
        <f t="shared" si="40"/>
        <v/>
      </c>
    </row>
    <row r="1463" spans="1:18" ht="30" x14ac:dyDescent="0.25">
      <c r="A1463" s="23" t="s">
        <v>4149</v>
      </c>
      <c r="B1463" s="18" t="str">
        <f>IF(ISNA(VLOOKUP($A1463,'Data Pull Sheet'!$B$2:$C$1795,2,0)),"",(VLOOKUP($A1463,'Data Pull Sheet'!$B$2:$C$1795,2,0)))</f>
        <v>WINS</v>
      </c>
      <c r="C1463" s="59" t="s">
        <v>446</v>
      </c>
      <c r="D1463" s="356" t="s">
        <v>871</v>
      </c>
      <c r="E1463" s="356" t="s">
        <v>4150</v>
      </c>
      <c r="F1463" s="23" t="s">
        <v>4158</v>
      </c>
      <c r="G1463" s="23" t="s">
        <v>403</v>
      </c>
      <c r="H1463" s="353">
        <v>27812.45</v>
      </c>
      <c r="I1463" s="59"/>
      <c r="J1463" s="59" t="s">
        <v>4159</v>
      </c>
      <c r="K1463" s="20"/>
      <c r="L1463" s="20"/>
      <c r="M1463" s="357"/>
      <c r="N1463" s="411"/>
      <c r="O1463" s="23" t="s">
        <v>2174</v>
      </c>
      <c r="P1463" s="92" t="s">
        <v>632</v>
      </c>
      <c r="Q1463" s="92" t="s">
        <v>646</v>
      </c>
      <c r="R1463" s="372" t="str">
        <f t="shared" si="40"/>
        <v/>
      </c>
    </row>
    <row r="1464" spans="1:18" ht="30" x14ac:dyDescent="0.25">
      <c r="A1464" s="23" t="s">
        <v>4149</v>
      </c>
      <c r="B1464" s="18" t="str">
        <f>IF(ISNA(VLOOKUP($A1464,'Data Pull Sheet'!$B$2:$C$1795,2,0)),"",(VLOOKUP($A1464,'Data Pull Sheet'!$B$2:$C$1795,2,0)))</f>
        <v>WINS</v>
      </c>
      <c r="C1464" s="59" t="s">
        <v>446</v>
      </c>
      <c r="D1464" s="356" t="s">
        <v>871</v>
      </c>
      <c r="E1464" s="356" t="s">
        <v>4150</v>
      </c>
      <c r="F1464" s="23" t="s">
        <v>4160</v>
      </c>
      <c r="G1464" s="23" t="s">
        <v>403</v>
      </c>
      <c r="H1464" s="353">
        <v>102332.55</v>
      </c>
      <c r="I1464" s="59"/>
      <c r="J1464" s="59" t="s">
        <v>4161</v>
      </c>
      <c r="K1464" s="20"/>
      <c r="L1464" s="20"/>
      <c r="M1464" s="357"/>
      <c r="N1464" s="411"/>
      <c r="O1464" s="23" t="s">
        <v>2174</v>
      </c>
      <c r="P1464" s="92" t="s">
        <v>632</v>
      </c>
      <c r="Q1464" s="92" t="s">
        <v>646</v>
      </c>
      <c r="R1464" s="372" t="str">
        <f t="shared" si="40"/>
        <v/>
      </c>
    </row>
    <row r="1465" spans="1:18" ht="30" x14ac:dyDescent="0.25">
      <c r="A1465" s="23" t="s">
        <v>2593</v>
      </c>
      <c r="B1465" s="18" t="str">
        <f>IF(ISNA(VLOOKUP($A1465,'Data Pull Sheet'!$B$2:$C$1795,2,0)),"",(VLOOKUP($A1465,'Data Pull Sheet'!$B$2:$C$1795,2,0)))</f>
        <v>IOVA</v>
      </c>
      <c r="C1465" s="59" t="s">
        <v>457</v>
      </c>
      <c r="D1465" s="356" t="s">
        <v>2040</v>
      </c>
      <c r="E1465" s="356" t="s">
        <v>2594</v>
      </c>
      <c r="F1465" s="23" t="s">
        <v>2595</v>
      </c>
      <c r="G1465" s="23" t="s">
        <v>403</v>
      </c>
      <c r="H1465" s="353">
        <v>2222.19</v>
      </c>
      <c r="I1465" s="59" t="s">
        <v>406</v>
      </c>
      <c r="J1465" s="59" t="s">
        <v>2596</v>
      </c>
      <c r="K1465" s="20">
        <v>3</v>
      </c>
      <c r="L1465" s="20">
        <v>2</v>
      </c>
      <c r="M1465" s="357">
        <f>SUM(H1465:H1466)</f>
        <v>10270.879999999999</v>
      </c>
      <c r="N1465" s="411">
        <f>IFERROR((M1465/(VLOOKUP(B1465,'Data Pull Sheet'!$C:$H,6,FALSE))),"DC")</f>
        <v>1.8674327272727272E-4</v>
      </c>
      <c r="O1465" s="23" t="s">
        <v>2597</v>
      </c>
      <c r="P1465" s="92" t="s">
        <v>632</v>
      </c>
      <c r="Q1465" s="92" t="s">
        <v>646</v>
      </c>
      <c r="R1465" s="372" t="str">
        <f t="shared" si="40"/>
        <v/>
      </c>
    </row>
    <row r="1466" spans="1:18" ht="30" x14ac:dyDescent="0.25">
      <c r="A1466" s="23" t="s">
        <v>2593</v>
      </c>
      <c r="B1466" s="18" t="str">
        <f>IF(ISNA(VLOOKUP($A1466,'Data Pull Sheet'!$B$2:$C$1795,2,0)),"",(VLOOKUP($A1466,'Data Pull Sheet'!$B$2:$C$1795,2,0)))</f>
        <v>IOVA</v>
      </c>
      <c r="C1466" s="59" t="s">
        <v>457</v>
      </c>
      <c r="D1466" s="356" t="s">
        <v>2040</v>
      </c>
      <c r="E1466" s="356" t="s">
        <v>2594</v>
      </c>
      <c r="F1466" s="23" t="s">
        <v>2598</v>
      </c>
      <c r="G1466" s="23" t="s">
        <v>403</v>
      </c>
      <c r="H1466" s="353">
        <v>8048.69</v>
      </c>
      <c r="I1466" s="59" t="s">
        <v>406</v>
      </c>
      <c r="J1466" s="59" t="s">
        <v>2599</v>
      </c>
      <c r="K1466" s="20"/>
      <c r="L1466" s="20"/>
      <c r="M1466" s="357"/>
      <c r="N1466" s="411"/>
      <c r="O1466" s="23" t="s">
        <v>2597</v>
      </c>
      <c r="P1466" s="92" t="s">
        <v>632</v>
      </c>
      <c r="Q1466" s="92" t="s">
        <v>646</v>
      </c>
      <c r="R1466" s="372" t="str">
        <f t="shared" si="40"/>
        <v/>
      </c>
    </row>
    <row r="1467" spans="1:18" x14ac:dyDescent="0.25">
      <c r="A1467" s="23" t="s">
        <v>2593</v>
      </c>
      <c r="B1467" s="18" t="str">
        <f>IF(ISNA(VLOOKUP($A1467,'Data Pull Sheet'!$B$2:$C$1795,2,0)),"",(VLOOKUP($A1467,'Data Pull Sheet'!$B$2:$C$1795,2,0)))</f>
        <v>IOVA</v>
      </c>
      <c r="C1467" s="59" t="s">
        <v>457</v>
      </c>
      <c r="D1467" s="356" t="s">
        <v>2040</v>
      </c>
      <c r="E1467" s="356" t="s">
        <v>2594</v>
      </c>
      <c r="F1467" s="23" t="s">
        <v>2600</v>
      </c>
      <c r="G1467" s="23" t="s">
        <v>403</v>
      </c>
      <c r="H1467" s="353">
        <v>177583.84</v>
      </c>
      <c r="I1467" s="59" t="s">
        <v>406</v>
      </c>
      <c r="J1467" s="59" t="s">
        <v>2601</v>
      </c>
      <c r="K1467" s="20"/>
      <c r="L1467" s="20">
        <v>1</v>
      </c>
      <c r="M1467" s="357">
        <f>H1467</f>
        <v>177583.84</v>
      </c>
      <c r="N1467" s="411">
        <f>IFERROR((M1467/(VLOOKUP(B1467,'Data Pull Sheet'!$C:$H,6,FALSE))),"DC")</f>
        <v>3.2287970909090908E-3</v>
      </c>
      <c r="O1467" s="23" t="s">
        <v>4392</v>
      </c>
      <c r="P1467" s="92" t="s">
        <v>632</v>
      </c>
      <c r="Q1467" s="92" t="s">
        <v>637</v>
      </c>
      <c r="R1467" s="372" t="str">
        <f t="shared" si="40"/>
        <v/>
      </c>
    </row>
    <row r="1468" spans="1:18" ht="30" x14ac:dyDescent="0.25">
      <c r="A1468" s="23" t="s">
        <v>2593</v>
      </c>
      <c r="B1468" s="18" t="str">
        <f>IF(ISNA(VLOOKUP($A1468,'Data Pull Sheet'!$B$2:$C$1795,2,0)),"",(VLOOKUP($A1468,'Data Pull Sheet'!$B$2:$C$1795,2,0)))</f>
        <v>IOVA</v>
      </c>
      <c r="C1468" s="59" t="s">
        <v>457</v>
      </c>
      <c r="D1468" s="356" t="s">
        <v>2040</v>
      </c>
      <c r="E1468" s="356" t="s">
        <v>2594</v>
      </c>
      <c r="F1468" s="23" t="s">
        <v>2602</v>
      </c>
      <c r="G1468" s="23" t="s">
        <v>403</v>
      </c>
      <c r="H1468" s="353">
        <v>3315</v>
      </c>
      <c r="I1468" s="59"/>
      <c r="J1468" s="59" t="s">
        <v>2603</v>
      </c>
      <c r="K1468" s="20"/>
      <c r="L1468" s="20">
        <v>4</v>
      </c>
      <c r="M1468" s="357">
        <f>SUM(H1468:H1471)</f>
        <v>59709</v>
      </c>
      <c r="N1468" s="411">
        <f>IFERROR((M1468/(VLOOKUP(B1468,'Data Pull Sheet'!$C:$H,6,FALSE))),"DC")</f>
        <v>1.0856181818181818E-3</v>
      </c>
      <c r="O1468" s="23" t="s">
        <v>1169</v>
      </c>
      <c r="P1468" s="92" t="s">
        <v>632</v>
      </c>
      <c r="Q1468" s="92" t="s">
        <v>646</v>
      </c>
      <c r="R1468" s="372" t="str">
        <f t="shared" si="40"/>
        <v/>
      </c>
    </row>
    <row r="1469" spans="1:18" ht="30" x14ac:dyDescent="0.25">
      <c r="A1469" s="23" t="s">
        <v>2593</v>
      </c>
      <c r="B1469" s="18" t="str">
        <f>IF(ISNA(VLOOKUP($A1469,'Data Pull Sheet'!$B$2:$C$1795,2,0)),"",(VLOOKUP($A1469,'Data Pull Sheet'!$B$2:$C$1795,2,0)))</f>
        <v>IOVA</v>
      </c>
      <c r="C1469" s="59" t="s">
        <v>457</v>
      </c>
      <c r="D1469" s="356" t="s">
        <v>2040</v>
      </c>
      <c r="E1469" s="356" t="s">
        <v>2594</v>
      </c>
      <c r="F1469" s="23" t="s">
        <v>2604</v>
      </c>
      <c r="G1469" s="23" t="s">
        <v>403</v>
      </c>
      <c r="H1469" s="353">
        <v>3414</v>
      </c>
      <c r="I1469" s="59"/>
      <c r="J1469" s="59" t="s">
        <v>2605</v>
      </c>
      <c r="K1469" s="20"/>
      <c r="L1469" s="20"/>
      <c r="M1469" s="357"/>
      <c r="N1469" s="411"/>
      <c r="O1469" s="23" t="s">
        <v>1169</v>
      </c>
      <c r="P1469" s="92" t="s">
        <v>632</v>
      </c>
      <c r="Q1469" s="92" t="s">
        <v>646</v>
      </c>
      <c r="R1469" s="372" t="str">
        <f t="shared" si="40"/>
        <v/>
      </c>
    </row>
    <row r="1470" spans="1:18" ht="30" x14ac:dyDescent="0.25">
      <c r="A1470" s="23" t="s">
        <v>2593</v>
      </c>
      <c r="B1470" s="18" t="str">
        <f>IF(ISNA(VLOOKUP($A1470,'Data Pull Sheet'!$B$2:$C$1795,2,0)),"",(VLOOKUP($A1470,'Data Pull Sheet'!$B$2:$C$1795,2,0)))</f>
        <v>IOVA</v>
      </c>
      <c r="C1470" s="59" t="s">
        <v>457</v>
      </c>
      <c r="D1470" s="356" t="s">
        <v>2040</v>
      </c>
      <c r="E1470" s="356" t="s">
        <v>2594</v>
      </c>
      <c r="F1470" s="23" t="s">
        <v>2606</v>
      </c>
      <c r="G1470" s="23" t="s">
        <v>403</v>
      </c>
      <c r="H1470" s="353">
        <v>12598</v>
      </c>
      <c r="I1470" s="59"/>
      <c r="J1470" s="59" t="s">
        <v>2607</v>
      </c>
      <c r="K1470" s="20"/>
      <c r="L1470" s="20"/>
      <c r="M1470" s="357"/>
      <c r="N1470" s="411"/>
      <c r="O1470" s="23" t="s">
        <v>1169</v>
      </c>
      <c r="P1470" s="92" t="s">
        <v>632</v>
      </c>
      <c r="Q1470" s="92" t="s">
        <v>646</v>
      </c>
      <c r="R1470" s="372" t="str">
        <f t="shared" si="40"/>
        <v/>
      </c>
    </row>
    <row r="1471" spans="1:18" ht="30" x14ac:dyDescent="0.25">
      <c r="A1471" s="23" t="s">
        <v>2593</v>
      </c>
      <c r="B1471" s="18" t="str">
        <f>IF(ISNA(VLOOKUP($A1471,'Data Pull Sheet'!$B$2:$C$1795,2,0)),"",(VLOOKUP($A1471,'Data Pull Sheet'!$B$2:$C$1795,2,0)))</f>
        <v>IOVA</v>
      </c>
      <c r="C1471" s="59" t="s">
        <v>457</v>
      </c>
      <c r="D1471" s="356" t="s">
        <v>2040</v>
      </c>
      <c r="E1471" s="356" t="s">
        <v>2594</v>
      </c>
      <c r="F1471" s="23" t="s">
        <v>2608</v>
      </c>
      <c r="G1471" s="23" t="s">
        <v>403</v>
      </c>
      <c r="H1471" s="353">
        <v>40382</v>
      </c>
      <c r="I1471" s="59"/>
      <c r="J1471" s="59" t="s">
        <v>2609</v>
      </c>
      <c r="K1471" s="20"/>
      <c r="L1471" s="20"/>
      <c r="M1471" s="357"/>
      <c r="N1471" s="411"/>
      <c r="O1471" s="23" t="s">
        <v>1169</v>
      </c>
      <c r="P1471" s="92" t="s">
        <v>632</v>
      </c>
      <c r="Q1471" s="92" t="s">
        <v>646</v>
      </c>
      <c r="R1471" s="372" t="str">
        <f t="shared" si="40"/>
        <v/>
      </c>
    </row>
    <row r="1472" spans="1:18" x14ac:dyDescent="0.25">
      <c r="A1472" s="23" t="s">
        <v>775</v>
      </c>
      <c r="B1472" s="18" t="str">
        <f>IF(ISNA(VLOOKUP($A1472,'Data Pull Sheet'!$B$2:$C$1795,2,0)),"",(VLOOKUP($A1472,'Data Pull Sheet'!$B$2:$C$1795,2,0)))</f>
        <v>AMMA</v>
      </c>
      <c r="C1472" s="59" t="s">
        <v>424</v>
      </c>
      <c r="D1472" s="356" t="s">
        <v>776</v>
      </c>
      <c r="E1472" s="356" t="s">
        <v>777</v>
      </c>
      <c r="F1472" s="23" t="s">
        <v>778</v>
      </c>
      <c r="G1472" s="23" t="s">
        <v>403</v>
      </c>
      <c r="H1472" s="353">
        <v>234</v>
      </c>
      <c r="I1472" s="59"/>
      <c r="J1472" s="59" t="s">
        <v>779</v>
      </c>
      <c r="K1472" s="20">
        <v>2</v>
      </c>
      <c r="L1472" s="20">
        <v>1</v>
      </c>
      <c r="M1472" s="357">
        <f>H1472</f>
        <v>234</v>
      </c>
      <c r="N1472" s="411">
        <f>IFERROR((M1472/(VLOOKUP(B1472,'Data Pull Sheet'!$C:$H,6,FALSE))),"DC")</f>
        <v>4.6799999999999999E-4</v>
      </c>
      <c r="O1472" s="23" t="s">
        <v>63</v>
      </c>
      <c r="P1472" s="92" t="s">
        <v>632</v>
      </c>
      <c r="Q1472" s="92" t="s">
        <v>637</v>
      </c>
      <c r="R1472" s="372" t="str">
        <f t="shared" si="40"/>
        <v/>
      </c>
    </row>
    <row r="1473" spans="1:18" ht="30" x14ac:dyDescent="0.25">
      <c r="A1473" s="23" t="s">
        <v>775</v>
      </c>
      <c r="B1473" s="18" t="str">
        <f>IF(ISNA(VLOOKUP($A1473,'Data Pull Sheet'!$B$2:$C$1795,2,0)),"",(VLOOKUP($A1473,'Data Pull Sheet'!$B$2:$C$1795,2,0)))</f>
        <v>AMMA</v>
      </c>
      <c r="C1473" s="59" t="s">
        <v>424</v>
      </c>
      <c r="D1473" s="356" t="s">
        <v>776</v>
      </c>
      <c r="E1473" s="356" t="s">
        <v>777</v>
      </c>
      <c r="F1473" s="23" t="s">
        <v>780</v>
      </c>
      <c r="G1473" s="23" t="s">
        <v>403</v>
      </c>
      <c r="H1473" s="353">
        <v>5265.72</v>
      </c>
      <c r="I1473" s="59"/>
      <c r="J1473" s="59" t="s">
        <v>781</v>
      </c>
      <c r="K1473" s="20"/>
      <c r="L1473" s="20">
        <v>5</v>
      </c>
      <c r="M1473" s="357">
        <f>SUM(H1473:H1477)</f>
        <v>55456.06</v>
      </c>
      <c r="N1473" s="411">
        <f>IFERROR((M1473/(VLOOKUP(B1473,'Data Pull Sheet'!$C:$H,6,FALSE))),"DC")</f>
        <v>0.11091211999999999</v>
      </c>
      <c r="O1473" s="23" t="s">
        <v>10946</v>
      </c>
      <c r="P1473" s="92" t="s">
        <v>632</v>
      </c>
      <c r="Q1473" s="92" t="s">
        <v>646</v>
      </c>
      <c r="R1473" s="372" t="str">
        <f t="shared" si="40"/>
        <v/>
      </c>
    </row>
    <row r="1474" spans="1:18" ht="30" x14ac:dyDescent="0.25">
      <c r="A1474" s="23" t="s">
        <v>775</v>
      </c>
      <c r="B1474" s="18" t="str">
        <f>IF(ISNA(VLOOKUP($A1474,'Data Pull Sheet'!$B$2:$C$1795,2,0)),"",(VLOOKUP($A1474,'Data Pull Sheet'!$B$2:$C$1795,2,0)))</f>
        <v>AMMA</v>
      </c>
      <c r="C1474" s="59" t="s">
        <v>424</v>
      </c>
      <c r="D1474" s="356" t="s">
        <v>776</v>
      </c>
      <c r="E1474" s="356" t="s">
        <v>777</v>
      </c>
      <c r="F1474" s="23" t="s">
        <v>783</v>
      </c>
      <c r="G1474" s="23" t="s">
        <v>403</v>
      </c>
      <c r="H1474" s="353">
        <v>5297.64</v>
      </c>
      <c r="I1474" s="59"/>
      <c r="J1474" s="59" t="s">
        <v>784</v>
      </c>
      <c r="K1474" s="20"/>
      <c r="L1474" s="20"/>
      <c r="M1474" s="357"/>
      <c r="N1474" s="411"/>
      <c r="O1474" s="23" t="s">
        <v>10946</v>
      </c>
      <c r="P1474" s="92" t="s">
        <v>632</v>
      </c>
      <c r="Q1474" s="92" t="s">
        <v>646</v>
      </c>
      <c r="R1474" s="372" t="str">
        <f t="shared" ref="R1474:R1537" si="42">IF(COUNTIF(F:F,F1474)&gt;=2,"FF","")</f>
        <v/>
      </c>
    </row>
    <row r="1475" spans="1:18" ht="30" x14ac:dyDescent="0.25">
      <c r="A1475" s="23" t="s">
        <v>775</v>
      </c>
      <c r="B1475" s="18" t="str">
        <f>IF(ISNA(VLOOKUP($A1475,'Data Pull Sheet'!$B$2:$C$1795,2,0)),"",(VLOOKUP($A1475,'Data Pull Sheet'!$B$2:$C$1795,2,0)))</f>
        <v>AMMA</v>
      </c>
      <c r="C1475" s="59" t="s">
        <v>424</v>
      </c>
      <c r="D1475" s="356" t="s">
        <v>776</v>
      </c>
      <c r="E1475" s="356" t="s">
        <v>777</v>
      </c>
      <c r="F1475" s="23" t="s">
        <v>785</v>
      </c>
      <c r="G1475" s="23" t="s">
        <v>403</v>
      </c>
      <c r="H1475" s="353">
        <v>10962.7</v>
      </c>
      <c r="I1475" s="59"/>
      <c r="J1475" s="59" t="s">
        <v>786</v>
      </c>
      <c r="K1475" s="20"/>
      <c r="L1475" s="20"/>
      <c r="M1475" s="357"/>
      <c r="N1475" s="411"/>
      <c r="O1475" s="23" t="s">
        <v>10946</v>
      </c>
      <c r="P1475" s="92" t="s">
        <v>632</v>
      </c>
      <c r="Q1475" s="92" t="s">
        <v>646</v>
      </c>
      <c r="R1475" s="372" t="str">
        <f t="shared" si="42"/>
        <v/>
      </c>
    </row>
    <row r="1476" spans="1:18" ht="30" x14ac:dyDescent="0.25">
      <c r="A1476" s="23" t="s">
        <v>775</v>
      </c>
      <c r="B1476" s="18" t="str">
        <f>IF(ISNA(VLOOKUP($A1476,'Data Pull Sheet'!$B$2:$C$1795,2,0)),"",(VLOOKUP($A1476,'Data Pull Sheet'!$B$2:$C$1795,2,0)))</f>
        <v>AMMA</v>
      </c>
      <c r="C1476" s="59" t="s">
        <v>424</v>
      </c>
      <c r="D1476" s="356" t="s">
        <v>776</v>
      </c>
      <c r="E1476" s="356" t="s">
        <v>777</v>
      </c>
      <c r="F1476" s="23" t="s">
        <v>787</v>
      </c>
      <c r="G1476" s="23" t="s">
        <v>403</v>
      </c>
      <c r="H1476" s="353">
        <v>14040</v>
      </c>
      <c r="I1476" s="59"/>
      <c r="J1476" s="59" t="s">
        <v>788</v>
      </c>
      <c r="K1476" s="20"/>
      <c r="L1476" s="20"/>
      <c r="M1476" s="357"/>
      <c r="N1476" s="411"/>
      <c r="O1476" s="23" t="s">
        <v>10946</v>
      </c>
      <c r="P1476" s="92" t="s">
        <v>632</v>
      </c>
      <c r="Q1476" s="92" t="s">
        <v>646</v>
      </c>
      <c r="R1476" s="372" t="str">
        <f t="shared" si="42"/>
        <v/>
      </c>
    </row>
    <row r="1477" spans="1:18" ht="30" x14ac:dyDescent="0.25">
      <c r="A1477" s="23" t="s">
        <v>775</v>
      </c>
      <c r="B1477" s="18" t="str">
        <f>IF(ISNA(VLOOKUP($A1477,'Data Pull Sheet'!$B$2:$C$1795,2,0)),"",(VLOOKUP($A1477,'Data Pull Sheet'!$B$2:$C$1795,2,0)))</f>
        <v>AMMA</v>
      </c>
      <c r="C1477" s="59" t="s">
        <v>424</v>
      </c>
      <c r="D1477" s="356" t="s">
        <v>776</v>
      </c>
      <c r="E1477" s="356" t="s">
        <v>777</v>
      </c>
      <c r="F1477" s="23" t="s">
        <v>789</v>
      </c>
      <c r="G1477" s="23" t="s">
        <v>403</v>
      </c>
      <c r="H1477" s="353">
        <v>19890</v>
      </c>
      <c r="I1477" s="59"/>
      <c r="J1477" s="59" t="s">
        <v>790</v>
      </c>
      <c r="K1477" s="20"/>
      <c r="L1477" s="20"/>
      <c r="M1477" s="357"/>
      <c r="N1477" s="411"/>
      <c r="O1477" s="23" t="s">
        <v>10946</v>
      </c>
      <c r="P1477" s="92" t="s">
        <v>632</v>
      </c>
      <c r="Q1477" s="92" t="s">
        <v>646</v>
      </c>
      <c r="R1477" s="372" t="str">
        <f t="shared" si="42"/>
        <v/>
      </c>
    </row>
    <row r="1478" spans="1:18" x14ac:dyDescent="0.25">
      <c r="A1478" s="23" t="s">
        <v>870</v>
      </c>
      <c r="B1478" s="18" t="str">
        <f>IF(ISNA(VLOOKUP($A1478,'Data Pull Sheet'!$B$2:$C$1795,2,0)),"",(VLOOKUP($A1478,'Data Pull Sheet'!$B$2:$C$1795,2,0)))</f>
        <v>AMRS </v>
      </c>
      <c r="C1478" s="59" t="s">
        <v>457</v>
      </c>
      <c r="D1478" s="356" t="s">
        <v>871</v>
      </c>
      <c r="E1478" s="356" t="s">
        <v>872</v>
      </c>
      <c r="F1478" s="23" t="s">
        <v>873</v>
      </c>
      <c r="G1478" s="23" t="s">
        <v>403</v>
      </c>
      <c r="H1478" s="353">
        <v>11257.08</v>
      </c>
      <c r="I1478" s="59" t="s">
        <v>406</v>
      </c>
      <c r="J1478" s="59" t="s">
        <v>874</v>
      </c>
      <c r="K1478" s="20">
        <v>2</v>
      </c>
      <c r="L1478" s="20">
        <v>1</v>
      </c>
      <c r="M1478" s="357">
        <f>H1478</f>
        <v>11257.08</v>
      </c>
      <c r="N1478" s="411">
        <f>IFERROR((M1478/(VLOOKUP(B1478,'Data Pull Sheet'!$C:$H,6,FALSE))),"DC")</f>
        <v>7.5047200000000003E-3</v>
      </c>
      <c r="O1478" s="23" t="s">
        <v>63</v>
      </c>
      <c r="P1478" s="92" t="s">
        <v>632</v>
      </c>
      <c r="Q1478" s="92" t="s">
        <v>637</v>
      </c>
      <c r="R1478" s="372" t="str">
        <f t="shared" si="42"/>
        <v/>
      </c>
    </row>
    <row r="1479" spans="1:18" x14ac:dyDescent="0.25">
      <c r="A1479" s="23" t="s">
        <v>870</v>
      </c>
      <c r="B1479" s="18" t="str">
        <f>IF(ISNA(VLOOKUP($A1479,'Data Pull Sheet'!$B$2:$C$1795,2,0)),"",(VLOOKUP($A1479,'Data Pull Sheet'!$B$2:$C$1795,2,0)))</f>
        <v>AMRS </v>
      </c>
      <c r="C1479" s="59" t="s">
        <v>457</v>
      </c>
      <c r="D1479" s="356" t="s">
        <v>871</v>
      </c>
      <c r="E1479" s="356" t="s">
        <v>872</v>
      </c>
      <c r="F1479" s="23" t="s">
        <v>875</v>
      </c>
      <c r="G1479" s="23" t="s">
        <v>403</v>
      </c>
      <c r="H1479" s="353">
        <v>2185.75</v>
      </c>
      <c r="I1479" s="59"/>
      <c r="J1479" s="59" t="s">
        <v>876</v>
      </c>
      <c r="K1479" s="20"/>
      <c r="L1479" s="20">
        <v>2</v>
      </c>
      <c r="M1479" s="357">
        <f>SUM(H1479:H1480)</f>
        <v>5567.75</v>
      </c>
      <c r="N1479" s="411">
        <f>IFERROR((M1479/(VLOOKUP(B1479,'Data Pull Sheet'!$C:$H,6,FALSE))),"DC")</f>
        <v>3.7118333333333335E-3</v>
      </c>
      <c r="O1479" s="23" t="s">
        <v>877</v>
      </c>
      <c r="P1479" s="92" t="s">
        <v>632</v>
      </c>
      <c r="Q1479" s="92" t="s">
        <v>646</v>
      </c>
      <c r="R1479" s="372" t="str">
        <f t="shared" si="42"/>
        <v/>
      </c>
    </row>
    <row r="1480" spans="1:18" x14ac:dyDescent="0.25">
      <c r="A1480" s="23" t="s">
        <v>870</v>
      </c>
      <c r="B1480" s="18" t="str">
        <f>IF(ISNA(VLOOKUP($A1480,'Data Pull Sheet'!$B$2:$C$1795,2,0)),"",(VLOOKUP($A1480,'Data Pull Sheet'!$B$2:$C$1795,2,0)))</f>
        <v>AMRS </v>
      </c>
      <c r="C1480" s="59" t="s">
        <v>457</v>
      </c>
      <c r="D1480" s="356" t="s">
        <v>871</v>
      </c>
      <c r="E1480" s="356" t="s">
        <v>872</v>
      </c>
      <c r="F1480" s="23" t="s">
        <v>878</v>
      </c>
      <c r="G1480" s="23" t="s">
        <v>403</v>
      </c>
      <c r="H1480" s="353">
        <v>3382</v>
      </c>
      <c r="I1480" s="59"/>
      <c r="J1480" s="59" t="s">
        <v>879</v>
      </c>
      <c r="K1480" s="20"/>
      <c r="L1480" s="20"/>
      <c r="M1480" s="357"/>
      <c r="N1480" s="411"/>
      <c r="O1480" s="23" t="s">
        <v>877</v>
      </c>
      <c r="P1480" s="92" t="s">
        <v>632</v>
      </c>
      <c r="Q1480" s="92" t="s">
        <v>646</v>
      </c>
      <c r="R1480" s="372" t="str">
        <f t="shared" si="42"/>
        <v/>
      </c>
    </row>
    <row r="1481" spans="1:18" x14ac:dyDescent="0.25">
      <c r="A1481" s="23" t="s">
        <v>1192</v>
      </c>
      <c r="B1481" s="18" t="str">
        <f>IF(ISNA(VLOOKUP($A1481,'Data Pull Sheet'!$B$2:$C$1795,2,0)),"",(VLOOKUP($A1481,'Data Pull Sheet'!$B$2:$C$1795,2,0)))</f>
        <v>CGI </v>
      </c>
      <c r="C1481" s="59" t="s">
        <v>418</v>
      </c>
      <c r="D1481" s="356" t="s">
        <v>1193</v>
      </c>
      <c r="E1481" s="356" t="s">
        <v>872</v>
      </c>
      <c r="F1481" s="23" t="s">
        <v>1194</v>
      </c>
      <c r="G1481" s="23" t="s">
        <v>403</v>
      </c>
      <c r="H1481" s="353">
        <v>465142.93</v>
      </c>
      <c r="I1481" s="59" t="s">
        <v>413</v>
      </c>
      <c r="J1481" s="59" t="s">
        <v>1195</v>
      </c>
      <c r="K1481" s="20">
        <v>4</v>
      </c>
      <c r="L1481" s="20">
        <v>1</v>
      </c>
      <c r="M1481" s="357">
        <f>H1481</f>
        <v>465142.93</v>
      </c>
      <c r="N1481" s="411">
        <f>IFERROR((M1481/(VLOOKUP(B1481,'Data Pull Sheet'!$C:$H,6,FALSE))),"DC")</f>
        <v>3.1009528666666668E-2</v>
      </c>
      <c r="O1481" s="23" t="s">
        <v>1196</v>
      </c>
      <c r="P1481" s="92" t="s">
        <v>632</v>
      </c>
      <c r="Q1481" s="92" t="s">
        <v>637</v>
      </c>
      <c r="R1481" s="372" t="str">
        <f t="shared" si="42"/>
        <v/>
      </c>
    </row>
    <row r="1482" spans="1:18" x14ac:dyDescent="0.25">
      <c r="A1482" s="23" t="s">
        <v>1192</v>
      </c>
      <c r="B1482" s="18" t="str">
        <f>IF(ISNA(VLOOKUP($A1482,'Data Pull Sheet'!$B$2:$C$1795,2,0)),"",(VLOOKUP($A1482,'Data Pull Sheet'!$B$2:$C$1795,2,0)))</f>
        <v>CGI </v>
      </c>
      <c r="C1482" s="59" t="s">
        <v>418</v>
      </c>
      <c r="D1482" s="356" t="s">
        <v>1193</v>
      </c>
      <c r="E1482" s="356" t="s">
        <v>872</v>
      </c>
      <c r="F1482" s="23" t="s">
        <v>1197</v>
      </c>
      <c r="G1482" s="23" t="s">
        <v>417</v>
      </c>
      <c r="H1482" s="353">
        <v>85792.92</v>
      </c>
      <c r="I1482" s="59" t="s">
        <v>406</v>
      </c>
      <c r="J1482" s="59" t="s">
        <v>1198</v>
      </c>
      <c r="K1482" s="20"/>
      <c r="L1482" s="20">
        <v>2</v>
      </c>
      <c r="M1482" s="357">
        <f>SUM(H1482:H1483)</f>
        <v>1073467.54</v>
      </c>
      <c r="N1482" s="411">
        <f>IFERROR((M1482/(VLOOKUP(B1482,'Data Pull Sheet'!$C:$H,6,FALSE))),"DC")</f>
        <v>7.1564502666666668E-2</v>
      </c>
      <c r="O1482" s="23" t="s">
        <v>56</v>
      </c>
      <c r="P1482" s="92" t="s">
        <v>632</v>
      </c>
      <c r="Q1482" s="92" t="s">
        <v>640</v>
      </c>
      <c r="R1482" s="372" t="str">
        <f t="shared" si="42"/>
        <v>FF</v>
      </c>
    </row>
    <row r="1483" spans="1:18" x14ac:dyDescent="0.25">
      <c r="A1483" s="23" t="s">
        <v>1192</v>
      </c>
      <c r="B1483" s="18" t="str">
        <f>IF(ISNA(VLOOKUP($A1483,'Data Pull Sheet'!$B$2:$C$1795,2,0)),"",(VLOOKUP($A1483,'Data Pull Sheet'!$B$2:$C$1795,2,0)))</f>
        <v>CGI </v>
      </c>
      <c r="C1483" s="59" t="s">
        <v>418</v>
      </c>
      <c r="D1483" s="356" t="s">
        <v>1193</v>
      </c>
      <c r="E1483" s="356" t="s">
        <v>872</v>
      </c>
      <c r="F1483" s="23" t="s">
        <v>39</v>
      </c>
      <c r="G1483" s="23" t="s">
        <v>417</v>
      </c>
      <c r="H1483" s="353">
        <v>987674.62</v>
      </c>
      <c r="I1483" s="59" t="s">
        <v>406</v>
      </c>
      <c r="J1483" s="59" t="s">
        <v>1199</v>
      </c>
      <c r="K1483" s="20"/>
      <c r="L1483" s="20"/>
      <c r="M1483" s="357"/>
      <c r="N1483" s="411"/>
      <c r="O1483" s="23" t="s">
        <v>56</v>
      </c>
      <c r="P1483" s="92" t="s">
        <v>632</v>
      </c>
      <c r="Q1483" s="92" t="s">
        <v>640</v>
      </c>
      <c r="R1483" s="372" t="str">
        <f t="shared" si="42"/>
        <v>FF</v>
      </c>
    </row>
    <row r="1484" spans="1:18" x14ac:dyDescent="0.25">
      <c r="A1484" s="23" t="s">
        <v>1192</v>
      </c>
      <c r="B1484" s="18" t="str">
        <f>IF(ISNA(VLOOKUP($A1484,'Data Pull Sheet'!$B$2:$C$1795,2,0)),"",(VLOOKUP($A1484,'Data Pull Sheet'!$B$2:$C$1795,2,0)))</f>
        <v>CGI </v>
      </c>
      <c r="C1484" s="59" t="s">
        <v>418</v>
      </c>
      <c r="D1484" s="356" t="s">
        <v>1193</v>
      </c>
      <c r="E1484" s="356" t="s">
        <v>872</v>
      </c>
      <c r="F1484" s="23" t="s">
        <v>1200</v>
      </c>
      <c r="G1484" s="23" t="s">
        <v>403</v>
      </c>
      <c r="H1484" s="353">
        <v>53496</v>
      </c>
      <c r="I1484" s="59"/>
      <c r="J1484" s="59" t="s">
        <v>1201</v>
      </c>
      <c r="K1484" s="20"/>
      <c r="L1484" s="20">
        <v>1</v>
      </c>
      <c r="M1484" s="357">
        <f>H1484</f>
        <v>53496</v>
      </c>
      <c r="N1484" s="411">
        <f>IFERROR((M1484/(VLOOKUP(B1484,'Data Pull Sheet'!$C:$H,6,FALSE))),"DC")</f>
        <v>3.5664E-3</v>
      </c>
      <c r="O1484" s="23" t="s">
        <v>63</v>
      </c>
      <c r="P1484" s="92" t="s">
        <v>632</v>
      </c>
      <c r="Q1484" s="92" t="s">
        <v>637</v>
      </c>
      <c r="R1484" s="372" t="str">
        <f t="shared" si="42"/>
        <v/>
      </c>
    </row>
    <row r="1485" spans="1:18" x14ac:dyDescent="0.25">
      <c r="A1485" s="23" t="s">
        <v>1192</v>
      </c>
      <c r="B1485" s="18" t="str">
        <f>IF(ISNA(VLOOKUP($A1485,'Data Pull Sheet'!$B$2:$C$1795,2,0)),"",(VLOOKUP($A1485,'Data Pull Sheet'!$B$2:$C$1795,2,0)))</f>
        <v>CGI </v>
      </c>
      <c r="C1485" s="59" t="s">
        <v>418</v>
      </c>
      <c r="D1485" s="356" t="s">
        <v>1193</v>
      </c>
      <c r="E1485" s="356" t="s">
        <v>872</v>
      </c>
      <c r="F1485" s="23" t="s">
        <v>1202</v>
      </c>
      <c r="G1485" s="23" t="s">
        <v>403</v>
      </c>
      <c r="H1485" s="353">
        <v>53415</v>
      </c>
      <c r="I1485" s="59"/>
      <c r="J1485" s="59" t="s">
        <v>1203</v>
      </c>
      <c r="K1485" s="20"/>
      <c r="L1485" s="20">
        <v>1</v>
      </c>
      <c r="M1485" s="357">
        <f>H1485</f>
        <v>53415</v>
      </c>
      <c r="N1485" s="411">
        <f>IFERROR((M1485/(VLOOKUP(B1485,'Data Pull Sheet'!$C:$H,6,FALSE))),"DC")</f>
        <v>3.5609999999999999E-3</v>
      </c>
      <c r="O1485" s="23" t="s">
        <v>1204</v>
      </c>
      <c r="P1485" s="92" t="s">
        <v>632</v>
      </c>
      <c r="Q1485" s="92" t="s">
        <v>637</v>
      </c>
      <c r="R1485" s="372" t="str">
        <f t="shared" si="42"/>
        <v/>
      </c>
    </row>
    <row r="1486" spans="1:18" x14ac:dyDescent="0.25">
      <c r="A1486" s="23" t="s">
        <v>3825</v>
      </c>
      <c r="B1486" s="18" t="str">
        <f>IF(ISNA(VLOOKUP($A1486,'Data Pull Sheet'!$B$2:$C$1795,2,0)),"",(VLOOKUP($A1486,'Data Pull Sheet'!$B$2:$C$1795,2,0)))</f>
        <v>TXMD</v>
      </c>
      <c r="C1486" s="59" t="s">
        <v>603</v>
      </c>
      <c r="D1486" s="356" t="s">
        <v>776</v>
      </c>
      <c r="E1486" s="356" t="s">
        <v>872</v>
      </c>
      <c r="F1486" s="23" t="s">
        <v>3826</v>
      </c>
      <c r="G1486" s="23" t="s">
        <v>403</v>
      </c>
      <c r="H1486" s="353">
        <v>1235.06</v>
      </c>
      <c r="I1486" s="59"/>
      <c r="J1486" s="59" t="s">
        <v>3827</v>
      </c>
      <c r="K1486" s="20">
        <v>3</v>
      </c>
      <c r="L1486" s="20">
        <v>3</v>
      </c>
      <c r="M1486" s="357">
        <f>SUM(H1486:H1488)</f>
        <v>14511.98</v>
      </c>
      <c r="N1486" s="411">
        <f>IFERROR((M1486/(VLOOKUP(B1486,'Data Pull Sheet'!$C:$H,6,FALSE))),"DC")</f>
        <v>3.2248844444444442E-4</v>
      </c>
      <c r="O1486" s="23" t="s">
        <v>3828</v>
      </c>
      <c r="P1486" s="92" t="s">
        <v>632</v>
      </c>
      <c r="Q1486" s="92" t="s">
        <v>646</v>
      </c>
      <c r="R1486" s="372" t="str">
        <f t="shared" si="42"/>
        <v/>
      </c>
    </row>
    <row r="1487" spans="1:18" x14ac:dyDescent="0.25">
      <c r="A1487" s="23" t="s">
        <v>3825</v>
      </c>
      <c r="B1487" s="18" t="str">
        <f>IF(ISNA(VLOOKUP($A1487,'Data Pull Sheet'!$B$2:$C$1795,2,0)),"",(VLOOKUP($A1487,'Data Pull Sheet'!$B$2:$C$1795,2,0)))</f>
        <v>TXMD</v>
      </c>
      <c r="C1487" s="59" t="s">
        <v>603</v>
      </c>
      <c r="D1487" s="356" t="s">
        <v>776</v>
      </c>
      <c r="E1487" s="356" t="s">
        <v>872</v>
      </c>
      <c r="F1487" s="23" t="s">
        <v>3829</v>
      </c>
      <c r="G1487" s="23" t="s">
        <v>403</v>
      </c>
      <c r="H1487" s="353">
        <v>6415.67</v>
      </c>
      <c r="I1487" s="59"/>
      <c r="J1487" s="59" t="s">
        <v>3830</v>
      </c>
      <c r="K1487" s="20"/>
      <c r="L1487" s="20"/>
      <c r="M1487" s="357"/>
      <c r="N1487" s="411"/>
      <c r="O1487" s="23" t="s">
        <v>3828</v>
      </c>
      <c r="P1487" s="92" t="s">
        <v>632</v>
      </c>
      <c r="Q1487" s="92" t="s">
        <v>646</v>
      </c>
      <c r="R1487" s="372" t="str">
        <f t="shared" si="42"/>
        <v/>
      </c>
    </row>
    <row r="1488" spans="1:18" x14ac:dyDescent="0.25">
      <c r="A1488" s="23" t="s">
        <v>3825</v>
      </c>
      <c r="B1488" s="18" t="str">
        <f>IF(ISNA(VLOOKUP($A1488,'Data Pull Sheet'!$B$2:$C$1795,2,0)),"",(VLOOKUP($A1488,'Data Pull Sheet'!$B$2:$C$1795,2,0)))</f>
        <v>TXMD</v>
      </c>
      <c r="C1488" s="59" t="s">
        <v>603</v>
      </c>
      <c r="D1488" s="356" t="s">
        <v>776</v>
      </c>
      <c r="E1488" s="356" t="s">
        <v>872</v>
      </c>
      <c r="F1488" s="23" t="s">
        <v>3831</v>
      </c>
      <c r="G1488" s="23" t="s">
        <v>403</v>
      </c>
      <c r="H1488" s="353">
        <v>6861.25</v>
      </c>
      <c r="I1488" s="59"/>
      <c r="J1488" s="59" t="s">
        <v>3832</v>
      </c>
      <c r="K1488" s="20"/>
      <c r="L1488" s="20"/>
      <c r="M1488" s="357"/>
      <c r="N1488" s="411"/>
      <c r="O1488" s="23" t="s">
        <v>3828</v>
      </c>
      <c r="P1488" s="92" t="s">
        <v>632</v>
      </c>
      <c r="Q1488" s="92" t="s">
        <v>646</v>
      </c>
      <c r="R1488" s="372" t="str">
        <f t="shared" si="42"/>
        <v/>
      </c>
    </row>
    <row r="1489" spans="1:18" x14ac:dyDescent="0.25">
      <c r="A1489" s="23" t="s">
        <v>3825</v>
      </c>
      <c r="B1489" s="18" t="str">
        <f>IF(ISNA(VLOOKUP($A1489,'Data Pull Sheet'!$B$2:$C$1795,2,0)),"",(VLOOKUP($A1489,'Data Pull Sheet'!$B$2:$C$1795,2,0)))</f>
        <v>TXMD</v>
      </c>
      <c r="C1489" s="59" t="s">
        <v>603</v>
      </c>
      <c r="D1489" s="356" t="s">
        <v>776</v>
      </c>
      <c r="E1489" s="356" t="s">
        <v>872</v>
      </c>
      <c r="F1489" s="23" t="s">
        <v>3833</v>
      </c>
      <c r="G1489" s="23" t="s">
        <v>403</v>
      </c>
      <c r="H1489" s="353">
        <v>185712.7</v>
      </c>
      <c r="I1489" s="59"/>
      <c r="J1489" s="59" t="s">
        <v>3834</v>
      </c>
      <c r="K1489" s="20"/>
      <c r="L1489" s="20">
        <v>1</v>
      </c>
      <c r="M1489" s="357">
        <f>H1489</f>
        <v>185712.7</v>
      </c>
      <c r="N1489" s="411">
        <f>IFERROR((M1489/(VLOOKUP(B1489,'Data Pull Sheet'!$C:$H,6,FALSE))),"DC")</f>
        <v>4.1269488888888888E-3</v>
      </c>
      <c r="O1489" s="23" t="s">
        <v>1679</v>
      </c>
      <c r="P1489" s="92" t="s">
        <v>632</v>
      </c>
      <c r="Q1489" s="92" t="s">
        <v>637</v>
      </c>
      <c r="R1489" s="372" t="str">
        <f t="shared" si="42"/>
        <v/>
      </c>
    </row>
    <row r="1490" spans="1:18" ht="30" x14ac:dyDescent="0.25">
      <c r="A1490" s="23" t="s">
        <v>3825</v>
      </c>
      <c r="B1490" s="18" t="str">
        <f>IF(ISNA(VLOOKUP($A1490,'Data Pull Sheet'!$B$2:$C$1795,2,0)),"",(VLOOKUP($A1490,'Data Pull Sheet'!$B$2:$C$1795,2,0)))</f>
        <v>TXMD</v>
      </c>
      <c r="C1490" s="59" t="s">
        <v>603</v>
      </c>
      <c r="D1490" s="356" t="s">
        <v>776</v>
      </c>
      <c r="E1490" s="356" t="s">
        <v>872</v>
      </c>
      <c r="F1490" s="23" t="s">
        <v>3835</v>
      </c>
      <c r="G1490" s="23" t="s">
        <v>403</v>
      </c>
      <c r="H1490" s="353">
        <v>21212</v>
      </c>
      <c r="I1490" s="59"/>
      <c r="J1490" s="59" t="s">
        <v>3836</v>
      </c>
      <c r="K1490" s="20"/>
      <c r="L1490" s="20">
        <v>3</v>
      </c>
      <c r="M1490" s="357">
        <f>SUM(H1490:H1492)</f>
        <v>132102</v>
      </c>
      <c r="N1490" s="411">
        <f>IFERROR((M1490/(VLOOKUP(B1490,'Data Pull Sheet'!$C:$H,6,FALSE))),"DC")</f>
        <v>2.9356E-3</v>
      </c>
      <c r="O1490" s="23" t="s">
        <v>11072</v>
      </c>
      <c r="P1490" s="92" t="s">
        <v>632</v>
      </c>
      <c r="Q1490" s="92" t="s">
        <v>646</v>
      </c>
      <c r="R1490" s="372" t="str">
        <f t="shared" si="42"/>
        <v/>
      </c>
    </row>
    <row r="1491" spans="1:18" ht="30" x14ac:dyDescent="0.25">
      <c r="A1491" s="23" t="s">
        <v>3825</v>
      </c>
      <c r="B1491" s="18" t="str">
        <f>IF(ISNA(VLOOKUP($A1491,'Data Pull Sheet'!$B$2:$C$1795,2,0)),"",(VLOOKUP($A1491,'Data Pull Sheet'!$B$2:$C$1795,2,0)))</f>
        <v>TXMD</v>
      </c>
      <c r="C1491" s="59" t="s">
        <v>603</v>
      </c>
      <c r="D1491" s="356" t="s">
        <v>776</v>
      </c>
      <c r="E1491" s="356" t="s">
        <v>872</v>
      </c>
      <c r="F1491" s="23" t="s">
        <v>3837</v>
      </c>
      <c r="G1491" s="23" t="s">
        <v>403</v>
      </c>
      <c r="H1491" s="353">
        <v>22757</v>
      </c>
      <c r="I1491" s="59"/>
      <c r="J1491" s="59" t="s">
        <v>3838</v>
      </c>
      <c r="K1491" s="20"/>
      <c r="L1491" s="20"/>
      <c r="M1491" s="357"/>
      <c r="N1491" s="411"/>
      <c r="O1491" s="23" t="s">
        <v>11072</v>
      </c>
      <c r="P1491" s="92" t="s">
        <v>632</v>
      </c>
      <c r="Q1491" s="92" t="s">
        <v>646</v>
      </c>
      <c r="R1491" s="372" t="str">
        <f t="shared" si="42"/>
        <v/>
      </c>
    </row>
    <row r="1492" spans="1:18" ht="30" x14ac:dyDescent="0.25">
      <c r="A1492" s="23" t="s">
        <v>3825</v>
      </c>
      <c r="B1492" s="18" t="str">
        <f>IF(ISNA(VLOOKUP($A1492,'Data Pull Sheet'!$B$2:$C$1795,2,0)),"",(VLOOKUP($A1492,'Data Pull Sheet'!$B$2:$C$1795,2,0)))</f>
        <v>TXMD</v>
      </c>
      <c r="C1492" s="59" t="s">
        <v>603</v>
      </c>
      <c r="D1492" s="356" t="s">
        <v>776</v>
      </c>
      <c r="E1492" s="356" t="s">
        <v>872</v>
      </c>
      <c r="F1492" s="23" t="s">
        <v>3839</v>
      </c>
      <c r="G1492" s="23" t="s">
        <v>403</v>
      </c>
      <c r="H1492" s="353">
        <v>88133</v>
      </c>
      <c r="I1492" s="59"/>
      <c r="J1492" s="59" t="s">
        <v>3840</v>
      </c>
      <c r="K1492" s="20"/>
      <c r="L1492" s="20"/>
      <c r="M1492" s="357"/>
      <c r="N1492" s="411"/>
      <c r="O1492" s="23" t="s">
        <v>11072</v>
      </c>
      <c r="P1492" s="92" t="s">
        <v>632</v>
      </c>
      <c r="Q1492" s="92" t="s">
        <v>646</v>
      </c>
      <c r="R1492" s="372" t="str">
        <f t="shared" si="42"/>
        <v/>
      </c>
    </row>
    <row r="1493" spans="1:18" x14ac:dyDescent="0.25">
      <c r="A1493" s="23" t="s">
        <v>2901</v>
      </c>
      <c r="B1493" s="18" t="str">
        <f>IF(ISNA(VLOOKUP($A1493,'Data Pull Sheet'!$B$2:$C$1795,2,0)),"",(VLOOKUP($A1493,'Data Pull Sheet'!$B$2:$C$1795,2,0)))</f>
        <v>OCN</v>
      </c>
      <c r="C1493" s="59" t="s">
        <v>603</v>
      </c>
      <c r="D1493" s="356" t="s">
        <v>811</v>
      </c>
      <c r="E1493" s="356" t="s">
        <v>2902</v>
      </c>
      <c r="F1493" s="23" t="s">
        <v>377</v>
      </c>
      <c r="G1493" s="23" t="s">
        <v>417</v>
      </c>
      <c r="H1493" s="353">
        <v>192850.05</v>
      </c>
      <c r="I1493" s="59" t="s">
        <v>413</v>
      </c>
      <c r="J1493" s="59" t="s">
        <v>2903</v>
      </c>
      <c r="K1493" s="20">
        <v>3</v>
      </c>
      <c r="L1493" s="20">
        <v>1</v>
      </c>
      <c r="M1493" s="357">
        <f>H1493</f>
        <v>192850.05</v>
      </c>
      <c r="N1493" s="411">
        <f>IFERROR((M1493/(VLOOKUP(B1493,'Data Pull Sheet'!$C:$H,6,FALSE))),"DC")</f>
        <v>1.1344120588235294E-3</v>
      </c>
      <c r="O1493" s="23" t="s">
        <v>2904</v>
      </c>
      <c r="P1493" s="92" t="s">
        <v>632</v>
      </c>
      <c r="Q1493" s="92" t="s">
        <v>633</v>
      </c>
      <c r="R1493" s="372" t="str">
        <f t="shared" si="42"/>
        <v>FF</v>
      </c>
    </row>
    <row r="1494" spans="1:18" ht="30" x14ac:dyDescent="0.25">
      <c r="A1494" s="23" t="s">
        <v>2901</v>
      </c>
      <c r="B1494" s="18" t="str">
        <f>IF(ISNA(VLOOKUP($A1494,'Data Pull Sheet'!$B$2:$C$1795,2,0)),"",(VLOOKUP($A1494,'Data Pull Sheet'!$B$2:$C$1795,2,0)))</f>
        <v>OCN</v>
      </c>
      <c r="C1494" s="59" t="s">
        <v>603</v>
      </c>
      <c r="D1494" s="356" t="s">
        <v>811</v>
      </c>
      <c r="E1494" s="356" t="s">
        <v>2902</v>
      </c>
      <c r="F1494" s="23" t="s">
        <v>2905</v>
      </c>
      <c r="G1494" s="23" t="s">
        <v>403</v>
      </c>
      <c r="H1494" s="353">
        <v>38548.21</v>
      </c>
      <c r="I1494" s="59"/>
      <c r="J1494" s="59" t="s">
        <v>2906</v>
      </c>
      <c r="K1494" s="20"/>
      <c r="L1494" s="20">
        <v>2</v>
      </c>
      <c r="M1494" s="357">
        <f>SUM(H1494:H1495)</f>
        <v>190161.31</v>
      </c>
      <c r="N1494" s="411">
        <f>IFERROR((M1494/(VLOOKUP(B1494,'Data Pull Sheet'!$C:$H,6,FALSE))),"DC")</f>
        <v>1.1185959411764705E-3</v>
      </c>
      <c r="O1494" s="23" t="s">
        <v>2907</v>
      </c>
      <c r="P1494" s="92" t="s">
        <v>632</v>
      </c>
      <c r="Q1494" s="92" t="s">
        <v>646</v>
      </c>
      <c r="R1494" s="372" t="str">
        <f t="shared" si="42"/>
        <v/>
      </c>
    </row>
    <row r="1495" spans="1:18" ht="30" x14ac:dyDescent="0.25">
      <c r="A1495" s="23" t="s">
        <v>2901</v>
      </c>
      <c r="B1495" s="18" t="str">
        <f>IF(ISNA(VLOOKUP($A1495,'Data Pull Sheet'!$B$2:$C$1795,2,0)),"",(VLOOKUP($A1495,'Data Pull Sheet'!$B$2:$C$1795,2,0)))</f>
        <v>OCN</v>
      </c>
      <c r="C1495" s="59" t="s">
        <v>603</v>
      </c>
      <c r="D1495" s="356" t="s">
        <v>811</v>
      </c>
      <c r="E1495" s="356" t="s">
        <v>2902</v>
      </c>
      <c r="F1495" s="23" t="s">
        <v>2908</v>
      </c>
      <c r="G1495" s="23" t="s">
        <v>403</v>
      </c>
      <c r="H1495" s="353">
        <v>151613.1</v>
      </c>
      <c r="I1495" s="59"/>
      <c r="J1495" s="59" t="s">
        <v>2909</v>
      </c>
      <c r="K1495" s="20"/>
      <c r="L1495" s="20"/>
      <c r="M1495" s="357"/>
      <c r="N1495" s="411"/>
      <c r="O1495" s="23" t="s">
        <v>2907</v>
      </c>
      <c r="P1495" s="92" t="s">
        <v>632</v>
      </c>
      <c r="Q1495" s="92" t="s">
        <v>646</v>
      </c>
      <c r="R1495" s="372" t="str">
        <f t="shared" si="42"/>
        <v/>
      </c>
    </row>
    <row r="1496" spans="1:18" ht="30" x14ac:dyDescent="0.25">
      <c r="A1496" s="23" t="s">
        <v>2901</v>
      </c>
      <c r="B1496" s="18" t="str">
        <f>IF(ISNA(VLOOKUP($A1496,'Data Pull Sheet'!$B$2:$C$1795,2,0)),"",(VLOOKUP($A1496,'Data Pull Sheet'!$B$2:$C$1795,2,0)))</f>
        <v>OCN</v>
      </c>
      <c r="C1496" s="59" t="s">
        <v>603</v>
      </c>
      <c r="D1496" s="356" t="s">
        <v>811</v>
      </c>
      <c r="E1496" s="356" t="s">
        <v>2902</v>
      </c>
      <c r="F1496" s="23" t="s">
        <v>2910</v>
      </c>
      <c r="G1496" s="23" t="s">
        <v>403</v>
      </c>
      <c r="H1496" s="353">
        <v>9512</v>
      </c>
      <c r="I1496" s="59"/>
      <c r="J1496" s="59" t="s">
        <v>2911</v>
      </c>
      <c r="K1496" s="20"/>
      <c r="L1496" s="20">
        <v>3</v>
      </c>
      <c r="M1496" s="357">
        <f>SUM(H1496:H1498)</f>
        <v>91881</v>
      </c>
      <c r="N1496" s="411">
        <f>IFERROR((M1496/(VLOOKUP(B1496,'Data Pull Sheet'!$C:$H,6,FALSE))),"DC")</f>
        <v>5.4047647058823528E-4</v>
      </c>
      <c r="O1496" s="23" t="s">
        <v>11072</v>
      </c>
      <c r="P1496" s="92" t="s">
        <v>632</v>
      </c>
      <c r="Q1496" s="92" t="s">
        <v>646</v>
      </c>
      <c r="R1496" s="372" t="str">
        <f t="shared" si="42"/>
        <v/>
      </c>
    </row>
    <row r="1497" spans="1:18" ht="30" x14ac:dyDescent="0.25">
      <c r="A1497" s="23" t="s">
        <v>2901</v>
      </c>
      <c r="B1497" s="18" t="str">
        <f>IF(ISNA(VLOOKUP($A1497,'Data Pull Sheet'!$B$2:$C$1795,2,0)),"",(VLOOKUP($A1497,'Data Pull Sheet'!$B$2:$C$1795,2,0)))</f>
        <v>OCN</v>
      </c>
      <c r="C1497" s="59" t="s">
        <v>603</v>
      </c>
      <c r="D1497" s="356" t="s">
        <v>811</v>
      </c>
      <c r="E1497" s="356" t="s">
        <v>2902</v>
      </c>
      <c r="F1497" s="23" t="s">
        <v>2913</v>
      </c>
      <c r="G1497" s="23" t="s">
        <v>403</v>
      </c>
      <c r="H1497" s="353">
        <v>28166</v>
      </c>
      <c r="I1497" s="59"/>
      <c r="J1497" s="59" t="s">
        <v>2914</v>
      </c>
      <c r="K1497" s="20"/>
      <c r="L1497" s="20"/>
      <c r="M1497" s="357"/>
      <c r="N1497" s="411"/>
      <c r="O1497" s="23" t="s">
        <v>11072</v>
      </c>
      <c r="P1497" s="92" t="s">
        <v>632</v>
      </c>
      <c r="Q1497" s="92" t="s">
        <v>646</v>
      </c>
      <c r="R1497" s="372" t="str">
        <f t="shared" si="42"/>
        <v/>
      </c>
    </row>
    <row r="1498" spans="1:18" ht="30" x14ac:dyDescent="0.25">
      <c r="A1498" s="23" t="s">
        <v>2901</v>
      </c>
      <c r="B1498" s="18" t="str">
        <f>IF(ISNA(VLOOKUP($A1498,'Data Pull Sheet'!$B$2:$C$1795,2,0)),"",(VLOOKUP($A1498,'Data Pull Sheet'!$B$2:$C$1795,2,0)))</f>
        <v>OCN</v>
      </c>
      <c r="C1498" s="59" t="s">
        <v>603</v>
      </c>
      <c r="D1498" s="356" t="s">
        <v>811</v>
      </c>
      <c r="E1498" s="356" t="s">
        <v>2902</v>
      </c>
      <c r="F1498" s="23" t="s">
        <v>2915</v>
      </c>
      <c r="G1498" s="23" t="s">
        <v>403</v>
      </c>
      <c r="H1498" s="353">
        <v>54203</v>
      </c>
      <c r="I1498" s="59"/>
      <c r="J1498" s="59" t="s">
        <v>2916</v>
      </c>
      <c r="K1498" s="20"/>
      <c r="L1498" s="20"/>
      <c r="M1498" s="357"/>
      <c r="N1498" s="411"/>
      <c r="O1498" s="23" t="s">
        <v>11072</v>
      </c>
      <c r="P1498" s="92" t="s">
        <v>632</v>
      </c>
      <c r="Q1498" s="92" t="s">
        <v>646</v>
      </c>
      <c r="R1498" s="372" t="str">
        <f t="shared" si="42"/>
        <v/>
      </c>
    </row>
    <row r="1499" spans="1:18" x14ac:dyDescent="0.25">
      <c r="A1499" s="23" t="s">
        <v>1371</v>
      </c>
      <c r="B1499" s="18" t="str">
        <f>IF(ISNA(VLOOKUP($A1499,'Data Pull Sheet'!$B$2:$C$1795,2,0)),"",(VLOOKUP($A1499,'Data Pull Sheet'!$B$2:$C$1795,2,0)))</f>
        <v>CFG</v>
      </c>
      <c r="C1499" s="59" t="s">
        <v>418</v>
      </c>
      <c r="D1499" s="356" t="s">
        <v>1241</v>
      </c>
      <c r="E1499" s="356" t="s">
        <v>1372</v>
      </c>
      <c r="F1499" s="23" t="s">
        <v>1373</v>
      </c>
      <c r="G1499" s="23" t="s">
        <v>403</v>
      </c>
      <c r="H1499" s="353">
        <v>12570.49</v>
      </c>
      <c r="I1499" s="59"/>
      <c r="J1499" s="59" t="s">
        <v>1374</v>
      </c>
      <c r="K1499" s="20">
        <v>2</v>
      </c>
      <c r="L1499" s="20">
        <v>2</v>
      </c>
      <c r="M1499" s="357">
        <f>SUM(H1499:H1500)</f>
        <v>33083.279999999999</v>
      </c>
      <c r="N1499" s="411">
        <f>IFERROR((M1499/(VLOOKUP(B1499,'Data Pull Sheet'!$C:$H,6,FALSE))),"DC")</f>
        <v>4.4111040000000001E-4</v>
      </c>
      <c r="O1499" s="23" t="s">
        <v>1375</v>
      </c>
      <c r="P1499" s="92" t="s">
        <v>632</v>
      </c>
      <c r="Q1499" s="92" t="s">
        <v>646</v>
      </c>
      <c r="R1499" s="372" t="str">
        <f t="shared" si="42"/>
        <v>FF</v>
      </c>
    </row>
    <row r="1500" spans="1:18" x14ac:dyDescent="0.25">
      <c r="A1500" s="23" t="s">
        <v>1371</v>
      </c>
      <c r="B1500" s="18" t="str">
        <f>IF(ISNA(VLOOKUP($A1500,'Data Pull Sheet'!$B$2:$C$1795,2,0)),"",(VLOOKUP($A1500,'Data Pull Sheet'!$B$2:$C$1795,2,0)))</f>
        <v>CFG</v>
      </c>
      <c r="C1500" s="59" t="s">
        <v>418</v>
      </c>
      <c r="D1500" s="356" t="s">
        <v>1241</v>
      </c>
      <c r="E1500" s="356" t="s">
        <v>1372</v>
      </c>
      <c r="F1500" s="23" t="s">
        <v>1376</v>
      </c>
      <c r="G1500" s="23" t="s">
        <v>403</v>
      </c>
      <c r="H1500" s="353">
        <v>20512.79</v>
      </c>
      <c r="I1500" s="59"/>
      <c r="J1500" s="59" t="s">
        <v>1377</v>
      </c>
      <c r="K1500" s="20"/>
      <c r="L1500" s="20"/>
      <c r="M1500" s="357"/>
      <c r="N1500" s="411"/>
      <c r="O1500" s="23" t="s">
        <v>1375</v>
      </c>
      <c r="P1500" s="92" t="s">
        <v>632</v>
      </c>
      <c r="Q1500" s="92" t="s">
        <v>646</v>
      </c>
      <c r="R1500" s="372" t="str">
        <f t="shared" si="42"/>
        <v/>
      </c>
    </row>
    <row r="1501" spans="1:18" x14ac:dyDescent="0.25">
      <c r="A1501" s="23" t="s">
        <v>1371</v>
      </c>
      <c r="B1501" s="18" t="str">
        <f>IF(ISNA(VLOOKUP($A1501,'Data Pull Sheet'!$B$2:$C$1795,2,0)),"",(VLOOKUP($A1501,'Data Pull Sheet'!$B$2:$C$1795,2,0)))</f>
        <v>CFG</v>
      </c>
      <c r="C1501" s="59" t="s">
        <v>418</v>
      </c>
      <c r="D1501" s="356" t="s">
        <v>1241</v>
      </c>
      <c r="E1501" s="356" t="s">
        <v>1372</v>
      </c>
      <c r="F1501" s="23" t="s">
        <v>1373</v>
      </c>
      <c r="G1501" s="23" t="s">
        <v>403</v>
      </c>
      <c r="H1501" s="353">
        <v>12492</v>
      </c>
      <c r="I1501" s="59"/>
      <c r="J1501" s="59" t="s">
        <v>1378</v>
      </c>
      <c r="K1501" s="20"/>
      <c r="L1501" s="20"/>
      <c r="M1501" s="357">
        <f>H1501</f>
        <v>12492</v>
      </c>
      <c r="N1501" s="411">
        <f>IFERROR((M1501/(VLOOKUP(B1501,'Data Pull Sheet'!$C:$H,6,FALSE))),"DC")</f>
        <v>1.6656E-4</v>
      </c>
      <c r="O1501" s="23" t="s">
        <v>675</v>
      </c>
      <c r="P1501" s="92" t="s">
        <v>632</v>
      </c>
      <c r="Q1501" s="92" t="s">
        <v>637</v>
      </c>
      <c r="R1501" s="372" t="str">
        <f t="shared" si="42"/>
        <v>FF</v>
      </c>
    </row>
    <row r="1502" spans="1:18" x14ac:dyDescent="0.25">
      <c r="A1502" s="23" t="s">
        <v>1123</v>
      </c>
      <c r="B1502" s="18" t="str">
        <f>IF(ISNA(VLOOKUP($A1502,'Data Pull Sheet'!$B$2:$C$1795,2,0)),"",(VLOOKUP($A1502,'Data Pull Sheet'!$B$2:$C$1795,2,0)))</f>
        <v>HFXAX</v>
      </c>
      <c r="C1502" s="59" t="s">
        <v>1008</v>
      </c>
      <c r="D1502" s="356" t="s">
        <v>1124</v>
      </c>
      <c r="E1502" s="356" t="s">
        <v>1125</v>
      </c>
      <c r="F1502" s="23" t="s">
        <v>1126</v>
      </c>
      <c r="G1502" s="23" t="s">
        <v>403</v>
      </c>
      <c r="H1502" s="353">
        <v>297433.40000000002</v>
      </c>
      <c r="I1502" s="59"/>
      <c r="J1502" s="59" t="s">
        <v>1127</v>
      </c>
      <c r="K1502" s="20">
        <v>4</v>
      </c>
      <c r="L1502" s="20">
        <v>1</v>
      </c>
      <c r="M1502" s="357">
        <f>H1502</f>
        <v>297433.40000000002</v>
      </c>
      <c r="N1502" s="411">
        <f>IFERROR((M1502/(VLOOKUP(B1502,'Data Pull Sheet'!$C:$H,6,FALSE))),"DC")</f>
        <v>4.4064207407407412E-4</v>
      </c>
      <c r="O1502" s="23" t="s">
        <v>56</v>
      </c>
      <c r="P1502" s="92" t="s">
        <v>632</v>
      </c>
      <c r="Q1502" s="92" t="s">
        <v>646</v>
      </c>
      <c r="R1502" s="372" t="str">
        <f t="shared" si="42"/>
        <v/>
      </c>
    </row>
    <row r="1503" spans="1:18" x14ac:dyDescent="0.25">
      <c r="A1503" s="23" t="s">
        <v>1123</v>
      </c>
      <c r="B1503" s="18" t="str">
        <f>IF(ISNA(VLOOKUP($A1503,'Data Pull Sheet'!$B$2:$C$1795,2,0)),"",(VLOOKUP($A1503,'Data Pull Sheet'!$B$2:$C$1795,2,0)))</f>
        <v>HFXAX</v>
      </c>
      <c r="C1503" s="59" t="s">
        <v>1008</v>
      </c>
      <c r="D1503" s="356" t="s">
        <v>1124</v>
      </c>
      <c r="E1503" s="356" t="s">
        <v>1125</v>
      </c>
      <c r="F1503" s="23" t="s">
        <v>1128</v>
      </c>
      <c r="G1503" s="23" t="s">
        <v>403</v>
      </c>
      <c r="H1503" s="353">
        <v>4385.21</v>
      </c>
      <c r="I1503" s="59"/>
      <c r="J1503" s="59" t="s">
        <v>1129</v>
      </c>
      <c r="K1503" s="20"/>
      <c r="L1503" s="20">
        <v>7</v>
      </c>
      <c r="M1503" s="357">
        <f>SUM(H1503:H1509)</f>
        <v>122884.35</v>
      </c>
      <c r="N1503" s="411">
        <f>IFERROR((M1503/(VLOOKUP(B1503,'Data Pull Sheet'!$C:$H,6,FALSE))),"DC")</f>
        <v>1.8205088888888891E-4</v>
      </c>
      <c r="O1503" s="23" t="s">
        <v>63</v>
      </c>
      <c r="P1503" s="92" t="s">
        <v>632</v>
      </c>
      <c r="Q1503" s="92" t="s">
        <v>646</v>
      </c>
      <c r="R1503" s="372" t="str">
        <f t="shared" si="42"/>
        <v/>
      </c>
    </row>
    <row r="1504" spans="1:18" x14ac:dyDescent="0.25">
      <c r="A1504" s="23" t="s">
        <v>1123</v>
      </c>
      <c r="B1504" s="18" t="str">
        <f>IF(ISNA(VLOOKUP($A1504,'Data Pull Sheet'!$B$2:$C$1795,2,0)),"",(VLOOKUP($A1504,'Data Pull Sheet'!$B$2:$C$1795,2,0)))</f>
        <v>HFXAX</v>
      </c>
      <c r="C1504" s="59" t="s">
        <v>1008</v>
      </c>
      <c r="D1504" s="356" t="s">
        <v>1124</v>
      </c>
      <c r="E1504" s="356" t="s">
        <v>1125</v>
      </c>
      <c r="F1504" s="23" t="s">
        <v>1130</v>
      </c>
      <c r="G1504" s="23" t="s">
        <v>403</v>
      </c>
      <c r="H1504" s="353">
        <v>5915.83</v>
      </c>
      <c r="I1504" s="59"/>
      <c r="J1504" s="59" t="s">
        <v>1131</v>
      </c>
      <c r="K1504" s="20"/>
      <c r="L1504" s="20"/>
      <c r="M1504" s="357"/>
      <c r="N1504" s="411"/>
      <c r="O1504" s="23" t="s">
        <v>63</v>
      </c>
      <c r="P1504" s="92" t="s">
        <v>632</v>
      </c>
      <c r="Q1504" s="92" t="s">
        <v>646</v>
      </c>
      <c r="R1504" s="372" t="str">
        <f t="shared" si="42"/>
        <v/>
      </c>
    </row>
    <row r="1505" spans="1:18" x14ac:dyDescent="0.25">
      <c r="A1505" s="23" t="s">
        <v>1123</v>
      </c>
      <c r="B1505" s="18" t="str">
        <f>IF(ISNA(VLOOKUP($A1505,'Data Pull Sheet'!$B$2:$C$1795,2,0)),"",(VLOOKUP($A1505,'Data Pull Sheet'!$B$2:$C$1795,2,0)))</f>
        <v>HFXAX</v>
      </c>
      <c r="C1505" s="59" t="s">
        <v>1008</v>
      </c>
      <c r="D1505" s="356" t="s">
        <v>1124</v>
      </c>
      <c r="E1505" s="356" t="s">
        <v>1125</v>
      </c>
      <c r="F1505" s="23" t="s">
        <v>1132</v>
      </c>
      <c r="G1505" s="23" t="s">
        <v>403</v>
      </c>
      <c r="H1505" s="353">
        <v>6319.04</v>
      </c>
      <c r="I1505" s="59"/>
      <c r="J1505" s="59" t="s">
        <v>1133</v>
      </c>
      <c r="K1505" s="20"/>
      <c r="L1505" s="20"/>
      <c r="M1505" s="357"/>
      <c r="N1505" s="411"/>
      <c r="O1505" s="23" t="s">
        <v>63</v>
      </c>
      <c r="P1505" s="92" t="s">
        <v>632</v>
      </c>
      <c r="Q1505" s="92" t="s">
        <v>646</v>
      </c>
      <c r="R1505" s="372" t="str">
        <f t="shared" si="42"/>
        <v/>
      </c>
    </row>
    <row r="1506" spans="1:18" x14ac:dyDescent="0.25">
      <c r="A1506" s="23" t="s">
        <v>1123</v>
      </c>
      <c r="B1506" s="18" t="str">
        <f>IF(ISNA(VLOOKUP($A1506,'Data Pull Sheet'!$B$2:$C$1795,2,0)),"",(VLOOKUP($A1506,'Data Pull Sheet'!$B$2:$C$1795,2,0)))</f>
        <v>HFXAX</v>
      </c>
      <c r="C1506" s="59" t="s">
        <v>1008</v>
      </c>
      <c r="D1506" s="356" t="s">
        <v>1124</v>
      </c>
      <c r="E1506" s="356" t="s">
        <v>1125</v>
      </c>
      <c r="F1506" s="23" t="s">
        <v>1134</v>
      </c>
      <c r="G1506" s="23" t="s">
        <v>403</v>
      </c>
      <c r="H1506" s="353">
        <v>9654.85</v>
      </c>
      <c r="I1506" s="59"/>
      <c r="J1506" s="59" t="s">
        <v>1135</v>
      </c>
      <c r="K1506" s="20"/>
      <c r="L1506" s="20"/>
      <c r="M1506" s="357"/>
      <c r="N1506" s="411"/>
      <c r="O1506" s="23" t="s">
        <v>63</v>
      </c>
      <c r="P1506" s="92" t="s">
        <v>632</v>
      </c>
      <c r="Q1506" s="92" t="s">
        <v>646</v>
      </c>
      <c r="R1506" s="372" t="str">
        <f t="shared" si="42"/>
        <v/>
      </c>
    </row>
    <row r="1507" spans="1:18" x14ac:dyDescent="0.25">
      <c r="A1507" s="23" t="s">
        <v>1123</v>
      </c>
      <c r="B1507" s="18" t="str">
        <f>IF(ISNA(VLOOKUP($A1507,'Data Pull Sheet'!$B$2:$C$1795,2,0)),"",(VLOOKUP($A1507,'Data Pull Sheet'!$B$2:$C$1795,2,0)))</f>
        <v>HFXAX</v>
      </c>
      <c r="C1507" s="59" t="s">
        <v>1008</v>
      </c>
      <c r="D1507" s="356" t="s">
        <v>1124</v>
      </c>
      <c r="E1507" s="356" t="s">
        <v>1125</v>
      </c>
      <c r="F1507" s="23" t="s">
        <v>1136</v>
      </c>
      <c r="G1507" s="23" t="s">
        <v>403</v>
      </c>
      <c r="H1507" s="353">
        <v>23665.9</v>
      </c>
      <c r="I1507" s="59"/>
      <c r="J1507" s="59" t="s">
        <v>1137</v>
      </c>
      <c r="K1507" s="20"/>
      <c r="L1507" s="20"/>
      <c r="M1507" s="357"/>
      <c r="N1507" s="411"/>
      <c r="O1507" s="23" t="s">
        <v>63</v>
      </c>
      <c r="P1507" s="92" t="s">
        <v>632</v>
      </c>
      <c r="Q1507" s="92" t="s">
        <v>646</v>
      </c>
      <c r="R1507" s="372" t="str">
        <f t="shared" si="42"/>
        <v/>
      </c>
    </row>
    <row r="1508" spans="1:18" x14ac:dyDescent="0.25">
      <c r="A1508" s="23" t="s">
        <v>1123</v>
      </c>
      <c r="B1508" s="18" t="str">
        <f>IF(ISNA(VLOOKUP($A1508,'Data Pull Sheet'!$B$2:$C$1795,2,0)),"",(VLOOKUP($A1508,'Data Pull Sheet'!$B$2:$C$1795,2,0)))</f>
        <v>HFXAX</v>
      </c>
      <c r="C1508" s="59" t="s">
        <v>1008</v>
      </c>
      <c r="D1508" s="356" t="s">
        <v>1124</v>
      </c>
      <c r="E1508" s="356" t="s">
        <v>1125</v>
      </c>
      <c r="F1508" s="23" t="s">
        <v>1138</v>
      </c>
      <c r="G1508" s="23" t="s">
        <v>403</v>
      </c>
      <c r="H1508" s="353">
        <v>33145.03</v>
      </c>
      <c r="I1508" s="59"/>
      <c r="J1508" s="59" t="s">
        <v>1139</v>
      </c>
      <c r="K1508" s="20"/>
      <c r="L1508" s="20"/>
      <c r="M1508" s="357"/>
      <c r="N1508" s="411"/>
      <c r="O1508" s="23" t="s">
        <v>63</v>
      </c>
      <c r="P1508" s="92" t="s">
        <v>632</v>
      </c>
      <c r="Q1508" s="92" t="s">
        <v>646</v>
      </c>
      <c r="R1508" s="372" t="str">
        <f t="shared" si="42"/>
        <v/>
      </c>
    </row>
    <row r="1509" spans="1:18" x14ac:dyDescent="0.25">
      <c r="A1509" s="23" t="s">
        <v>1123</v>
      </c>
      <c r="B1509" s="18" t="str">
        <f>IF(ISNA(VLOOKUP($A1509,'Data Pull Sheet'!$B$2:$C$1795,2,0)),"",(VLOOKUP($A1509,'Data Pull Sheet'!$B$2:$C$1795,2,0)))</f>
        <v>HFXAX</v>
      </c>
      <c r="C1509" s="59" t="s">
        <v>1008</v>
      </c>
      <c r="D1509" s="356" t="s">
        <v>1124</v>
      </c>
      <c r="E1509" s="356" t="s">
        <v>1125</v>
      </c>
      <c r="F1509" s="23" t="s">
        <v>1140</v>
      </c>
      <c r="G1509" s="23" t="s">
        <v>403</v>
      </c>
      <c r="H1509" s="353">
        <v>39798.49</v>
      </c>
      <c r="I1509" s="59"/>
      <c r="J1509" s="59" t="s">
        <v>1141</v>
      </c>
      <c r="K1509" s="20"/>
      <c r="L1509" s="20"/>
      <c r="M1509" s="357"/>
      <c r="N1509" s="411"/>
      <c r="O1509" s="23" t="s">
        <v>63</v>
      </c>
      <c r="P1509" s="92" t="s">
        <v>632</v>
      </c>
      <c r="Q1509" s="92" t="s">
        <v>646</v>
      </c>
      <c r="R1509" s="372" t="str">
        <f t="shared" si="42"/>
        <v/>
      </c>
    </row>
    <row r="1510" spans="1:18" ht="30" x14ac:dyDescent="0.25">
      <c r="A1510" s="23" t="s">
        <v>1123</v>
      </c>
      <c r="B1510" s="18" t="str">
        <f>IF(ISNA(VLOOKUP($A1510,'Data Pull Sheet'!$B$2:$C$1795,2,0)),"",(VLOOKUP($A1510,'Data Pull Sheet'!$B$2:$C$1795,2,0)))</f>
        <v>HFXAX</v>
      </c>
      <c r="C1510" s="59" t="s">
        <v>1008</v>
      </c>
      <c r="D1510" s="356" t="s">
        <v>1124</v>
      </c>
      <c r="E1510" s="356" t="s">
        <v>1125</v>
      </c>
      <c r="F1510" s="23" t="s">
        <v>1142</v>
      </c>
      <c r="G1510" s="23" t="s">
        <v>403</v>
      </c>
      <c r="H1510" s="353">
        <v>12535.07</v>
      </c>
      <c r="I1510" s="59"/>
      <c r="J1510" s="59" t="s">
        <v>1143</v>
      </c>
      <c r="K1510" s="20"/>
      <c r="L1510" s="20">
        <v>6</v>
      </c>
      <c r="M1510" s="357">
        <f>SUM(H1510:H1515)</f>
        <v>226838.47</v>
      </c>
      <c r="N1510" s="411">
        <f>IFERROR((M1510/(VLOOKUP(B1510,'Data Pull Sheet'!$C:$H,6,FALSE))),"DC")</f>
        <v>3.3605699259259259E-4</v>
      </c>
      <c r="O1510" s="23" t="s">
        <v>1144</v>
      </c>
      <c r="P1510" s="92" t="s">
        <v>632</v>
      </c>
      <c r="Q1510" s="92" t="s">
        <v>646</v>
      </c>
      <c r="R1510" s="372" t="str">
        <f t="shared" si="42"/>
        <v/>
      </c>
    </row>
    <row r="1511" spans="1:18" ht="30" x14ac:dyDescent="0.25">
      <c r="A1511" s="23" t="s">
        <v>1123</v>
      </c>
      <c r="B1511" s="18" t="str">
        <f>IF(ISNA(VLOOKUP($A1511,'Data Pull Sheet'!$B$2:$C$1795,2,0)),"",(VLOOKUP($A1511,'Data Pull Sheet'!$B$2:$C$1795,2,0)))</f>
        <v>HFXAX</v>
      </c>
      <c r="C1511" s="59" t="s">
        <v>1008</v>
      </c>
      <c r="D1511" s="356" t="s">
        <v>1124</v>
      </c>
      <c r="E1511" s="356" t="s">
        <v>1125</v>
      </c>
      <c r="F1511" s="23" t="s">
        <v>1145</v>
      </c>
      <c r="G1511" s="23" t="s">
        <v>403</v>
      </c>
      <c r="H1511" s="353">
        <v>21385.35</v>
      </c>
      <c r="I1511" s="59"/>
      <c r="J1511" s="59" t="s">
        <v>1146</v>
      </c>
      <c r="K1511" s="20"/>
      <c r="L1511" s="20"/>
      <c r="M1511" s="357"/>
      <c r="N1511" s="411"/>
      <c r="O1511" s="23" t="s">
        <v>1144</v>
      </c>
      <c r="P1511" s="92" t="s">
        <v>632</v>
      </c>
      <c r="Q1511" s="92" t="s">
        <v>646</v>
      </c>
      <c r="R1511" s="372" t="str">
        <f t="shared" si="42"/>
        <v/>
      </c>
    </row>
    <row r="1512" spans="1:18" ht="30" x14ac:dyDescent="0.25">
      <c r="A1512" s="23" t="s">
        <v>1123</v>
      </c>
      <c r="B1512" s="18" t="str">
        <f>IF(ISNA(VLOOKUP($A1512,'Data Pull Sheet'!$B$2:$C$1795,2,0)),"",(VLOOKUP($A1512,'Data Pull Sheet'!$B$2:$C$1795,2,0)))</f>
        <v>HFXAX</v>
      </c>
      <c r="C1512" s="59" t="s">
        <v>1008</v>
      </c>
      <c r="D1512" s="356" t="s">
        <v>1124</v>
      </c>
      <c r="E1512" s="356" t="s">
        <v>1125</v>
      </c>
      <c r="F1512" s="23" t="s">
        <v>1147</v>
      </c>
      <c r="G1512" s="23" t="s">
        <v>403</v>
      </c>
      <c r="H1512" s="353">
        <v>34214.9</v>
      </c>
      <c r="I1512" s="59"/>
      <c r="J1512" s="59" t="s">
        <v>1148</v>
      </c>
      <c r="K1512" s="20"/>
      <c r="L1512" s="20"/>
      <c r="M1512" s="357"/>
      <c r="N1512" s="411"/>
      <c r="O1512" s="23" t="s">
        <v>1144</v>
      </c>
      <c r="P1512" s="92" t="s">
        <v>632</v>
      </c>
      <c r="Q1512" s="92" t="s">
        <v>646</v>
      </c>
      <c r="R1512" s="372" t="str">
        <f t="shared" si="42"/>
        <v/>
      </c>
    </row>
    <row r="1513" spans="1:18" ht="30" x14ac:dyDescent="0.25">
      <c r="A1513" s="23" t="s">
        <v>1123</v>
      </c>
      <c r="B1513" s="18" t="str">
        <f>IF(ISNA(VLOOKUP($A1513,'Data Pull Sheet'!$B$2:$C$1795,2,0)),"",(VLOOKUP($A1513,'Data Pull Sheet'!$B$2:$C$1795,2,0)))</f>
        <v>HFXAX</v>
      </c>
      <c r="C1513" s="59" t="s">
        <v>1008</v>
      </c>
      <c r="D1513" s="356" t="s">
        <v>1124</v>
      </c>
      <c r="E1513" s="356" t="s">
        <v>1125</v>
      </c>
      <c r="F1513" s="23" t="s">
        <v>1149</v>
      </c>
      <c r="G1513" s="23" t="s">
        <v>403</v>
      </c>
      <c r="H1513" s="353">
        <v>41086.730000000003</v>
      </c>
      <c r="I1513" s="59"/>
      <c r="J1513" s="59" t="s">
        <v>1150</v>
      </c>
      <c r="K1513" s="20"/>
      <c r="L1513" s="20"/>
      <c r="M1513" s="357"/>
      <c r="N1513" s="411"/>
      <c r="O1513" s="23" t="s">
        <v>1144</v>
      </c>
      <c r="P1513" s="92" t="s">
        <v>632</v>
      </c>
      <c r="Q1513" s="92" t="s">
        <v>646</v>
      </c>
      <c r="R1513" s="372" t="str">
        <f t="shared" si="42"/>
        <v/>
      </c>
    </row>
    <row r="1514" spans="1:18" ht="30" x14ac:dyDescent="0.25">
      <c r="A1514" s="23" t="s">
        <v>1123</v>
      </c>
      <c r="B1514" s="18" t="str">
        <f>IF(ISNA(VLOOKUP($A1514,'Data Pull Sheet'!$B$2:$C$1795,2,0)),"",(VLOOKUP($A1514,'Data Pull Sheet'!$B$2:$C$1795,2,0)))</f>
        <v>HFXAX</v>
      </c>
      <c r="C1514" s="59" t="s">
        <v>1008</v>
      </c>
      <c r="D1514" s="356" t="s">
        <v>1124</v>
      </c>
      <c r="E1514" s="356" t="s">
        <v>1125</v>
      </c>
      <c r="F1514" s="23" t="s">
        <v>1151</v>
      </c>
      <c r="G1514" s="23" t="s">
        <v>403</v>
      </c>
      <c r="H1514" s="353">
        <v>56587.18</v>
      </c>
      <c r="I1514" s="59"/>
      <c r="J1514" s="59" t="s">
        <v>1152</v>
      </c>
      <c r="K1514" s="20"/>
      <c r="L1514" s="20"/>
      <c r="M1514" s="357"/>
      <c r="N1514" s="411"/>
      <c r="O1514" s="23" t="s">
        <v>1144</v>
      </c>
      <c r="P1514" s="92" t="s">
        <v>632</v>
      </c>
      <c r="Q1514" s="92" t="s">
        <v>646</v>
      </c>
      <c r="R1514" s="372" t="str">
        <f t="shared" si="42"/>
        <v/>
      </c>
    </row>
    <row r="1515" spans="1:18" ht="30" x14ac:dyDescent="0.25">
      <c r="A1515" s="23" t="s">
        <v>1123</v>
      </c>
      <c r="B1515" s="18" t="str">
        <f>IF(ISNA(VLOOKUP($A1515,'Data Pull Sheet'!$B$2:$C$1795,2,0)),"",(VLOOKUP($A1515,'Data Pull Sheet'!$B$2:$C$1795,2,0)))</f>
        <v>HFXAX</v>
      </c>
      <c r="C1515" s="59" t="s">
        <v>1008</v>
      </c>
      <c r="D1515" s="356" t="s">
        <v>1124</v>
      </c>
      <c r="E1515" s="356" t="s">
        <v>1125</v>
      </c>
      <c r="F1515" s="23" t="s">
        <v>1153</v>
      </c>
      <c r="G1515" s="23" t="s">
        <v>403</v>
      </c>
      <c r="H1515" s="353">
        <v>61029.24</v>
      </c>
      <c r="I1515" s="59"/>
      <c r="J1515" s="59" t="s">
        <v>1154</v>
      </c>
      <c r="K1515" s="20"/>
      <c r="L1515" s="20"/>
      <c r="M1515" s="357"/>
      <c r="N1515" s="411"/>
      <c r="O1515" s="23" t="s">
        <v>1144</v>
      </c>
      <c r="P1515" s="92" t="s">
        <v>632</v>
      </c>
      <c r="Q1515" s="92" t="s">
        <v>646</v>
      </c>
      <c r="R1515" s="372" t="str">
        <f t="shared" si="42"/>
        <v/>
      </c>
    </row>
    <row r="1516" spans="1:18" ht="30" x14ac:dyDescent="0.25">
      <c r="A1516" s="23" t="s">
        <v>1123</v>
      </c>
      <c r="B1516" s="18" t="str">
        <f>IF(ISNA(VLOOKUP($A1516,'Data Pull Sheet'!$B$2:$C$1795,2,0)),"",(VLOOKUP($A1516,'Data Pull Sheet'!$B$2:$C$1795,2,0)))</f>
        <v>HFXAX</v>
      </c>
      <c r="C1516" s="59" t="s">
        <v>1008</v>
      </c>
      <c r="D1516" s="356" t="s">
        <v>1124</v>
      </c>
      <c r="E1516" s="356" t="s">
        <v>1125</v>
      </c>
      <c r="F1516" s="23" t="s">
        <v>1155</v>
      </c>
      <c r="G1516" s="23" t="s">
        <v>403</v>
      </c>
      <c r="H1516" s="353">
        <v>4864.5200000000004</v>
      </c>
      <c r="I1516" s="59"/>
      <c r="J1516" s="59" t="s">
        <v>1156</v>
      </c>
      <c r="K1516" s="20"/>
      <c r="L1516" s="20">
        <v>5</v>
      </c>
      <c r="M1516" s="357">
        <f>SUM(H1516:H1520)</f>
        <v>77952.069999999992</v>
      </c>
      <c r="N1516" s="411">
        <f>IFERROR((M1516/(VLOOKUP(B1516,'Data Pull Sheet'!$C:$H,6,FALSE))),"DC")</f>
        <v>1.1548454814814814E-4</v>
      </c>
      <c r="O1516" s="23" t="s">
        <v>10946</v>
      </c>
      <c r="P1516" s="92" t="s">
        <v>632</v>
      </c>
      <c r="Q1516" s="92" t="s">
        <v>646</v>
      </c>
      <c r="R1516" s="372" t="str">
        <f t="shared" si="42"/>
        <v/>
      </c>
    </row>
    <row r="1517" spans="1:18" ht="30" x14ac:dyDescent="0.25">
      <c r="A1517" s="23" t="s">
        <v>1123</v>
      </c>
      <c r="B1517" s="18" t="str">
        <f>IF(ISNA(VLOOKUP($A1517,'Data Pull Sheet'!$B$2:$C$1795,2,0)),"",(VLOOKUP($A1517,'Data Pull Sheet'!$B$2:$C$1795,2,0)))</f>
        <v>HFXAX</v>
      </c>
      <c r="C1517" s="59" t="s">
        <v>1008</v>
      </c>
      <c r="D1517" s="356" t="s">
        <v>1124</v>
      </c>
      <c r="E1517" s="356" t="s">
        <v>1125</v>
      </c>
      <c r="F1517" s="23" t="s">
        <v>1157</v>
      </c>
      <c r="G1517" s="23" t="s">
        <v>403</v>
      </c>
      <c r="H1517" s="353">
        <v>12450.75</v>
      </c>
      <c r="I1517" s="59"/>
      <c r="J1517" s="59" t="s">
        <v>1158</v>
      </c>
      <c r="K1517" s="20"/>
      <c r="L1517" s="20"/>
      <c r="M1517" s="357"/>
      <c r="N1517" s="411"/>
      <c r="O1517" s="23" t="s">
        <v>10946</v>
      </c>
      <c r="P1517" s="92" t="s">
        <v>632</v>
      </c>
      <c r="Q1517" s="92" t="s">
        <v>646</v>
      </c>
      <c r="R1517" s="372" t="str">
        <f t="shared" si="42"/>
        <v/>
      </c>
    </row>
    <row r="1518" spans="1:18" ht="30" x14ac:dyDescent="0.25">
      <c r="A1518" s="23" t="s">
        <v>1123</v>
      </c>
      <c r="B1518" s="18" t="str">
        <f>IF(ISNA(VLOOKUP($A1518,'Data Pull Sheet'!$B$2:$C$1795,2,0)),"",(VLOOKUP($A1518,'Data Pull Sheet'!$B$2:$C$1795,2,0)))</f>
        <v>HFXAX</v>
      </c>
      <c r="C1518" s="59" t="s">
        <v>1008</v>
      </c>
      <c r="D1518" s="356" t="s">
        <v>1124</v>
      </c>
      <c r="E1518" s="356" t="s">
        <v>1125</v>
      </c>
      <c r="F1518" s="23" t="s">
        <v>1159</v>
      </c>
      <c r="G1518" s="23" t="s">
        <v>403</v>
      </c>
      <c r="H1518" s="353">
        <v>15007.65</v>
      </c>
      <c r="I1518" s="59"/>
      <c r="J1518" s="59" t="s">
        <v>1160</v>
      </c>
      <c r="K1518" s="20"/>
      <c r="L1518" s="20"/>
      <c r="M1518" s="357"/>
      <c r="N1518" s="411"/>
      <c r="O1518" s="23" t="s">
        <v>10946</v>
      </c>
      <c r="P1518" s="92" t="s">
        <v>632</v>
      </c>
      <c r="Q1518" s="92" t="s">
        <v>646</v>
      </c>
      <c r="R1518" s="372" t="str">
        <f t="shared" si="42"/>
        <v/>
      </c>
    </row>
    <row r="1519" spans="1:18" ht="30" x14ac:dyDescent="0.25">
      <c r="A1519" s="23" t="s">
        <v>1123</v>
      </c>
      <c r="B1519" s="18" t="str">
        <f>IF(ISNA(VLOOKUP($A1519,'Data Pull Sheet'!$B$2:$C$1795,2,0)),"",(VLOOKUP($A1519,'Data Pull Sheet'!$B$2:$C$1795,2,0)))</f>
        <v>HFXAX</v>
      </c>
      <c r="C1519" s="59" t="s">
        <v>1008</v>
      </c>
      <c r="D1519" s="356" t="s">
        <v>1124</v>
      </c>
      <c r="E1519" s="356" t="s">
        <v>1125</v>
      </c>
      <c r="F1519" s="23" t="s">
        <v>1161</v>
      </c>
      <c r="G1519" s="23" t="s">
        <v>403</v>
      </c>
      <c r="H1519" s="353">
        <v>17601.560000000001</v>
      </c>
      <c r="I1519" s="59"/>
      <c r="J1519" s="59" t="s">
        <v>1162</v>
      </c>
      <c r="K1519" s="20"/>
      <c r="L1519" s="20"/>
      <c r="M1519" s="357"/>
      <c r="N1519" s="411"/>
      <c r="O1519" s="23" t="s">
        <v>10946</v>
      </c>
      <c r="P1519" s="92" t="s">
        <v>632</v>
      </c>
      <c r="Q1519" s="92" t="s">
        <v>646</v>
      </c>
      <c r="R1519" s="372" t="str">
        <f t="shared" si="42"/>
        <v/>
      </c>
    </row>
    <row r="1520" spans="1:18" ht="30" x14ac:dyDescent="0.25">
      <c r="A1520" s="23" t="s">
        <v>1123</v>
      </c>
      <c r="B1520" s="18" t="str">
        <f>IF(ISNA(VLOOKUP($A1520,'Data Pull Sheet'!$B$2:$C$1795,2,0)),"",(VLOOKUP($A1520,'Data Pull Sheet'!$B$2:$C$1795,2,0)))</f>
        <v>HFXAX</v>
      </c>
      <c r="C1520" s="59" t="s">
        <v>1008</v>
      </c>
      <c r="D1520" s="356" t="s">
        <v>1124</v>
      </c>
      <c r="E1520" s="356" t="s">
        <v>1125</v>
      </c>
      <c r="F1520" s="23" t="s">
        <v>1163</v>
      </c>
      <c r="G1520" s="23" t="s">
        <v>403</v>
      </c>
      <c r="H1520" s="353">
        <v>28027.59</v>
      </c>
      <c r="I1520" s="59"/>
      <c r="J1520" s="59" t="s">
        <v>1164</v>
      </c>
      <c r="K1520" s="20"/>
      <c r="L1520" s="20"/>
      <c r="M1520" s="357"/>
      <c r="N1520" s="411"/>
      <c r="O1520" s="23" t="s">
        <v>10946</v>
      </c>
      <c r="P1520" s="92" t="s">
        <v>632</v>
      </c>
      <c r="Q1520" s="92" t="s">
        <v>646</v>
      </c>
      <c r="R1520" s="372" t="str">
        <f t="shared" si="42"/>
        <v/>
      </c>
    </row>
    <row r="1521" spans="1:24" x14ac:dyDescent="0.25">
      <c r="A1521" s="23" t="s">
        <v>2297</v>
      </c>
      <c r="B1521" s="18" t="str">
        <f>IF(ISNA(VLOOKUP($A1521,'Data Pull Sheet'!$B$2:$C$1795,2,0)),"",(VLOOKUP($A1521,'Data Pull Sheet'!$B$2:$C$1795,2,0)))</f>
        <v>IMUC </v>
      </c>
      <c r="C1521" s="59" t="s">
        <v>446</v>
      </c>
      <c r="D1521" s="356" t="s">
        <v>471</v>
      </c>
      <c r="E1521" s="356" t="s">
        <v>2298</v>
      </c>
      <c r="F1521" s="23" t="s">
        <v>2299</v>
      </c>
      <c r="G1521" s="23" t="s">
        <v>403</v>
      </c>
      <c r="H1521" s="353">
        <v>522412</v>
      </c>
      <c r="I1521" s="59"/>
      <c r="J1521" s="59" t="s">
        <v>2300</v>
      </c>
      <c r="K1521" s="20">
        <v>3</v>
      </c>
      <c r="L1521" s="20">
        <v>1</v>
      </c>
      <c r="M1521" s="357">
        <f t="shared" ref="M1521:M1526" si="43">H1521</f>
        <v>522412</v>
      </c>
      <c r="N1521" s="411">
        <f>IFERROR((M1521/(VLOOKUP(B1521,'Data Pull Sheet'!$C:$H,6,FALSE))),"DC")</f>
        <v>3.2650750000000001E-3</v>
      </c>
      <c r="O1521" s="23" t="s">
        <v>2301</v>
      </c>
      <c r="P1521" s="92" t="s">
        <v>632</v>
      </c>
      <c r="Q1521" s="92" t="s">
        <v>637</v>
      </c>
      <c r="R1521" s="372" t="str">
        <f t="shared" si="42"/>
        <v/>
      </c>
    </row>
    <row r="1522" spans="1:24" x14ac:dyDescent="0.25">
      <c r="A1522" s="23" t="s">
        <v>2297</v>
      </c>
      <c r="B1522" s="18" t="str">
        <f>IF(ISNA(VLOOKUP($A1522,'Data Pull Sheet'!$B$2:$C$1795,2,0)),"",(VLOOKUP($A1522,'Data Pull Sheet'!$B$2:$C$1795,2,0)))</f>
        <v>IMUC </v>
      </c>
      <c r="C1522" s="59" t="s">
        <v>446</v>
      </c>
      <c r="D1522" s="356" t="s">
        <v>471</v>
      </c>
      <c r="E1522" s="356" t="s">
        <v>2298</v>
      </c>
      <c r="F1522" s="23" t="s">
        <v>2302</v>
      </c>
      <c r="G1522" s="23" t="s">
        <v>403</v>
      </c>
      <c r="H1522" s="353">
        <v>969048.71</v>
      </c>
      <c r="I1522" s="59" t="s">
        <v>406</v>
      </c>
      <c r="J1522" s="59" t="s">
        <v>2303</v>
      </c>
      <c r="K1522" s="20"/>
      <c r="L1522" s="20">
        <v>1</v>
      </c>
      <c r="M1522" s="357">
        <f t="shared" si="43"/>
        <v>969048.71</v>
      </c>
      <c r="N1522" s="411">
        <f>IFERROR((M1522/(VLOOKUP(B1522,'Data Pull Sheet'!$C:$H,6,FALSE))),"DC")</f>
        <v>6.0565544374999994E-3</v>
      </c>
      <c r="O1522" s="23" t="s">
        <v>63</v>
      </c>
      <c r="P1522" s="92" t="s">
        <v>632</v>
      </c>
      <c r="Q1522" s="92" t="s">
        <v>637</v>
      </c>
      <c r="R1522" s="372" t="str">
        <f t="shared" si="42"/>
        <v/>
      </c>
    </row>
    <row r="1523" spans="1:24" x14ac:dyDescent="0.25">
      <c r="A1523" s="23" t="s">
        <v>2297</v>
      </c>
      <c r="B1523" s="18" t="str">
        <f>IF(ISNA(VLOOKUP($A1523,'Data Pull Sheet'!$B$2:$C$1795,2,0)),"",(VLOOKUP($A1523,'Data Pull Sheet'!$B$2:$C$1795,2,0)))</f>
        <v>IMUC </v>
      </c>
      <c r="C1523" s="59" t="s">
        <v>446</v>
      </c>
      <c r="D1523" s="356" t="s">
        <v>471</v>
      </c>
      <c r="E1523" s="356" t="s">
        <v>2298</v>
      </c>
      <c r="F1523" s="23" t="s">
        <v>2304</v>
      </c>
      <c r="G1523" s="23" t="s">
        <v>403</v>
      </c>
      <c r="H1523" s="353">
        <v>77550</v>
      </c>
      <c r="I1523" s="59"/>
      <c r="J1523" s="59" t="s">
        <v>2305</v>
      </c>
      <c r="K1523" s="20"/>
      <c r="L1523" s="20">
        <v>1</v>
      </c>
      <c r="M1523" s="357">
        <f t="shared" si="43"/>
        <v>77550</v>
      </c>
      <c r="N1523" s="411">
        <f>IFERROR((M1523/(VLOOKUP(B1523,'Data Pull Sheet'!$C:$H,6,FALSE))),"DC")</f>
        <v>4.8468749999999998E-4</v>
      </c>
      <c r="O1523" s="23" t="s">
        <v>682</v>
      </c>
      <c r="P1523" s="92" t="s">
        <v>632</v>
      </c>
      <c r="Q1523" s="92" t="s">
        <v>637</v>
      </c>
      <c r="R1523" s="372" t="str">
        <f t="shared" si="42"/>
        <v/>
      </c>
      <c r="S1523" s="106"/>
      <c r="T1523" s="107"/>
      <c r="U1523" s="108"/>
      <c r="V1523" s="108"/>
      <c r="W1523" s="108"/>
      <c r="X1523" s="108"/>
    </row>
    <row r="1524" spans="1:24" x14ac:dyDescent="0.25">
      <c r="A1524" s="23" t="s">
        <v>3637</v>
      </c>
      <c r="B1524" s="18" t="str">
        <f>IF(ISNA(VLOOKUP($A1524,'Data Pull Sheet'!$B$2:$C$1795,2,0)),"",(VLOOKUP($A1524,'Data Pull Sheet'!$B$2:$C$1795,2,0)))</f>
        <v>SNCR</v>
      </c>
      <c r="C1524" s="59" t="s">
        <v>424</v>
      </c>
      <c r="D1524" s="356" t="s">
        <v>471</v>
      </c>
      <c r="E1524" s="356" t="s">
        <v>2298</v>
      </c>
      <c r="F1524" s="23" t="s">
        <v>3638</v>
      </c>
      <c r="G1524" s="23" t="s">
        <v>403</v>
      </c>
      <c r="H1524" s="353">
        <v>122081</v>
      </c>
      <c r="I1524" s="59" t="s">
        <v>406</v>
      </c>
      <c r="J1524" s="59" t="s">
        <v>3639</v>
      </c>
      <c r="K1524" s="20">
        <v>5</v>
      </c>
      <c r="L1524" s="20">
        <v>1</v>
      </c>
      <c r="M1524" s="357">
        <f t="shared" si="43"/>
        <v>122081</v>
      </c>
      <c r="N1524" s="411">
        <f>IFERROR((M1524/(VLOOKUP(B1524,'Data Pull Sheet'!$C:$H,6,FALSE))),"DC")</f>
        <v>4.0693666666666669E-4</v>
      </c>
      <c r="O1524" s="23" t="s">
        <v>407</v>
      </c>
      <c r="P1524" s="92" t="s">
        <v>632</v>
      </c>
      <c r="Q1524" s="92" t="s">
        <v>637</v>
      </c>
      <c r="R1524" s="372" t="str">
        <f t="shared" si="42"/>
        <v/>
      </c>
      <c r="S1524" s="106"/>
      <c r="T1524" s="107"/>
      <c r="U1524" s="108"/>
      <c r="V1524" s="108"/>
      <c r="W1524" s="108"/>
      <c r="X1524" s="108"/>
    </row>
    <row r="1525" spans="1:24" ht="30" x14ac:dyDescent="0.25">
      <c r="A1525" s="23" t="s">
        <v>3637</v>
      </c>
      <c r="B1525" s="18" t="str">
        <f>IF(ISNA(VLOOKUP($A1525,'Data Pull Sheet'!$B$2:$C$1795,2,0)),"",(VLOOKUP($A1525,'Data Pull Sheet'!$B$2:$C$1795,2,0)))</f>
        <v>SNCR</v>
      </c>
      <c r="C1525" s="59" t="s">
        <v>424</v>
      </c>
      <c r="D1525" s="356" t="s">
        <v>471</v>
      </c>
      <c r="E1525" s="356" t="s">
        <v>2298</v>
      </c>
      <c r="F1525" s="23" t="s">
        <v>172</v>
      </c>
      <c r="G1525" s="23" t="s">
        <v>417</v>
      </c>
      <c r="H1525" s="353">
        <v>2467510</v>
      </c>
      <c r="I1525" s="59" t="s">
        <v>442</v>
      </c>
      <c r="J1525" s="59" t="s">
        <v>3640</v>
      </c>
      <c r="K1525" s="20"/>
      <c r="L1525" s="20">
        <v>1</v>
      </c>
      <c r="M1525" s="357">
        <f t="shared" si="43"/>
        <v>2467510</v>
      </c>
      <c r="N1525" s="411">
        <f>IFERROR((M1525/(VLOOKUP(B1525,'Data Pull Sheet'!$C:$H,6,FALSE))),"DC")</f>
        <v>8.2250333333333328E-3</v>
      </c>
      <c r="O1525" s="23" t="s">
        <v>3641</v>
      </c>
      <c r="P1525" s="92" t="s">
        <v>632</v>
      </c>
      <c r="Q1525" s="92" t="s">
        <v>633</v>
      </c>
      <c r="R1525" s="372" t="str">
        <f t="shared" si="42"/>
        <v>FF</v>
      </c>
      <c r="S1525" s="106"/>
      <c r="T1525" s="107"/>
      <c r="U1525" s="108"/>
      <c r="V1525" s="108"/>
      <c r="W1525" s="108"/>
      <c r="X1525" s="108"/>
    </row>
    <row r="1526" spans="1:24" x14ac:dyDescent="0.25">
      <c r="A1526" s="23" t="s">
        <v>3637</v>
      </c>
      <c r="B1526" s="18" t="str">
        <f>IF(ISNA(VLOOKUP($A1526,'Data Pull Sheet'!$B$2:$C$1795,2,0)),"",(VLOOKUP($A1526,'Data Pull Sheet'!$B$2:$C$1795,2,0)))</f>
        <v>SNCR</v>
      </c>
      <c r="C1526" s="59" t="s">
        <v>424</v>
      </c>
      <c r="D1526" s="356" t="s">
        <v>471</v>
      </c>
      <c r="E1526" s="356" t="s">
        <v>2298</v>
      </c>
      <c r="F1526" s="23" t="s">
        <v>3642</v>
      </c>
      <c r="G1526" s="23" t="s">
        <v>403</v>
      </c>
      <c r="H1526" s="353">
        <v>432072.78</v>
      </c>
      <c r="I1526" s="59"/>
      <c r="J1526" s="59" t="s">
        <v>3643</v>
      </c>
      <c r="K1526" s="20"/>
      <c r="L1526" s="20">
        <v>1</v>
      </c>
      <c r="M1526" s="357">
        <f t="shared" si="43"/>
        <v>432072.78</v>
      </c>
      <c r="N1526" s="411">
        <f>IFERROR((M1526/(VLOOKUP(B1526,'Data Pull Sheet'!$C:$H,6,FALSE))),"DC")</f>
        <v>1.4402426E-3</v>
      </c>
      <c r="O1526" s="23" t="s">
        <v>63</v>
      </c>
      <c r="P1526" s="92" t="s">
        <v>632</v>
      </c>
      <c r="Q1526" s="92" t="s">
        <v>637</v>
      </c>
      <c r="R1526" s="372" t="str">
        <f t="shared" si="42"/>
        <v/>
      </c>
      <c r="S1526" s="106"/>
      <c r="T1526" s="107"/>
      <c r="U1526" s="108"/>
      <c r="V1526" s="108"/>
      <c r="W1526" s="108"/>
      <c r="X1526" s="108"/>
    </row>
    <row r="1527" spans="1:24" ht="30" x14ac:dyDescent="0.25">
      <c r="A1527" s="23" t="s">
        <v>3637</v>
      </c>
      <c r="B1527" s="18" t="str">
        <f>IF(ISNA(VLOOKUP($A1527,'Data Pull Sheet'!$B$2:$C$1795,2,0)),"",(VLOOKUP($A1527,'Data Pull Sheet'!$B$2:$C$1795,2,0)))</f>
        <v>SNCR</v>
      </c>
      <c r="C1527" s="59" t="s">
        <v>424</v>
      </c>
      <c r="D1527" s="356" t="s">
        <v>471</v>
      </c>
      <c r="E1527" s="356" t="s">
        <v>2298</v>
      </c>
      <c r="F1527" s="23" t="s">
        <v>3644</v>
      </c>
      <c r="G1527" s="23" t="s">
        <v>403</v>
      </c>
      <c r="H1527" s="353">
        <v>9182</v>
      </c>
      <c r="I1527" s="59"/>
      <c r="J1527" s="59" t="s">
        <v>11187</v>
      </c>
      <c r="K1527" s="20"/>
      <c r="L1527" s="20">
        <v>5</v>
      </c>
      <c r="M1527" s="357">
        <f>SUM(H1527:H1531)</f>
        <v>89773</v>
      </c>
      <c r="N1527" s="411">
        <f>IFERROR((M1527/(VLOOKUP(B1527,'Data Pull Sheet'!$C:$H,6,FALSE))),"DC")</f>
        <v>2.9924333333333336E-4</v>
      </c>
      <c r="O1527" s="23" t="s">
        <v>10966</v>
      </c>
      <c r="P1527" s="92" t="s">
        <v>632</v>
      </c>
      <c r="Q1527" s="92" t="s">
        <v>646</v>
      </c>
      <c r="R1527" s="372" t="str">
        <f t="shared" si="42"/>
        <v/>
      </c>
      <c r="S1527" s="106"/>
      <c r="T1527" s="107"/>
      <c r="U1527" s="108"/>
      <c r="V1527" s="108"/>
      <c r="W1527" s="108"/>
      <c r="X1527" s="108"/>
    </row>
    <row r="1528" spans="1:24" ht="30" x14ac:dyDescent="0.25">
      <c r="A1528" s="23" t="s">
        <v>3637</v>
      </c>
      <c r="B1528" s="18" t="str">
        <f>IF(ISNA(VLOOKUP($A1528,'Data Pull Sheet'!$B$2:$C$1795,2,0)),"",(VLOOKUP($A1528,'Data Pull Sheet'!$B$2:$C$1795,2,0)))</f>
        <v>SNCR</v>
      </c>
      <c r="C1528" s="59" t="s">
        <v>424</v>
      </c>
      <c r="D1528" s="356" t="s">
        <v>471</v>
      </c>
      <c r="E1528" s="356" t="s">
        <v>2298</v>
      </c>
      <c r="F1528" s="23" t="s">
        <v>3646</v>
      </c>
      <c r="G1528" s="23" t="s">
        <v>403</v>
      </c>
      <c r="H1528" s="353">
        <v>9671</v>
      </c>
      <c r="I1528" s="59"/>
      <c r="J1528" s="59" t="s">
        <v>3647</v>
      </c>
      <c r="K1528" s="20"/>
      <c r="L1528" s="20"/>
      <c r="M1528" s="357"/>
      <c r="N1528" s="411"/>
      <c r="O1528" s="23" t="s">
        <v>10966</v>
      </c>
      <c r="P1528" s="92" t="s">
        <v>632</v>
      </c>
      <c r="Q1528" s="92" t="s">
        <v>646</v>
      </c>
      <c r="R1528" s="372" t="str">
        <f t="shared" si="42"/>
        <v/>
      </c>
      <c r="S1528" s="106"/>
      <c r="T1528" s="107"/>
      <c r="U1528" s="108"/>
      <c r="V1528" s="108"/>
      <c r="W1528" s="108"/>
      <c r="X1528" s="108"/>
    </row>
    <row r="1529" spans="1:24" ht="30" x14ac:dyDescent="0.25">
      <c r="A1529" s="23" t="s">
        <v>3637</v>
      </c>
      <c r="B1529" s="18" t="str">
        <f>IF(ISNA(VLOOKUP($A1529,'Data Pull Sheet'!$B$2:$C$1795,2,0)),"",(VLOOKUP($A1529,'Data Pull Sheet'!$B$2:$C$1795,2,0)))</f>
        <v>SNCR</v>
      </c>
      <c r="C1529" s="59" t="s">
        <v>424</v>
      </c>
      <c r="D1529" s="356" t="s">
        <v>471</v>
      </c>
      <c r="E1529" s="356" t="s">
        <v>2298</v>
      </c>
      <c r="F1529" s="23" t="s">
        <v>3648</v>
      </c>
      <c r="G1529" s="23" t="s">
        <v>403</v>
      </c>
      <c r="H1529" s="353">
        <v>11226</v>
      </c>
      <c r="I1529" s="59"/>
      <c r="J1529" s="59" t="s">
        <v>3649</v>
      </c>
      <c r="K1529" s="20"/>
      <c r="L1529" s="20"/>
      <c r="M1529" s="357"/>
      <c r="N1529" s="411"/>
      <c r="O1529" s="23" t="s">
        <v>10966</v>
      </c>
      <c r="P1529" s="92" t="s">
        <v>632</v>
      </c>
      <c r="Q1529" s="92" t="s">
        <v>646</v>
      </c>
      <c r="R1529" s="372" t="str">
        <f t="shared" si="42"/>
        <v/>
      </c>
      <c r="S1529" s="106"/>
      <c r="T1529" s="107"/>
      <c r="U1529" s="108"/>
      <c r="V1529" s="108"/>
      <c r="W1529" s="108"/>
      <c r="X1529" s="108"/>
    </row>
    <row r="1530" spans="1:24" ht="30" x14ac:dyDescent="0.25">
      <c r="A1530" s="23" t="s">
        <v>3637</v>
      </c>
      <c r="B1530" s="18" t="str">
        <f>IF(ISNA(VLOOKUP($A1530,'Data Pull Sheet'!$B$2:$C$1795,2,0)),"",(VLOOKUP($A1530,'Data Pull Sheet'!$B$2:$C$1795,2,0)))</f>
        <v>SNCR</v>
      </c>
      <c r="C1530" s="59" t="s">
        <v>424</v>
      </c>
      <c r="D1530" s="356" t="s">
        <v>471</v>
      </c>
      <c r="E1530" s="356" t="s">
        <v>2298</v>
      </c>
      <c r="F1530" s="23" t="s">
        <v>3650</v>
      </c>
      <c r="G1530" s="23" t="s">
        <v>403</v>
      </c>
      <c r="H1530" s="353">
        <v>20578</v>
      </c>
      <c r="I1530" s="59"/>
      <c r="J1530" s="59" t="s">
        <v>3651</v>
      </c>
      <c r="K1530" s="20"/>
      <c r="L1530" s="20"/>
      <c r="M1530" s="357"/>
      <c r="N1530" s="411"/>
      <c r="O1530" s="23" t="s">
        <v>10966</v>
      </c>
      <c r="P1530" s="92" t="s">
        <v>632</v>
      </c>
      <c r="Q1530" s="92" t="s">
        <v>646</v>
      </c>
      <c r="R1530" s="372" t="str">
        <f t="shared" si="42"/>
        <v/>
      </c>
      <c r="S1530" s="106"/>
      <c r="T1530" s="107"/>
      <c r="U1530" s="108"/>
      <c r="V1530" s="108"/>
      <c r="W1530" s="108"/>
      <c r="X1530" s="108"/>
    </row>
    <row r="1531" spans="1:24" ht="30" x14ac:dyDescent="0.25">
      <c r="A1531" s="23" t="s">
        <v>3637</v>
      </c>
      <c r="B1531" s="18" t="str">
        <f>IF(ISNA(VLOOKUP($A1531,'Data Pull Sheet'!$B$2:$C$1795,2,0)),"",(VLOOKUP($A1531,'Data Pull Sheet'!$B$2:$C$1795,2,0)))</f>
        <v>SNCR</v>
      </c>
      <c r="C1531" s="59" t="s">
        <v>424</v>
      </c>
      <c r="D1531" s="356" t="s">
        <v>471</v>
      </c>
      <c r="E1531" s="356" t="s">
        <v>2298</v>
      </c>
      <c r="F1531" s="23" t="s">
        <v>3652</v>
      </c>
      <c r="G1531" s="23" t="s">
        <v>403</v>
      </c>
      <c r="H1531" s="353">
        <v>39116</v>
      </c>
      <c r="I1531" s="59"/>
      <c r="J1531" s="59" t="s">
        <v>3653</v>
      </c>
      <c r="K1531" s="20"/>
      <c r="L1531" s="20"/>
      <c r="M1531" s="357"/>
      <c r="N1531" s="411"/>
      <c r="O1531" s="23" t="s">
        <v>10966</v>
      </c>
      <c r="P1531" s="92" t="s">
        <v>632</v>
      </c>
      <c r="Q1531" s="92" t="s">
        <v>646</v>
      </c>
      <c r="R1531" s="372" t="str">
        <f t="shared" si="42"/>
        <v/>
      </c>
      <c r="S1531" s="106"/>
      <c r="T1531" s="107"/>
      <c r="U1531" s="108"/>
      <c r="V1531" s="108"/>
      <c r="W1531" s="108"/>
      <c r="X1531" s="108"/>
    </row>
    <row r="1532" spans="1:24" ht="30" x14ac:dyDescent="0.25">
      <c r="A1532" s="23" t="s">
        <v>3637</v>
      </c>
      <c r="B1532" s="18" t="str">
        <f>IF(ISNA(VLOOKUP($A1532,'Data Pull Sheet'!$B$2:$C$1795,2,0)),"",(VLOOKUP($A1532,'Data Pull Sheet'!$B$2:$C$1795,2,0)))</f>
        <v>SNCR</v>
      </c>
      <c r="C1532" s="59" t="s">
        <v>424</v>
      </c>
      <c r="D1532" s="356" t="s">
        <v>471</v>
      </c>
      <c r="E1532" s="356" t="s">
        <v>2298</v>
      </c>
      <c r="F1532" s="23" t="s">
        <v>10860</v>
      </c>
      <c r="G1532" s="23" t="s">
        <v>417</v>
      </c>
      <c r="H1532" s="353">
        <v>506002</v>
      </c>
      <c r="I1532" s="59" t="s">
        <v>406</v>
      </c>
      <c r="J1532" s="59" t="s">
        <v>3654</v>
      </c>
      <c r="K1532" s="20"/>
      <c r="L1532" s="20">
        <v>2</v>
      </c>
      <c r="M1532" s="357">
        <f>SUM(H1532:H1533)</f>
        <v>1226503</v>
      </c>
      <c r="N1532" s="411">
        <f>IFERROR((M1532/(VLOOKUP(B1532,'Data Pull Sheet'!$C:$H,6,FALSE))),"DC")</f>
        <v>4.0883433333333335E-3</v>
      </c>
      <c r="O1532" s="23" t="s">
        <v>3655</v>
      </c>
      <c r="P1532" s="92" t="s">
        <v>632</v>
      </c>
      <c r="Q1532" s="92" t="s">
        <v>640</v>
      </c>
      <c r="R1532" s="372" t="str">
        <f t="shared" si="42"/>
        <v>FF</v>
      </c>
      <c r="S1532" s="106"/>
      <c r="T1532" s="107"/>
      <c r="U1532" s="108"/>
      <c r="V1532" s="108"/>
      <c r="W1532" s="108"/>
      <c r="X1532" s="108"/>
    </row>
    <row r="1533" spans="1:24" ht="30" x14ac:dyDescent="0.25">
      <c r="A1533" s="23" t="s">
        <v>3637</v>
      </c>
      <c r="B1533" s="18" t="str">
        <f>IF(ISNA(VLOOKUP($A1533,'Data Pull Sheet'!$B$2:$C$1795,2,0)),"",(VLOOKUP($A1533,'Data Pull Sheet'!$B$2:$C$1795,2,0)))</f>
        <v>SNCR</v>
      </c>
      <c r="C1533" s="59" t="s">
        <v>424</v>
      </c>
      <c r="D1533" s="356" t="s">
        <v>471</v>
      </c>
      <c r="E1533" s="356" t="s">
        <v>2298</v>
      </c>
      <c r="F1533" s="23" t="s">
        <v>111</v>
      </c>
      <c r="G1533" s="23" t="s">
        <v>417</v>
      </c>
      <c r="H1533" s="353">
        <v>720501</v>
      </c>
      <c r="I1533" s="59" t="s">
        <v>406</v>
      </c>
      <c r="J1533" s="59" t="s">
        <v>3656</v>
      </c>
      <c r="K1533" s="20"/>
      <c r="L1533" s="20"/>
      <c r="M1533" s="357"/>
      <c r="N1533" s="411"/>
      <c r="O1533" s="23" t="s">
        <v>3655</v>
      </c>
      <c r="P1533" s="92" t="s">
        <v>632</v>
      </c>
      <c r="Q1533" s="92" t="s">
        <v>640</v>
      </c>
      <c r="R1533" s="372" t="str">
        <f t="shared" si="42"/>
        <v>FF</v>
      </c>
      <c r="S1533" s="106"/>
      <c r="T1533" s="107"/>
      <c r="U1533" s="108"/>
      <c r="V1533" s="108"/>
      <c r="W1533" s="108"/>
      <c r="X1533" s="108"/>
    </row>
    <row r="1534" spans="1:24" ht="30" x14ac:dyDescent="0.25">
      <c r="A1534" s="23" t="s">
        <v>7266</v>
      </c>
      <c r="B1534" s="59" t="s">
        <v>7502</v>
      </c>
      <c r="C1534" s="59" t="s">
        <v>421</v>
      </c>
      <c r="D1534" s="356" t="s">
        <v>7168</v>
      </c>
      <c r="E1534" s="356" t="s">
        <v>7264</v>
      </c>
      <c r="F1534" s="23" t="s">
        <v>4146</v>
      </c>
      <c r="G1534" s="59" t="s">
        <v>417</v>
      </c>
      <c r="H1534" s="353">
        <v>177040</v>
      </c>
      <c r="I1534" s="59" t="s">
        <v>413</v>
      </c>
      <c r="J1534" s="59" t="s">
        <v>7877</v>
      </c>
      <c r="K1534" s="20">
        <v>3</v>
      </c>
      <c r="L1534" s="20">
        <v>1</v>
      </c>
      <c r="M1534" s="357">
        <f>H1534</f>
        <v>177040</v>
      </c>
      <c r="N1534" s="411">
        <f>IFERROR((M1534/(VLOOKUP(B1534,'Data Pull Sheet'!$C:$H,6,FALSE))),"DC")</f>
        <v>7.0815999999999994E-5</v>
      </c>
      <c r="O1534" s="23" t="s">
        <v>161</v>
      </c>
      <c r="P1534" s="18" t="s">
        <v>632</v>
      </c>
      <c r="Q1534" s="18" t="s">
        <v>633</v>
      </c>
      <c r="R1534" s="372" t="str">
        <f t="shared" si="42"/>
        <v>FF</v>
      </c>
      <c r="S1534" s="106"/>
      <c r="T1534" s="107"/>
      <c r="U1534" s="108"/>
      <c r="V1534" s="108"/>
      <c r="W1534" s="108"/>
      <c r="X1534" s="108"/>
    </row>
    <row r="1535" spans="1:24" ht="30" x14ac:dyDescent="0.25">
      <c r="A1535" s="23" t="s">
        <v>7266</v>
      </c>
      <c r="B1535" s="59" t="s">
        <v>7502</v>
      </c>
      <c r="C1535" s="59" t="s">
        <v>421</v>
      </c>
      <c r="D1535" s="356" t="s">
        <v>7168</v>
      </c>
      <c r="E1535" s="356" t="s">
        <v>7264</v>
      </c>
      <c r="F1535" s="23" t="s">
        <v>201</v>
      </c>
      <c r="G1535" s="59" t="s">
        <v>417</v>
      </c>
      <c r="H1535" s="353">
        <v>486053.75</v>
      </c>
      <c r="I1535" s="59" t="s">
        <v>413</v>
      </c>
      <c r="J1535" s="59" t="s">
        <v>7892</v>
      </c>
      <c r="K1535" s="20"/>
      <c r="L1535" s="20">
        <v>1</v>
      </c>
      <c r="M1535" s="357">
        <f>H1535</f>
        <v>486053.75</v>
      </c>
      <c r="N1535" s="411">
        <f>IFERROR((M1535/(VLOOKUP(B1535,'Data Pull Sheet'!$C:$H,6,FALSE))),"DC")</f>
        <v>1.944215E-4</v>
      </c>
      <c r="O1535" s="23" t="s">
        <v>7269</v>
      </c>
      <c r="P1535" s="18" t="s">
        <v>632</v>
      </c>
      <c r="Q1535" s="18" t="s">
        <v>633</v>
      </c>
      <c r="R1535" s="372" t="str">
        <f t="shared" si="42"/>
        <v>FF</v>
      </c>
      <c r="S1535" s="106"/>
      <c r="T1535" s="107"/>
      <c r="U1535" s="108"/>
      <c r="V1535" s="108"/>
      <c r="W1535" s="108"/>
      <c r="X1535" s="108"/>
    </row>
    <row r="1536" spans="1:24" x14ac:dyDescent="0.25">
      <c r="A1536" s="23" t="s">
        <v>7266</v>
      </c>
      <c r="B1536" s="59" t="s">
        <v>7502</v>
      </c>
      <c r="C1536" s="59" t="s">
        <v>421</v>
      </c>
      <c r="D1536" s="356" t="s">
        <v>7168</v>
      </c>
      <c r="E1536" s="356" t="s">
        <v>7264</v>
      </c>
      <c r="F1536" s="23" t="s">
        <v>7270</v>
      </c>
      <c r="G1536" s="59" t="s">
        <v>403</v>
      </c>
      <c r="H1536" s="353">
        <v>74621.399999999994</v>
      </c>
      <c r="I1536" s="59" t="s">
        <v>406</v>
      </c>
      <c r="J1536" s="59" t="s">
        <v>7893</v>
      </c>
      <c r="K1536" s="20"/>
      <c r="L1536" s="20">
        <v>2</v>
      </c>
      <c r="M1536" s="357">
        <f>SUM(H1536:H1537)</f>
        <v>104734.01999999999</v>
      </c>
      <c r="N1536" s="411">
        <f>IFERROR((M1536/(VLOOKUP(B1536,'Data Pull Sheet'!$C:$H,6,FALSE))),"DC")</f>
        <v>4.1893607999999997E-5</v>
      </c>
      <c r="O1536" s="23" t="s">
        <v>6910</v>
      </c>
      <c r="P1536" s="18" t="s">
        <v>632</v>
      </c>
      <c r="Q1536" s="18" t="s">
        <v>646</v>
      </c>
      <c r="R1536" s="372" t="str">
        <f t="shared" si="42"/>
        <v/>
      </c>
      <c r="S1536" s="106"/>
      <c r="T1536" s="107"/>
      <c r="U1536" s="108"/>
      <c r="V1536" s="108"/>
      <c r="W1536" s="108"/>
      <c r="X1536" s="108"/>
    </row>
    <row r="1537" spans="1:24" x14ac:dyDescent="0.25">
      <c r="A1537" s="23" t="s">
        <v>7266</v>
      </c>
      <c r="B1537" s="59" t="s">
        <v>7502</v>
      </c>
      <c r="C1537" s="59" t="s">
        <v>421</v>
      </c>
      <c r="D1537" s="356" t="s">
        <v>7168</v>
      </c>
      <c r="E1537" s="356" t="s">
        <v>7264</v>
      </c>
      <c r="F1537" s="23" t="s">
        <v>7271</v>
      </c>
      <c r="G1537" s="59" t="s">
        <v>403</v>
      </c>
      <c r="H1537" s="353">
        <v>30112.62</v>
      </c>
      <c r="I1537" s="59"/>
      <c r="J1537" s="59" t="s">
        <v>7880</v>
      </c>
      <c r="K1537" s="20"/>
      <c r="L1537" s="20"/>
      <c r="M1537" s="357"/>
      <c r="N1537" s="411"/>
      <c r="O1537" s="23" t="s">
        <v>6910</v>
      </c>
      <c r="P1537" s="18" t="s">
        <v>632</v>
      </c>
      <c r="Q1537" s="18" t="s">
        <v>2581</v>
      </c>
      <c r="R1537" s="372" t="str">
        <f t="shared" si="42"/>
        <v/>
      </c>
      <c r="S1537" s="106"/>
      <c r="T1537" s="107"/>
      <c r="U1537" s="108"/>
      <c r="V1537" s="108"/>
      <c r="W1537" s="108"/>
      <c r="X1537" s="108"/>
    </row>
    <row r="1538" spans="1:24" x14ac:dyDescent="0.25">
      <c r="A1538" s="23" t="s">
        <v>7263</v>
      </c>
      <c r="B1538" s="59" t="s">
        <v>7553</v>
      </c>
      <c r="C1538" s="59" t="s">
        <v>421</v>
      </c>
      <c r="D1538" s="356" t="s">
        <v>7168</v>
      </c>
      <c r="E1538" s="356" t="s">
        <v>7264</v>
      </c>
      <c r="F1538" s="23" t="s">
        <v>7265</v>
      </c>
      <c r="G1538" s="59" t="s">
        <v>403</v>
      </c>
      <c r="H1538" s="353">
        <v>844886</v>
      </c>
      <c r="I1538" s="59" t="s">
        <v>413</v>
      </c>
      <c r="J1538" s="59" t="s">
        <v>7553</v>
      </c>
      <c r="K1538" s="20">
        <v>1</v>
      </c>
      <c r="L1538" s="20">
        <v>1</v>
      </c>
      <c r="M1538" s="357">
        <f>H1538</f>
        <v>844886</v>
      </c>
      <c r="N1538" s="411">
        <f>IFERROR((M1538/(VLOOKUP(B1538,'Data Pull Sheet'!$C:$H,6,FALSE))),"DC")</f>
        <v>2.1122149999999999E-2</v>
      </c>
      <c r="O1538" s="23" t="s">
        <v>2858</v>
      </c>
      <c r="P1538" s="18" t="s">
        <v>632</v>
      </c>
      <c r="Q1538" s="18" t="s">
        <v>637</v>
      </c>
      <c r="R1538" s="372" t="str">
        <f t="shared" ref="R1538:R1601" si="44">IF(COUNTIF(F:F,F1538)&gt;=2,"FF","")</f>
        <v/>
      </c>
      <c r="S1538" s="106"/>
      <c r="T1538" s="107"/>
      <c r="U1538" s="108"/>
      <c r="V1538" s="108"/>
      <c r="W1538" s="108"/>
      <c r="X1538" s="108"/>
    </row>
    <row r="1539" spans="1:24" x14ac:dyDescent="0.25">
      <c r="A1539" s="23" t="s">
        <v>7280</v>
      </c>
      <c r="B1539" s="59" t="s">
        <v>7574</v>
      </c>
      <c r="C1539" s="59" t="s">
        <v>446</v>
      </c>
      <c r="D1539" s="356" t="s">
        <v>7168</v>
      </c>
      <c r="E1539" s="356" t="s">
        <v>7264</v>
      </c>
      <c r="F1539" s="23" t="s">
        <v>7281</v>
      </c>
      <c r="G1539" s="59" t="s">
        <v>403</v>
      </c>
      <c r="H1539" s="353">
        <v>4612.3100000000004</v>
      </c>
      <c r="I1539" s="59"/>
      <c r="J1539" s="59" t="s">
        <v>7894</v>
      </c>
      <c r="K1539" s="20">
        <v>2</v>
      </c>
      <c r="L1539" s="20">
        <v>1</v>
      </c>
      <c r="M1539" s="357">
        <f>H1539</f>
        <v>4612.3100000000004</v>
      </c>
      <c r="N1539" s="411">
        <f>IFERROR((M1539/(VLOOKUP(B1539,'Data Pull Sheet'!$C:$H,6,FALSE))),"DC")</f>
        <v>5.7653875000000007E-4</v>
      </c>
      <c r="O1539" s="23" t="s">
        <v>1280</v>
      </c>
      <c r="P1539" s="18" t="s">
        <v>632</v>
      </c>
      <c r="Q1539" s="18" t="s">
        <v>637</v>
      </c>
      <c r="R1539" s="372" t="str">
        <f t="shared" si="44"/>
        <v/>
      </c>
      <c r="S1539" s="106"/>
      <c r="T1539" s="107"/>
      <c r="U1539" s="108"/>
      <c r="V1539" s="108"/>
      <c r="W1539" s="108"/>
      <c r="X1539" s="108"/>
    </row>
    <row r="1540" spans="1:24" x14ac:dyDescent="0.25">
      <c r="A1540" s="23" t="s">
        <v>7280</v>
      </c>
      <c r="B1540" s="59" t="s">
        <v>7574</v>
      </c>
      <c r="C1540" s="59" t="s">
        <v>446</v>
      </c>
      <c r="D1540" s="356" t="s">
        <v>7168</v>
      </c>
      <c r="E1540" s="356" t="s">
        <v>7264</v>
      </c>
      <c r="F1540" s="23" t="s">
        <v>7282</v>
      </c>
      <c r="G1540" s="59" t="s">
        <v>403</v>
      </c>
      <c r="H1540" s="353">
        <v>25327.85</v>
      </c>
      <c r="I1540" s="59"/>
      <c r="J1540" s="59" t="s">
        <v>7895</v>
      </c>
      <c r="K1540" s="20"/>
      <c r="L1540" s="20">
        <v>3</v>
      </c>
      <c r="M1540" s="357">
        <f>SUM(H1540:H1542)</f>
        <v>65378.400000000001</v>
      </c>
      <c r="N1540" s="411">
        <f>IFERROR((M1540/(VLOOKUP(B1540,'Data Pull Sheet'!$C:$H,6,FALSE))),"DC")</f>
        <v>8.1723000000000004E-3</v>
      </c>
      <c r="O1540" s="23" t="s">
        <v>877</v>
      </c>
      <c r="P1540" s="18" t="s">
        <v>632</v>
      </c>
      <c r="Q1540" s="18" t="s">
        <v>2581</v>
      </c>
      <c r="R1540" s="372" t="str">
        <f t="shared" si="44"/>
        <v/>
      </c>
      <c r="S1540" s="106"/>
      <c r="T1540" s="107"/>
      <c r="U1540" s="108"/>
      <c r="V1540" s="108"/>
      <c r="W1540" s="108"/>
      <c r="X1540" s="108"/>
    </row>
    <row r="1541" spans="1:24" x14ac:dyDescent="0.25">
      <c r="A1541" s="23" t="s">
        <v>7280</v>
      </c>
      <c r="B1541" s="59" t="s">
        <v>7574</v>
      </c>
      <c r="C1541" s="59" t="s">
        <v>446</v>
      </c>
      <c r="D1541" s="356" t="s">
        <v>7168</v>
      </c>
      <c r="E1541" s="356" t="s">
        <v>7264</v>
      </c>
      <c r="F1541" s="23" t="s">
        <v>7283</v>
      </c>
      <c r="G1541" s="59" t="s">
        <v>403</v>
      </c>
      <c r="H1541" s="353">
        <v>33820.550000000003</v>
      </c>
      <c r="I1541" s="59"/>
      <c r="J1541" s="59" t="s">
        <v>7881</v>
      </c>
      <c r="K1541" s="20"/>
      <c r="L1541" s="20"/>
      <c r="M1541" s="357"/>
      <c r="N1541" s="411"/>
      <c r="O1541" s="23" t="s">
        <v>877</v>
      </c>
      <c r="P1541" s="18" t="s">
        <v>632</v>
      </c>
      <c r="Q1541" s="18" t="s">
        <v>646</v>
      </c>
      <c r="R1541" s="372" t="str">
        <f t="shared" si="44"/>
        <v/>
      </c>
      <c r="S1541" s="106"/>
      <c r="T1541" s="107"/>
      <c r="U1541" s="108"/>
      <c r="V1541" s="108"/>
      <c r="W1541" s="108"/>
      <c r="X1541" s="108"/>
    </row>
    <row r="1542" spans="1:24" x14ac:dyDescent="0.25">
      <c r="A1542" s="23" t="s">
        <v>7280</v>
      </c>
      <c r="B1542" s="59" t="s">
        <v>7574</v>
      </c>
      <c r="C1542" s="59" t="s">
        <v>446</v>
      </c>
      <c r="D1542" s="356" t="s">
        <v>7168</v>
      </c>
      <c r="E1542" s="356" t="s">
        <v>7264</v>
      </c>
      <c r="F1542" s="23" t="s">
        <v>7284</v>
      </c>
      <c r="G1542" s="59" t="s">
        <v>403</v>
      </c>
      <c r="H1542" s="353">
        <v>6230</v>
      </c>
      <c r="I1542" s="59"/>
      <c r="J1542" s="59" t="s">
        <v>7896</v>
      </c>
      <c r="K1542" s="20"/>
      <c r="L1542" s="20"/>
      <c r="M1542" s="357"/>
      <c r="N1542" s="411"/>
      <c r="O1542" s="23" t="s">
        <v>877</v>
      </c>
      <c r="P1542" s="18" t="s">
        <v>632</v>
      </c>
      <c r="Q1542" s="18" t="s">
        <v>646</v>
      </c>
      <c r="R1542" s="372" t="str">
        <f t="shared" si="44"/>
        <v/>
      </c>
      <c r="S1542" s="106"/>
      <c r="T1542" s="107"/>
      <c r="U1542" s="108"/>
      <c r="V1542" s="108"/>
      <c r="W1542" s="108"/>
      <c r="X1542" s="108"/>
    </row>
    <row r="1543" spans="1:24" x14ac:dyDescent="0.25">
      <c r="A1543" s="23" t="s">
        <v>3616</v>
      </c>
      <c r="B1543" s="59" t="s">
        <v>10748</v>
      </c>
      <c r="C1543" s="59" t="s">
        <v>457</v>
      </c>
      <c r="D1543" s="356" t="s">
        <v>7168</v>
      </c>
      <c r="E1543" s="356" t="s">
        <v>7264</v>
      </c>
      <c r="F1543" s="23" t="s">
        <v>7272</v>
      </c>
      <c r="G1543" s="59" t="s">
        <v>403</v>
      </c>
      <c r="H1543" s="353">
        <v>16368.78</v>
      </c>
      <c r="I1543" s="59"/>
      <c r="J1543" s="59" t="s">
        <v>10754</v>
      </c>
      <c r="K1543" s="20">
        <v>3</v>
      </c>
      <c r="L1543" s="20">
        <v>5</v>
      </c>
      <c r="M1543" s="357">
        <f>SUM(H1543:H1547)</f>
        <v>31327.699999999997</v>
      </c>
      <c r="N1543" s="411">
        <f>IFERROR((M1543/(VLOOKUP(B1543,'Data Pull Sheet'!$C:$H,6,FALSE))),"DC")</f>
        <v>1.0442566666666667E-3</v>
      </c>
      <c r="O1543" s="23" t="s">
        <v>554</v>
      </c>
      <c r="P1543" s="18" t="s">
        <v>632</v>
      </c>
      <c r="Q1543" s="18" t="s">
        <v>2581</v>
      </c>
      <c r="R1543" s="372" t="str">
        <f t="shared" si="44"/>
        <v/>
      </c>
      <c r="S1543" s="106"/>
      <c r="T1543" s="107"/>
      <c r="U1543" s="108"/>
      <c r="V1543" s="108"/>
      <c r="W1543" s="108"/>
      <c r="X1543" s="108"/>
    </row>
    <row r="1544" spans="1:24" x14ac:dyDescent="0.25">
      <c r="A1544" s="23" t="s">
        <v>3616</v>
      </c>
      <c r="B1544" s="59" t="s">
        <v>10748</v>
      </c>
      <c r="C1544" s="59" t="s">
        <v>457</v>
      </c>
      <c r="D1544" s="356" t="s">
        <v>7168</v>
      </c>
      <c r="E1544" s="356" t="s">
        <v>7264</v>
      </c>
      <c r="F1544" s="23" t="s">
        <v>7273</v>
      </c>
      <c r="G1544" s="59" t="s">
        <v>403</v>
      </c>
      <c r="H1544" s="353">
        <v>1812</v>
      </c>
      <c r="I1544" s="59"/>
      <c r="J1544" s="59" t="s">
        <v>10755</v>
      </c>
      <c r="K1544" s="20"/>
      <c r="L1544" s="20"/>
      <c r="M1544" s="357"/>
      <c r="N1544" s="411"/>
      <c r="O1544" s="23" t="s">
        <v>554</v>
      </c>
      <c r="P1544" s="18" t="s">
        <v>632</v>
      </c>
      <c r="Q1544" s="18" t="s">
        <v>2581</v>
      </c>
      <c r="R1544" s="372" t="str">
        <f t="shared" si="44"/>
        <v/>
      </c>
      <c r="S1544" s="106"/>
      <c r="T1544" s="107"/>
      <c r="U1544" s="108"/>
      <c r="V1544" s="108"/>
      <c r="W1544" s="108"/>
      <c r="X1544" s="108"/>
    </row>
    <row r="1545" spans="1:24" x14ac:dyDescent="0.25">
      <c r="A1545" s="23" t="s">
        <v>3616</v>
      </c>
      <c r="B1545" s="59" t="s">
        <v>10748</v>
      </c>
      <c r="C1545" s="59" t="s">
        <v>457</v>
      </c>
      <c r="D1545" s="356" t="s">
        <v>7168</v>
      </c>
      <c r="E1545" s="356" t="s">
        <v>7264</v>
      </c>
      <c r="F1545" s="23" t="s">
        <v>7274</v>
      </c>
      <c r="G1545" s="59" t="s">
        <v>403</v>
      </c>
      <c r="H1545" s="353">
        <v>8270</v>
      </c>
      <c r="I1545" s="59"/>
      <c r="J1545" s="59" t="s">
        <v>10756</v>
      </c>
      <c r="K1545" s="20"/>
      <c r="L1545" s="20"/>
      <c r="M1545" s="357"/>
      <c r="N1545" s="411"/>
      <c r="O1545" s="23" t="s">
        <v>554</v>
      </c>
      <c r="P1545" s="18" t="s">
        <v>632</v>
      </c>
      <c r="Q1545" s="18" t="s">
        <v>2581</v>
      </c>
      <c r="R1545" s="372" t="str">
        <f t="shared" si="44"/>
        <v/>
      </c>
      <c r="S1545" s="106"/>
      <c r="T1545" s="107"/>
      <c r="U1545" s="108"/>
      <c r="V1545" s="108"/>
      <c r="W1545" s="108"/>
      <c r="X1545" s="108"/>
    </row>
    <row r="1546" spans="1:24" x14ac:dyDescent="0.25">
      <c r="A1546" s="23" t="s">
        <v>3616</v>
      </c>
      <c r="B1546" s="59" t="s">
        <v>10748</v>
      </c>
      <c r="C1546" s="59" t="s">
        <v>457</v>
      </c>
      <c r="D1546" s="356" t="s">
        <v>7168</v>
      </c>
      <c r="E1546" s="356" t="s">
        <v>7264</v>
      </c>
      <c r="F1546" s="23" t="s">
        <v>7275</v>
      </c>
      <c r="G1546" s="59" t="s">
        <v>403</v>
      </c>
      <c r="H1546" s="353">
        <v>1228.92</v>
      </c>
      <c r="I1546" s="59"/>
      <c r="J1546" s="59" t="s">
        <v>10757</v>
      </c>
      <c r="K1546" s="20"/>
      <c r="L1546" s="20"/>
      <c r="M1546" s="357"/>
      <c r="N1546" s="411"/>
      <c r="O1546" s="23" t="s">
        <v>554</v>
      </c>
      <c r="P1546" s="18" t="s">
        <v>632</v>
      </c>
      <c r="Q1546" s="18" t="s">
        <v>2581</v>
      </c>
      <c r="R1546" s="372" t="str">
        <f t="shared" si="44"/>
        <v/>
      </c>
      <c r="S1546" s="106"/>
      <c r="T1546" s="107"/>
      <c r="U1546" s="108"/>
      <c r="V1546" s="108"/>
      <c r="W1546" s="108"/>
      <c r="X1546" s="108"/>
    </row>
    <row r="1547" spans="1:24" x14ac:dyDescent="0.25">
      <c r="A1547" s="23" t="s">
        <v>3616</v>
      </c>
      <c r="B1547" s="59" t="s">
        <v>10748</v>
      </c>
      <c r="C1547" s="59" t="s">
        <v>457</v>
      </c>
      <c r="D1547" s="356" t="s">
        <v>7168</v>
      </c>
      <c r="E1547" s="356" t="s">
        <v>7264</v>
      </c>
      <c r="F1547" s="23" t="s">
        <v>7276</v>
      </c>
      <c r="G1547" s="59" t="s">
        <v>403</v>
      </c>
      <c r="H1547" s="353">
        <v>3648</v>
      </c>
      <c r="I1547" s="59"/>
      <c r="J1547" s="59" t="s">
        <v>10758</v>
      </c>
      <c r="K1547" s="20"/>
      <c r="L1547" s="20"/>
      <c r="M1547" s="357"/>
      <c r="N1547" s="411"/>
      <c r="O1547" s="23" t="s">
        <v>554</v>
      </c>
      <c r="P1547" s="18" t="s">
        <v>632</v>
      </c>
      <c r="Q1547" s="18" t="s">
        <v>2581</v>
      </c>
      <c r="R1547" s="372" t="str">
        <f t="shared" si="44"/>
        <v/>
      </c>
      <c r="S1547" s="106"/>
      <c r="T1547" s="107"/>
      <c r="U1547" s="108"/>
      <c r="V1547" s="108"/>
      <c r="W1547" s="108"/>
      <c r="X1547" s="108"/>
    </row>
    <row r="1548" spans="1:24" x14ac:dyDescent="0.25">
      <c r="A1548" s="23" t="s">
        <v>3616</v>
      </c>
      <c r="B1548" s="59" t="s">
        <v>10748</v>
      </c>
      <c r="C1548" s="59" t="s">
        <v>457</v>
      </c>
      <c r="D1548" s="356" t="s">
        <v>7168</v>
      </c>
      <c r="E1548" s="356" t="s">
        <v>7264</v>
      </c>
      <c r="F1548" s="23" t="s">
        <v>7277</v>
      </c>
      <c r="G1548" s="59" t="s">
        <v>403</v>
      </c>
      <c r="H1548" s="353">
        <v>8172.39</v>
      </c>
      <c r="I1548" s="59"/>
      <c r="J1548" s="59" t="s">
        <v>10759</v>
      </c>
      <c r="K1548" s="20"/>
      <c r="L1548" s="20">
        <v>2</v>
      </c>
      <c r="M1548" s="357">
        <f>SUM(H1548:H1549)</f>
        <v>12819.53</v>
      </c>
      <c r="N1548" s="411">
        <f>IFERROR((M1548/(VLOOKUP(B1548,'Data Pull Sheet'!$C:$H,6,FALSE))),"DC")</f>
        <v>4.2731766666666667E-4</v>
      </c>
      <c r="O1548" s="23" t="s">
        <v>597</v>
      </c>
      <c r="P1548" s="18" t="s">
        <v>632</v>
      </c>
      <c r="Q1548" s="18" t="s">
        <v>2581</v>
      </c>
      <c r="R1548" s="372" t="str">
        <f t="shared" si="44"/>
        <v/>
      </c>
      <c r="S1548" s="106"/>
      <c r="T1548" s="107"/>
      <c r="U1548" s="108"/>
      <c r="V1548" s="108"/>
      <c r="W1548" s="108"/>
      <c r="X1548" s="108"/>
    </row>
    <row r="1549" spans="1:24" x14ac:dyDescent="0.25">
      <c r="A1549" s="23" t="s">
        <v>3616</v>
      </c>
      <c r="B1549" s="59" t="s">
        <v>10748</v>
      </c>
      <c r="C1549" s="59" t="s">
        <v>457</v>
      </c>
      <c r="D1549" s="356" t="s">
        <v>7168</v>
      </c>
      <c r="E1549" s="356" t="s">
        <v>7264</v>
      </c>
      <c r="F1549" s="23" t="s">
        <v>7278</v>
      </c>
      <c r="G1549" s="59" t="s">
        <v>403</v>
      </c>
      <c r="H1549" s="353">
        <v>4647.1400000000003</v>
      </c>
      <c r="I1549" s="59"/>
      <c r="J1549" s="59" t="s">
        <v>10760</v>
      </c>
      <c r="K1549" s="20"/>
      <c r="L1549" s="20"/>
      <c r="M1549" s="357"/>
      <c r="N1549" s="411"/>
      <c r="O1549" s="23" t="s">
        <v>597</v>
      </c>
      <c r="P1549" s="18" t="s">
        <v>632</v>
      </c>
      <c r="Q1549" s="18" t="s">
        <v>2581</v>
      </c>
      <c r="R1549" s="372" t="str">
        <f t="shared" si="44"/>
        <v/>
      </c>
      <c r="S1549" s="106"/>
      <c r="T1549" s="107"/>
      <c r="U1549" s="108"/>
      <c r="V1549" s="108"/>
      <c r="W1549" s="108"/>
      <c r="X1549" s="108"/>
    </row>
    <row r="1550" spans="1:24" x14ac:dyDescent="0.25">
      <c r="A1550" s="23" t="s">
        <v>3616</v>
      </c>
      <c r="B1550" s="59" t="s">
        <v>10748</v>
      </c>
      <c r="C1550" s="59" t="s">
        <v>457</v>
      </c>
      <c r="D1550" s="356" t="s">
        <v>7168</v>
      </c>
      <c r="E1550" s="356" t="s">
        <v>7264</v>
      </c>
      <c r="F1550" s="23" t="s">
        <v>7279</v>
      </c>
      <c r="G1550" s="59" t="s">
        <v>403</v>
      </c>
      <c r="H1550" s="353">
        <v>1215.0999999999999</v>
      </c>
      <c r="I1550" s="59"/>
      <c r="J1550" s="59" t="s">
        <v>10761</v>
      </c>
      <c r="K1550" s="20"/>
      <c r="L1550" s="20">
        <v>1</v>
      </c>
      <c r="M1550" s="357">
        <f>H1550</f>
        <v>1215.0999999999999</v>
      </c>
      <c r="N1550" s="411">
        <f>IFERROR((M1550/(VLOOKUP(B1550,'Data Pull Sheet'!$C:$H,6,FALSE))),"DC")</f>
        <v>4.0503333333333329E-5</v>
      </c>
      <c r="O1550" s="23" t="s">
        <v>63</v>
      </c>
      <c r="P1550" s="18" t="s">
        <v>632</v>
      </c>
      <c r="Q1550" s="18" t="s">
        <v>637</v>
      </c>
      <c r="R1550" s="372" t="str">
        <f t="shared" si="44"/>
        <v/>
      </c>
      <c r="S1550" s="106"/>
      <c r="T1550" s="107"/>
      <c r="U1550" s="108"/>
      <c r="V1550" s="108"/>
      <c r="W1550" s="108"/>
      <c r="X1550" s="108"/>
    </row>
    <row r="1551" spans="1:24" x14ac:dyDescent="0.25">
      <c r="A1551" s="23" t="s">
        <v>7285</v>
      </c>
      <c r="B1551" s="59" t="s">
        <v>7607</v>
      </c>
      <c r="C1551" s="59" t="s">
        <v>7286</v>
      </c>
      <c r="D1551" s="356" t="s">
        <v>7287</v>
      </c>
      <c r="E1551" s="356" t="s">
        <v>7264</v>
      </c>
      <c r="F1551" s="23" t="s">
        <v>7288</v>
      </c>
      <c r="G1551" s="59" t="s">
        <v>403</v>
      </c>
      <c r="H1551" s="353">
        <v>201250</v>
      </c>
      <c r="I1551" s="59" t="s">
        <v>406</v>
      </c>
      <c r="J1551" s="59" t="s">
        <v>7889</v>
      </c>
      <c r="K1551" s="20">
        <v>5</v>
      </c>
      <c r="L1551" s="20">
        <v>5</v>
      </c>
      <c r="M1551" s="357">
        <f>SUM(H1551:H1555)</f>
        <v>1169492</v>
      </c>
      <c r="N1551" s="411">
        <f>IFERROR((M1551/(VLOOKUP(B1551,'Data Pull Sheet'!$C:$H,6,FALSE))),"DC")</f>
        <v>1.7992184615384615E-3</v>
      </c>
      <c r="O1551" s="23" t="s">
        <v>7289</v>
      </c>
      <c r="P1551" s="18" t="s">
        <v>632</v>
      </c>
      <c r="Q1551" s="18" t="s">
        <v>646</v>
      </c>
      <c r="R1551" s="372" t="str">
        <f t="shared" si="44"/>
        <v/>
      </c>
      <c r="S1551" s="106"/>
      <c r="T1551" s="107"/>
      <c r="U1551" s="108"/>
      <c r="V1551" s="108"/>
      <c r="W1551" s="108"/>
      <c r="X1551" s="108"/>
    </row>
    <row r="1552" spans="1:24" x14ac:dyDescent="0.25">
      <c r="A1552" s="23" t="s">
        <v>7285</v>
      </c>
      <c r="B1552" s="59" t="s">
        <v>7607</v>
      </c>
      <c r="C1552" s="59" t="s">
        <v>7286</v>
      </c>
      <c r="D1552" s="356" t="s">
        <v>7287</v>
      </c>
      <c r="E1552" s="356" t="s">
        <v>7264</v>
      </c>
      <c r="F1552" s="23" t="s">
        <v>7290</v>
      </c>
      <c r="G1552" s="59" t="s">
        <v>403</v>
      </c>
      <c r="H1552" s="353">
        <v>269212</v>
      </c>
      <c r="I1552" s="59" t="s">
        <v>406</v>
      </c>
      <c r="J1552" s="59" t="s">
        <v>7883</v>
      </c>
      <c r="K1552" s="20"/>
      <c r="L1552" s="20"/>
      <c r="M1552" s="357"/>
      <c r="N1552" s="411"/>
      <c r="O1552" s="23" t="s">
        <v>7289</v>
      </c>
      <c r="P1552" s="18" t="s">
        <v>632</v>
      </c>
      <c r="Q1552" s="18" t="s">
        <v>646</v>
      </c>
      <c r="R1552" s="372" t="str">
        <f t="shared" si="44"/>
        <v/>
      </c>
      <c r="S1552" s="106"/>
      <c r="T1552" s="107"/>
      <c r="U1552" s="108"/>
      <c r="V1552" s="108"/>
      <c r="W1552" s="108"/>
      <c r="X1552" s="108"/>
    </row>
    <row r="1553" spans="1:24" x14ac:dyDescent="0.25">
      <c r="A1553" s="23" t="s">
        <v>7285</v>
      </c>
      <c r="B1553" s="59" t="s">
        <v>7607</v>
      </c>
      <c r="C1553" s="59" t="s">
        <v>7286</v>
      </c>
      <c r="D1553" s="356" t="s">
        <v>7287</v>
      </c>
      <c r="E1553" s="356" t="s">
        <v>7264</v>
      </c>
      <c r="F1553" s="23" t="s">
        <v>7291</v>
      </c>
      <c r="G1553" s="59" t="s">
        <v>403</v>
      </c>
      <c r="H1553" s="353">
        <v>126950</v>
      </c>
      <c r="I1553" s="59" t="s">
        <v>406</v>
      </c>
      <c r="J1553" s="59" t="s">
        <v>7897</v>
      </c>
      <c r="K1553" s="20"/>
      <c r="L1553" s="20"/>
      <c r="M1553" s="357"/>
      <c r="N1553" s="411"/>
      <c r="O1553" s="23" t="s">
        <v>7289</v>
      </c>
      <c r="P1553" s="18" t="s">
        <v>632</v>
      </c>
      <c r="Q1553" s="18" t="s">
        <v>646</v>
      </c>
      <c r="R1553" s="372" t="str">
        <f t="shared" si="44"/>
        <v/>
      </c>
      <c r="S1553" s="106"/>
      <c r="T1553" s="107"/>
      <c r="U1553" s="108"/>
      <c r="V1553" s="108"/>
      <c r="W1553" s="108"/>
      <c r="X1553" s="108"/>
    </row>
    <row r="1554" spans="1:24" x14ac:dyDescent="0.25">
      <c r="A1554" s="23" t="s">
        <v>7285</v>
      </c>
      <c r="B1554" s="59" t="s">
        <v>7607</v>
      </c>
      <c r="C1554" s="59" t="s">
        <v>7286</v>
      </c>
      <c r="D1554" s="356" t="s">
        <v>7287</v>
      </c>
      <c r="E1554" s="356" t="s">
        <v>7264</v>
      </c>
      <c r="F1554" s="23" t="s">
        <v>7292</v>
      </c>
      <c r="G1554" s="59" t="s">
        <v>403</v>
      </c>
      <c r="H1554" s="353">
        <v>379781</v>
      </c>
      <c r="I1554" s="59" t="s">
        <v>406</v>
      </c>
      <c r="J1554" s="59" t="s">
        <v>7898</v>
      </c>
      <c r="K1554" s="20"/>
      <c r="L1554" s="20"/>
      <c r="M1554" s="357"/>
      <c r="N1554" s="411"/>
      <c r="O1554" s="23" t="s">
        <v>7289</v>
      </c>
      <c r="P1554" s="18" t="s">
        <v>632</v>
      </c>
      <c r="Q1554" s="18" t="s">
        <v>646</v>
      </c>
      <c r="R1554" s="372" t="str">
        <f t="shared" si="44"/>
        <v/>
      </c>
      <c r="S1554" s="106"/>
      <c r="T1554" s="107"/>
      <c r="U1554" s="108"/>
      <c r="V1554" s="108"/>
      <c r="W1554" s="108"/>
      <c r="X1554" s="108"/>
    </row>
    <row r="1555" spans="1:24" x14ac:dyDescent="0.25">
      <c r="A1555" s="23" t="s">
        <v>7285</v>
      </c>
      <c r="B1555" s="59" t="s">
        <v>7607</v>
      </c>
      <c r="C1555" s="59" t="s">
        <v>7286</v>
      </c>
      <c r="D1555" s="356" t="s">
        <v>7287</v>
      </c>
      <c r="E1555" s="356" t="s">
        <v>7264</v>
      </c>
      <c r="F1555" s="23" t="s">
        <v>7293</v>
      </c>
      <c r="G1555" s="59" t="s">
        <v>403</v>
      </c>
      <c r="H1555" s="353">
        <v>192299</v>
      </c>
      <c r="I1555" s="59" t="s">
        <v>406</v>
      </c>
      <c r="J1555" s="59" t="s">
        <v>7888</v>
      </c>
      <c r="K1555" s="20"/>
      <c r="L1555" s="20"/>
      <c r="M1555" s="357"/>
      <c r="N1555" s="411"/>
      <c r="O1555" s="23" t="s">
        <v>7289</v>
      </c>
      <c r="P1555" s="18" t="s">
        <v>632</v>
      </c>
      <c r="Q1555" s="18" t="s">
        <v>646</v>
      </c>
      <c r="R1555" s="372" t="str">
        <f t="shared" si="44"/>
        <v/>
      </c>
      <c r="S1555" s="106"/>
      <c r="T1555" s="107"/>
      <c r="U1555" s="108"/>
      <c r="V1555" s="108"/>
      <c r="W1555" s="108"/>
      <c r="X1555" s="108"/>
    </row>
    <row r="1556" spans="1:24" x14ac:dyDescent="0.25">
      <c r="A1556" s="23" t="s">
        <v>7285</v>
      </c>
      <c r="B1556" s="59" t="s">
        <v>7607</v>
      </c>
      <c r="C1556" s="59" t="s">
        <v>7286</v>
      </c>
      <c r="D1556" s="356" t="s">
        <v>7287</v>
      </c>
      <c r="E1556" s="356" t="s">
        <v>7264</v>
      </c>
      <c r="F1556" s="23" t="s">
        <v>7294</v>
      </c>
      <c r="G1556" s="59" t="s">
        <v>403</v>
      </c>
      <c r="H1556" s="353">
        <v>64950.93</v>
      </c>
      <c r="I1556" s="59" t="s">
        <v>406</v>
      </c>
      <c r="J1556" s="59" t="s">
        <v>7899</v>
      </c>
      <c r="K1556" s="20"/>
      <c r="L1556" s="20">
        <v>2</v>
      </c>
      <c r="M1556" s="357">
        <f>SUM(H1556:H1557)</f>
        <v>230763.59</v>
      </c>
      <c r="N1556" s="411">
        <f>IFERROR((M1556/(VLOOKUP(B1556,'Data Pull Sheet'!$C:$H,6,FALSE))),"DC")</f>
        <v>3.5502090769230771E-4</v>
      </c>
      <c r="O1556" s="23" t="s">
        <v>4392</v>
      </c>
      <c r="P1556" s="18" t="s">
        <v>632</v>
      </c>
      <c r="Q1556" s="18" t="s">
        <v>646</v>
      </c>
      <c r="R1556" s="372" t="str">
        <f t="shared" si="44"/>
        <v/>
      </c>
      <c r="S1556" s="106"/>
      <c r="T1556" s="107"/>
      <c r="U1556" s="108"/>
      <c r="V1556" s="108"/>
      <c r="W1556" s="108"/>
      <c r="X1556" s="108"/>
    </row>
    <row r="1557" spans="1:24" x14ac:dyDescent="0.25">
      <c r="A1557" s="23" t="s">
        <v>7285</v>
      </c>
      <c r="B1557" s="59" t="s">
        <v>7607</v>
      </c>
      <c r="C1557" s="59" t="s">
        <v>7286</v>
      </c>
      <c r="D1557" s="356" t="s">
        <v>7287</v>
      </c>
      <c r="E1557" s="356" t="s">
        <v>7264</v>
      </c>
      <c r="F1557" s="23" t="s">
        <v>7295</v>
      </c>
      <c r="G1557" s="59" t="s">
        <v>403</v>
      </c>
      <c r="H1557" s="353">
        <v>165812.66</v>
      </c>
      <c r="I1557" s="59" t="s">
        <v>406</v>
      </c>
      <c r="J1557" s="59" t="s">
        <v>7882</v>
      </c>
      <c r="K1557" s="20"/>
      <c r="L1557" s="20"/>
      <c r="M1557" s="357"/>
      <c r="N1557" s="411"/>
      <c r="O1557" s="23" t="s">
        <v>4392</v>
      </c>
      <c r="P1557" s="18" t="s">
        <v>632</v>
      </c>
      <c r="Q1557" s="18" t="s">
        <v>646</v>
      </c>
      <c r="R1557" s="372" t="str">
        <f t="shared" si="44"/>
        <v/>
      </c>
      <c r="S1557" s="106"/>
      <c r="T1557" s="107"/>
      <c r="U1557" s="108"/>
      <c r="V1557" s="108"/>
      <c r="W1557" s="108"/>
      <c r="X1557" s="108"/>
    </row>
    <row r="1558" spans="1:24" x14ac:dyDescent="0.25">
      <c r="A1558" s="23" t="s">
        <v>7285</v>
      </c>
      <c r="B1558" s="59" t="s">
        <v>7607</v>
      </c>
      <c r="C1558" s="59" t="s">
        <v>7286</v>
      </c>
      <c r="D1558" s="356" t="s">
        <v>7287</v>
      </c>
      <c r="E1558" s="356" t="s">
        <v>7264</v>
      </c>
      <c r="F1558" s="23" t="s">
        <v>10451</v>
      </c>
      <c r="G1558" s="59" t="s">
        <v>417</v>
      </c>
      <c r="H1558" s="353">
        <v>499245.37</v>
      </c>
      <c r="I1558" s="59"/>
      <c r="J1558" s="59" t="s">
        <v>10452</v>
      </c>
      <c r="K1558" s="20"/>
      <c r="L1558" s="20">
        <v>1</v>
      </c>
      <c r="M1558" s="357">
        <f>+H1558</f>
        <v>499245.37</v>
      </c>
      <c r="N1558" s="411">
        <f>IFERROR((M1558/(VLOOKUP(B1558,'Data Pull Sheet'!$C:$H,6,FALSE))),"DC")</f>
        <v>7.6806979999999997E-4</v>
      </c>
      <c r="O1558" s="23" t="s">
        <v>56</v>
      </c>
      <c r="P1558" s="18" t="s">
        <v>632</v>
      </c>
      <c r="Q1558" s="18" t="s">
        <v>633</v>
      </c>
      <c r="R1558" s="372" t="str">
        <f t="shared" si="44"/>
        <v/>
      </c>
      <c r="S1558" s="106"/>
      <c r="T1558" s="107"/>
      <c r="U1558" s="108"/>
      <c r="V1558" s="108"/>
      <c r="W1558" s="108"/>
      <c r="X1558" s="108"/>
    </row>
    <row r="1559" spans="1:24" x14ac:dyDescent="0.25">
      <c r="A1559" s="23" t="s">
        <v>7285</v>
      </c>
      <c r="B1559" s="59" t="s">
        <v>7607</v>
      </c>
      <c r="C1559" s="59" t="s">
        <v>7286</v>
      </c>
      <c r="D1559" s="356" t="s">
        <v>7287</v>
      </c>
      <c r="E1559" s="356" t="s">
        <v>7264</v>
      </c>
      <c r="F1559" s="23" t="s">
        <v>7296</v>
      </c>
      <c r="G1559" s="59" t="s">
        <v>403</v>
      </c>
      <c r="H1559" s="353">
        <v>2989482.59</v>
      </c>
      <c r="I1559" s="59"/>
      <c r="J1559" s="59" t="s">
        <v>7891</v>
      </c>
      <c r="K1559" s="20"/>
      <c r="L1559" s="20">
        <v>1</v>
      </c>
      <c r="M1559" s="357">
        <f>H1559</f>
        <v>2989482.59</v>
      </c>
      <c r="N1559" s="411">
        <f>IFERROR((M1559/(VLOOKUP(B1559,'Data Pull Sheet'!$C:$H,6,FALSE))),"DC")</f>
        <v>4.5992039846153845E-3</v>
      </c>
      <c r="O1559" s="23" t="s">
        <v>63</v>
      </c>
      <c r="P1559" s="18" t="s">
        <v>632</v>
      </c>
      <c r="Q1559" s="18" t="s">
        <v>637</v>
      </c>
      <c r="R1559" s="372" t="str">
        <f t="shared" si="44"/>
        <v/>
      </c>
      <c r="S1559" s="106"/>
      <c r="T1559" s="107"/>
      <c r="U1559" s="108"/>
      <c r="V1559" s="108"/>
      <c r="W1559" s="108"/>
      <c r="X1559" s="108"/>
    </row>
    <row r="1560" spans="1:24" ht="45" x14ac:dyDescent="0.25">
      <c r="A1560" s="23" t="s">
        <v>7285</v>
      </c>
      <c r="B1560" s="59" t="s">
        <v>7607</v>
      </c>
      <c r="C1560" s="59" t="s">
        <v>7286</v>
      </c>
      <c r="D1560" s="356" t="s">
        <v>7287</v>
      </c>
      <c r="E1560" s="356" t="s">
        <v>7264</v>
      </c>
      <c r="F1560" s="23" t="s">
        <v>7297</v>
      </c>
      <c r="G1560" s="59" t="s">
        <v>417</v>
      </c>
      <c r="H1560" s="353">
        <v>407235.36</v>
      </c>
      <c r="I1560" s="59"/>
      <c r="J1560" s="59" t="s">
        <v>7900</v>
      </c>
      <c r="K1560" s="20"/>
      <c r="L1560" s="20">
        <v>1</v>
      </c>
      <c r="M1560" s="357">
        <f>H1560</f>
        <v>407235.36</v>
      </c>
      <c r="N1560" s="411">
        <f>IFERROR((M1560/(VLOOKUP(B1560,'Data Pull Sheet'!$C:$H,6,FALSE))),"DC")</f>
        <v>6.2651593846153842E-4</v>
      </c>
      <c r="O1560" s="23" t="s">
        <v>7</v>
      </c>
      <c r="P1560" s="18" t="s">
        <v>632</v>
      </c>
      <c r="Q1560" s="18" t="s">
        <v>633</v>
      </c>
      <c r="R1560" s="372" t="str">
        <f t="shared" si="44"/>
        <v>FF</v>
      </c>
      <c r="S1560" s="106"/>
      <c r="T1560" s="107"/>
      <c r="U1560" s="108"/>
      <c r="V1560" s="108"/>
      <c r="W1560" s="108"/>
      <c r="X1560" s="108"/>
    </row>
    <row r="1561" spans="1:24" x14ac:dyDescent="0.25">
      <c r="A1561" s="23" t="s">
        <v>7256</v>
      </c>
      <c r="B1561" s="59" t="s">
        <v>7558</v>
      </c>
      <c r="C1561" s="59" t="s">
        <v>3449</v>
      </c>
      <c r="D1561" s="356" t="s">
        <v>7257</v>
      </c>
      <c r="E1561" s="356" t="s">
        <v>7156</v>
      </c>
      <c r="F1561" s="23" t="s">
        <v>7258</v>
      </c>
      <c r="G1561" s="59" t="s">
        <v>403</v>
      </c>
      <c r="H1561" s="353">
        <v>8529.9500000000007</v>
      </c>
      <c r="I1561" s="59"/>
      <c r="J1561" s="59" t="s">
        <v>7855</v>
      </c>
      <c r="K1561" s="20">
        <v>1</v>
      </c>
      <c r="L1561" s="20">
        <v>2</v>
      </c>
      <c r="M1561" s="357">
        <f>SUM(H1561:H1562)</f>
        <v>14529.95</v>
      </c>
      <c r="N1561" s="411">
        <f>IFERROR((M1561/(VLOOKUP(B1561,'Data Pull Sheet'!$C:$H,6,FALSE))),"DC")</f>
        <v>2.2353769230769233E-2</v>
      </c>
      <c r="O1561" s="23" t="s">
        <v>7259</v>
      </c>
      <c r="P1561" s="18" t="s">
        <v>632</v>
      </c>
      <c r="Q1561" s="18" t="s">
        <v>646</v>
      </c>
      <c r="R1561" s="372" t="str">
        <f t="shared" si="44"/>
        <v/>
      </c>
      <c r="S1561" s="106"/>
      <c r="T1561" s="107"/>
      <c r="U1561" s="108"/>
      <c r="V1561" s="108"/>
      <c r="W1561" s="108"/>
      <c r="X1561" s="108"/>
    </row>
    <row r="1562" spans="1:24" x14ac:dyDescent="0.25">
      <c r="A1562" s="23" t="s">
        <v>7256</v>
      </c>
      <c r="B1562" s="59" t="s">
        <v>7558</v>
      </c>
      <c r="C1562" s="59" t="s">
        <v>3449</v>
      </c>
      <c r="D1562" s="356" t="s">
        <v>7257</v>
      </c>
      <c r="E1562" s="356" t="s">
        <v>7156</v>
      </c>
      <c r="F1562" s="23" t="s">
        <v>7260</v>
      </c>
      <c r="G1562" s="59" t="s">
        <v>403</v>
      </c>
      <c r="H1562" s="353">
        <v>6000</v>
      </c>
      <c r="I1562" s="59"/>
      <c r="J1562" s="59" t="s">
        <v>7890</v>
      </c>
      <c r="K1562" s="20"/>
      <c r="L1562" s="20"/>
      <c r="M1562" s="357"/>
      <c r="N1562" s="411"/>
      <c r="O1562" s="23" t="s">
        <v>7259</v>
      </c>
      <c r="P1562" s="18" t="s">
        <v>632</v>
      </c>
      <c r="Q1562" s="18" t="s">
        <v>646</v>
      </c>
      <c r="R1562" s="372" t="str">
        <f t="shared" si="44"/>
        <v/>
      </c>
      <c r="S1562" s="106"/>
      <c r="T1562" s="107"/>
      <c r="U1562" s="108"/>
      <c r="V1562" s="108"/>
      <c r="W1562" s="108"/>
      <c r="X1562" s="108"/>
    </row>
    <row r="1563" spans="1:24" x14ac:dyDescent="0.25">
      <c r="A1563" s="23" t="s">
        <v>3411</v>
      </c>
      <c r="B1563" s="59" t="s">
        <v>5152</v>
      </c>
      <c r="C1563" s="59" t="s">
        <v>418</v>
      </c>
      <c r="D1563" s="356" t="s">
        <v>497</v>
      </c>
      <c r="E1563" s="356" t="s">
        <v>7156</v>
      </c>
      <c r="F1563" s="23" t="s">
        <v>3414</v>
      </c>
      <c r="G1563" s="59" t="s">
        <v>403</v>
      </c>
      <c r="H1563" s="353">
        <v>2025.52</v>
      </c>
      <c r="I1563" s="59"/>
      <c r="J1563" s="59" t="s">
        <v>3413</v>
      </c>
      <c r="K1563" s="20">
        <v>4</v>
      </c>
      <c r="L1563" s="20">
        <v>2</v>
      </c>
      <c r="M1563" s="357">
        <f>SUM(H1563:H1564)</f>
        <v>3076.3199999999997</v>
      </c>
      <c r="N1563" s="411">
        <f>IFERROR((M1563/(VLOOKUP(B1563,'Data Pull Sheet'!$C:$H,6,FALSE))),"DC")</f>
        <v>5.1271999999999998E-6</v>
      </c>
      <c r="O1563" s="23" t="s">
        <v>885</v>
      </c>
      <c r="P1563" s="18" t="s">
        <v>632</v>
      </c>
      <c r="Q1563" s="18" t="s">
        <v>646</v>
      </c>
      <c r="R1563" s="372" t="str">
        <f t="shared" si="44"/>
        <v>FF</v>
      </c>
      <c r="S1563" s="106"/>
      <c r="T1563" s="107"/>
      <c r="U1563" s="108"/>
      <c r="V1563" s="108"/>
      <c r="W1563" s="108"/>
      <c r="X1563" s="108"/>
    </row>
    <row r="1564" spans="1:24" x14ac:dyDescent="0.25">
      <c r="A1564" s="23" t="s">
        <v>3411</v>
      </c>
      <c r="B1564" s="59" t="s">
        <v>5152</v>
      </c>
      <c r="C1564" s="59" t="s">
        <v>418</v>
      </c>
      <c r="D1564" s="356" t="s">
        <v>497</v>
      </c>
      <c r="E1564" s="356" t="s">
        <v>7156</v>
      </c>
      <c r="F1564" s="23" t="s">
        <v>3412</v>
      </c>
      <c r="G1564" s="59" t="s">
        <v>403</v>
      </c>
      <c r="H1564" s="353">
        <v>1050.8</v>
      </c>
      <c r="I1564" s="59"/>
      <c r="J1564" s="59" t="s">
        <v>3415</v>
      </c>
      <c r="K1564" s="20"/>
      <c r="L1564" s="20"/>
      <c r="M1564" s="357"/>
      <c r="N1564" s="411"/>
      <c r="O1564" s="23" t="s">
        <v>885</v>
      </c>
      <c r="P1564" s="18" t="s">
        <v>632</v>
      </c>
      <c r="Q1564" s="18" t="s">
        <v>646</v>
      </c>
      <c r="R1564" s="372" t="str">
        <f t="shared" si="44"/>
        <v>FF</v>
      </c>
      <c r="S1564" s="106"/>
      <c r="T1564" s="107"/>
      <c r="U1564" s="108"/>
      <c r="V1564" s="108"/>
      <c r="W1564" s="108"/>
      <c r="X1564" s="108"/>
    </row>
    <row r="1565" spans="1:24" x14ac:dyDescent="0.25">
      <c r="A1565" s="23" t="s">
        <v>3411</v>
      </c>
      <c r="B1565" s="59" t="s">
        <v>5152</v>
      </c>
      <c r="C1565" s="59" t="s">
        <v>418</v>
      </c>
      <c r="D1565" s="356" t="s">
        <v>497</v>
      </c>
      <c r="E1565" s="356" t="s">
        <v>7156</v>
      </c>
      <c r="F1565" s="23" t="s">
        <v>7253</v>
      </c>
      <c r="G1565" s="59" t="s">
        <v>403</v>
      </c>
      <c r="H1565" s="353">
        <v>25045</v>
      </c>
      <c r="I1565" s="59"/>
      <c r="J1565" s="59" t="s">
        <v>7863</v>
      </c>
      <c r="K1565" s="20"/>
      <c r="L1565" s="20">
        <v>1</v>
      </c>
      <c r="M1565" s="357">
        <f>H1565</f>
        <v>25045</v>
      </c>
      <c r="N1565" s="411">
        <f>IFERROR((M1565/(VLOOKUP(B1565,'Data Pull Sheet'!$C:$H,6,FALSE))),"DC")</f>
        <v>4.1741666666666667E-5</v>
      </c>
      <c r="O1565" s="23" t="s">
        <v>682</v>
      </c>
      <c r="P1565" s="18" t="s">
        <v>632</v>
      </c>
      <c r="Q1565" s="18" t="s">
        <v>646</v>
      </c>
      <c r="R1565" s="372" t="str">
        <f t="shared" si="44"/>
        <v/>
      </c>
      <c r="S1565" s="106"/>
      <c r="T1565" s="107"/>
      <c r="U1565" s="108"/>
      <c r="V1565" s="108"/>
      <c r="W1565" s="108"/>
      <c r="X1565" s="108"/>
    </row>
    <row r="1566" spans="1:24" x14ac:dyDescent="0.25">
      <c r="A1566" s="23" t="s">
        <v>3411</v>
      </c>
      <c r="B1566" s="59" t="s">
        <v>5152</v>
      </c>
      <c r="C1566" s="59" t="s">
        <v>418</v>
      </c>
      <c r="D1566" s="356" t="s">
        <v>497</v>
      </c>
      <c r="E1566" s="356" t="s">
        <v>7156</v>
      </c>
      <c r="F1566" s="23" t="s">
        <v>249</v>
      </c>
      <c r="G1566" s="59" t="s">
        <v>417</v>
      </c>
      <c r="H1566" s="353">
        <v>3610647.72</v>
      </c>
      <c r="I1566" s="59" t="s">
        <v>413</v>
      </c>
      <c r="J1566" s="59" t="s">
        <v>7864</v>
      </c>
      <c r="K1566" s="20"/>
      <c r="L1566" s="20">
        <v>1</v>
      </c>
      <c r="M1566" s="357">
        <f>H1566</f>
        <v>3610647.72</v>
      </c>
      <c r="N1566" s="411">
        <f>IFERROR((M1566/(VLOOKUP(B1566,'Data Pull Sheet'!$C:$H,6,FALSE))),"DC")</f>
        <v>6.0177462000000001E-3</v>
      </c>
      <c r="O1566" s="23" t="s">
        <v>1</v>
      </c>
      <c r="P1566" s="18" t="s">
        <v>632</v>
      </c>
      <c r="Q1566" s="18" t="s">
        <v>633</v>
      </c>
      <c r="R1566" s="372" t="str">
        <f t="shared" si="44"/>
        <v>FF</v>
      </c>
      <c r="S1566" s="106"/>
      <c r="T1566" s="107"/>
      <c r="U1566" s="108"/>
      <c r="V1566" s="108"/>
      <c r="W1566" s="108"/>
      <c r="X1566" s="108"/>
    </row>
    <row r="1567" spans="1:24" x14ac:dyDescent="0.25">
      <c r="A1567" s="23" t="s">
        <v>3411</v>
      </c>
      <c r="B1567" s="59" t="s">
        <v>5152</v>
      </c>
      <c r="C1567" s="59" t="s">
        <v>418</v>
      </c>
      <c r="D1567" s="356" t="s">
        <v>497</v>
      </c>
      <c r="E1567" s="356" t="s">
        <v>7156</v>
      </c>
      <c r="F1567" s="23" t="s">
        <v>7255</v>
      </c>
      <c r="G1567" s="59" t="s">
        <v>417</v>
      </c>
      <c r="H1567" s="353">
        <v>1513194.4</v>
      </c>
      <c r="I1567" s="59" t="s">
        <v>442</v>
      </c>
      <c r="J1567" s="59" t="s">
        <v>7887</v>
      </c>
      <c r="K1567" s="20"/>
      <c r="L1567" s="20">
        <v>1</v>
      </c>
      <c r="M1567" s="357">
        <f>H1567</f>
        <v>1513194.4</v>
      </c>
      <c r="N1567" s="411">
        <f>IFERROR((M1567/(VLOOKUP(B1567,'Data Pull Sheet'!$C:$H,6,FALSE))),"DC")</f>
        <v>2.5219906666666663E-3</v>
      </c>
      <c r="O1567" s="23" t="s">
        <v>7</v>
      </c>
      <c r="P1567" s="18" t="s">
        <v>632</v>
      </c>
      <c r="Q1567" s="18" t="s">
        <v>633</v>
      </c>
      <c r="R1567" s="372" t="str">
        <f t="shared" si="44"/>
        <v>FF</v>
      </c>
      <c r="S1567" s="106"/>
      <c r="T1567" s="107"/>
      <c r="U1567" s="108"/>
      <c r="V1567" s="108"/>
      <c r="W1567" s="108"/>
      <c r="X1567" s="108"/>
    </row>
    <row r="1568" spans="1:24" x14ac:dyDescent="0.25">
      <c r="A1568" s="23" t="s">
        <v>7261</v>
      </c>
      <c r="B1568" s="59" t="s">
        <v>7609</v>
      </c>
      <c r="C1568" s="59" t="s">
        <v>1008</v>
      </c>
      <c r="D1568" s="356" t="s">
        <v>7257</v>
      </c>
      <c r="E1568" s="356" t="s">
        <v>7156</v>
      </c>
      <c r="F1568" s="23" t="s">
        <v>7262</v>
      </c>
      <c r="G1568" s="59" t="s">
        <v>403</v>
      </c>
      <c r="H1568" s="353">
        <v>73094.320000000007</v>
      </c>
      <c r="I1568" s="59"/>
      <c r="J1568" s="59" t="s">
        <v>10453</v>
      </c>
      <c r="K1568" s="20">
        <v>1</v>
      </c>
      <c r="L1568" s="20">
        <v>1</v>
      </c>
      <c r="M1568" s="357">
        <f>H1568</f>
        <v>73094.320000000007</v>
      </c>
      <c r="N1568" s="411">
        <f>IFERROR((M1568/(VLOOKUP(B1568,'Data Pull Sheet'!$C:$H,6,FALSE))),"DC")</f>
        <v>2.9237728000000004E-2</v>
      </c>
      <c r="O1568" s="23" t="s">
        <v>682</v>
      </c>
      <c r="P1568" s="18" t="s">
        <v>676</v>
      </c>
      <c r="Q1568" s="18" t="s">
        <v>637</v>
      </c>
      <c r="R1568" s="372" t="str">
        <f t="shared" si="44"/>
        <v/>
      </c>
      <c r="S1568" s="106"/>
      <c r="T1568" s="107"/>
      <c r="U1568" s="108"/>
      <c r="V1568" s="108"/>
      <c r="W1568" s="108"/>
      <c r="X1568" s="108"/>
    </row>
    <row r="1569" spans="1:24" x14ac:dyDescent="0.25">
      <c r="A1569" s="23" t="s">
        <v>7245</v>
      </c>
      <c r="B1569" s="59" t="s">
        <v>7545</v>
      </c>
      <c r="C1569" s="59" t="s">
        <v>424</v>
      </c>
      <c r="D1569" s="356" t="s">
        <v>600</v>
      </c>
      <c r="E1569" s="356" t="s">
        <v>6970</v>
      </c>
      <c r="F1569" s="23" t="s">
        <v>7246</v>
      </c>
      <c r="G1569" s="59" t="s">
        <v>403</v>
      </c>
      <c r="H1569" s="353">
        <v>465144.71</v>
      </c>
      <c r="I1569" s="59"/>
      <c r="J1569" s="59" t="s">
        <v>7854</v>
      </c>
      <c r="K1569" s="20">
        <v>2</v>
      </c>
      <c r="L1569" s="20">
        <v>2</v>
      </c>
      <c r="M1569" s="357">
        <f>SUM(H1569:H1570)</f>
        <v>677606.40000000002</v>
      </c>
      <c r="N1569" s="411" t="str">
        <f>IFERROR((M1569/(VLOOKUP(B1569,'Data Pull Sheet'!$C:$H,6,FALSE))),"DC")</f>
        <v>DC</v>
      </c>
      <c r="O1569" s="23" t="s">
        <v>2869</v>
      </c>
      <c r="P1569" s="18" t="s">
        <v>632</v>
      </c>
      <c r="Q1569" s="18" t="s">
        <v>646</v>
      </c>
      <c r="R1569" s="372" t="str">
        <f t="shared" si="44"/>
        <v/>
      </c>
      <c r="S1569" s="106"/>
      <c r="T1569" s="107"/>
      <c r="U1569" s="108"/>
      <c r="V1569" s="108"/>
      <c r="W1569" s="108"/>
      <c r="X1569" s="108"/>
    </row>
    <row r="1570" spans="1:24" x14ac:dyDescent="0.25">
      <c r="A1570" s="23" t="s">
        <v>7245</v>
      </c>
      <c r="B1570" s="59" t="s">
        <v>7545</v>
      </c>
      <c r="C1570" s="59" t="s">
        <v>424</v>
      </c>
      <c r="D1570" s="356" t="s">
        <v>600</v>
      </c>
      <c r="E1570" s="356" t="s">
        <v>6970</v>
      </c>
      <c r="F1570" s="23" t="s">
        <v>7247</v>
      </c>
      <c r="G1570" s="59" t="s">
        <v>403</v>
      </c>
      <c r="H1570" s="353">
        <v>212461.69</v>
      </c>
      <c r="I1570" s="59"/>
      <c r="J1570" s="59" t="s">
        <v>7856</v>
      </c>
      <c r="K1570" s="20"/>
      <c r="L1570" s="20"/>
      <c r="M1570" s="357"/>
      <c r="N1570" s="411"/>
      <c r="O1570" s="23" t="s">
        <v>2869</v>
      </c>
      <c r="P1570" s="18" t="s">
        <v>632</v>
      </c>
      <c r="Q1570" s="18" t="s">
        <v>646</v>
      </c>
      <c r="R1570" s="372" t="str">
        <f t="shared" si="44"/>
        <v/>
      </c>
      <c r="S1570" s="106"/>
      <c r="T1570" s="107"/>
      <c r="U1570" s="108"/>
      <c r="V1570" s="108"/>
      <c r="W1570" s="108"/>
      <c r="X1570" s="108"/>
    </row>
    <row r="1571" spans="1:24" x14ac:dyDescent="0.25">
      <c r="A1571" s="23" t="s">
        <v>7245</v>
      </c>
      <c r="B1571" s="59" t="s">
        <v>7545</v>
      </c>
      <c r="C1571" s="59" t="s">
        <v>424</v>
      </c>
      <c r="D1571" s="356" t="s">
        <v>600</v>
      </c>
      <c r="E1571" s="356" t="s">
        <v>6970</v>
      </c>
      <c r="F1571" s="23" t="s">
        <v>7248</v>
      </c>
      <c r="G1571" s="59" t="s">
        <v>403</v>
      </c>
      <c r="H1571" s="353">
        <v>23760</v>
      </c>
      <c r="I1571" s="59"/>
      <c r="J1571" s="59" t="s">
        <v>7878</v>
      </c>
      <c r="K1571" s="20"/>
      <c r="L1571" s="20">
        <v>5</v>
      </c>
      <c r="M1571" s="357">
        <f>SUM(H1571:H1575)</f>
        <v>458201.75</v>
      </c>
      <c r="N1571" s="411" t="str">
        <f>IFERROR((M1571/(VLOOKUP(B1571,'Data Pull Sheet'!$C:$H,6,FALSE))),"DC")</f>
        <v>DC</v>
      </c>
      <c r="O1571" s="23" t="s">
        <v>682</v>
      </c>
      <c r="P1571" s="18" t="s">
        <v>632</v>
      </c>
      <c r="Q1571" s="18" t="s">
        <v>646</v>
      </c>
      <c r="R1571" s="372" t="str">
        <f t="shared" si="44"/>
        <v/>
      </c>
      <c r="S1571" s="106"/>
      <c r="T1571" s="107"/>
      <c r="U1571" s="108"/>
      <c r="V1571" s="108"/>
      <c r="W1571" s="108"/>
      <c r="X1571" s="108"/>
    </row>
    <row r="1572" spans="1:24" x14ac:dyDescent="0.25">
      <c r="A1572" s="23" t="s">
        <v>7245</v>
      </c>
      <c r="B1572" s="59" t="s">
        <v>7545</v>
      </c>
      <c r="C1572" s="59" t="s">
        <v>424</v>
      </c>
      <c r="D1572" s="356" t="s">
        <v>600</v>
      </c>
      <c r="E1572" s="356" t="s">
        <v>6970</v>
      </c>
      <c r="F1572" s="23" t="s">
        <v>7249</v>
      </c>
      <c r="G1572" s="59" t="s">
        <v>403</v>
      </c>
      <c r="H1572" s="353">
        <v>229343.58</v>
      </c>
      <c r="I1572" s="59"/>
      <c r="J1572" s="59" t="s">
        <v>7879</v>
      </c>
      <c r="K1572" s="20"/>
      <c r="L1572" s="20"/>
      <c r="M1572" s="357"/>
      <c r="N1572" s="411"/>
      <c r="O1572" s="23" t="s">
        <v>682</v>
      </c>
      <c r="P1572" s="18" t="s">
        <v>632</v>
      </c>
      <c r="Q1572" s="18" t="s">
        <v>646</v>
      </c>
      <c r="R1572" s="372" t="str">
        <f t="shared" si="44"/>
        <v/>
      </c>
      <c r="S1572" s="106"/>
      <c r="T1572" s="107"/>
      <c r="U1572" s="108"/>
      <c r="V1572" s="108"/>
      <c r="W1572" s="108"/>
      <c r="X1572" s="108"/>
    </row>
    <row r="1573" spans="1:24" x14ac:dyDescent="0.25">
      <c r="A1573" s="23" t="s">
        <v>7245</v>
      </c>
      <c r="B1573" s="59" t="s">
        <v>7545</v>
      </c>
      <c r="C1573" s="59" t="s">
        <v>424</v>
      </c>
      <c r="D1573" s="356" t="s">
        <v>600</v>
      </c>
      <c r="E1573" s="356" t="s">
        <v>6970</v>
      </c>
      <c r="F1573" s="23" t="s">
        <v>7250</v>
      </c>
      <c r="G1573" s="59" t="s">
        <v>403</v>
      </c>
      <c r="H1573" s="353">
        <v>24000</v>
      </c>
      <c r="I1573" s="59"/>
      <c r="J1573" s="59" t="s">
        <v>7884</v>
      </c>
      <c r="K1573" s="20"/>
      <c r="L1573" s="20"/>
      <c r="M1573" s="357"/>
      <c r="N1573" s="411"/>
      <c r="O1573" s="23" t="s">
        <v>682</v>
      </c>
      <c r="P1573" s="18" t="s">
        <v>632</v>
      </c>
      <c r="Q1573" s="18" t="s">
        <v>646</v>
      </c>
      <c r="R1573" s="372" t="str">
        <f t="shared" si="44"/>
        <v/>
      </c>
      <c r="S1573" s="106"/>
      <c r="T1573" s="107"/>
      <c r="U1573" s="108"/>
      <c r="V1573" s="108"/>
      <c r="W1573" s="108"/>
      <c r="X1573" s="108"/>
    </row>
    <row r="1574" spans="1:24" x14ac:dyDescent="0.25">
      <c r="A1574" s="23" t="s">
        <v>7245</v>
      </c>
      <c r="B1574" s="59" t="s">
        <v>7545</v>
      </c>
      <c r="C1574" s="59" t="s">
        <v>424</v>
      </c>
      <c r="D1574" s="356" t="s">
        <v>600</v>
      </c>
      <c r="E1574" s="356" t="s">
        <v>6970</v>
      </c>
      <c r="F1574" s="23" t="s">
        <v>7251</v>
      </c>
      <c r="G1574" s="59" t="s">
        <v>403</v>
      </c>
      <c r="H1574" s="353">
        <v>46525.83</v>
      </c>
      <c r="I1574" s="59"/>
      <c r="J1574" s="59" t="s">
        <v>7885</v>
      </c>
      <c r="K1574" s="20"/>
      <c r="L1574" s="20"/>
      <c r="M1574" s="357"/>
      <c r="N1574" s="411"/>
      <c r="O1574" s="23" t="s">
        <v>682</v>
      </c>
      <c r="P1574" s="18" t="s">
        <v>632</v>
      </c>
      <c r="Q1574" s="18" t="s">
        <v>646</v>
      </c>
      <c r="R1574" s="372" t="str">
        <f t="shared" si="44"/>
        <v/>
      </c>
      <c r="S1574" s="106"/>
      <c r="T1574" s="107"/>
      <c r="U1574" s="108"/>
      <c r="V1574" s="108"/>
      <c r="W1574" s="108"/>
      <c r="X1574" s="108"/>
    </row>
    <row r="1575" spans="1:24" x14ac:dyDescent="0.25">
      <c r="A1575" s="23" t="s">
        <v>7245</v>
      </c>
      <c r="B1575" s="59" t="s">
        <v>7545</v>
      </c>
      <c r="C1575" s="59" t="s">
        <v>424</v>
      </c>
      <c r="D1575" s="356" t="s">
        <v>600</v>
      </c>
      <c r="E1575" s="356" t="s">
        <v>6970</v>
      </c>
      <c r="F1575" s="23" t="s">
        <v>7252</v>
      </c>
      <c r="G1575" s="59" t="s">
        <v>403</v>
      </c>
      <c r="H1575" s="353">
        <v>134572.34</v>
      </c>
      <c r="I1575" s="59"/>
      <c r="J1575" s="59" t="s">
        <v>7886</v>
      </c>
      <c r="K1575" s="20"/>
      <c r="L1575" s="20"/>
      <c r="M1575" s="357"/>
      <c r="N1575" s="411"/>
      <c r="O1575" s="23" t="s">
        <v>682</v>
      </c>
      <c r="P1575" s="18" t="s">
        <v>632</v>
      </c>
      <c r="Q1575" s="18" t="s">
        <v>646</v>
      </c>
      <c r="R1575" s="372" t="str">
        <f t="shared" si="44"/>
        <v/>
      </c>
      <c r="S1575" s="106"/>
      <c r="T1575" s="107"/>
      <c r="U1575" s="108"/>
      <c r="V1575" s="108"/>
      <c r="W1575" s="108"/>
      <c r="X1575" s="108"/>
    </row>
    <row r="1576" spans="1:24" x14ac:dyDescent="0.25">
      <c r="A1576" s="23" t="s">
        <v>7232</v>
      </c>
      <c r="B1576" s="59" t="s">
        <v>7511</v>
      </c>
      <c r="C1576" s="59" t="s">
        <v>418</v>
      </c>
      <c r="D1576" s="356" t="s">
        <v>7228</v>
      </c>
      <c r="E1576" s="356" t="s">
        <v>6945</v>
      </c>
      <c r="F1576" s="23" t="s">
        <v>7233</v>
      </c>
      <c r="G1576" s="59" t="s">
        <v>403</v>
      </c>
      <c r="H1576" s="353">
        <v>7341</v>
      </c>
      <c r="I1576" s="59"/>
      <c r="J1576" s="59" t="s">
        <v>7861</v>
      </c>
      <c r="K1576" s="20">
        <v>4</v>
      </c>
      <c r="L1576" s="20">
        <v>1</v>
      </c>
      <c r="M1576" s="357">
        <f>H1576</f>
        <v>7341</v>
      </c>
      <c r="N1576" s="411">
        <f>IFERROR((M1576/(VLOOKUP(B1576,'Data Pull Sheet'!$C:$H,6,FALSE))),"DC")</f>
        <v>3.0587499999999998E-5</v>
      </c>
      <c r="O1576" s="23" t="s">
        <v>682</v>
      </c>
      <c r="P1576" s="18" t="s">
        <v>632</v>
      </c>
      <c r="Q1576" s="18" t="s">
        <v>637</v>
      </c>
      <c r="R1576" s="372" t="str">
        <f t="shared" si="44"/>
        <v/>
      </c>
      <c r="S1576" s="106"/>
      <c r="T1576" s="107"/>
      <c r="U1576" s="108"/>
      <c r="V1576" s="108"/>
      <c r="W1576" s="108"/>
      <c r="X1576" s="108"/>
    </row>
    <row r="1577" spans="1:24" ht="30" x14ac:dyDescent="0.25">
      <c r="A1577" s="23" t="s">
        <v>7232</v>
      </c>
      <c r="B1577" s="59" t="s">
        <v>7511</v>
      </c>
      <c r="C1577" s="59" t="s">
        <v>418</v>
      </c>
      <c r="D1577" s="356" t="s">
        <v>7228</v>
      </c>
      <c r="E1577" s="356" t="s">
        <v>6945</v>
      </c>
      <c r="F1577" s="23" t="s">
        <v>7234</v>
      </c>
      <c r="G1577" s="59" t="s">
        <v>403</v>
      </c>
      <c r="H1577" s="353">
        <v>37577.980000000003</v>
      </c>
      <c r="I1577" s="59"/>
      <c r="J1577" s="59" t="s">
        <v>7873</v>
      </c>
      <c r="K1577" s="20"/>
      <c r="L1577" s="20">
        <v>4</v>
      </c>
      <c r="M1577" s="357">
        <f>SUM(H1577:H1580)</f>
        <v>85803.98000000001</v>
      </c>
      <c r="N1577" s="411">
        <f>IFERROR((M1577/(VLOOKUP(B1577,'Data Pull Sheet'!$C:$H,6,FALSE))),"DC")</f>
        <v>3.575165833333334E-4</v>
      </c>
      <c r="O1577" s="23" t="s">
        <v>7235</v>
      </c>
      <c r="P1577" s="18" t="s">
        <v>632</v>
      </c>
      <c r="Q1577" s="18" t="s">
        <v>2581</v>
      </c>
      <c r="R1577" s="372" t="str">
        <f t="shared" si="44"/>
        <v/>
      </c>
      <c r="S1577" s="106"/>
      <c r="T1577" s="107"/>
      <c r="U1577" s="108"/>
      <c r="V1577" s="108"/>
      <c r="W1577" s="108"/>
      <c r="X1577" s="108"/>
    </row>
    <row r="1578" spans="1:24" ht="30" x14ac:dyDescent="0.25">
      <c r="A1578" s="23" t="s">
        <v>7232</v>
      </c>
      <c r="B1578" s="59" t="s">
        <v>7511</v>
      </c>
      <c r="C1578" s="59" t="s">
        <v>418</v>
      </c>
      <c r="D1578" s="356" t="s">
        <v>7228</v>
      </c>
      <c r="E1578" s="356" t="s">
        <v>6945</v>
      </c>
      <c r="F1578" s="23" t="s">
        <v>7236</v>
      </c>
      <c r="G1578" s="59" t="s">
        <v>403</v>
      </c>
      <c r="H1578" s="353">
        <v>14765</v>
      </c>
      <c r="I1578" s="59"/>
      <c r="J1578" s="59" t="s">
        <v>7874</v>
      </c>
      <c r="K1578" s="20"/>
      <c r="L1578" s="20"/>
      <c r="M1578" s="357"/>
      <c r="N1578" s="411"/>
      <c r="O1578" s="23" t="s">
        <v>7235</v>
      </c>
      <c r="P1578" s="18" t="s">
        <v>632</v>
      </c>
      <c r="Q1578" s="18" t="s">
        <v>2581</v>
      </c>
      <c r="R1578" s="372" t="str">
        <f t="shared" si="44"/>
        <v/>
      </c>
      <c r="S1578" s="106"/>
      <c r="T1578" s="107"/>
      <c r="U1578" s="108"/>
      <c r="V1578" s="108"/>
      <c r="W1578" s="108"/>
      <c r="X1578" s="108"/>
    </row>
    <row r="1579" spans="1:24" ht="30" x14ac:dyDescent="0.25">
      <c r="A1579" s="23" t="s">
        <v>7232</v>
      </c>
      <c r="B1579" s="59" t="s">
        <v>7511</v>
      </c>
      <c r="C1579" s="59" t="s">
        <v>418</v>
      </c>
      <c r="D1579" s="356" t="s">
        <v>7228</v>
      </c>
      <c r="E1579" s="356" t="s">
        <v>6945</v>
      </c>
      <c r="F1579" s="23" t="s">
        <v>7237</v>
      </c>
      <c r="G1579" s="59" t="s">
        <v>403</v>
      </c>
      <c r="H1579" s="353">
        <v>28307</v>
      </c>
      <c r="I1579" s="59"/>
      <c r="J1579" s="59" t="s">
        <v>7875</v>
      </c>
      <c r="K1579" s="20"/>
      <c r="L1579" s="20"/>
      <c r="M1579" s="357"/>
      <c r="N1579" s="411"/>
      <c r="O1579" s="23" t="s">
        <v>7235</v>
      </c>
      <c r="P1579" s="18" t="s">
        <v>632</v>
      </c>
      <c r="Q1579" s="18" t="s">
        <v>2581</v>
      </c>
      <c r="R1579" s="372" t="str">
        <f t="shared" si="44"/>
        <v/>
      </c>
      <c r="S1579" s="106"/>
      <c r="T1579" s="107"/>
      <c r="U1579" s="108"/>
      <c r="V1579" s="108"/>
      <c r="W1579" s="108"/>
      <c r="X1579" s="108"/>
    </row>
    <row r="1580" spans="1:24" ht="30" x14ac:dyDescent="0.25">
      <c r="A1580" s="23" t="s">
        <v>7232</v>
      </c>
      <c r="B1580" s="59" t="s">
        <v>7511</v>
      </c>
      <c r="C1580" s="59" t="s">
        <v>418</v>
      </c>
      <c r="D1580" s="356" t="s">
        <v>7228</v>
      </c>
      <c r="E1580" s="356" t="s">
        <v>6945</v>
      </c>
      <c r="F1580" s="23" t="s">
        <v>7238</v>
      </c>
      <c r="G1580" s="59" t="s">
        <v>403</v>
      </c>
      <c r="H1580" s="353">
        <v>5154</v>
      </c>
      <c r="I1580" s="59"/>
      <c r="J1580" s="59" t="s">
        <v>7876</v>
      </c>
      <c r="K1580" s="20"/>
      <c r="L1580" s="20"/>
      <c r="M1580" s="357"/>
      <c r="N1580" s="411"/>
      <c r="O1580" s="23" t="s">
        <v>7235</v>
      </c>
      <c r="P1580" s="18" t="s">
        <v>632</v>
      </c>
      <c r="Q1580" s="18" t="s">
        <v>2581</v>
      </c>
      <c r="R1580" s="372" t="str">
        <f t="shared" si="44"/>
        <v/>
      </c>
      <c r="S1580" s="106"/>
      <c r="T1580" s="107"/>
      <c r="U1580" s="108"/>
      <c r="V1580" s="108"/>
      <c r="W1580" s="108"/>
      <c r="X1580" s="108"/>
    </row>
    <row r="1581" spans="1:24" x14ac:dyDescent="0.25">
      <c r="A1581" s="23" t="s">
        <v>7232</v>
      </c>
      <c r="B1581" s="59" t="s">
        <v>7511</v>
      </c>
      <c r="C1581" s="59" t="s">
        <v>418</v>
      </c>
      <c r="D1581" s="356" t="s">
        <v>7228</v>
      </c>
      <c r="E1581" s="356" t="s">
        <v>6945</v>
      </c>
      <c r="F1581" s="23" t="s">
        <v>7239</v>
      </c>
      <c r="G1581" s="59" t="s">
        <v>403</v>
      </c>
      <c r="H1581" s="353">
        <v>96686.67</v>
      </c>
      <c r="I1581" s="59" t="s">
        <v>406</v>
      </c>
      <c r="J1581" s="59" t="s">
        <v>11775</v>
      </c>
      <c r="K1581" s="20"/>
      <c r="L1581" s="20">
        <v>1</v>
      </c>
      <c r="M1581" s="357">
        <f>+H1581</f>
        <v>96686.67</v>
      </c>
      <c r="N1581" s="411">
        <f>IFERROR((M1581/(VLOOKUP(B1581,'Data Pull Sheet'!$C:$H,6,FALSE))),"DC")</f>
        <v>4.0286112500000001E-4</v>
      </c>
      <c r="O1581" s="23" t="s">
        <v>849</v>
      </c>
      <c r="P1581" s="18" t="s">
        <v>632</v>
      </c>
      <c r="Q1581" s="18" t="s">
        <v>637</v>
      </c>
      <c r="R1581" s="372" t="str">
        <f t="shared" si="44"/>
        <v/>
      </c>
      <c r="S1581" s="106"/>
      <c r="T1581" s="107"/>
      <c r="U1581" s="108"/>
      <c r="V1581" s="108"/>
      <c r="W1581" s="108"/>
      <c r="X1581" s="108"/>
    </row>
    <row r="1582" spans="1:24" x14ac:dyDescent="0.25">
      <c r="A1582" s="23" t="s">
        <v>7232</v>
      </c>
      <c r="B1582" s="59" t="s">
        <v>7511</v>
      </c>
      <c r="C1582" s="59" t="s">
        <v>418</v>
      </c>
      <c r="D1582" s="356" t="s">
        <v>7228</v>
      </c>
      <c r="E1582" s="356" t="s">
        <v>6945</v>
      </c>
      <c r="F1582" s="23" t="s">
        <v>7240</v>
      </c>
      <c r="G1582" s="23" t="s">
        <v>403</v>
      </c>
      <c r="H1582" s="353">
        <v>45864.72</v>
      </c>
      <c r="I1582" s="59"/>
      <c r="J1582" s="59" t="s">
        <v>11774</v>
      </c>
      <c r="K1582" s="20"/>
      <c r="L1582" s="20">
        <v>1</v>
      </c>
      <c r="M1582" s="357">
        <f>+H1582</f>
        <v>45864.72</v>
      </c>
      <c r="N1582" s="411">
        <f>IFERROR((M1582/(VLOOKUP(B1582,'Data Pull Sheet'!$C:$H,6,FALSE))),"DC")</f>
        <v>1.91103E-4</v>
      </c>
      <c r="O1582" s="23" t="s">
        <v>63</v>
      </c>
      <c r="P1582" s="18" t="s">
        <v>632</v>
      </c>
      <c r="Q1582" s="18" t="s">
        <v>637</v>
      </c>
      <c r="R1582" s="372" t="str">
        <f t="shared" si="44"/>
        <v/>
      </c>
      <c r="S1582" s="106"/>
      <c r="T1582" s="107"/>
      <c r="U1582" s="108"/>
      <c r="V1582" s="108"/>
      <c r="W1582" s="108"/>
      <c r="X1582" s="108"/>
    </row>
    <row r="1583" spans="1:24" ht="30" x14ac:dyDescent="0.25">
      <c r="A1583" s="23" t="s">
        <v>7227</v>
      </c>
      <c r="B1583" s="59" t="s">
        <v>7578</v>
      </c>
      <c r="C1583" s="59" t="s">
        <v>418</v>
      </c>
      <c r="D1583" s="356" t="s">
        <v>7228</v>
      </c>
      <c r="E1583" s="356" t="s">
        <v>6945</v>
      </c>
      <c r="F1583" s="23" t="s">
        <v>7229</v>
      </c>
      <c r="G1583" s="59" t="s">
        <v>417</v>
      </c>
      <c r="H1583" s="353">
        <v>7112</v>
      </c>
      <c r="I1583" s="59" t="s">
        <v>406</v>
      </c>
      <c r="J1583" s="59" t="s">
        <v>7850</v>
      </c>
      <c r="K1583" s="20">
        <v>2</v>
      </c>
      <c r="L1583" s="20">
        <v>1</v>
      </c>
      <c r="M1583" s="357">
        <f>H1583</f>
        <v>7112</v>
      </c>
      <c r="N1583" s="411">
        <f>IFERROR((M1583/(VLOOKUP(B1583,'Data Pull Sheet'!$C:$H,6,FALSE))),"DC")</f>
        <v>8.7263803680981592E-6</v>
      </c>
      <c r="O1583" s="23" t="s">
        <v>7230</v>
      </c>
      <c r="P1583" s="18" t="s">
        <v>632</v>
      </c>
      <c r="Q1583" s="18" t="s">
        <v>633</v>
      </c>
      <c r="R1583" s="372" t="str">
        <f t="shared" si="44"/>
        <v/>
      </c>
      <c r="S1583" s="106"/>
      <c r="T1583" s="107"/>
      <c r="U1583" s="108"/>
      <c r="V1583" s="108"/>
      <c r="W1583" s="108"/>
      <c r="X1583" s="108"/>
    </row>
    <row r="1584" spans="1:24" x14ac:dyDescent="0.25">
      <c r="A1584" s="23" t="s">
        <v>7227</v>
      </c>
      <c r="B1584" s="59" t="s">
        <v>7578</v>
      </c>
      <c r="C1584" s="59" t="s">
        <v>418</v>
      </c>
      <c r="D1584" s="356" t="s">
        <v>7228</v>
      </c>
      <c r="E1584" s="356" t="s">
        <v>6945</v>
      </c>
      <c r="F1584" s="23" t="s">
        <v>218</v>
      </c>
      <c r="G1584" s="59" t="s">
        <v>417</v>
      </c>
      <c r="H1584" s="353">
        <v>3926958.93</v>
      </c>
      <c r="I1584" s="59" t="s">
        <v>413</v>
      </c>
      <c r="J1584" s="59" t="s">
        <v>7872</v>
      </c>
      <c r="K1584" s="20"/>
      <c r="L1584" s="20">
        <v>1</v>
      </c>
      <c r="M1584" s="357">
        <f>H1584</f>
        <v>3926958.93</v>
      </c>
      <c r="N1584" s="411">
        <f>IFERROR((M1584/(VLOOKUP(B1584,'Data Pull Sheet'!$C:$H,6,FALSE))),"DC")</f>
        <v>4.8183545153374233E-3</v>
      </c>
      <c r="O1584" s="23" t="s">
        <v>161</v>
      </c>
      <c r="P1584" s="18" t="s">
        <v>632</v>
      </c>
      <c r="Q1584" s="18" t="s">
        <v>633</v>
      </c>
      <c r="R1584" s="372" t="str">
        <f t="shared" si="44"/>
        <v>FF</v>
      </c>
      <c r="S1584" s="106"/>
      <c r="T1584" s="107"/>
      <c r="U1584" s="108"/>
      <c r="V1584" s="108"/>
      <c r="W1584" s="108"/>
      <c r="X1584" s="108"/>
    </row>
    <row r="1585" spans="1:24" x14ac:dyDescent="0.25">
      <c r="A1585" s="23" t="s">
        <v>7212</v>
      </c>
      <c r="B1585" s="59" t="s">
        <v>7499</v>
      </c>
      <c r="C1585" s="59" t="s">
        <v>418</v>
      </c>
      <c r="D1585" s="356" t="s">
        <v>7213</v>
      </c>
      <c r="E1585" s="356" t="s">
        <v>7014</v>
      </c>
      <c r="F1585" s="23" t="s">
        <v>7214</v>
      </c>
      <c r="G1585" s="59" t="s">
        <v>403</v>
      </c>
      <c r="H1585" s="353">
        <v>159321.35999999999</v>
      </c>
      <c r="I1585" s="59"/>
      <c r="J1585" s="59" t="s">
        <v>7859</v>
      </c>
      <c r="K1585" s="20">
        <v>4</v>
      </c>
      <c r="L1585" s="20">
        <v>1</v>
      </c>
      <c r="M1585" s="357">
        <f>H1585</f>
        <v>159321.35999999999</v>
      </c>
      <c r="N1585" s="411">
        <f>IFERROR((M1585/(VLOOKUP(B1585,'Data Pull Sheet'!$C:$H,6,FALSE))),"DC")</f>
        <v>4.5520388571428566E-2</v>
      </c>
      <c r="O1585" s="23" t="s">
        <v>6920</v>
      </c>
      <c r="P1585" s="18" t="s">
        <v>632</v>
      </c>
      <c r="Q1585" s="18" t="s">
        <v>637</v>
      </c>
      <c r="R1585" s="372" t="str">
        <f t="shared" si="44"/>
        <v/>
      </c>
      <c r="S1585" s="106"/>
      <c r="T1585" s="107"/>
      <c r="U1585" s="108"/>
      <c r="V1585" s="108"/>
      <c r="W1585" s="108"/>
      <c r="X1585" s="108"/>
    </row>
    <row r="1586" spans="1:24" x14ac:dyDescent="0.25">
      <c r="A1586" s="23" t="s">
        <v>7212</v>
      </c>
      <c r="B1586" s="59" t="s">
        <v>7499</v>
      </c>
      <c r="C1586" s="59" t="s">
        <v>418</v>
      </c>
      <c r="D1586" s="356" t="s">
        <v>7213</v>
      </c>
      <c r="E1586" s="356" t="s">
        <v>7014</v>
      </c>
      <c r="F1586" s="23" t="s">
        <v>7215</v>
      </c>
      <c r="G1586" s="59" t="s">
        <v>403</v>
      </c>
      <c r="H1586" s="353">
        <v>14099.06</v>
      </c>
      <c r="I1586" s="59"/>
      <c r="J1586" s="59" t="s">
        <v>7865</v>
      </c>
      <c r="K1586" s="20"/>
      <c r="L1586" s="20">
        <v>2</v>
      </c>
      <c r="M1586" s="357">
        <f>SUM(H1586:H1587)</f>
        <v>197132.61</v>
      </c>
      <c r="N1586" s="411">
        <f>IFERROR((M1586/(VLOOKUP(B1586,'Data Pull Sheet'!$C:$H,6,FALSE))),"DC")</f>
        <v>5.632360285714285E-2</v>
      </c>
      <c r="O1586" s="23" t="s">
        <v>682</v>
      </c>
      <c r="P1586" s="18" t="s">
        <v>632</v>
      </c>
      <c r="Q1586" s="18" t="s">
        <v>646</v>
      </c>
      <c r="R1586" s="372" t="str">
        <f t="shared" si="44"/>
        <v/>
      </c>
      <c r="S1586" s="106"/>
      <c r="T1586" s="107"/>
      <c r="U1586" s="108"/>
      <c r="V1586" s="108"/>
      <c r="W1586" s="108"/>
      <c r="X1586" s="108"/>
    </row>
    <row r="1587" spans="1:24" x14ac:dyDescent="0.25">
      <c r="A1587" s="23" t="s">
        <v>7212</v>
      </c>
      <c r="B1587" s="59" t="s">
        <v>7499</v>
      </c>
      <c r="C1587" s="59" t="s">
        <v>418</v>
      </c>
      <c r="D1587" s="356" t="s">
        <v>7213</v>
      </c>
      <c r="E1587" s="356" t="s">
        <v>7014</v>
      </c>
      <c r="F1587" s="23" t="s">
        <v>7216</v>
      </c>
      <c r="G1587" s="59" t="s">
        <v>403</v>
      </c>
      <c r="H1587" s="353">
        <v>183033.55</v>
      </c>
      <c r="I1587" s="59"/>
      <c r="J1587" s="59" t="s">
        <v>7866</v>
      </c>
      <c r="K1587" s="20"/>
      <c r="L1587" s="20"/>
      <c r="M1587" s="357"/>
      <c r="N1587" s="411"/>
      <c r="O1587" s="23" t="s">
        <v>682</v>
      </c>
      <c r="P1587" s="18" t="s">
        <v>632</v>
      </c>
      <c r="Q1587" s="18" t="s">
        <v>646</v>
      </c>
      <c r="R1587" s="372" t="str">
        <f t="shared" si="44"/>
        <v/>
      </c>
      <c r="S1587" s="106"/>
      <c r="T1587" s="107"/>
      <c r="U1587" s="108"/>
      <c r="V1587" s="108"/>
      <c r="W1587" s="108"/>
      <c r="X1587" s="108"/>
    </row>
    <row r="1588" spans="1:24" x14ac:dyDescent="0.25">
      <c r="A1588" s="23" t="s">
        <v>7212</v>
      </c>
      <c r="B1588" s="59" t="s">
        <v>7499</v>
      </c>
      <c r="C1588" s="59" t="s">
        <v>418</v>
      </c>
      <c r="D1588" s="356" t="s">
        <v>7213</v>
      </c>
      <c r="E1588" s="356" t="s">
        <v>7014</v>
      </c>
      <c r="F1588" s="23" t="s">
        <v>7217</v>
      </c>
      <c r="G1588" s="59" t="s">
        <v>403</v>
      </c>
      <c r="H1588" s="353">
        <v>6811</v>
      </c>
      <c r="I1588" s="59"/>
      <c r="J1588" s="59" t="s">
        <v>7848</v>
      </c>
      <c r="K1588" s="20"/>
      <c r="L1588" s="20">
        <v>1</v>
      </c>
      <c r="M1588" s="357">
        <f>+H1588</f>
        <v>6811</v>
      </c>
      <c r="N1588" s="411">
        <f>IFERROR((M1588/(VLOOKUP(B1588,'Data Pull Sheet'!$C:$H,6,FALSE))),"DC")</f>
        <v>1.946E-3</v>
      </c>
      <c r="O1588" s="23" t="s">
        <v>597</v>
      </c>
      <c r="P1588" s="18" t="s">
        <v>632</v>
      </c>
      <c r="Q1588" s="18" t="s">
        <v>637</v>
      </c>
      <c r="R1588" s="372" t="str">
        <f t="shared" si="44"/>
        <v/>
      </c>
      <c r="S1588" s="106"/>
      <c r="T1588" s="107"/>
      <c r="U1588" s="108"/>
      <c r="V1588" s="108"/>
      <c r="W1588" s="108"/>
      <c r="X1588" s="108"/>
    </row>
    <row r="1589" spans="1:24" x14ac:dyDescent="0.25">
      <c r="A1589" s="23" t="s">
        <v>7212</v>
      </c>
      <c r="B1589" s="59" t="s">
        <v>7499</v>
      </c>
      <c r="C1589" s="59" t="s">
        <v>418</v>
      </c>
      <c r="D1589" s="356" t="s">
        <v>7213</v>
      </c>
      <c r="E1589" s="356" t="s">
        <v>7014</v>
      </c>
      <c r="F1589" s="23" t="s">
        <v>7218</v>
      </c>
      <c r="G1589" s="59" t="s">
        <v>403</v>
      </c>
      <c r="H1589" s="353">
        <v>159478</v>
      </c>
      <c r="I1589" s="59"/>
      <c r="J1589" s="59" t="s">
        <v>7849</v>
      </c>
      <c r="K1589" s="20"/>
      <c r="L1589" s="20">
        <v>1</v>
      </c>
      <c r="M1589" s="357">
        <f>+H1589</f>
        <v>159478</v>
      </c>
      <c r="N1589" s="411">
        <f>IFERROR((M1589/(VLOOKUP(B1589,'Data Pull Sheet'!$C:$H,6,FALSE))),"DC")</f>
        <v>4.556514285714286E-2</v>
      </c>
      <c r="O1589" s="23" t="s">
        <v>1204</v>
      </c>
      <c r="P1589" s="18" t="s">
        <v>632</v>
      </c>
      <c r="Q1589" s="18" t="s">
        <v>637</v>
      </c>
      <c r="R1589" s="372" t="str">
        <f t="shared" si="44"/>
        <v/>
      </c>
      <c r="S1589" s="106"/>
      <c r="T1589" s="107"/>
      <c r="U1589" s="108"/>
      <c r="V1589" s="108"/>
      <c r="W1589" s="108"/>
      <c r="X1589" s="108"/>
    </row>
    <row r="1590" spans="1:24" x14ac:dyDescent="0.25">
      <c r="A1590" s="23" t="s">
        <v>7221</v>
      </c>
      <c r="B1590" s="59" t="s">
        <v>7548</v>
      </c>
      <c r="C1590" s="59" t="s">
        <v>1008</v>
      </c>
      <c r="D1590" s="356" t="s">
        <v>7213</v>
      </c>
      <c r="E1590" s="356" t="s">
        <v>7014</v>
      </c>
      <c r="F1590" s="23" t="s">
        <v>7222</v>
      </c>
      <c r="G1590" s="59" t="s">
        <v>403</v>
      </c>
      <c r="H1590" s="353">
        <v>22505.08</v>
      </c>
      <c r="I1590" s="59"/>
      <c r="J1590" s="59" t="s">
        <v>7860</v>
      </c>
      <c r="K1590" s="20">
        <v>3</v>
      </c>
      <c r="L1590" s="20">
        <v>1</v>
      </c>
      <c r="M1590" s="357">
        <f>H1590</f>
        <v>22505.08</v>
      </c>
      <c r="N1590" s="411">
        <f>IFERROR((M1590/(VLOOKUP(B1590,'Data Pull Sheet'!$C:$H,6,FALSE))),"DC")</f>
        <v>2.2505080000000002E-4</v>
      </c>
      <c r="O1590" s="23" t="s">
        <v>63</v>
      </c>
      <c r="P1590" s="18" t="s">
        <v>632</v>
      </c>
      <c r="Q1590" s="18" t="s">
        <v>637</v>
      </c>
      <c r="R1590" s="372" t="str">
        <f t="shared" si="44"/>
        <v/>
      </c>
      <c r="S1590" s="106"/>
      <c r="T1590" s="107"/>
      <c r="U1590" s="108"/>
      <c r="V1590" s="108"/>
      <c r="W1590" s="108"/>
      <c r="X1590" s="108"/>
    </row>
    <row r="1591" spans="1:24" x14ac:dyDescent="0.25">
      <c r="A1591" s="23" t="s">
        <v>7221</v>
      </c>
      <c r="B1591" s="59" t="s">
        <v>7548</v>
      </c>
      <c r="C1591" s="59" t="s">
        <v>1008</v>
      </c>
      <c r="D1591" s="356" t="s">
        <v>7213</v>
      </c>
      <c r="E1591" s="356" t="s">
        <v>7014</v>
      </c>
      <c r="F1591" s="23" t="s">
        <v>7223</v>
      </c>
      <c r="G1591" s="59" t="s">
        <v>403</v>
      </c>
      <c r="H1591" s="353">
        <v>73644.28</v>
      </c>
      <c r="I1591" s="59"/>
      <c r="J1591" s="59" t="s">
        <v>7868</v>
      </c>
      <c r="K1591" s="20"/>
      <c r="L1591" s="20">
        <v>2</v>
      </c>
      <c r="M1591" s="357">
        <f>SUM(H1591:H1592)</f>
        <v>98482.28</v>
      </c>
      <c r="N1591" s="411">
        <f>IFERROR((M1591/(VLOOKUP(B1591,'Data Pull Sheet'!$C:$H,6,FALSE))),"DC")</f>
        <v>9.8482280000000005E-4</v>
      </c>
      <c r="O1591" s="23" t="s">
        <v>682</v>
      </c>
      <c r="P1591" s="18" t="s">
        <v>632</v>
      </c>
      <c r="Q1591" s="18" t="s">
        <v>646</v>
      </c>
      <c r="R1591" s="372" t="str">
        <f t="shared" si="44"/>
        <v/>
      </c>
      <c r="S1591" s="106"/>
      <c r="T1591" s="107"/>
      <c r="U1591" s="108"/>
      <c r="V1591" s="108"/>
      <c r="W1591" s="108"/>
      <c r="X1591" s="108"/>
    </row>
    <row r="1592" spans="1:24" x14ac:dyDescent="0.25">
      <c r="A1592" s="23" t="s">
        <v>7221</v>
      </c>
      <c r="B1592" s="59" t="s">
        <v>7548</v>
      </c>
      <c r="C1592" s="59" t="s">
        <v>1008</v>
      </c>
      <c r="D1592" s="356" t="s">
        <v>7213</v>
      </c>
      <c r="E1592" s="356" t="s">
        <v>7014</v>
      </c>
      <c r="F1592" s="23" t="s">
        <v>7224</v>
      </c>
      <c r="G1592" s="59" t="s">
        <v>403</v>
      </c>
      <c r="H1592" s="353">
        <v>24838</v>
      </c>
      <c r="I1592" s="59"/>
      <c r="J1592" s="59" t="s">
        <v>7869</v>
      </c>
      <c r="K1592" s="20"/>
      <c r="L1592" s="20"/>
      <c r="M1592" s="357"/>
      <c r="N1592" s="411"/>
      <c r="O1592" s="23" t="s">
        <v>682</v>
      </c>
      <c r="P1592" s="18" t="s">
        <v>632</v>
      </c>
      <c r="Q1592" s="18" t="s">
        <v>646</v>
      </c>
      <c r="R1592" s="372" t="str">
        <f t="shared" si="44"/>
        <v/>
      </c>
      <c r="S1592" s="106"/>
      <c r="T1592" s="107"/>
      <c r="U1592" s="108"/>
      <c r="V1592" s="108"/>
      <c r="W1592" s="108"/>
      <c r="X1592" s="108"/>
    </row>
    <row r="1593" spans="1:24" x14ac:dyDescent="0.25">
      <c r="A1593" s="23" t="s">
        <v>7221</v>
      </c>
      <c r="B1593" s="59" t="s">
        <v>7548</v>
      </c>
      <c r="C1593" s="59" t="s">
        <v>1008</v>
      </c>
      <c r="D1593" s="356" t="s">
        <v>7213</v>
      </c>
      <c r="E1593" s="356" t="s">
        <v>7014</v>
      </c>
      <c r="F1593" s="23" t="s">
        <v>7225</v>
      </c>
      <c r="G1593" s="59" t="s">
        <v>403</v>
      </c>
      <c r="H1593" s="353">
        <v>304</v>
      </c>
      <c r="I1593" s="59"/>
      <c r="J1593" s="59" t="s">
        <v>7870</v>
      </c>
      <c r="K1593" s="20"/>
      <c r="L1593" s="20">
        <v>2</v>
      </c>
      <c r="M1593" s="357">
        <f>SUM(H1593:H1594)</f>
        <v>1683</v>
      </c>
      <c r="N1593" s="411">
        <f>IFERROR((M1593/(VLOOKUP(B1593,'Data Pull Sheet'!$C:$H,6,FALSE))),"DC")</f>
        <v>1.683E-5</v>
      </c>
      <c r="O1593" s="23" t="s">
        <v>1204</v>
      </c>
      <c r="P1593" s="18" t="s">
        <v>632</v>
      </c>
      <c r="Q1593" s="18" t="s">
        <v>646</v>
      </c>
      <c r="R1593" s="372" t="str">
        <f t="shared" si="44"/>
        <v/>
      </c>
      <c r="S1593" s="106"/>
      <c r="T1593" s="107"/>
      <c r="U1593" s="108"/>
      <c r="V1593" s="108"/>
      <c r="W1593" s="108"/>
      <c r="X1593" s="108"/>
    </row>
    <row r="1594" spans="1:24" x14ac:dyDescent="0.25">
      <c r="A1594" s="23" t="s">
        <v>7221</v>
      </c>
      <c r="B1594" s="59" t="s">
        <v>7548</v>
      </c>
      <c r="C1594" s="59" t="s">
        <v>1008</v>
      </c>
      <c r="D1594" s="356" t="s">
        <v>7213</v>
      </c>
      <c r="E1594" s="356" t="s">
        <v>7014</v>
      </c>
      <c r="F1594" s="23" t="s">
        <v>7226</v>
      </c>
      <c r="G1594" s="59" t="s">
        <v>403</v>
      </c>
      <c r="H1594" s="353">
        <v>1379</v>
      </c>
      <c r="I1594" s="59"/>
      <c r="J1594" s="59" t="s">
        <v>7871</v>
      </c>
      <c r="K1594" s="20"/>
      <c r="L1594" s="20"/>
      <c r="M1594" s="357"/>
      <c r="N1594" s="411"/>
      <c r="O1594" s="23" t="s">
        <v>1204</v>
      </c>
      <c r="P1594" s="18" t="s">
        <v>632</v>
      </c>
      <c r="Q1594" s="18" t="s">
        <v>646</v>
      </c>
      <c r="R1594" s="372" t="str">
        <f t="shared" si="44"/>
        <v/>
      </c>
      <c r="S1594" s="106"/>
      <c r="T1594" s="107"/>
      <c r="U1594" s="108"/>
      <c r="V1594" s="108"/>
      <c r="W1594" s="108"/>
      <c r="X1594" s="108"/>
    </row>
    <row r="1595" spans="1:24" x14ac:dyDescent="0.25">
      <c r="A1595" s="23" t="s">
        <v>7219</v>
      </c>
      <c r="B1595" s="59" t="s">
        <v>7608</v>
      </c>
      <c r="C1595" s="59" t="s">
        <v>418</v>
      </c>
      <c r="D1595" s="356" t="s">
        <v>7213</v>
      </c>
      <c r="E1595" s="356" t="s">
        <v>7014</v>
      </c>
      <c r="F1595" s="23" t="s">
        <v>7220</v>
      </c>
      <c r="G1595" s="59" t="s">
        <v>417</v>
      </c>
      <c r="H1595" s="353">
        <v>2479769.7599999998</v>
      </c>
      <c r="I1595" s="59" t="s">
        <v>442</v>
      </c>
      <c r="J1595" s="59" t="s">
        <v>7867</v>
      </c>
      <c r="K1595" s="20">
        <v>1</v>
      </c>
      <c r="L1595" s="20">
        <v>1</v>
      </c>
      <c r="M1595" s="357">
        <f>H1595</f>
        <v>2479769.7599999998</v>
      </c>
      <c r="N1595" s="411">
        <f>IFERROR((M1595/(VLOOKUP(B1595,'Data Pull Sheet'!$C:$H,6,FALSE))),"DC")</f>
        <v>7.0850564571428565E-4</v>
      </c>
      <c r="O1595" s="23" t="s">
        <v>10810</v>
      </c>
      <c r="P1595" s="18" t="s">
        <v>676</v>
      </c>
      <c r="Q1595" s="18" t="s">
        <v>633</v>
      </c>
      <c r="R1595" s="372" t="str">
        <f t="shared" si="44"/>
        <v/>
      </c>
      <c r="S1595" s="106"/>
      <c r="T1595" s="107"/>
      <c r="U1595" s="108"/>
      <c r="V1595" s="108"/>
      <c r="W1595" s="108"/>
      <c r="X1595" s="108"/>
    </row>
    <row r="1596" spans="1:24" x14ac:dyDescent="0.25">
      <c r="A1596" s="23" t="s">
        <v>7201</v>
      </c>
      <c r="B1596" s="59" t="s">
        <v>7524</v>
      </c>
      <c r="C1596" s="59" t="s">
        <v>418</v>
      </c>
      <c r="D1596" s="356" t="s">
        <v>2378</v>
      </c>
      <c r="E1596" s="356" t="s">
        <v>7191</v>
      </c>
      <c r="F1596" s="23" t="s">
        <v>7202</v>
      </c>
      <c r="G1596" s="59" t="s">
        <v>403</v>
      </c>
      <c r="H1596" s="353">
        <v>3161.01</v>
      </c>
      <c r="I1596" s="59"/>
      <c r="J1596" s="59" t="s">
        <v>7822</v>
      </c>
      <c r="K1596" s="20">
        <v>4</v>
      </c>
      <c r="L1596" s="20">
        <v>1</v>
      </c>
      <c r="M1596" s="357">
        <f>H1596</f>
        <v>3161.01</v>
      </c>
      <c r="N1596" s="411">
        <f>IFERROR((M1596/(VLOOKUP(B1596,'Data Pull Sheet'!$C:$H,6,FALSE))),"DC")</f>
        <v>1.8062914285714287E-5</v>
      </c>
      <c r="O1596" s="23" t="s">
        <v>63</v>
      </c>
      <c r="P1596" s="18" t="s">
        <v>632</v>
      </c>
      <c r="Q1596" s="18" t="s">
        <v>637</v>
      </c>
      <c r="R1596" s="372" t="str">
        <f t="shared" si="44"/>
        <v/>
      </c>
      <c r="S1596" s="106"/>
      <c r="T1596" s="107"/>
      <c r="U1596" s="108"/>
      <c r="V1596" s="108"/>
      <c r="W1596" s="108"/>
      <c r="X1596" s="108"/>
    </row>
    <row r="1597" spans="1:24" x14ac:dyDescent="0.25">
      <c r="A1597" s="23" t="s">
        <v>7201</v>
      </c>
      <c r="B1597" s="59" t="s">
        <v>7524</v>
      </c>
      <c r="C1597" s="59" t="s">
        <v>418</v>
      </c>
      <c r="D1597" s="356" t="s">
        <v>2378</v>
      </c>
      <c r="E1597" s="356" t="s">
        <v>7191</v>
      </c>
      <c r="F1597" s="23" t="s">
        <v>7203</v>
      </c>
      <c r="G1597" s="59" t="s">
        <v>403</v>
      </c>
      <c r="H1597" s="353">
        <v>187188.91</v>
      </c>
      <c r="I1597" s="59"/>
      <c r="J1597" s="59" t="s">
        <v>7826</v>
      </c>
      <c r="K1597" s="20"/>
      <c r="L1597" s="20">
        <v>1</v>
      </c>
      <c r="M1597" s="357">
        <f>H1597</f>
        <v>187188.91</v>
      </c>
      <c r="N1597" s="411">
        <f>IFERROR((M1597/(VLOOKUP(B1597,'Data Pull Sheet'!$C:$H,6,FALSE))),"DC")</f>
        <v>1.0696509142857143E-3</v>
      </c>
      <c r="O1597" s="23" t="s">
        <v>597</v>
      </c>
      <c r="P1597" s="18" t="s">
        <v>632</v>
      </c>
      <c r="Q1597" s="18" t="s">
        <v>637</v>
      </c>
      <c r="R1597" s="372" t="str">
        <f t="shared" si="44"/>
        <v/>
      </c>
      <c r="S1597" s="106"/>
      <c r="T1597" s="107"/>
      <c r="U1597" s="108"/>
      <c r="V1597" s="108"/>
      <c r="W1597" s="108"/>
      <c r="X1597" s="108"/>
    </row>
    <row r="1598" spans="1:24" x14ac:dyDescent="0.25">
      <c r="A1598" s="23" t="s">
        <v>7201</v>
      </c>
      <c r="B1598" s="59" t="s">
        <v>7524</v>
      </c>
      <c r="C1598" s="59" t="s">
        <v>418</v>
      </c>
      <c r="D1598" s="356" t="s">
        <v>2378</v>
      </c>
      <c r="E1598" s="356" t="s">
        <v>7191</v>
      </c>
      <c r="F1598" s="23" t="s">
        <v>280</v>
      </c>
      <c r="G1598" s="59" t="s">
        <v>417</v>
      </c>
      <c r="H1598" s="353">
        <v>57198.96</v>
      </c>
      <c r="I1598" s="59"/>
      <c r="J1598" s="59" t="s">
        <v>7851</v>
      </c>
      <c r="K1598" s="20"/>
      <c r="L1598" s="20">
        <v>1</v>
      </c>
      <c r="M1598" s="357">
        <f>H1598</f>
        <v>57198.96</v>
      </c>
      <c r="N1598" s="411">
        <f>IFERROR((M1598/(VLOOKUP(B1598,'Data Pull Sheet'!$C:$H,6,FALSE))),"DC")</f>
        <v>3.2685119999999998E-4</v>
      </c>
      <c r="O1598" s="23" t="s">
        <v>7</v>
      </c>
      <c r="P1598" s="18" t="s">
        <v>632</v>
      </c>
      <c r="Q1598" s="18" t="s">
        <v>633</v>
      </c>
      <c r="R1598" s="372" t="str">
        <f t="shared" si="44"/>
        <v>FF</v>
      </c>
      <c r="S1598" s="106"/>
      <c r="T1598" s="107"/>
      <c r="U1598" s="108"/>
      <c r="V1598" s="108"/>
      <c r="W1598" s="108"/>
      <c r="X1598" s="108"/>
    </row>
    <row r="1599" spans="1:24" ht="30" x14ac:dyDescent="0.25">
      <c r="A1599" s="23" t="s">
        <v>7201</v>
      </c>
      <c r="B1599" s="59" t="s">
        <v>7524</v>
      </c>
      <c r="C1599" s="59" t="s">
        <v>418</v>
      </c>
      <c r="D1599" s="356" t="s">
        <v>2378</v>
      </c>
      <c r="E1599" s="356" t="s">
        <v>7191</v>
      </c>
      <c r="F1599" s="23" t="s">
        <v>206</v>
      </c>
      <c r="G1599" s="59" t="s">
        <v>417</v>
      </c>
      <c r="H1599" s="353">
        <v>320889</v>
      </c>
      <c r="I1599" s="59"/>
      <c r="J1599" s="59" t="s">
        <v>7852</v>
      </c>
      <c r="K1599" s="20"/>
      <c r="L1599" s="20">
        <v>2</v>
      </c>
      <c r="M1599" s="357">
        <f>SUM(H1599:H1600)</f>
        <v>473814</v>
      </c>
      <c r="N1599" s="411">
        <f>IFERROR((M1599/(VLOOKUP(B1599,'Data Pull Sheet'!$C:$H,6,FALSE))),"DC")</f>
        <v>2.7075085714285715E-3</v>
      </c>
      <c r="O1599" s="23" t="s">
        <v>79</v>
      </c>
      <c r="P1599" s="18" t="s">
        <v>632</v>
      </c>
      <c r="Q1599" s="18" t="s">
        <v>640</v>
      </c>
      <c r="R1599" s="372" t="str">
        <f t="shared" si="44"/>
        <v>FF</v>
      </c>
      <c r="S1599" s="106"/>
      <c r="T1599" s="107"/>
      <c r="U1599" s="108"/>
      <c r="V1599" s="108"/>
      <c r="W1599" s="108"/>
      <c r="X1599" s="108"/>
    </row>
    <row r="1600" spans="1:24" x14ac:dyDescent="0.25">
      <c r="A1600" s="23" t="s">
        <v>7201</v>
      </c>
      <c r="B1600" s="59" t="s">
        <v>7524</v>
      </c>
      <c r="C1600" s="59" t="s">
        <v>418</v>
      </c>
      <c r="D1600" s="356" t="s">
        <v>2378</v>
      </c>
      <c r="E1600" s="356" t="s">
        <v>7191</v>
      </c>
      <c r="F1600" s="23" t="s">
        <v>1334</v>
      </c>
      <c r="G1600" s="59" t="s">
        <v>417</v>
      </c>
      <c r="H1600" s="353">
        <v>152925</v>
      </c>
      <c r="I1600" s="59"/>
      <c r="J1600" s="59" t="s">
        <v>7853</v>
      </c>
      <c r="K1600" s="20"/>
      <c r="L1600" s="20"/>
      <c r="M1600" s="357"/>
      <c r="N1600" s="411"/>
      <c r="O1600" s="23" t="s">
        <v>79</v>
      </c>
      <c r="P1600" s="18" t="s">
        <v>632</v>
      </c>
      <c r="Q1600" s="18" t="s">
        <v>640</v>
      </c>
      <c r="R1600" s="372" t="str">
        <f t="shared" si="44"/>
        <v>FF</v>
      </c>
      <c r="S1600" s="106"/>
      <c r="T1600" s="107"/>
      <c r="U1600" s="108"/>
      <c r="V1600" s="108"/>
      <c r="W1600" s="108"/>
      <c r="X1600" s="108"/>
    </row>
    <row r="1601" spans="1:24" x14ac:dyDescent="0.25">
      <c r="A1601" s="23" t="s">
        <v>7207</v>
      </c>
      <c r="B1601" s="59" t="s">
        <v>7567</v>
      </c>
      <c r="C1601" s="59" t="s">
        <v>418</v>
      </c>
      <c r="D1601" s="356" t="s">
        <v>1010</v>
      </c>
      <c r="E1601" s="356" t="s">
        <v>7191</v>
      </c>
      <c r="F1601" s="23" t="s">
        <v>7208</v>
      </c>
      <c r="G1601" s="59" t="s">
        <v>403</v>
      </c>
      <c r="H1601" s="353">
        <v>26568</v>
      </c>
      <c r="I1601" s="59"/>
      <c r="J1601" s="59" t="s">
        <v>7841</v>
      </c>
      <c r="K1601" s="20">
        <v>2</v>
      </c>
      <c r="L1601" s="20">
        <v>2</v>
      </c>
      <c r="M1601" s="357">
        <f>SUM(H1601:H1602)</f>
        <v>78617</v>
      </c>
      <c r="N1601" s="411">
        <f>IFERROR((M1601/(VLOOKUP(B1601,'Data Pull Sheet'!$C:$H,6,FALSE))),"DC")</f>
        <v>1.7470444444444445E-3</v>
      </c>
      <c r="O1601" s="23" t="s">
        <v>4571</v>
      </c>
      <c r="P1601" s="18" t="s">
        <v>632</v>
      </c>
      <c r="Q1601" s="18" t="s">
        <v>646</v>
      </c>
      <c r="R1601" s="372" t="str">
        <f t="shared" si="44"/>
        <v/>
      </c>
      <c r="S1601" s="106"/>
      <c r="T1601" s="107"/>
      <c r="U1601" s="108"/>
      <c r="V1601" s="108"/>
      <c r="W1601" s="108"/>
      <c r="X1601" s="108"/>
    </row>
    <row r="1602" spans="1:24" x14ac:dyDescent="0.25">
      <c r="A1602" s="23" t="s">
        <v>7207</v>
      </c>
      <c r="B1602" s="59" t="s">
        <v>7567</v>
      </c>
      <c r="C1602" s="59" t="s">
        <v>418</v>
      </c>
      <c r="D1602" s="356" t="s">
        <v>1010</v>
      </c>
      <c r="E1602" s="356" t="s">
        <v>7191</v>
      </c>
      <c r="F1602" s="23" t="s">
        <v>7209</v>
      </c>
      <c r="G1602" s="59" t="s">
        <v>403</v>
      </c>
      <c r="H1602" s="353">
        <v>52049</v>
      </c>
      <c r="I1602" s="59"/>
      <c r="J1602" s="59" t="s">
        <v>7835</v>
      </c>
      <c r="K1602" s="20"/>
      <c r="L1602" s="20"/>
      <c r="M1602" s="357"/>
      <c r="N1602" s="411"/>
      <c r="O1602" s="23" t="s">
        <v>4571</v>
      </c>
      <c r="P1602" s="18" t="s">
        <v>632</v>
      </c>
      <c r="Q1602" s="18" t="s">
        <v>646</v>
      </c>
      <c r="R1602" s="372" t="str">
        <f t="shared" ref="R1602:R1665" si="45">IF(COUNTIF(F:F,F1602)&gt;=2,"FF","")</f>
        <v/>
      </c>
      <c r="S1602" s="106"/>
      <c r="T1602" s="107"/>
      <c r="U1602" s="108"/>
      <c r="V1602" s="108"/>
      <c r="W1602" s="108"/>
      <c r="X1602" s="108"/>
    </row>
    <row r="1603" spans="1:24" x14ac:dyDescent="0.25">
      <c r="A1603" s="23" t="s">
        <v>7207</v>
      </c>
      <c r="B1603" s="59" t="s">
        <v>7567</v>
      </c>
      <c r="C1603" s="59" t="s">
        <v>418</v>
      </c>
      <c r="D1603" s="356" t="s">
        <v>1010</v>
      </c>
      <c r="E1603" s="356" t="s">
        <v>7191</v>
      </c>
      <c r="F1603" s="23" t="s">
        <v>7210</v>
      </c>
      <c r="G1603" s="59" t="s">
        <v>403</v>
      </c>
      <c r="H1603" s="353">
        <v>20472.18</v>
      </c>
      <c r="I1603" s="59"/>
      <c r="J1603" s="59" t="s">
        <v>7857</v>
      </c>
      <c r="K1603" s="20"/>
      <c r="L1603" s="20">
        <v>2</v>
      </c>
      <c r="M1603" s="357">
        <f>SUM(H1603:H1604)</f>
        <v>36366.58</v>
      </c>
      <c r="N1603" s="411">
        <f>IFERROR((M1603/(VLOOKUP(B1603,'Data Pull Sheet'!$C:$H,6,FALSE))),"DC")</f>
        <v>8.0814622222222222E-4</v>
      </c>
      <c r="O1603" s="23" t="s">
        <v>877</v>
      </c>
      <c r="P1603" s="18" t="s">
        <v>632</v>
      </c>
      <c r="Q1603" s="18" t="s">
        <v>646</v>
      </c>
      <c r="R1603" s="372" t="str">
        <f t="shared" si="45"/>
        <v/>
      </c>
      <c r="S1603" s="106"/>
      <c r="T1603" s="107"/>
      <c r="U1603" s="108"/>
      <c r="V1603" s="108"/>
      <c r="W1603" s="108"/>
      <c r="X1603" s="108"/>
    </row>
    <row r="1604" spans="1:24" x14ac:dyDescent="0.25">
      <c r="A1604" s="23" t="s">
        <v>7207</v>
      </c>
      <c r="B1604" s="59" t="s">
        <v>7567</v>
      </c>
      <c r="C1604" s="59" t="s">
        <v>418</v>
      </c>
      <c r="D1604" s="356" t="s">
        <v>1010</v>
      </c>
      <c r="E1604" s="356" t="s">
        <v>7191</v>
      </c>
      <c r="F1604" s="23" t="s">
        <v>7211</v>
      </c>
      <c r="G1604" s="59" t="s">
        <v>403</v>
      </c>
      <c r="H1604" s="353">
        <v>15894.4</v>
      </c>
      <c r="I1604" s="59"/>
      <c r="J1604" s="59" t="s">
        <v>7858</v>
      </c>
      <c r="K1604" s="20"/>
      <c r="L1604" s="20"/>
      <c r="M1604" s="357"/>
      <c r="N1604" s="411"/>
      <c r="O1604" s="23" t="s">
        <v>877</v>
      </c>
      <c r="P1604" s="18" t="s">
        <v>632</v>
      </c>
      <c r="Q1604" s="18" t="s">
        <v>646</v>
      </c>
      <c r="R1604" s="372" t="str">
        <f t="shared" si="45"/>
        <v/>
      </c>
      <c r="S1604" s="106"/>
      <c r="T1604" s="107"/>
      <c r="U1604" s="108"/>
      <c r="V1604" s="108"/>
      <c r="W1604" s="108"/>
      <c r="X1604" s="108"/>
    </row>
    <row r="1605" spans="1:24" x14ac:dyDescent="0.25">
      <c r="A1605" s="23" t="s">
        <v>7190</v>
      </c>
      <c r="B1605" s="59" t="s">
        <v>7590</v>
      </c>
      <c r="C1605" s="59" t="s">
        <v>446</v>
      </c>
      <c r="D1605" s="356" t="s">
        <v>2378</v>
      </c>
      <c r="E1605" s="356" t="s">
        <v>7191</v>
      </c>
      <c r="F1605" s="23" t="s">
        <v>7192</v>
      </c>
      <c r="G1605" s="59" t="s">
        <v>403</v>
      </c>
      <c r="H1605" s="353">
        <v>49084.98</v>
      </c>
      <c r="I1605" s="59"/>
      <c r="J1605" s="59" t="s">
        <v>7840</v>
      </c>
      <c r="K1605" s="20">
        <v>5</v>
      </c>
      <c r="L1605" s="20">
        <v>2</v>
      </c>
      <c r="M1605" s="357">
        <f>SUM(H1605,H1606)</f>
        <v>70844.98000000001</v>
      </c>
      <c r="N1605" s="411">
        <f>IFERROR((M1605/(VLOOKUP(B1605,'Data Pull Sheet'!$C:$H,6,FALSE))),"DC")</f>
        <v>2.0241422857142859E-4</v>
      </c>
      <c r="O1605" s="23" t="s">
        <v>682</v>
      </c>
      <c r="P1605" s="18" t="s">
        <v>632</v>
      </c>
      <c r="Q1605" s="18" t="s">
        <v>646</v>
      </c>
      <c r="R1605" s="372" t="str">
        <f t="shared" si="45"/>
        <v/>
      </c>
      <c r="S1605" s="106"/>
      <c r="T1605" s="107"/>
      <c r="U1605" s="108"/>
      <c r="V1605" s="108"/>
      <c r="W1605" s="108"/>
      <c r="X1605" s="108"/>
    </row>
    <row r="1606" spans="1:24" x14ac:dyDescent="0.25">
      <c r="A1606" s="23" t="s">
        <v>7190</v>
      </c>
      <c r="B1606" s="59" t="s">
        <v>7590</v>
      </c>
      <c r="C1606" s="59" t="s">
        <v>446</v>
      </c>
      <c r="D1606" s="356" t="s">
        <v>2378</v>
      </c>
      <c r="E1606" s="356" t="s">
        <v>7191</v>
      </c>
      <c r="F1606" s="23" t="s">
        <v>7193</v>
      </c>
      <c r="G1606" s="59" t="s">
        <v>403</v>
      </c>
      <c r="H1606" s="353">
        <v>21760</v>
      </c>
      <c r="I1606" s="59"/>
      <c r="J1606" s="59" t="s">
        <v>7834</v>
      </c>
      <c r="K1606" s="20"/>
      <c r="L1606" s="20"/>
      <c r="M1606" s="357"/>
      <c r="N1606" s="411"/>
      <c r="O1606" s="23" t="s">
        <v>682</v>
      </c>
      <c r="P1606" s="18" t="s">
        <v>632</v>
      </c>
      <c r="Q1606" s="18" t="s">
        <v>646</v>
      </c>
      <c r="R1606" s="372" t="str">
        <f t="shared" si="45"/>
        <v/>
      </c>
      <c r="S1606" s="106"/>
      <c r="T1606" s="107"/>
      <c r="U1606" s="108"/>
      <c r="V1606" s="108"/>
      <c r="W1606" s="108"/>
      <c r="X1606" s="108"/>
    </row>
    <row r="1607" spans="1:24" x14ac:dyDescent="0.25">
      <c r="A1607" s="23" t="s">
        <v>7190</v>
      </c>
      <c r="B1607" s="59" t="s">
        <v>7590</v>
      </c>
      <c r="C1607" s="59" t="s">
        <v>446</v>
      </c>
      <c r="D1607" s="356" t="s">
        <v>2378</v>
      </c>
      <c r="E1607" s="356" t="s">
        <v>7191</v>
      </c>
      <c r="F1607" s="23" t="s">
        <v>7194</v>
      </c>
      <c r="G1607" s="59" t="s">
        <v>403</v>
      </c>
      <c r="H1607" s="353">
        <v>252387.33</v>
      </c>
      <c r="I1607" s="59"/>
      <c r="J1607" s="59" t="s">
        <v>7825</v>
      </c>
      <c r="K1607" s="20"/>
      <c r="L1607" s="20">
        <v>1</v>
      </c>
      <c r="M1607" s="357">
        <f>+H1607</f>
        <v>252387.33</v>
      </c>
      <c r="N1607" s="411">
        <f>IFERROR((M1607/(VLOOKUP(B1607,'Data Pull Sheet'!$C:$H,6,FALSE))),"DC")</f>
        <v>7.2110665714285706E-4</v>
      </c>
      <c r="O1607" s="23" t="s">
        <v>63</v>
      </c>
      <c r="P1607" s="18" t="s">
        <v>632</v>
      </c>
      <c r="Q1607" s="18" t="s">
        <v>637</v>
      </c>
      <c r="R1607" s="372" t="str">
        <f t="shared" si="45"/>
        <v/>
      </c>
      <c r="S1607" s="106"/>
      <c r="T1607" s="107"/>
      <c r="U1607" s="108"/>
      <c r="V1607" s="108"/>
      <c r="W1607" s="108"/>
      <c r="X1607" s="108"/>
    </row>
    <row r="1608" spans="1:24" ht="30" x14ac:dyDescent="0.25">
      <c r="A1608" s="23" t="s">
        <v>7190</v>
      </c>
      <c r="B1608" s="59" t="s">
        <v>7590</v>
      </c>
      <c r="C1608" s="59" t="s">
        <v>446</v>
      </c>
      <c r="D1608" s="356" t="s">
        <v>2378</v>
      </c>
      <c r="E1608" s="356" t="s">
        <v>7191</v>
      </c>
      <c r="F1608" s="23" t="s">
        <v>7195</v>
      </c>
      <c r="G1608" s="59" t="s">
        <v>403</v>
      </c>
      <c r="H1608" s="353">
        <v>308999.78999999998</v>
      </c>
      <c r="I1608" s="59" t="s">
        <v>406</v>
      </c>
      <c r="J1608" s="59" t="s">
        <v>7842</v>
      </c>
      <c r="K1608" s="20"/>
      <c r="L1608" s="20">
        <v>1</v>
      </c>
      <c r="M1608" s="357">
        <f>+H1608</f>
        <v>308999.78999999998</v>
      </c>
      <c r="N1608" s="411">
        <f>IFERROR((M1608/(VLOOKUP(B1608,'Data Pull Sheet'!$C:$H,6,FALSE))),"DC")</f>
        <v>8.8285654285714282E-4</v>
      </c>
      <c r="O1608" s="23" t="s">
        <v>10815</v>
      </c>
      <c r="P1608" s="18" t="s">
        <v>632</v>
      </c>
      <c r="Q1608" s="18" t="s">
        <v>637</v>
      </c>
      <c r="R1608" s="372" t="str">
        <f t="shared" si="45"/>
        <v/>
      </c>
      <c r="S1608" s="106"/>
      <c r="T1608" s="107"/>
      <c r="U1608" s="108"/>
      <c r="V1608" s="108"/>
      <c r="W1608" s="108"/>
      <c r="X1608" s="108"/>
    </row>
    <row r="1609" spans="1:24" x14ac:dyDescent="0.25">
      <c r="A1609" s="23" t="s">
        <v>7190</v>
      </c>
      <c r="B1609" s="59" t="s">
        <v>7590</v>
      </c>
      <c r="C1609" s="59" t="s">
        <v>446</v>
      </c>
      <c r="D1609" s="356" t="s">
        <v>2378</v>
      </c>
      <c r="E1609" s="356" t="s">
        <v>7191</v>
      </c>
      <c r="F1609" s="23" t="s">
        <v>7196</v>
      </c>
      <c r="G1609" s="59" t="s">
        <v>403</v>
      </c>
      <c r="H1609" s="353">
        <v>38678</v>
      </c>
      <c r="I1609" s="59"/>
      <c r="J1609" s="59" t="s">
        <v>7843</v>
      </c>
      <c r="K1609" s="20"/>
      <c r="L1609" s="20">
        <v>4</v>
      </c>
      <c r="M1609" s="357">
        <f>SUM(H1609:H1612)</f>
        <v>373476</v>
      </c>
      <c r="N1609" s="411">
        <f>IFERROR((M1609/(VLOOKUP(B1609,'Data Pull Sheet'!$C:$H,6,FALSE))),"DC")</f>
        <v>1.0670742857142857E-3</v>
      </c>
      <c r="O1609" s="23" t="s">
        <v>1204</v>
      </c>
      <c r="P1609" s="18" t="s">
        <v>632</v>
      </c>
      <c r="Q1609" s="18" t="s">
        <v>637</v>
      </c>
      <c r="R1609" s="372" t="str">
        <f t="shared" si="45"/>
        <v/>
      </c>
      <c r="S1609" s="106"/>
      <c r="T1609" s="107"/>
      <c r="U1609" s="108"/>
      <c r="V1609" s="108"/>
      <c r="W1609" s="108"/>
      <c r="X1609" s="108"/>
    </row>
    <row r="1610" spans="1:24" x14ac:dyDescent="0.25">
      <c r="A1610" s="23" t="s">
        <v>7190</v>
      </c>
      <c r="B1610" s="59" t="s">
        <v>7590</v>
      </c>
      <c r="C1610" s="59" t="s">
        <v>446</v>
      </c>
      <c r="D1610" s="356" t="s">
        <v>2378</v>
      </c>
      <c r="E1610" s="356" t="s">
        <v>7191</v>
      </c>
      <c r="F1610" s="23" t="s">
        <v>7197</v>
      </c>
      <c r="G1610" s="59" t="s">
        <v>403</v>
      </c>
      <c r="H1610" s="353">
        <v>149829</v>
      </c>
      <c r="I1610" s="59"/>
      <c r="J1610" s="59" t="s">
        <v>7844</v>
      </c>
      <c r="K1610" s="20"/>
      <c r="L1610" s="20"/>
      <c r="M1610" s="357"/>
      <c r="N1610" s="411"/>
      <c r="O1610" s="23" t="s">
        <v>1204</v>
      </c>
      <c r="P1610" s="18" t="s">
        <v>632</v>
      </c>
      <c r="Q1610" s="18" t="s">
        <v>637</v>
      </c>
      <c r="R1610" s="372" t="str">
        <f t="shared" si="45"/>
        <v/>
      </c>
      <c r="S1610" s="106"/>
      <c r="T1610" s="107"/>
      <c r="U1610" s="108"/>
      <c r="V1610" s="108"/>
      <c r="W1610" s="108"/>
      <c r="X1610" s="108"/>
    </row>
    <row r="1611" spans="1:24" x14ac:dyDescent="0.25">
      <c r="A1611" s="23" t="s">
        <v>7190</v>
      </c>
      <c r="B1611" s="59" t="s">
        <v>7590</v>
      </c>
      <c r="C1611" s="59" t="s">
        <v>446</v>
      </c>
      <c r="D1611" s="356" t="s">
        <v>2378</v>
      </c>
      <c r="E1611" s="356" t="s">
        <v>7191</v>
      </c>
      <c r="F1611" s="23" t="s">
        <v>6850</v>
      </c>
      <c r="G1611" s="59" t="s">
        <v>403</v>
      </c>
      <c r="H1611" s="353">
        <v>87983</v>
      </c>
      <c r="I1611" s="59"/>
      <c r="J1611" s="59" t="s">
        <v>7845</v>
      </c>
      <c r="K1611" s="20"/>
      <c r="L1611" s="20"/>
      <c r="M1611" s="357"/>
      <c r="N1611" s="411"/>
      <c r="O1611" s="23" t="s">
        <v>1204</v>
      </c>
      <c r="P1611" s="18" t="s">
        <v>632</v>
      </c>
      <c r="Q1611" s="18" t="s">
        <v>637</v>
      </c>
      <c r="R1611" s="372" t="str">
        <f t="shared" si="45"/>
        <v>FF</v>
      </c>
      <c r="S1611" s="106"/>
      <c r="T1611" s="107"/>
      <c r="U1611" s="108"/>
      <c r="V1611" s="108"/>
      <c r="W1611" s="108"/>
      <c r="X1611" s="108"/>
    </row>
    <row r="1612" spans="1:24" x14ac:dyDescent="0.25">
      <c r="A1612" s="23" t="s">
        <v>7190</v>
      </c>
      <c r="B1612" s="59" t="s">
        <v>7590</v>
      </c>
      <c r="C1612" s="59" t="s">
        <v>446</v>
      </c>
      <c r="D1612" s="356" t="s">
        <v>2378</v>
      </c>
      <c r="E1612" s="356" t="s">
        <v>7191</v>
      </c>
      <c r="F1612" s="23" t="s">
        <v>7199</v>
      </c>
      <c r="G1612" s="59" t="s">
        <v>403</v>
      </c>
      <c r="H1612" s="353">
        <v>96986</v>
      </c>
      <c r="I1612" s="59"/>
      <c r="J1612" s="59" t="s">
        <v>7846</v>
      </c>
      <c r="K1612" s="20"/>
      <c r="L1612" s="20"/>
      <c r="M1612" s="357"/>
      <c r="N1612" s="411"/>
      <c r="O1612" s="23" t="s">
        <v>1204</v>
      </c>
      <c r="P1612" s="18" t="s">
        <v>632</v>
      </c>
      <c r="Q1612" s="18" t="s">
        <v>637</v>
      </c>
      <c r="R1612" s="372" t="str">
        <f t="shared" si="45"/>
        <v/>
      </c>
      <c r="S1612" s="106"/>
      <c r="T1612" s="107"/>
      <c r="U1612" s="108"/>
      <c r="V1612" s="108"/>
      <c r="W1612" s="108"/>
      <c r="X1612" s="108"/>
    </row>
    <row r="1613" spans="1:24" x14ac:dyDescent="0.25">
      <c r="A1613" s="23" t="s">
        <v>7190</v>
      </c>
      <c r="B1613" s="59" t="s">
        <v>7590</v>
      </c>
      <c r="C1613" s="59" t="s">
        <v>446</v>
      </c>
      <c r="D1613" s="356" t="s">
        <v>2378</v>
      </c>
      <c r="E1613" s="356" t="s">
        <v>7191</v>
      </c>
      <c r="F1613" s="23" t="s">
        <v>7200</v>
      </c>
      <c r="G1613" s="59" t="s">
        <v>403</v>
      </c>
      <c r="H1613" s="353">
        <v>1017273.01</v>
      </c>
      <c r="I1613" s="59" t="s">
        <v>406</v>
      </c>
      <c r="J1613" s="59" t="s">
        <v>7847</v>
      </c>
      <c r="K1613" s="20"/>
      <c r="L1613" s="20">
        <v>1</v>
      </c>
      <c r="M1613" s="357">
        <f>+H1613</f>
        <v>1017273.01</v>
      </c>
      <c r="N1613" s="411">
        <f>IFERROR((M1613/(VLOOKUP(B1613,'Data Pull Sheet'!$C:$H,6,FALSE))),"DC")</f>
        <v>2.9064943142857141E-3</v>
      </c>
      <c r="O1613" s="23" t="s">
        <v>407</v>
      </c>
      <c r="P1613" s="18" t="s">
        <v>632</v>
      </c>
      <c r="Q1613" s="18" t="s">
        <v>637</v>
      </c>
      <c r="R1613" s="372" t="str">
        <f t="shared" si="45"/>
        <v/>
      </c>
      <c r="S1613" s="106"/>
      <c r="T1613" s="107"/>
      <c r="U1613" s="108"/>
      <c r="V1613" s="108"/>
      <c r="W1613" s="108"/>
      <c r="X1613" s="108"/>
    </row>
    <row r="1614" spans="1:24" x14ac:dyDescent="0.25">
      <c r="A1614" s="23" t="s">
        <v>4257</v>
      </c>
      <c r="B1614" s="59" t="s">
        <v>7551</v>
      </c>
      <c r="C1614" s="59" t="s">
        <v>1008</v>
      </c>
      <c r="D1614" s="356" t="s">
        <v>4259</v>
      </c>
      <c r="E1614" s="356" t="s">
        <v>6977</v>
      </c>
      <c r="F1614" s="23" t="s">
        <v>7185</v>
      </c>
      <c r="G1614" s="59" t="s">
        <v>403</v>
      </c>
      <c r="H1614" s="353">
        <v>368.65</v>
      </c>
      <c r="I1614" s="59"/>
      <c r="J1614" s="59" t="s">
        <v>7839</v>
      </c>
      <c r="K1614" s="20">
        <v>2</v>
      </c>
      <c r="L1614" s="20">
        <v>2</v>
      </c>
      <c r="M1614" s="357">
        <f>SUM(H1614:H1615)</f>
        <v>1416.0300000000002</v>
      </c>
      <c r="N1614" s="411">
        <f>IFERROR((M1614/(VLOOKUP(B1614,'Data Pull Sheet'!$C:$H,6,FALSE))),"DC")</f>
        <v>1.5733666666666669E-4</v>
      </c>
      <c r="O1614" s="23" t="s">
        <v>1617</v>
      </c>
      <c r="P1614" s="18" t="s">
        <v>632</v>
      </c>
      <c r="Q1614" s="18" t="s">
        <v>646</v>
      </c>
      <c r="R1614" s="372" t="str">
        <f t="shared" si="45"/>
        <v/>
      </c>
      <c r="S1614" s="106"/>
      <c r="T1614" s="107"/>
      <c r="U1614" s="108"/>
      <c r="V1614" s="108"/>
      <c r="W1614" s="108"/>
      <c r="X1614" s="108"/>
    </row>
    <row r="1615" spans="1:24" x14ac:dyDescent="0.25">
      <c r="A1615" s="23" t="s">
        <v>4257</v>
      </c>
      <c r="B1615" s="59" t="s">
        <v>7551</v>
      </c>
      <c r="C1615" s="59" t="s">
        <v>1008</v>
      </c>
      <c r="D1615" s="356" t="s">
        <v>4259</v>
      </c>
      <c r="E1615" s="356" t="s">
        <v>6977</v>
      </c>
      <c r="F1615" s="23" t="s">
        <v>7186</v>
      </c>
      <c r="G1615" s="59" t="s">
        <v>403</v>
      </c>
      <c r="H1615" s="353">
        <v>1047.3800000000001</v>
      </c>
      <c r="I1615" s="59"/>
      <c r="J1615" s="59" t="s">
        <v>7833</v>
      </c>
      <c r="K1615" s="20"/>
      <c r="L1615" s="20"/>
      <c r="M1615" s="357"/>
      <c r="N1615" s="411"/>
      <c r="O1615" s="23" t="s">
        <v>1617</v>
      </c>
      <c r="P1615" s="18" t="s">
        <v>632</v>
      </c>
      <c r="Q1615" s="18" t="s">
        <v>646</v>
      </c>
      <c r="R1615" s="372" t="str">
        <f t="shared" si="45"/>
        <v/>
      </c>
      <c r="S1615" s="106"/>
      <c r="T1615" s="107"/>
      <c r="U1615" s="108"/>
      <c r="V1615" s="108"/>
      <c r="W1615" s="108"/>
      <c r="X1615" s="108"/>
    </row>
    <row r="1616" spans="1:24" x14ac:dyDescent="0.25">
      <c r="A1616" s="23" t="s">
        <v>4257</v>
      </c>
      <c r="B1616" s="59" t="s">
        <v>7551</v>
      </c>
      <c r="C1616" s="59" t="s">
        <v>1008</v>
      </c>
      <c r="D1616" s="356" t="s">
        <v>4259</v>
      </c>
      <c r="E1616" s="356" t="s">
        <v>6977</v>
      </c>
      <c r="F1616" s="23" t="s">
        <v>7187</v>
      </c>
      <c r="G1616" s="59" t="s">
        <v>417</v>
      </c>
      <c r="H1616" s="353">
        <v>385918.25</v>
      </c>
      <c r="I1616" s="59"/>
      <c r="J1616" s="59" t="s">
        <v>7824</v>
      </c>
      <c r="K1616" s="20"/>
      <c r="L1616" s="20">
        <v>1</v>
      </c>
      <c r="M1616" s="357">
        <f>H1616</f>
        <v>385918.25</v>
      </c>
      <c r="N1616" s="411">
        <f>IFERROR((M1616/(VLOOKUP(B1616,'Data Pull Sheet'!$C:$H,6,FALSE))),"DC")</f>
        <v>4.2879805555555553E-2</v>
      </c>
      <c r="O1616" s="23" t="s">
        <v>63</v>
      </c>
      <c r="P1616" s="18" t="s">
        <v>632</v>
      </c>
      <c r="Q1616" s="18" t="s">
        <v>633</v>
      </c>
      <c r="R1616" s="372" t="str">
        <f t="shared" si="45"/>
        <v/>
      </c>
      <c r="S1616" s="106"/>
      <c r="T1616" s="107"/>
      <c r="U1616" s="108"/>
      <c r="V1616" s="108"/>
      <c r="W1616" s="108"/>
      <c r="X1616" s="108"/>
    </row>
    <row r="1617" spans="1:24" x14ac:dyDescent="0.25">
      <c r="A1617" s="23" t="s">
        <v>579</v>
      </c>
      <c r="B1617" s="59" t="s">
        <v>5215</v>
      </c>
      <c r="C1617" s="59" t="s">
        <v>457</v>
      </c>
      <c r="D1617" s="356" t="s">
        <v>580</v>
      </c>
      <c r="E1617" s="356" t="s">
        <v>6977</v>
      </c>
      <c r="F1617" s="23" t="s">
        <v>3603</v>
      </c>
      <c r="G1617" s="59" t="s">
        <v>403</v>
      </c>
      <c r="H1617" s="353">
        <v>171363</v>
      </c>
      <c r="I1617" s="59" t="s">
        <v>406</v>
      </c>
      <c r="J1617" s="59" t="s">
        <v>7832</v>
      </c>
      <c r="K1617" s="20">
        <v>2</v>
      </c>
      <c r="L1617" s="20">
        <v>2</v>
      </c>
      <c r="M1617" s="357">
        <f>SUM(H1617:H1618)</f>
        <v>455457</v>
      </c>
      <c r="N1617" s="411">
        <f>IFERROR((M1617/(VLOOKUP(B1617,'Data Pull Sheet'!$C:$H,6,FALSE))),"DC")</f>
        <v>4.1405181818181822E-3</v>
      </c>
      <c r="O1617" s="23" t="s">
        <v>79</v>
      </c>
      <c r="P1617" s="18" t="s">
        <v>632</v>
      </c>
      <c r="Q1617" s="18" t="s">
        <v>646</v>
      </c>
      <c r="R1617" s="372" t="str">
        <f t="shared" si="45"/>
        <v>FF</v>
      </c>
      <c r="S1617" s="106"/>
      <c r="T1617" s="107"/>
      <c r="U1617" s="108"/>
      <c r="V1617" s="108"/>
      <c r="W1617" s="108"/>
      <c r="X1617" s="108"/>
    </row>
    <row r="1618" spans="1:24" x14ac:dyDescent="0.25">
      <c r="A1618" s="23" t="s">
        <v>579</v>
      </c>
      <c r="B1618" s="59" t="s">
        <v>5215</v>
      </c>
      <c r="C1618" s="59" t="s">
        <v>457</v>
      </c>
      <c r="D1618" s="356" t="s">
        <v>580</v>
      </c>
      <c r="E1618" s="356" t="s">
        <v>6977</v>
      </c>
      <c r="F1618" s="23" t="s">
        <v>3595</v>
      </c>
      <c r="G1618" s="59" t="s">
        <v>403</v>
      </c>
      <c r="H1618" s="353">
        <v>284094</v>
      </c>
      <c r="I1618" s="59" t="s">
        <v>476</v>
      </c>
      <c r="J1618" s="59" t="s">
        <v>7812</v>
      </c>
      <c r="K1618" s="20"/>
      <c r="L1618" s="20"/>
      <c r="M1618" s="357"/>
      <c r="N1618" s="411"/>
      <c r="O1618" s="23" t="s">
        <v>79</v>
      </c>
      <c r="P1618" s="18" t="s">
        <v>632</v>
      </c>
      <c r="Q1618" s="18" t="s">
        <v>646</v>
      </c>
      <c r="R1618" s="372" t="str">
        <f t="shared" si="45"/>
        <v>FF</v>
      </c>
      <c r="S1618" s="106"/>
      <c r="T1618" s="107"/>
      <c r="U1618" s="108"/>
      <c r="V1618" s="108"/>
      <c r="W1618" s="108"/>
      <c r="X1618" s="108"/>
    </row>
    <row r="1619" spans="1:24" x14ac:dyDescent="0.25">
      <c r="A1619" s="23" t="s">
        <v>579</v>
      </c>
      <c r="B1619" s="59" t="s">
        <v>5215</v>
      </c>
      <c r="C1619" s="59" t="s">
        <v>457</v>
      </c>
      <c r="D1619" s="356" t="s">
        <v>580</v>
      </c>
      <c r="E1619" s="356" t="s">
        <v>6977</v>
      </c>
      <c r="F1619" s="23" t="s">
        <v>3610</v>
      </c>
      <c r="G1619" s="59" t="s">
        <v>403</v>
      </c>
      <c r="H1619" s="353">
        <v>37900</v>
      </c>
      <c r="I1619" s="59"/>
      <c r="J1619" s="59" t="s">
        <v>3594</v>
      </c>
      <c r="K1619" s="20"/>
      <c r="L1619" s="20">
        <v>5</v>
      </c>
      <c r="M1619" s="357">
        <f>SUM(H1619:H1623)</f>
        <v>377733.03</v>
      </c>
      <c r="N1619" s="411">
        <f>IFERROR((M1619/(VLOOKUP(B1619,'Data Pull Sheet'!$C:$H,6,FALSE))),"DC")</f>
        <v>3.4339366363636365E-3</v>
      </c>
      <c r="O1619" s="23" t="s">
        <v>986</v>
      </c>
      <c r="P1619" s="18" t="s">
        <v>632</v>
      </c>
      <c r="Q1619" s="18" t="s">
        <v>646</v>
      </c>
      <c r="R1619" s="372" t="str">
        <f t="shared" si="45"/>
        <v>FF</v>
      </c>
      <c r="S1619" s="106"/>
      <c r="T1619" s="107"/>
      <c r="U1619" s="108"/>
      <c r="V1619" s="108"/>
      <c r="W1619" s="108"/>
      <c r="X1619" s="108"/>
    </row>
    <row r="1620" spans="1:24" x14ac:dyDescent="0.25">
      <c r="A1620" s="23" t="s">
        <v>579</v>
      </c>
      <c r="B1620" s="59" t="s">
        <v>5215</v>
      </c>
      <c r="C1620" s="59" t="s">
        <v>457</v>
      </c>
      <c r="D1620" s="356" t="s">
        <v>580</v>
      </c>
      <c r="E1620" s="356" t="s">
        <v>6977</v>
      </c>
      <c r="F1620" s="23" t="s">
        <v>3605</v>
      </c>
      <c r="G1620" s="59" t="s">
        <v>403</v>
      </c>
      <c r="H1620" s="353">
        <v>17692.04</v>
      </c>
      <c r="I1620" s="59"/>
      <c r="J1620" s="59" t="s">
        <v>3596</v>
      </c>
      <c r="K1620" s="20"/>
      <c r="L1620" s="20"/>
      <c r="M1620" s="357"/>
      <c r="N1620" s="411"/>
      <c r="O1620" s="23" t="s">
        <v>986</v>
      </c>
      <c r="P1620" s="18" t="s">
        <v>632</v>
      </c>
      <c r="Q1620" s="18" t="s">
        <v>646</v>
      </c>
      <c r="R1620" s="372" t="str">
        <f t="shared" si="45"/>
        <v>FF</v>
      </c>
      <c r="S1620" s="106"/>
      <c r="T1620" s="107"/>
      <c r="U1620" s="108"/>
      <c r="V1620" s="108"/>
      <c r="W1620" s="108"/>
      <c r="X1620" s="108"/>
    </row>
    <row r="1621" spans="1:24" x14ac:dyDescent="0.25">
      <c r="A1621" s="23" t="s">
        <v>579</v>
      </c>
      <c r="B1621" s="59" t="s">
        <v>5215</v>
      </c>
      <c r="C1621" s="59" t="s">
        <v>457</v>
      </c>
      <c r="D1621" s="356" t="s">
        <v>580</v>
      </c>
      <c r="E1621" s="356" t="s">
        <v>6977</v>
      </c>
      <c r="F1621" s="23" t="s">
        <v>3608</v>
      </c>
      <c r="G1621" s="59" t="s">
        <v>403</v>
      </c>
      <c r="H1621" s="353">
        <v>48249.19</v>
      </c>
      <c r="I1621" s="59"/>
      <c r="J1621" s="59" t="s">
        <v>7837</v>
      </c>
      <c r="K1621" s="20"/>
      <c r="L1621" s="20"/>
      <c r="M1621" s="357"/>
      <c r="N1621" s="411"/>
      <c r="O1621" s="23" t="s">
        <v>986</v>
      </c>
      <c r="P1621" s="18" t="s">
        <v>632</v>
      </c>
      <c r="Q1621" s="18" t="s">
        <v>646</v>
      </c>
      <c r="R1621" s="372" t="str">
        <f t="shared" si="45"/>
        <v>FF</v>
      </c>
      <c r="S1621" s="106"/>
      <c r="T1621" s="107"/>
      <c r="U1621" s="108"/>
      <c r="V1621" s="108"/>
      <c r="W1621" s="108"/>
      <c r="X1621" s="108"/>
    </row>
    <row r="1622" spans="1:24" x14ac:dyDescent="0.25">
      <c r="A1622" s="23" t="s">
        <v>579</v>
      </c>
      <c r="B1622" s="59" t="s">
        <v>5215</v>
      </c>
      <c r="C1622" s="59" t="s">
        <v>457</v>
      </c>
      <c r="D1622" s="356" t="s">
        <v>580</v>
      </c>
      <c r="E1622" s="356" t="s">
        <v>6977</v>
      </c>
      <c r="F1622" s="23" t="s">
        <v>3612</v>
      </c>
      <c r="G1622" s="59" t="s">
        <v>403</v>
      </c>
      <c r="H1622" s="353">
        <v>88217.3</v>
      </c>
      <c r="I1622" s="59"/>
      <c r="J1622" s="59" t="s">
        <v>7838</v>
      </c>
      <c r="K1622" s="20"/>
      <c r="L1622" s="20"/>
      <c r="M1622" s="357"/>
      <c r="N1622" s="411"/>
      <c r="O1622" s="23" t="s">
        <v>986</v>
      </c>
      <c r="P1622" s="18" t="s">
        <v>632</v>
      </c>
      <c r="Q1622" s="18" t="s">
        <v>646</v>
      </c>
      <c r="R1622" s="372" t="str">
        <f t="shared" si="45"/>
        <v>FF</v>
      </c>
      <c r="S1622" s="106"/>
      <c r="T1622" s="107"/>
      <c r="U1622" s="108"/>
      <c r="V1622" s="108"/>
      <c r="W1622" s="108"/>
      <c r="X1622" s="108"/>
    </row>
    <row r="1623" spans="1:24" x14ac:dyDescent="0.25">
      <c r="A1623" s="23" t="s">
        <v>579</v>
      </c>
      <c r="B1623" s="59" t="s">
        <v>5215</v>
      </c>
      <c r="C1623" s="59" t="s">
        <v>457</v>
      </c>
      <c r="D1623" s="356" t="s">
        <v>580</v>
      </c>
      <c r="E1623" s="356" t="s">
        <v>6977</v>
      </c>
      <c r="F1623" s="23" t="s">
        <v>3614</v>
      </c>
      <c r="G1623" s="59" t="s">
        <v>403</v>
      </c>
      <c r="H1623" s="353">
        <v>185674.5</v>
      </c>
      <c r="I1623" s="59"/>
      <c r="J1623" s="59" t="s">
        <v>7836</v>
      </c>
      <c r="K1623" s="20"/>
      <c r="L1623" s="20"/>
      <c r="M1623" s="357"/>
      <c r="N1623" s="411"/>
      <c r="O1623" s="23" t="s">
        <v>986</v>
      </c>
      <c r="P1623" s="18" t="s">
        <v>632</v>
      </c>
      <c r="Q1623" s="18" t="s">
        <v>646</v>
      </c>
      <c r="R1623" s="372" t="str">
        <f t="shared" si="45"/>
        <v>FF</v>
      </c>
      <c r="S1623" s="106"/>
      <c r="T1623" s="107"/>
      <c r="U1623" s="108"/>
      <c r="V1623" s="108"/>
      <c r="W1623" s="108"/>
      <c r="X1623" s="108"/>
    </row>
    <row r="1624" spans="1:24" x14ac:dyDescent="0.25">
      <c r="A1624" s="23" t="s">
        <v>7170</v>
      </c>
      <c r="B1624" s="59" t="s">
        <v>7530</v>
      </c>
      <c r="C1624" s="59" t="s">
        <v>424</v>
      </c>
      <c r="D1624" s="356" t="s">
        <v>7171</v>
      </c>
      <c r="E1624" s="356" t="s">
        <v>7165</v>
      </c>
      <c r="F1624" s="23" t="s">
        <v>7172</v>
      </c>
      <c r="G1624" s="59" t="s">
        <v>403</v>
      </c>
      <c r="H1624" s="353">
        <v>66600</v>
      </c>
      <c r="I1624" s="59"/>
      <c r="J1624" s="59" t="s">
        <v>7798</v>
      </c>
      <c r="K1624" s="20">
        <v>3</v>
      </c>
      <c r="L1624" s="20">
        <v>1</v>
      </c>
      <c r="M1624" s="357">
        <f>H1624</f>
        <v>66600</v>
      </c>
      <c r="N1624" s="411">
        <f>IFERROR((M1624/(VLOOKUP(B1624,'Data Pull Sheet'!$C:$H,6,FALSE))),"DC")</f>
        <v>6.0545454545454548E-3</v>
      </c>
      <c r="O1624" s="23" t="s">
        <v>682</v>
      </c>
      <c r="P1624" s="18" t="s">
        <v>632</v>
      </c>
      <c r="Q1624" s="18" t="s">
        <v>637</v>
      </c>
      <c r="R1624" s="372" t="str">
        <f t="shared" si="45"/>
        <v/>
      </c>
      <c r="S1624" s="106"/>
      <c r="T1624" s="107"/>
      <c r="U1624" s="108"/>
      <c r="V1624" s="108"/>
      <c r="W1624" s="108"/>
      <c r="X1624" s="108"/>
    </row>
    <row r="1625" spans="1:24" ht="30" x14ac:dyDescent="0.25">
      <c r="A1625" s="23" t="s">
        <v>7170</v>
      </c>
      <c r="B1625" s="59" t="s">
        <v>7530</v>
      </c>
      <c r="C1625" s="59" t="s">
        <v>424</v>
      </c>
      <c r="D1625" s="356" t="s">
        <v>7171</v>
      </c>
      <c r="E1625" s="356" t="s">
        <v>7165</v>
      </c>
      <c r="F1625" s="23" t="s">
        <v>7173</v>
      </c>
      <c r="G1625" s="59" t="s">
        <v>403</v>
      </c>
      <c r="H1625" s="353">
        <v>294666</v>
      </c>
      <c r="I1625" s="59"/>
      <c r="J1625" s="59" t="s">
        <v>7801</v>
      </c>
      <c r="K1625" s="20"/>
      <c r="L1625" s="20">
        <v>1</v>
      </c>
      <c r="M1625" s="357">
        <f>H1625</f>
        <v>294666</v>
      </c>
      <c r="N1625" s="411">
        <f>IFERROR((M1625/(VLOOKUP(B1625,'Data Pull Sheet'!$C:$H,6,FALSE))),"DC")</f>
        <v>2.6787818181818183E-2</v>
      </c>
      <c r="O1625" s="23" t="s">
        <v>687</v>
      </c>
      <c r="P1625" s="18" t="s">
        <v>632</v>
      </c>
      <c r="Q1625" s="18" t="s">
        <v>637</v>
      </c>
      <c r="R1625" s="372" t="str">
        <f t="shared" si="45"/>
        <v/>
      </c>
      <c r="S1625" s="106"/>
      <c r="T1625" s="107"/>
      <c r="U1625" s="108"/>
      <c r="V1625" s="108"/>
      <c r="W1625" s="108"/>
      <c r="X1625" s="108"/>
    </row>
    <row r="1626" spans="1:24" ht="30" x14ac:dyDescent="0.25">
      <c r="A1626" s="23" t="s">
        <v>7170</v>
      </c>
      <c r="B1626" s="59" t="s">
        <v>7530</v>
      </c>
      <c r="C1626" s="59" t="s">
        <v>424</v>
      </c>
      <c r="D1626" s="356" t="s">
        <v>7171</v>
      </c>
      <c r="E1626" s="356" t="s">
        <v>7165</v>
      </c>
      <c r="F1626" s="23" t="s">
        <v>7174</v>
      </c>
      <c r="G1626" s="59" t="s">
        <v>403</v>
      </c>
      <c r="H1626" s="353">
        <v>73726.320000000007</v>
      </c>
      <c r="I1626" s="59"/>
      <c r="J1626" s="59" t="s">
        <v>7827</v>
      </c>
      <c r="K1626" s="20"/>
      <c r="L1626" s="20">
        <v>5</v>
      </c>
      <c r="M1626" s="357">
        <f>SUM(H1626:H1630)</f>
        <v>303208.42000000004</v>
      </c>
      <c r="N1626" s="411">
        <f>IFERROR((M1626/(VLOOKUP(B1626,'Data Pull Sheet'!$C:$H,6,FALSE))),"DC")</f>
        <v>2.7564401818181823E-2</v>
      </c>
      <c r="O1626" s="23" t="s">
        <v>7175</v>
      </c>
      <c r="P1626" s="18" t="s">
        <v>632</v>
      </c>
      <c r="Q1626" s="18" t="s">
        <v>646</v>
      </c>
      <c r="R1626" s="372" t="str">
        <f t="shared" si="45"/>
        <v/>
      </c>
      <c r="S1626" s="106"/>
      <c r="T1626" s="107"/>
      <c r="U1626" s="108"/>
      <c r="V1626" s="108"/>
      <c r="W1626" s="108"/>
      <c r="X1626" s="108"/>
    </row>
    <row r="1627" spans="1:24" ht="30" x14ac:dyDescent="0.25">
      <c r="A1627" s="23" t="s">
        <v>7170</v>
      </c>
      <c r="B1627" s="59" t="s">
        <v>7530</v>
      </c>
      <c r="C1627" s="59" t="s">
        <v>424</v>
      </c>
      <c r="D1627" s="356" t="s">
        <v>7171</v>
      </c>
      <c r="E1627" s="356" t="s">
        <v>7165</v>
      </c>
      <c r="F1627" s="23" t="s">
        <v>7176</v>
      </c>
      <c r="G1627" s="59" t="s">
        <v>403</v>
      </c>
      <c r="H1627" s="353">
        <v>56442.17</v>
      </c>
      <c r="I1627" s="59"/>
      <c r="J1627" s="59" t="s">
        <v>7828</v>
      </c>
      <c r="K1627" s="20"/>
      <c r="L1627" s="20"/>
      <c r="M1627" s="357"/>
      <c r="N1627" s="411"/>
      <c r="O1627" s="23" t="s">
        <v>7175</v>
      </c>
      <c r="P1627" s="18" t="s">
        <v>632</v>
      </c>
      <c r="Q1627" s="18" t="s">
        <v>646</v>
      </c>
      <c r="R1627" s="372" t="str">
        <f t="shared" si="45"/>
        <v/>
      </c>
      <c r="S1627" s="106"/>
      <c r="T1627" s="107"/>
      <c r="U1627" s="108"/>
      <c r="V1627" s="108"/>
      <c r="W1627" s="108"/>
      <c r="X1627" s="108"/>
    </row>
    <row r="1628" spans="1:24" ht="30" x14ac:dyDescent="0.25">
      <c r="A1628" s="23" t="s">
        <v>7170</v>
      </c>
      <c r="B1628" s="59" t="s">
        <v>7530</v>
      </c>
      <c r="C1628" s="59" t="s">
        <v>424</v>
      </c>
      <c r="D1628" s="356" t="s">
        <v>7171</v>
      </c>
      <c r="E1628" s="356" t="s">
        <v>7165</v>
      </c>
      <c r="F1628" s="23" t="s">
        <v>7177</v>
      </c>
      <c r="G1628" s="59" t="s">
        <v>403</v>
      </c>
      <c r="H1628" s="353">
        <v>30036.14</v>
      </c>
      <c r="I1628" s="59"/>
      <c r="J1628" s="59" t="s">
        <v>7829</v>
      </c>
      <c r="K1628" s="20"/>
      <c r="L1628" s="20"/>
      <c r="M1628" s="357"/>
      <c r="N1628" s="411"/>
      <c r="O1628" s="23" t="s">
        <v>7175</v>
      </c>
      <c r="P1628" s="18" t="s">
        <v>632</v>
      </c>
      <c r="Q1628" s="18" t="s">
        <v>646</v>
      </c>
      <c r="R1628" s="372" t="str">
        <f t="shared" si="45"/>
        <v/>
      </c>
      <c r="S1628" s="106"/>
      <c r="T1628" s="107"/>
      <c r="U1628" s="108"/>
      <c r="V1628" s="108"/>
      <c r="W1628" s="108"/>
      <c r="X1628" s="108"/>
    </row>
    <row r="1629" spans="1:24" ht="30" x14ac:dyDescent="0.25">
      <c r="A1629" s="23" t="s">
        <v>7170</v>
      </c>
      <c r="B1629" s="59" t="s">
        <v>7530</v>
      </c>
      <c r="C1629" s="59" t="s">
        <v>424</v>
      </c>
      <c r="D1629" s="356" t="s">
        <v>7171</v>
      </c>
      <c r="E1629" s="356" t="s">
        <v>7165</v>
      </c>
      <c r="F1629" s="23" t="s">
        <v>7178</v>
      </c>
      <c r="G1629" s="59" t="s">
        <v>403</v>
      </c>
      <c r="H1629" s="353">
        <v>67167.350000000006</v>
      </c>
      <c r="I1629" s="59"/>
      <c r="J1629" s="59" t="s">
        <v>7830</v>
      </c>
      <c r="K1629" s="20"/>
      <c r="L1629" s="20"/>
      <c r="M1629" s="357"/>
      <c r="N1629" s="411"/>
      <c r="O1629" s="23" t="s">
        <v>7175</v>
      </c>
      <c r="P1629" s="18" t="s">
        <v>632</v>
      </c>
      <c r="Q1629" s="18" t="s">
        <v>646</v>
      </c>
      <c r="R1629" s="372" t="str">
        <f t="shared" si="45"/>
        <v/>
      </c>
      <c r="S1629" s="106"/>
      <c r="T1629" s="107"/>
      <c r="U1629" s="108"/>
      <c r="V1629" s="108"/>
      <c r="W1629" s="108"/>
      <c r="X1629" s="108"/>
    </row>
    <row r="1630" spans="1:24" ht="30" x14ac:dyDescent="0.25">
      <c r="A1630" s="23" t="s">
        <v>7170</v>
      </c>
      <c r="B1630" s="59" t="s">
        <v>7530</v>
      </c>
      <c r="C1630" s="59" t="s">
        <v>424</v>
      </c>
      <c r="D1630" s="356" t="s">
        <v>7171</v>
      </c>
      <c r="E1630" s="356" t="s">
        <v>7165</v>
      </c>
      <c r="F1630" s="23" t="s">
        <v>7179</v>
      </c>
      <c r="G1630" s="59" t="s">
        <v>403</v>
      </c>
      <c r="H1630" s="353">
        <v>75836.44</v>
      </c>
      <c r="I1630" s="59"/>
      <c r="J1630" s="59" t="s">
        <v>7831</v>
      </c>
      <c r="K1630" s="20"/>
      <c r="L1630" s="20"/>
      <c r="M1630" s="357"/>
      <c r="N1630" s="411"/>
      <c r="O1630" s="23" t="s">
        <v>7175</v>
      </c>
      <c r="P1630" s="18" t="s">
        <v>632</v>
      </c>
      <c r="Q1630" s="18" t="s">
        <v>646</v>
      </c>
      <c r="R1630" s="372" t="str">
        <f t="shared" si="45"/>
        <v/>
      </c>
      <c r="S1630" s="106"/>
      <c r="T1630" s="107"/>
      <c r="U1630" s="108"/>
      <c r="V1630" s="108"/>
      <c r="W1630" s="108"/>
      <c r="X1630" s="108"/>
    </row>
    <row r="1631" spans="1:24" ht="30" x14ac:dyDescent="0.25">
      <c r="A1631" s="23" t="s">
        <v>7155</v>
      </c>
      <c r="B1631" s="59" t="s">
        <v>7540</v>
      </c>
      <c r="C1631" s="59" t="s">
        <v>1632</v>
      </c>
      <c r="D1631" s="356" t="s">
        <v>7156</v>
      </c>
      <c r="E1631" s="356" t="s">
        <v>6965</v>
      </c>
      <c r="F1631" s="23" t="s">
        <v>7157</v>
      </c>
      <c r="G1631" s="59" t="s">
        <v>403</v>
      </c>
      <c r="H1631" s="353">
        <v>1875.18</v>
      </c>
      <c r="I1631" s="59" t="s">
        <v>406</v>
      </c>
      <c r="J1631" s="59" t="s">
        <v>7817</v>
      </c>
      <c r="K1631" s="20">
        <v>3</v>
      </c>
      <c r="L1631" s="20">
        <v>5</v>
      </c>
      <c r="M1631" s="357">
        <f>SUM(H1631:H1635)</f>
        <v>9593.7099999999991</v>
      </c>
      <c r="N1631" s="411">
        <f>IFERROR((M1631/(VLOOKUP(B1631,'Data Pull Sheet'!$C:$H,6,FALSE))),"DC")</f>
        <v>9.5937099999999993E-5</v>
      </c>
      <c r="O1631" s="23" t="s">
        <v>2174</v>
      </c>
      <c r="P1631" s="18" t="s">
        <v>632</v>
      </c>
      <c r="Q1631" s="18" t="s">
        <v>646</v>
      </c>
      <c r="R1631" s="372" t="str">
        <f t="shared" si="45"/>
        <v/>
      </c>
      <c r="S1631" s="106"/>
      <c r="T1631" s="107"/>
      <c r="U1631" s="108"/>
      <c r="V1631" s="108"/>
      <c r="W1631" s="108"/>
      <c r="X1631" s="108"/>
    </row>
    <row r="1632" spans="1:24" ht="30" x14ac:dyDescent="0.25">
      <c r="A1632" s="23" t="s">
        <v>7155</v>
      </c>
      <c r="B1632" s="59" t="s">
        <v>7540</v>
      </c>
      <c r="C1632" s="59" t="s">
        <v>1632</v>
      </c>
      <c r="D1632" s="356" t="s">
        <v>7156</v>
      </c>
      <c r="E1632" s="356" t="s">
        <v>6965</v>
      </c>
      <c r="F1632" s="23" t="s">
        <v>7158</v>
      </c>
      <c r="G1632" s="59" t="s">
        <v>403</v>
      </c>
      <c r="H1632" s="353">
        <v>1049.98</v>
      </c>
      <c r="I1632" s="59" t="s">
        <v>406</v>
      </c>
      <c r="J1632" s="59" t="s">
        <v>7811</v>
      </c>
      <c r="K1632" s="20"/>
      <c r="L1632" s="20"/>
      <c r="M1632" s="357"/>
      <c r="N1632" s="411"/>
      <c r="O1632" s="23" t="s">
        <v>2174</v>
      </c>
      <c r="P1632" s="18" t="s">
        <v>632</v>
      </c>
      <c r="Q1632" s="18" t="s">
        <v>646</v>
      </c>
      <c r="R1632" s="372" t="str">
        <f t="shared" si="45"/>
        <v/>
      </c>
      <c r="S1632" s="106"/>
      <c r="T1632" s="107"/>
      <c r="U1632" s="108"/>
      <c r="V1632" s="108"/>
      <c r="W1632" s="108"/>
      <c r="X1632" s="108"/>
    </row>
    <row r="1633" spans="1:24" ht="30" x14ac:dyDescent="0.25">
      <c r="A1633" s="23" t="s">
        <v>7155</v>
      </c>
      <c r="B1633" s="59" t="s">
        <v>7540</v>
      </c>
      <c r="C1633" s="59" t="s">
        <v>1632</v>
      </c>
      <c r="D1633" s="356" t="s">
        <v>7156</v>
      </c>
      <c r="E1633" s="356" t="s">
        <v>6965</v>
      </c>
      <c r="F1633" s="23" t="s">
        <v>7159</v>
      </c>
      <c r="G1633" s="59" t="s">
        <v>403</v>
      </c>
      <c r="H1633" s="353">
        <v>3062.2</v>
      </c>
      <c r="I1633" s="59" t="s">
        <v>406</v>
      </c>
      <c r="J1633" s="59" t="s">
        <v>7818</v>
      </c>
      <c r="K1633" s="20"/>
      <c r="L1633" s="20"/>
      <c r="M1633" s="357"/>
      <c r="N1633" s="411"/>
      <c r="O1633" s="23" t="s">
        <v>2174</v>
      </c>
      <c r="P1633" s="18" t="s">
        <v>632</v>
      </c>
      <c r="Q1633" s="18" t="s">
        <v>646</v>
      </c>
      <c r="R1633" s="372" t="str">
        <f t="shared" si="45"/>
        <v/>
      </c>
      <c r="S1633" s="106"/>
      <c r="T1633" s="107"/>
      <c r="U1633" s="108"/>
      <c r="V1633" s="108"/>
      <c r="W1633" s="108"/>
      <c r="X1633" s="108"/>
    </row>
    <row r="1634" spans="1:24" ht="30" x14ac:dyDescent="0.25">
      <c r="A1634" s="23" t="s">
        <v>7155</v>
      </c>
      <c r="B1634" s="59" t="s">
        <v>7540</v>
      </c>
      <c r="C1634" s="59" t="s">
        <v>1632</v>
      </c>
      <c r="D1634" s="356" t="s">
        <v>7156</v>
      </c>
      <c r="E1634" s="356" t="s">
        <v>6965</v>
      </c>
      <c r="F1634" s="23" t="s">
        <v>7160</v>
      </c>
      <c r="G1634" s="59" t="s">
        <v>403</v>
      </c>
      <c r="H1634" s="353">
        <v>366.1</v>
      </c>
      <c r="I1634" s="59" t="s">
        <v>406</v>
      </c>
      <c r="J1634" s="59" t="s">
        <v>7819</v>
      </c>
      <c r="K1634" s="20"/>
      <c r="L1634" s="20"/>
      <c r="M1634" s="357"/>
      <c r="N1634" s="411"/>
      <c r="O1634" s="23" t="s">
        <v>2174</v>
      </c>
      <c r="P1634" s="18" t="s">
        <v>632</v>
      </c>
      <c r="Q1634" s="18" t="s">
        <v>646</v>
      </c>
      <c r="R1634" s="372" t="str">
        <f t="shared" si="45"/>
        <v/>
      </c>
      <c r="S1634" s="106"/>
      <c r="T1634" s="107"/>
      <c r="U1634" s="108"/>
      <c r="V1634" s="108"/>
      <c r="W1634" s="108"/>
      <c r="X1634" s="108"/>
    </row>
    <row r="1635" spans="1:24" ht="30" x14ac:dyDescent="0.25">
      <c r="A1635" s="23" t="s">
        <v>7155</v>
      </c>
      <c r="B1635" s="59" t="s">
        <v>7540</v>
      </c>
      <c r="C1635" s="59" t="s">
        <v>1632</v>
      </c>
      <c r="D1635" s="356" t="s">
        <v>7156</v>
      </c>
      <c r="E1635" s="356" t="s">
        <v>6965</v>
      </c>
      <c r="F1635" s="23" t="s">
        <v>7161</v>
      </c>
      <c r="G1635" s="59" t="s">
        <v>403</v>
      </c>
      <c r="H1635" s="353">
        <v>3240.25</v>
      </c>
      <c r="I1635" s="59" t="s">
        <v>406</v>
      </c>
      <c r="J1635" s="59" t="s">
        <v>7808</v>
      </c>
      <c r="K1635" s="20"/>
      <c r="L1635" s="20"/>
      <c r="M1635" s="357"/>
      <c r="N1635" s="411"/>
      <c r="O1635" s="23" t="s">
        <v>2174</v>
      </c>
      <c r="P1635" s="18" t="s">
        <v>632</v>
      </c>
      <c r="Q1635" s="18" t="s">
        <v>646</v>
      </c>
      <c r="R1635" s="372" t="str">
        <f t="shared" si="45"/>
        <v/>
      </c>
      <c r="S1635" s="106"/>
      <c r="T1635" s="107"/>
      <c r="U1635" s="108"/>
      <c r="V1635" s="108"/>
      <c r="W1635" s="108"/>
      <c r="X1635" s="108"/>
    </row>
    <row r="1636" spans="1:24" x14ac:dyDescent="0.25">
      <c r="A1636" s="23" t="s">
        <v>7155</v>
      </c>
      <c r="B1636" s="59" t="s">
        <v>7540</v>
      </c>
      <c r="C1636" s="59" t="s">
        <v>1632</v>
      </c>
      <c r="D1636" s="356" t="s">
        <v>7156</v>
      </c>
      <c r="E1636" s="356" t="s">
        <v>6965</v>
      </c>
      <c r="F1636" s="23" t="s">
        <v>7162</v>
      </c>
      <c r="G1636" s="59" t="s">
        <v>403</v>
      </c>
      <c r="H1636" s="59" t="s">
        <v>10798</v>
      </c>
      <c r="I1636" s="59"/>
      <c r="J1636" s="59" t="s">
        <v>7820</v>
      </c>
      <c r="K1636" s="20"/>
      <c r="L1636" s="20">
        <v>1</v>
      </c>
      <c r="M1636" s="357" t="str">
        <f>+H1636</f>
        <v>NA</v>
      </c>
      <c r="N1636" s="411" t="str">
        <f>IFERROR((M1636/(VLOOKUP(B1636,'Data Pull Sheet'!$C:$H,6,FALSE))),"DC")</f>
        <v>DC</v>
      </c>
      <c r="O1636" s="23" t="s">
        <v>597</v>
      </c>
      <c r="P1636" s="18" t="s">
        <v>632</v>
      </c>
      <c r="Q1636" s="18" t="s">
        <v>637</v>
      </c>
      <c r="R1636" s="372" t="str">
        <f t="shared" si="45"/>
        <v/>
      </c>
      <c r="S1636" s="106"/>
      <c r="T1636" s="107"/>
      <c r="U1636" s="108"/>
      <c r="V1636" s="108"/>
      <c r="W1636" s="108"/>
      <c r="X1636" s="108"/>
    </row>
    <row r="1637" spans="1:24" ht="30" x14ac:dyDescent="0.25">
      <c r="A1637" s="23" t="s">
        <v>7155</v>
      </c>
      <c r="B1637" s="59" t="s">
        <v>7540</v>
      </c>
      <c r="C1637" s="59" t="s">
        <v>1632</v>
      </c>
      <c r="D1637" s="356" t="s">
        <v>7156</v>
      </c>
      <c r="E1637" s="356" t="s">
        <v>6965</v>
      </c>
      <c r="F1637" s="23" t="s">
        <v>218</v>
      </c>
      <c r="G1637" s="59" t="s">
        <v>417</v>
      </c>
      <c r="H1637" s="353">
        <v>320934.02</v>
      </c>
      <c r="I1637" s="59" t="s">
        <v>1651</v>
      </c>
      <c r="J1637" s="59" t="s">
        <v>7821</v>
      </c>
      <c r="K1637" s="20"/>
      <c r="L1637" s="20">
        <v>1</v>
      </c>
      <c r="M1637" s="357">
        <f>H1637</f>
        <v>320934.02</v>
      </c>
      <c r="N1637" s="411">
        <f>IFERROR((M1637/(VLOOKUP(B1637,'Data Pull Sheet'!$C:$H,6,FALSE))),"DC")</f>
        <v>3.2093402000000003E-3</v>
      </c>
      <c r="O1637" s="23" t="s">
        <v>7163</v>
      </c>
      <c r="P1637" s="18" t="s">
        <v>632</v>
      </c>
      <c r="Q1637" s="18" t="s">
        <v>633</v>
      </c>
      <c r="R1637" s="372" t="str">
        <f t="shared" si="45"/>
        <v>FF</v>
      </c>
      <c r="S1637" s="106"/>
      <c r="T1637" s="107"/>
      <c r="U1637" s="108"/>
      <c r="V1637" s="108"/>
      <c r="W1637" s="108"/>
      <c r="X1637" s="108"/>
    </row>
    <row r="1638" spans="1:24" x14ac:dyDescent="0.25">
      <c r="A1638" s="23" t="s">
        <v>7150</v>
      </c>
      <c r="B1638" s="59" t="s">
        <v>7506</v>
      </c>
      <c r="C1638" s="59" t="s">
        <v>1008</v>
      </c>
      <c r="D1638" s="356" t="s">
        <v>7151</v>
      </c>
      <c r="E1638" s="356" t="s">
        <v>7143</v>
      </c>
      <c r="F1638" s="23" t="s">
        <v>7152</v>
      </c>
      <c r="G1638" s="59" t="s">
        <v>403</v>
      </c>
      <c r="H1638" s="353">
        <v>106724.5</v>
      </c>
      <c r="I1638" s="59" t="s">
        <v>442</v>
      </c>
      <c r="J1638" s="59" t="s">
        <v>7796</v>
      </c>
      <c r="K1638" s="20">
        <v>1</v>
      </c>
      <c r="L1638" s="20">
        <v>1</v>
      </c>
      <c r="M1638" s="357">
        <f>H1638</f>
        <v>106724.5</v>
      </c>
      <c r="N1638" s="411">
        <f>IFERROR((M1638/(VLOOKUP(B1638,'Data Pull Sheet'!$C:$H,6,FALSE))),"DC")</f>
        <v>2.6681125E-3</v>
      </c>
      <c r="O1638" s="23" t="s">
        <v>7153</v>
      </c>
      <c r="P1638" s="18" t="s">
        <v>676</v>
      </c>
      <c r="Q1638" s="18" t="s">
        <v>637</v>
      </c>
      <c r="R1638" s="372" t="str">
        <f t="shared" si="45"/>
        <v/>
      </c>
      <c r="S1638" s="106"/>
      <c r="T1638" s="107"/>
      <c r="U1638" s="108"/>
      <c r="V1638" s="108"/>
      <c r="W1638" s="108"/>
      <c r="X1638" s="108"/>
    </row>
    <row r="1639" spans="1:24" x14ac:dyDescent="0.25">
      <c r="A1639" s="23" t="s">
        <v>7142</v>
      </c>
      <c r="B1639" s="59" t="s">
        <v>7619</v>
      </c>
      <c r="C1639" s="59" t="s">
        <v>424</v>
      </c>
      <c r="D1639" s="356" t="s">
        <v>2400</v>
      </c>
      <c r="E1639" s="356" t="s">
        <v>7143</v>
      </c>
      <c r="F1639" s="23" t="s">
        <v>7144</v>
      </c>
      <c r="G1639" s="59" t="s">
        <v>403</v>
      </c>
      <c r="H1639" s="353">
        <v>139815.78</v>
      </c>
      <c r="I1639" s="59"/>
      <c r="J1639" s="59" t="s">
        <v>7795</v>
      </c>
      <c r="K1639" s="20">
        <v>4</v>
      </c>
      <c r="L1639" s="20">
        <v>1</v>
      </c>
      <c r="M1639" s="357">
        <f>H1639</f>
        <v>139815.78</v>
      </c>
      <c r="N1639" s="411">
        <f>IFERROR((M1639/(VLOOKUP(B1639,'Data Pull Sheet'!$C:$H,6,FALSE))),"DC")</f>
        <v>1.8642104E-2</v>
      </c>
      <c r="O1639" s="23" t="s">
        <v>192</v>
      </c>
      <c r="P1639" s="18" t="s">
        <v>632</v>
      </c>
      <c r="Q1639" s="18" t="s">
        <v>637</v>
      </c>
      <c r="R1639" s="372" t="str">
        <f t="shared" si="45"/>
        <v/>
      </c>
      <c r="S1639" s="106"/>
      <c r="T1639" s="107"/>
      <c r="U1639" s="108"/>
      <c r="V1639" s="108"/>
      <c r="W1639" s="108"/>
      <c r="X1639" s="108"/>
    </row>
    <row r="1640" spans="1:24" ht="30" x14ac:dyDescent="0.25">
      <c r="A1640" s="23" t="s">
        <v>7142</v>
      </c>
      <c r="B1640" s="59" t="s">
        <v>7619</v>
      </c>
      <c r="C1640" s="59" t="s">
        <v>424</v>
      </c>
      <c r="D1640" s="356" t="s">
        <v>2400</v>
      </c>
      <c r="E1640" s="356" t="s">
        <v>7143</v>
      </c>
      <c r="F1640" s="23" t="s">
        <v>7145</v>
      </c>
      <c r="G1640" s="59" t="s">
        <v>403</v>
      </c>
      <c r="H1640" s="353">
        <v>24935</v>
      </c>
      <c r="I1640" s="59"/>
      <c r="J1640" s="59" t="s">
        <v>7800</v>
      </c>
      <c r="K1640" s="20"/>
      <c r="L1640" s="20">
        <v>1</v>
      </c>
      <c r="M1640" s="357">
        <f>H1640</f>
        <v>24935</v>
      </c>
      <c r="N1640" s="411">
        <f>IFERROR((M1640/(VLOOKUP(B1640,'Data Pull Sheet'!$C:$H,6,FALSE))),"DC")</f>
        <v>3.3246666666666667E-3</v>
      </c>
      <c r="O1640" s="23" t="s">
        <v>687</v>
      </c>
      <c r="P1640" s="18" t="s">
        <v>632</v>
      </c>
      <c r="Q1640" s="18" t="s">
        <v>637</v>
      </c>
      <c r="R1640" s="372" t="str">
        <f t="shared" si="45"/>
        <v/>
      </c>
      <c r="S1640" s="106"/>
      <c r="T1640" s="107"/>
      <c r="U1640" s="108"/>
      <c r="V1640" s="108"/>
      <c r="W1640" s="108"/>
      <c r="X1640" s="108"/>
    </row>
    <row r="1641" spans="1:24" x14ac:dyDescent="0.25">
      <c r="A1641" s="23" t="s">
        <v>7142</v>
      </c>
      <c r="B1641" s="59" t="s">
        <v>7619</v>
      </c>
      <c r="C1641" s="59" t="s">
        <v>424</v>
      </c>
      <c r="D1641" s="356" t="s">
        <v>2400</v>
      </c>
      <c r="E1641" s="356" t="s">
        <v>7143</v>
      </c>
      <c r="F1641" s="23" t="s">
        <v>7146</v>
      </c>
      <c r="G1641" s="59" t="s">
        <v>403</v>
      </c>
      <c r="H1641" s="353">
        <v>65800.37</v>
      </c>
      <c r="I1641" s="59"/>
      <c r="J1641" s="59" t="s">
        <v>7813</v>
      </c>
      <c r="K1641" s="20"/>
      <c r="L1641" s="20">
        <v>1</v>
      </c>
      <c r="M1641" s="357">
        <f>H1641</f>
        <v>65800.37</v>
      </c>
      <c r="N1641" s="411">
        <f>IFERROR((M1641/(VLOOKUP(B1641,'Data Pull Sheet'!$C:$H,6,FALSE))),"DC")</f>
        <v>8.773382666666666E-3</v>
      </c>
      <c r="O1641" s="23" t="s">
        <v>407</v>
      </c>
      <c r="P1641" s="18" t="s">
        <v>632</v>
      </c>
      <c r="Q1641" s="18" t="s">
        <v>637</v>
      </c>
      <c r="R1641" s="372" t="str">
        <f t="shared" si="45"/>
        <v/>
      </c>
      <c r="S1641" s="106"/>
      <c r="T1641" s="107"/>
      <c r="U1641" s="108"/>
      <c r="V1641" s="108"/>
      <c r="W1641" s="108"/>
      <c r="X1641" s="108"/>
    </row>
    <row r="1642" spans="1:24" ht="30" x14ac:dyDescent="0.25">
      <c r="A1642" s="23" t="s">
        <v>7142</v>
      </c>
      <c r="B1642" s="59" t="s">
        <v>7619</v>
      </c>
      <c r="C1642" s="59" t="s">
        <v>424</v>
      </c>
      <c r="D1642" s="356" t="s">
        <v>2400</v>
      </c>
      <c r="E1642" s="356" t="s">
        <v>7143</v>
      </c>
      <c r="F1642" s="23" t="s">
        <v>7147</v>
      </c>
      <c r="G1642" s="59" t="s">
        <v>403</v>
      </c>
      <c r="H1642" s="353">
        <v>18198</v>
      </c>
      <c r="I1642" s="59"/>
      <c r="J1642" s="59" t="s">
        <v>7814</v>
      </c>
      <c r="K1642" s="20"/>
      <c r="L1642" s="20">
        <v>3</v>
      </c>
      <c r="M1642" s="357">
        <f>SUM(H1642:H1644)</f>
        <v>95233</v>
      </c>
      <c r="N1642" s="411">
        <f>IFERROR((M1642/(VLOOKUP(B1642,'Data Pull Sheet'!$C:$H,6,FALSE))),"DC")</f>
        <v>1.2697733333333334E-2</v>
      </c>
      <c r="O1642" s="23" t="s">
        <v>10966</v>
      </c>
      <c r="P1642" s="18" t="s">
        <v>632</v>
      </c>
      <c r="Q1642" s="18" t="s">
        <v>646</v>
      </c>
      <c r="R1642" s="372" t="str">
        <f t="shared" si="45"/>
        <v/>
      </c>
      <c r="S1642" s="106"/>
      <c r="T1642" s="107"/>
      <c r="U1642" s="108"/>
      <c r="V1642" s="108"/>
      <c r="W1642" s="108"/>
      <c r="X1642" s="108"/>
    </row>
    <row r="1643" spans="1:24" ht="30" x14ac:dyDescent="0.25">
      <c r="A1643" s="23" t="s">
        <v>7142</v>
      </c>
      <c r="B1643" s="59" t="s">
        <v>7619</v>
      </c>
      <c r="C1643" s="59" t="s">
        <v>424</v>
      </c>
      <c r="D1643" s="356" t="s">
        <v>2400</v>
      </c>
      <c r="E1643" s="356" t="s">
        <v>7143</v>
      </c>
      <c r="F1643" s="23" t="s">
        <v>7148</v>
      </c>
      <c r="G1643" s="59" t="s">
        <v>403</v>
      </c>
      <c r="H1643" s="353">
        <v>57318</v>
      </c>
      <c r="I1643" s="59"/>
      <c r="J1643" s="59" t="s">
        <v>7815</v>
      </c>
      <c r="K1643" s="20"/>
      <c r="L1643" s="20"/>
      <c r="M1643" s="357"/>
      <c r="N1643" s="411"/>
      <c r="O1643" s="23" t="s">
        <v>10966</v>
      </c>
      <c r="P1643" s="18" t="s">
        <v>632</v>
      </c>
      <c r="Q1643" s="18" t="s">
        <v>646</v>
      </c>
      <c r="R1643" s="372" t="str">
        <f t="shared" si="45"/>
        <v/>
      </c>
      <c r="S1643" s="106"/>
      <c r="T1643" s="107"/>
      <c r="U1643" s="108"/>
      <c r="V1643" s="108"/>
      <c r="W1643" s="108"/>
      <c r="X1643" s="108"/>
    </row>
    <row r="1644" spans="1:24" ht="30" x14ac:dyDescent="0.25">
      <c r="A1644" s="23" t="s">
        <v>7142</v>
      </c>
      <c r="B1644" s="59" t="s">
        <v>7619</v>
      </c>
      <c r="C1644" s="59" t="s">
        <v>424</v>
      </c>
      <c r="D1644" s="356" t="s">
        <v>2400</v>
      </c>
      <c r="E1644" s="356" t="s">
        <v>7143</v>
      </c>
      <c r="F1644" s="23" t="s">
        <v>7149</v>
      </c>
      <c r="G1644" s="59" t="s">
        <v>403</v>
      </c>
      <c r="H1644" s="353">
        <v>19717</v>
      </c>
      <c r="I1644" s="59"/>
      <c r="J1644" s="59" t="s">
        <v>7816</v>
      </c>
      <c r="K1644" s="20"/>
      <c r="L1644" s="20"/>
      <c r="M1644" s="357"/>
      <c r="N1644" s="411"/>
      <c r="O1644" s="23" t="s">
        <v>10966</v>
      </c>
      <c r="P1644" s="18" t="s">
        <v>632</v>
      </c>
      <c r="Q1644" s="18" t="s">
        <v>646</v>
      </c>
      <c r="R1644" s="372" t="str">
        <f t="shared" si="45"/>
        <v/>
      </c>
      <c r="S1644" s="106"/>
      <c r="T1644" s="107"/>
      <c r="U1644" s="108"/>
      <c r="V1644" s="108"/>
      <c r="W1644" s="108"/>
      <c r="X1644" s="108"/>
    </row>
    <row r="1645" spans="1:24" x14ac:dyDescent="0.25">
      <c r="A1645" s="23" t="s">
        <v>7139</v>
      </c>
      <c r="B1645" s="59" t="s">
        <v>7582</v>
      </c>
      <c r="C1645" s="59" t="s">
        <v>424</v>
      </c>
      <c r="D1645" s="356" t="s">
        <v>7140</v>
      </c>
      <c r="E1645" s="356" t="s">
        <v>7135</v>
      </c>
      <c r="F1645" s="23" t="s">
        <v>7141</v>
      </c>
      <c r="G1645" s="59" t="s">
        <v>403</v>
      </c>
      <c r="H1645" s="353">
        <v>7490</v>
      </c>
      <c r="I1645" s="59"/>
      <c r="J1645" s="59" t="s">
        <v>11901</v>
      </c>
      <c r="K1645" s="20">
        <v>1</v>
      </c>
      <c r="L1645" s="20">
        <v>1</v>
      </c>
      <c r="M1645" s="357">
        <f>H1645</f>
        <v>7490</v>
      </c>
      <c r="N1645" s="411">
        <f>IFERROR((M1645/(VLOOKUP(B1645,'Data Pull Sheet'!$C:$H,6,FALSE))),"DC")</f>
        <v>1.4403846153846153E-4</v>
      </c>
      <c r="O1645" s="23" t="s">
        <v>877</v>
      </c>
      <c r="P1645" s="18" t="s">
        <v>676</v>
      </c>
      <c r="Q1645" s="18" t="s">
        <v>637</v>
      </c>
      <c r="R1645" s="372" t="str">
        <f t="shared" si="45"/>
        <v/>
      </c>
      <c r="S1645" s="106"/>
      <c r="T1645" s="107"/>
      <c r="U1645" s="108"/>
      <c r="V1645" s="108"/>
      <c r="W1645" s="108"/>
      <c r="X1645" s="108"/>
    </row>
    <row r="1646" spans="1:24" x14ac:dyDescent="0.25">
      <c r="A1646" s="23" t="s">
        <v>321</v>
      </c>
      <c r="B1646" s="59" t="s">
        <v>5240</v>
      </c>
      <c r="C1646" s="59" t="s">
        <v>511</v>
      </c>
      <c r="D1646" s="356" t="s">
        <v>7134</v>
      </c>
      <c r="E1646" s="356" t="s">
        <v>7135</v>
      </c>
      <c r="F1646" s="23" t="s">
        <v>7136</v>
      </c>
      <c r="G1646" s="59" t="s">
        <v>403</v>
      </c>
      <c r="H1646" s="353">
        <v>908</v>
      </c>
      <c r="I1646" s="59" t="s">
        <v>2613</v>
      </c>
      <c r="J1646" s="59" t="s">
        <v>7807</v>
      </c>
      <c r="K1646" s="20">
        <v>1</v>
      </c>
      <c r="L1646" s="20">
        <v>2</v>
      </c>
      <c r="M1646" s="357">
        <f>SUM(H1646:H1647)</f>
        <v>1108</v>
      </c>
      <c r="N1646" s="411">
        <f>IFERROR((M1646/(VLOOKUP(B1646,'Data Pull Sheet'!$C:$H,6,FALSE))),"DC")</f>
        <v>7.3866666666666669E-5</v>
      </c>
      <c r="O1646" s="23" t="s">
        <v>7137</v>
      </c>
      <c r="P1646" s="18" t="s">
        <v>676</v>
      </c>
      <c r="Q1646" s="18" t="s">
        <v>646</v>
      </c>
      <c r="R1646" s="372" t="str">
        <f t="shared" si="45"/>
        <v/>
      </c>
      <c r="S1646" s="106"/>
      <c r="T1646" s="107"/>
      <c r="U1646" s="108"/>
      <c r="V1646" s="108"/>
      <c r="W1646" s="108"/>
      <c r="X1646" s="108"/>
    </row>
    <row r="1647" spans="1:24" x14ac:dyDescent="0.25">
      <c r="A1647" s="23" t="s">
        <v>321</v>
      </c>
      <c r="B1647" s="59" t="s">
        <v>5240</v>
      </c>
      <c r="C1647" s="59" t="s">
        <v>511</v>
      </c>
      <c r="D1647" s="356" t="s">
        <v>7134</v>
      </c>
      <c r="E1647" s="356" t="s">
        <v>7135</v>
      </c>
      <c r="F1647" s="23" t="s">
        <v>7138</v>
      </c>
      <c r="G1647" s="59" t="s">
        <v>403</v>
      </c>
      <c r="H1647" s="353">
        <v>200</v>
      </c>
      <c r="I1647" s="59" t="s">
        <v>2613</v>
      </c>
      <c r="J1647" s="59" t="s">
        <v>7810</v>
      </c>
      <c r="K1647" s="20"/>
      <c r="L1647" s="20"/>
      <c r="M1647" s="357"/>
      <c r="N1647" s="411"/>
      <c r="O1647" s="23" t="s">
        <v>7137</v>
      </c>
      <c r="P1647" s="18" t="s">
        <v>676</v>
      </c>
      <c r="Q1647" s="18" t="s">
        <v>646</v>
      </c>
      <c r="R1647" s="372" t="str">
        <f t="shared" si="45"/>
        <v/>
      </c>
      <c r="S1647" s="106"/>
      <c r="T1647" s="107"/>
      <c r="U1647" s="108"/>
      <c r="V1647" s="108"/>
      <c r="W1647" s="108"/>
      <c r="X1647" s="108"/>
    </row>
    <row r="1648" spans="1:24" x14ac:dyDescent="0.25">
      <c r="A1648" s="23" t="s">
        <v>7126</v>
      </c>
      <c r="B1648" s="59" t="s">
        <v>7564</v>
      </c>
      <c r="C1648" s="59" t="s">
        <v>418</v>
      </c>
      <c r="D1648" s="356" t="s">
        <v>7127</v>
      </c>
      <c r="E1648" s="356" t="s">
        <v>7128</v>
      </c>
      <c r="F1648" s="23" t="s">
        <v>7129</v>
      </c>
      <c r="G1648" s="59" t="s">
        <v>403</v>
      </c>
      <c r="H1648" s="353">
        <v>4966.87</v>
      </c>
      <c r="I1648" s="59"/>
      <c r="J1648" s="59" t="s">
        <v>7806</v>
      </c>
      <c r="K1648" s="20">
        <v>3</v>
      </c>
      <c r="L1648" s="20">
        <v>2</v>
      </c>
      <c r="M1648" s="357">
        <f>SUM(H1648:H1649)</f>
        <v>17561.87</v>
      </c>
      <c r="N1648" s="411">
        <f>IFERROR((M1648/(VLOOKUP(B1648,'Data Pull Sheet'!$C:$H,6,FALSE))),"DC")</f>
        <v>8.7809349999999999E-4</v>
      </c>
      <c r="O1648" s="23" t="s">
        <v>877</v>
      </c>
      <c r="P1648" s="18" t="s">
        <v>632</v>
      </c>
      <c r="Q1648" s="18" t="s">
        <v>646</v>
      </c>
      <c r="R1648" s="372" t="str">
        <f t="shared" si="45"/>
        <v/>
      </c>
      <c r="S1648" s="106"/>
      <c r="T1648" s="107"/>
      <c r="U1648" s="108"/>
      <c r="V1648" s="108"/>
      <c r="W1648" s="108"/>
      <c r="X1648" s="108"/>
    </row>
    <row r="1649" spans="1:24" x14ac:dyDescent="0.25">
      <c r="A1649" s="23" t="s">
        <v>7126</v>
      </c>
      <c r="B1649" s="59" t="s">
        <v>7564</v>
      </c>
      <c r="C1649" s="59" t="s">
        <v>418</v>
      </c>
      <c r="D1649" s="356" t="s">
        <v>7127</v>
      </c>
      <c r="E1649" s="356" t="s">
        <v>7128</v>
      </c>
      <c r="F1649" s="23" t="s">
        <v>7130</v>
      </c>
      <c r="G1649" s="59" t="s">
        <v>403</v>
      </c>
      <c r="H1649" s="353">
        <v>12595</v>
      </c>
      <c r="I1649" s="59"/>
      <c r="J1649" s="59" t="s">
        <v>7809</v>
      </c>
      <c r="K1649" s="20"/>
      <c r="L1649" s="20"/>
      <c r="M1649" s="357"/>
      <c r="N1649" s="411"/>
      <c r="O1649" s="23" t="s">
        <v>877</v>
      </c>
      <c r="P1649" s="18" t="s">
        <v>632</v>
      </c>
      <c r="Q1649" s="18" t="s">
        <v>646</v>
      </c>
      <c r="R1649" s="372" t="str">
        <f t="shared" si="45"/>
        <v/>
      </c>
      <c r="S1649" s="106"/>
      <c r="T1649" s="107"/>
      <c r="U1649" s="108"/>
      <c r="V1649" s="108"/>
      <c r="W1649" s="108"/>
      <c r="X1649" s="108"/>
    </row>
    <row r="1650" spans="1:24" x14ac:dyDescent="0.25">
      <c r="A1650" s="23" t="s">
        <v>7126</v>
      </c>
      <c r="B1650" s="59" t="s">
        <v>7564</v>
      </c>
      <c r="C1650" s="59" t="s">
        <v>418</v>
      </c>
      <c r="D1650" s="356" t="s">
        <v>7127</v>
      </c>
      <c r="E1650" s="356" t="s">
        <v>7128</v>
      </c>
      <c r="F1650" s="23" t="s">
        <v>7131</v>
      </c>
      <c r="G1650" s="59" t="s">
        <v>403</v>
      </c>
      <c r="H1650" s="353">
        <v>1467.34</v>
      </c>
      <c r="I1650" s="59"/>
      <c r="J1650" s="59" t="s">
        <v>7994</v>
      </c>
      <c r="K1650" s="20"/>
      <c r="L1650" s="20">
        <v>1</v>
      </c>
      <c r="M1650" s="357">
        <f>H1650</f>
        <v>1467.34</v>
      </c>
      <c r="N1650" s="411">
        <f>IFERROR((M1650/(VLOOKUP(B1650,'Data Pull Sheet'!$C:$H,6,FALSE))),"DC")</f>
        <v>7.3366999999999991E-5</v>
      </c>
      <c r="O1650" s="23" t="s">
        <v>597</v>
      </c>
      <c r="P1650" s="18" t="s">
        <v>632</v>
      </c>
      <c r="Q1650" s="18" t="s">
        <v>637</v>
      </c>
      <c r="R1650" s="372" t="str">
        <f t="shared" si="45"/>
        <v/>
      </c>
      <c r="S1650" s="106"/>
      <c r="T1650" s="107"/>
      <c r="U1650" s="108"/>
      <c r="V1650" s="108"/>
      <c r="W1650" s="108"/>
      <c r="X1650" s="108"/>
    </row>
    <row r="1651" spans="1:24" x14ac:dyDescent="0.25">
      <c r="A1651" s="23" t="s">
        <v>7126</v>
      </c>
      <c r="B1651" s="59" t="s">
        <v>7564</v>
      </c>
      <c r="C1651" s="59" t="s">
        <v>418</v>
      </c>
      <c r="D1651" s="356" t="s">
        <v>7127</v>
      </c>
      <c r="E1651" s="356" t="s">
        <v>7128</v>
      </c>
      <c r="F1651" s="23" t="s">
        <v>7132</v>
      </c>
      <c r="G1651" s="59" t="s">
        <v>403</v>
      </c>
      <c r="H1651" s="353">
        <v>2860</v>
      </c>
      <c r="I1651" s="59"/>
      <c r="J1651" s="59" t="s">
        <v>7995</v>
      </c>
      <c r="K1651" s="20"/>
      <c r="L1651" s="20">
        <v>2</v>
      </c>
      <c r="M1651" s="357">
        <f>SUM(H1651:H1652)</f>
        <v>3709</v>
      </c>
      <c r="N1651" s="411">
        <f>IFERROR((M1651/(VLOOKUP(B1651,'Data Pull Sheet'!$C:$H,6,FALSE))),"DC")</f>
        <v>1.8545000000000001E-4</v>
      </c>
      <c r="O1651" s="23" t="s">
        <v>1204</v>
      </c>
      <c r="P1651" s="18" t="s">
        <v>632</v>
      </c>
      <c r="Q1651" s="18" t="s">
        <v>646</v>
      </c>
      <c r="R1651" s="372" t="str">
        <f t="shared" si="45"/>
        <v/>
      </c>
      <c r="S1651" s="106"/>
      <c r="T1651" s="107"/>
      <c r="U1651" s="108"/>
      <c r="V1651" s="108"/>
      <c r="W1651" s="108"/>
      <c r="X1651" s="108"/>
    </row>
    <row r="1652" spans="1:24" x14ac:dyDescent="0.25">
      <c r="A1652" s="23" t="s">
        <v>7126</v>
      </c>
      <c r="B1652" s="59" t="s">
        <v>7564</v>
      </c>
      <c r="C1652" s="59" t="s">
        <v>418</v>
      </c>
      <c r="D1652" s="356" t="s">
        <v>7127</v>
      </c>
      <c r="E1652" s="356" t="s">
        <v>7128</v>
      </c>
      <c r="F1652" s="23" t="s">
        <v>7133</v>
      </c>
      <c r="G1652" s="59" t="s">
        <v>403</v>
      </c>
      <c r="H1652" s="353">
        <v>849</v>
      </c>
      <c r="I1652" s="59"/>
      <c r="J1652" s="59" t="s">
        <v>7996</v>
      </c>
      <c r="K1652" s="20"/>
      <c r="L1652" s="20"/>
      <c r="M1652" s="357"/>
      <c r="N1652" s="411"/>
      <c r="O1652" s="23" t="s">
        <v>1204</v>
      </c>
      <c r="P1652" s="18" t="s">
        <v>632</v>
      </c>
      <c r="Q1652" s="18" t="s">
        <v>646</v>
      </c>
      <c r="R1652" s="372" t="str">
        <f t="shared" si="45"/>
        <v/>
      </c>
      <c r="S1652" s="106"/>
      <c r="T1652" s="107"/>
      <c r="U1652" s="108"/>
      <c r="V1652" s="108"/>
      <c r="W1652" s="108"/>
      <c r="X1652" s="108"/>
    </row>
    <row r="1653" spans="1:24" ht="30" x14ac:dyDescent="0.25">
      <c r="A1653" s="23" t="s">
        <v>7122</v>
      </c>
      <c r="B1653" s="59" t="s">
        <v>7537</v>
      </c>
      <c r="C1653" s="59" t="s">
        <v>592</v>
      </c>
      <c r="D1653" s="356" t="s">
        <v>7123</v>
      </c>
      <c r="E1653" s="356" t="s">
        <v>6833</v>
      </c>
      <c r="F1653" s="23" t="s">
        <v>7124</v>
      </c>
      <c r="G1653" s="59" t="s">
        <v>417</v>
      </c>
      <c r="H1653" s="353">
        <v>1130</v>
      </c>
      <c r="I1653" s="59" t="s">
        <v>2613</v>
      </c>
      <c r="J1653" s="59" t="s">
        <v>7794</v>
      </c>
      <c r="K1653" s="20">
        <v>1</v>
      </c>
      <c r="L1653" s="20">
        <v>1</v>
      </c>
      <c r="M1653" s="357">
        <f>H1653</f>
        <v>1130</v>
      </c>
      <c r="N1653" s="411" t="str">
        <f>IFERROR((M1653/(VLOOKUP(B1653,'Data Pull Sheet'!$C:$H,6,FALSE))),"DC")</f>
        <v>DC</v>
      </c>
      <c r="O1653" s="23" t="s">
        <v>7125</v>
      </c>
      <c r="P1653" s="18" t="s">
        <v>676</v>
      </c>
      <c r="Q1653" s="18" t="s">
        <v>633</v>
      </c>
      <c r="R1653" s="372" t="str">
        <f t="shared" si="45"/>
        <v/>
      </c>
      <c r="S1653" s="106"/>
      <c r="T1653" s="107"/>
      <c r="U1653" s="108"/>
      <c r="V1653" s="108"/>
      <c r="W1653" s="108"/>
      <c r="X1653" s="108"/>
    </row>
    <row r="1654" spans="1:24" x14ac:dyDescent="0.25">
      <c r="A1654" s="23" t="s">
        <v>7113</v>
      </c>
      <c r="B1654" s="59" t="s">
        <v>7589</v>
      </c>
      <c r="C1654" s="59" t="s">
        <v>418</v>
      </c>
      <c r="D1654" s="356" t="s">
        <v>777</v>
      </c>
      <c r="E1654" s="356" t="s">
        <v>7114</v>
      </c>
      <c r="F1654" s="23" t="s">
        <v>7115</v>
      </c>
      <c r="G1654" s="59" t="s">
        <v>403</v>
      </c>
      <c r="H1654" s="353">
        <v>205201</v>
      </c>
      <c r="I1654" s="59"/>
      <c r="J1654" s="59" t="s">
        <v>7787</v>
      </c>
      <c r="K1654" s="20">
        <v>5</v>
      </c>
      <c r="L1654" s="20">
        <v>1</v>
      </c>
      <c r="M1654" s="357">
        <f>H1654</f>
        <v>205201</v>
      </c>
      <c r="N1654" s="411">
        <f>IFERROR((M1654/(VLOOKUP(B1654,'Data Pull Sheet'!$C:$H,6,FALSE))),"DC")</f>
        <v>4.7721162790697672E-3</v>
      </c>
      <c r="O1654" s="23" t="s">
        <v>168</v>
      </c>
      <c r="P1654" s="18" t="s">
        <v>632</v>
      </c>
      <c r="Q1654" s="18" t="s">
        <v>637</v>
      </c>
      <c r="R1654" s="372" t="str">
        <f t="shared" si="45"/>
        <v/>
      </c>
      <c r="S1654" s="106"/>
      <c r="T1654" s="107"/>
      <c r="U1654" s="108"/>
      <c r="V1654" s="108"/>
      <c r="W1654" s="108"/>
      <c r="X1654" s="108"/>
    </row>
    <row r="1655" spans="1:24" x14ac:dyDescent="0.25">
      <c r="A1655" s="23" t="s">
        <v>7113</v>
      </c>
      <c r="B1655" s="59" t="s">
        <v>7589</v>
      </c>
      <c r="C1655" s="59" t="s">
        <v>418</v>
      </c>
      <c r="D1655" s="356" t="s">
        <v>777</v>
      </c>
      <c r="E1655" s="356" t="s">
        <v>7114</v>
      </c>
      <c r="F1655" s="23" t="s">
        <v>7116</v>
      </c>
      <c r="G1655" s="59" t="s">
        <v>403</v>
      </c>
      <c r="H1655" s="353">
        <v>7544</v>
      </c>
      <c r="I1655" s="59"/>
      <c r="J1655" s="59" t="s">
        <v>7802</v>
      </c>
      <c r="K1655" s="20"/>
      <c r="L1655" s="20">
        <v>2</v>
      </c>
      <c r="M1655" s="357">
        <f>SUM(H1655:H1656)</f>
        <v>14423</v>
      </c>
      <c r="N1655" s="411">
        <f>IFERROR((M1655/(VLOOKUP(B1655,'Data Pull Sheet'!$C:$H,6,FALSE))),"DC")</f>
        <v>3.3541860465116278E-4</v>
      </c>
      <c r="O1655" s="23" t="s">
        <v>1204</v>
      </c>
      <c r="P1655" s="18" t="s">
        <v>632</v>
      </c>
      <c r="Q1655" s="18" t="s">
        <v>646</v>
      </c>
      <c r="R1655" s="372" t="str">
        <f t="shared" si="45"/>
        <v/>
      </c>
      <c r="S1655" s="106"/>
      <c r="T1655" s="107"/>
      <c r="U1655" s="108"/>
      <c r="V1655" s="108"/>
      <c r="W1655" s="108"/>
      <c r="X1655" s="108"/>
    </row>
    <row r="1656" spans="1:24" x14ac:dyDescent="0.25">
      <c r="A1656" s="23" t="s">
        <v>7113</v>
      </c>
      <c r="B1656" s="59" t="s">
        <v>7589</v>
      </c>
      <c r="C1656" s="59" t="s">
        <v>418</v>
      </c>
      <c r="D1656" s="356" t="s">
        <v>777</v>
      </c>
      <c r="E1656" s="356" t="s">
        <v>7114</v>
      </c>
      <c r="F1656" s="23" t="s">
        <v>7117</v>
      </c>
      <c r="G1656" s="59" t="s">
        <v>403</v>
      </c>
      <c r="H1656" s="353">
        <v>6879</v>
      </c>
      <c r="I1656" s="59"/>
      <c r="J1656" s="59" t="s">
        <v>7803</v>
      </c>
      <c r="K1656" s="20"/>
      <c r="L1656" s="20"/>
      <c r="M1656" s="357"/>
      <c r="N1656" s="411"/>
      <c r="O1656" s="23" t="s">
        <v>1204</v>
      </c>
      <c r="P1656" s="18" t="s">
        <v>632</v>
      </c>
      <c r="Q1656" s="18" t="s">
        <v>646</v>
      </c>
      <c r="R1656" s="372" t="str">
        <f t="shared" si="45"/>
        <v/>
      </c>
      <c r="S1656" s="106"/>
      <c r="T1656" s="107"/>
      <c r="U1656" s="108"/>
      <c r="V1656" s="108"/>
      <c r="W1656" s="108"/>
      <c r="X1656" s="108"/>
    </row>
    <row r="1657" spans="1:24" x14ac:dyDescent="0.25">
      <c r="A1657" s="23" t="s">
        <v>7113</v>
      </c>
      <c r="B1657" s="59" t="s">
        <v>7589</v>
      </c>
      <c r="C1657" s="59" t="s">
        <v>418</v>
      </c>
      <c r="D1657" s="356" t="s">
        <v>777</v>
      </c>
      <c r="E1657" s="356" t="s">
        <v>7114</v>
      </c>
      <c r="F1657" s="23" t="s">
        <v>7118</v>
      </c>
      <c r="G1657" s="59" t="s">
        <v>403</v>
      </c>
      <c r="H1657" s="353">
        <v>43530.64</v>
      </c>
      <c r="I1657" s="59" t="s">
        <v>406</v>
      </c>
      <c r="J1657" s="59" t="s">
        <v>7792</v>
      </c>
      <c r="K1657" s="20"/>
      <c r="L1657" s="20">
        <v>1</v>
      </c>
      <c r="M1657" s="357">
        <f>H1657</f>
        <v>43530.64</v>
      </c>
      <c r="N1657" s="411">
        <f>IFERROR((M1657/(VLOOKUP(B1657,'Data Pull Sheet'!$C:$H,6,FALSE))),"DC")</f>
        <v>1.0123404651162791E-3</v>
      </c>
      <c r="O1657" s="23" t="s">
        <v>407</v>
      </c>
      <c r="P1657" s="18" t="s">
        <v>632</v>
      </c>
      <c r="Q1657" s="18" t="s">
        <v>637</v>
      </c>
      <c r="R1657" s="372" t="str">
        <f t="shared" si="45"/>
        <v/>
      </c>
      <c r="S1657" s="106"/>
      <c r="T1657" s="107"/>
      <c r="U1657" s="108"/>
      <c r="V1657" s="108"/>
      <c r="W1657" s="108"/>
      <c r="X1657" s="108"/>
    </row>
    <row r="1658" spans="1:24" x14ac:dyDescent="0.25">
      <c r="A1658" s="23" t="s">
        <v>7113</v>
      </c>
      <c r="B1658" s="59" t="s">
        <v>7589</v>
      </c>
      <c r="C1658" s="59" t="s">
        <v>418</v>
      </c>
      <c r="D1658" s="356" t="s">
        <v>777</v>
      </c>
      <c r="E1658" s="356" t="s">
        <v>7114</v>
      </c>
      <c r="F1658" s="23" t="s">
        <v>7119</v>
      </c>
      <c r="G1658" s="59" t="s">
        <v>403</v>
      </c>
      <c r="H1658" s="353">
        <v>2859.2</v>
      </c>
      <c r="I1658" s="59"/>
      <c r="J1658" s="59" t="s">
        <v>7799</v>
      </c>
      <c r="K1658" s="20"/>
      <c r="L1658" s="20">
        <v>1</v>
      </c>
      <c r="M1658" s="357">
        <f>H1658</f>
        <v>2859.2</v>
      </c>
      <c r="N1658" s="411">
        <f>IFERROR((M1658/(VLOOKUP(B1658,'Data Pull Sheet'!$C:$H,6,FALSE))),"DC")</f>
        <v>6.6493023255813943E-5</v>
      </c>
      <c r="O1658" s="23" t="s">
        <v>597</v>
      </c>
      <c r="P1658" s="18" t="s">
        <v>632</v>
      </c>
      <c r="Q1658" s="18" t="s">
        <v>637</v>
      </c>
      <c r="R1658" s="372" t="str">
        <f t="shared" si="45"/>
        <v/>
      </c>
      <c r="S1658" s="106"/>
      <c r="T1658" s="107"/>
      <c r="U1658" s="108"/>
      <c r="V1658" s="108"/>
      <c r="W1658" s="108"/>
      <c r="X1658" s="108"/>
    </row>
    <row r="1659" spans="1:24" x14ac:dyDescent="0.25">
      <c r="A1659" s="23" t="s">
        <v>7113</v>
      </c>
      <c r="B1659" s="59" t="s">
        <v>7589</v>
      </c>
      <c r="C1659" s="59" t="s">
        <v>418</v>
      </c>
      <c r="D1659" s="356" t="s">
        <v>777</v>
      </c>
      <c r="E1659" s="356" t="s">
        <v>7114</v>
      </c>
      <c r="F1659" s="23" t="s">
        <v>7120</v>
      </c>
      <c r="G1659" s="59" t="s">
        <v>403</v>
      </c>
      <c r="H1659" s="353">
        <v>23128.12</v>
      </c>
      <c r="I1659" s="59"/>
      <c r="J1659" s="59" t="s">
        <v>7804</v>
      </c>
      <c r="K1659" s="20"/>
      <c r="L1659" s="20">
        <v>2</v>
      </c>
      <c r="M1659" s="357">
        <f>SUM(H1659:H1660)</f>
        <v>60062.069999999992</v>
      </c>
      <c r="N1659" s="411">
        <f>IFERROR((M1659/(VLOOKUP(B1659,'Data Pull Sheet'!$C:$H,6,FALSE))),"DC")</f>
        <v>1.3967923255813952E-3</v>
      </c>
      <c r="O1659" s="23" t="s">
        <v>877</v>
      </c>
      <c r="P1659" s="18" t="s">
        <v>632</v>
      </c>
      <c r="Q1659" s="18" t="s">
        <v>646</v>
      </c>
      <c r="R1659" s="372" t="str">
        <f t="shared" si="45"/>
        <v/>
      </c>
      <c r="S1659" s="106"/>
      <c r="T1659" s="107"/>
      <c r="U1659" s="108"/>
      <c r="V1659" s="108"/>
      <c r="W1659" s="108"/>
      <c r="X1659" s="108"/>
    </row>
    <row r="1660" spans="1:24" x14ac:dyDescent="0.25">
      <c r="A1660" s="23" t="s">
        <v>7113</v>
      </c>
      <c r="B1660" s="59" t="s">
        <v>7589</v>
      </c>
      <c r="C1660" s="59" t="s">
        <v>418</v>
      </c>
      <c r="D1660" s="356" t="s">
        <v>777</v>
      </c>
      <c r="E1660" s="356" t="s">
        <v>7114</v>
      </c>
      <c r="F1660" s="23" t="s">
        <v>7121</v>
      </c>
      <c r="G1660" s="59" t="s">
        <v>403</v>
      </c>
      <c r="H1660" s="353">
        <v>36933.949999999997</v>
      </c>
      <c r="I1660" s="59"/>
      <c r="J1660" s="59" t="s">
        <v>7805</v>
      </c>
      <c r="K1660" s="20"/>
      <c r="L1660" s="20"/>
      <c r="M1660" s="357"/>
      <c r="N1660" s="411"/>
      <c r="O1660" s="23" t="s">
        <v>877</v>
      </c>
      <c r="P1660" s="18" t="s">
        <v>632</v>
      </c>
      <c r="Q1660" s="18" t="s">
        <v>646</v>
      </c>
      <c r="R1660" s="372" t="str">
        <f t="shared" si="45"/>
        <v/>
      </c>
      <c r="S1660" s="106"/>
      <c r="T1660" s="107"/>
      <c r="U1660" s="108"/>
      <c r="V1660" s="108"/>
      <c r="W1660" s="108"/>
      <c r="X1660" s="108"/>
    </row>
    <row r="1661" spans="1:24" x14ac:dyDescent="0.25">
      <c r="A1661" s="23" t="s">
        <v>7111</v>
      </c>
      <c r="B1661" s="59" t="s">
        <v>7497</v>
      </c>
      <c r="C1661" s="59" t="s">
        <v>592</v>
      </c>
      <c r="D1661" s="356" t="s">
        <v>777</v>
      </c>
      <c r="E1661" s="356" t="s">
        <v>6809</v>
      </c>
      <c r="F1661" s="23" t="s">
        <v>39</v>
      </c>
      <c r="G1661" s="59" t="s">
        <v>417</v>
      </c>
      <c r="H1661" s="353">
        <v>820939.62</v>
      </c>
      <c r="I1661" s="59" t="s">
        <v>406</v>
      </c>
      <c r="J1661" s="59" t="s">
        <v>7793</v>
      </c>
      <c r="K1661" s="20">
        <v>2</v>
      </c>
      <c r="L1661" s="20">
        <v>1</v>
      </c>
      <c r="M1661" s="357">
        <f>H1661</f>
        <v>820939.62</v>
      </c>
      <c r="N1661" s="411">
        <f>IFERROR((M1661/(VLOOKUP(B1661,'Data Pull Sheet'!$C:$H,6,FALSE))),"DC")</f>
        <v>3.4205817499999998E-3</v>
      </c>
      <c r="O1661" s="23" t="s">
        <v>95</v>
      </c>
      <c r="P1661" s="18" t="s">
        <v>632</v>
      </c>
      <c r="Q1661" s="18" t="s">
        <v>633</v>
      </c>
      <c r="R1661" s="372" t="str">
        <f t="shared" si="45"/>
        <v>FF</v>
      </c>
      <c r="S1661" s="106"/>
      <c r="T1661" s="107"/>
      <c r="U1661" s="108"/>
      <c r="V1661" s="108"/>
      <c r="W1661" s="108"/>
      <c r="X1661" s="108"/>
    </row>
    <row r="1662" spans="1:24" ht="30" x14ac:dyDescent="0.25">
      <c r="A1662" s="23" t="s">
        <v>7111</v>
      </c>
      <c r="B1662" s="59" t="s">
        <v>7497</v>
      </c>
      <c r="C1662" s="59" t="s">
        <v>592</v>
      </c>
      <c r="D1662" s="356" t="s">
        <v>777</v>
      </c>
      <c r="E1662" s="356" t="s">
        <v>6809</v>
      </c>
      <c r="F1662" s="23" t="s">
        <v>10865</v>
      </c>
      <c r="G1662" s="59" t="s">
        <v>417</v>
      </c>
      <c r="H1662" s="353">
        <v>203546.93</v>
      </c>
      <c r="I1662" s="59" t="s">
        <v>406</v>
      </c>
      <c r="J1662" s="59" t="s">
        <v>7780</v>
      </c>
      <c r="K1662" s="20"/>
      <c r="L1662" s="20">
        <v>1</v>
      </c>
      <c r="M1662" s="357">
        <f>H1662</f>
        <v>203546.93</v>
      </c>
      <c r="N1662" s="411">
        <f>IFERROR((M1662/(VLOOKUP(B1662,'Data Pull Sheet'!$C:$H,6,FALSE))),"DC")</f>
        <v>8.4811220833333326E-4</v>
      </c>
      <c r="O1662" s="23" t="s">
        <v>34</v>
      </c>
      <c r="P1662" s="18" t="s">
        <v>632</v>
      </c>
      <c r="Q1662" s="18" t="s">
        <v>633</v>
      </c>
      <c r="R1662" s="372" t="str">
        <f t="shared" si="45"/>
        <v>FF</v>
      </c>
      <c r="S1662" s="106"/>
      <c r="T1662" s="107"/>
      <c r="U1662" s="108"/>
      <c r="V1662" s="108"/>
      <c r="W1662" s="108"/>
      <c r="X1662" s="108"/>
    </row>
    <row r="1663" spans="1:24" ht="30" x14ac:dyDescent="0.25">
      <c r="A1663" s="23" t="s">
        <v>7108</v>
      </c>
      <c r="B1663" s="59" t="s">
        <v>7515</v>
      </c>
      <c r="C1663" s="59" t="s">
        <v>460</v>
      </c>
      <c r="D1663" s="356" t="s">
        <v>872</v>
      </c>
      <c r="E1663" s="356" t="s">
        <v>6809</v>
      </c>
      <c r="F1663" s="23" t="s">
        <v>7109</v>
      </c>
      <c r="G1663" s="59" t="s">
        <v>417</v>
      </c>
      <c r="H1663" s="353">
        <v>15306.08</v>
      </c>
      <c r="I1663" s="59"/>
      <c r="J1663" s="59" t="s">
        <v>7791</v>
      </c>
      <c r="K1663" s="20">
        <v>2</v>
      </c>
      <c r="L1663" s="20">
        <v>1</v>
      </c>
      <c r="M1663" s="357">
        <f>H1663</f>
        <v>15306.08</v>
      </c>
      <c r="N1663" s="411">
        <f>IFERROR((M1663/(VLOOKUP(B1663,'Data Pull Sheet'!$C:$H,6,FALSE))),"DC")</f>
        <v>6.8027022222222222E-5</v>
      </c>
      <c r="O1663" s="23" t="s">
        <v>2989</v>
      </c>
      <c r="P1663" s="18" t="s">
        <v>632</v>
      </c>
      <c r="Q1663" s="18" t="s">
        <v>633</v>
      </c>
      <c r="R1663" s="372" t="str">
        <f t="shared" si="45"/>
        <v/>
      </c>
      <c r="S1663" s="106"/>
      <c r="T1663" s="107"/>
      <c r="U1663" s="108"/>
      <c r="V1663" s="108"/>
      <c r="W1663" s="108"/>
      <c r="X1663" s="108"/>
    </row>
    <row r="1664" spans="1:24" ht="30" x14ac:dyDescent="0.25">
      <c r="A1664" s="23" t="s">
        <v>7108</v>
      </c>
      <c r="B1664" s="59" t="s">
        <v>7515</v>
      </c>
      <c r="C1664" s="59" t="s">
        <v>460</v>
      </c>
      <c r="D1664" s="356" t="s">
        <v>872</v>
      </c>
      <c r="E1664" s="356" t="s">
        <v>6809</v>
      </c>
      <c r="F1664" s="23" t="s">
        <v>7110</v>
      </c>
      <c r="G1664" s="59" t="s">
        <v>417</v>
      </c>
      <c r="H1664" s="353">
        <v>67332.399999999994</v>
      </c>
      <c r="I1664" s="59" t="s">
        <v>406</v>
      </c>
      <c r="J1664" s="59" t="s">
        <v>7782</v>
      </c>
      <c r="K1664" s="20"/>
      <c r="L1664" s="20">
        <v>1</v>
      </c>
      <c r="M1664" s="357">
        <f>H1664</f>
        <v>67332.399999999994</v>
      </c>
      <c r="N1664" s="411">
        <f>IFERROR((M1664/(VLOOKUP(B1664,'Data Pull Sheet'!$C:$H,6,FALSE))),"DC")</f>
        <v>2.992551111111111E-4</v>
      </c>
      <c r="O1664" s="23" t="s">
        <v>34</v>
      </c>
      <c r="P1664" s="18" t="s">
        <v>632</v>
      </c>
      <c r="Q1664" s="18" t="s">
        <v>633</v>
      </c>
      <c r="R1664" s="372" t="str">
        <f t="shared" si="45"/>
        <v/>
      </c>
      <c r="S1664" s="106"/>
      <c r="T1664" s="107"/>
      <c r="U1664" s="108"/>
      <c r="V1664" s="108"/>
      <c r="W1664" s="108"/>
      <c r="X1664" s="108"/>
    </row>
    <row r="1665" spans="1:24" x14ac:dyDescent="0.25">
      <c r="A1665" s="23" t="s">
        <v>7080</v>
      </c>
      <c r="B1665" s="59" t="s">
        <v>7509</v>
      </c>
      <c r="C1665" s="59" t="s">
        <v>418</v>
      </c>
      <c r="D1665" s="356" t="s">
        <v>7081</v>
      </c>
      <c r="E1665" s="356" t="s">
        <v>7079</v>
      </c>
      <c r="F1665" s="23" t="s">
        <v>7082</v>
      </c>
      <c r="G1665" s="59" t="s">
        <v>403</v>
      </c>
      <c r="H1665" s="353">
        <v>7563.72</v>
      </c>
      <c r="I1665" s="59"/>
      <c r="J1665" s="59" t="s">
        <v>7769</v>
      </c>
      <c r="K1665" s="20">
        <v>4</v>
      </c>
      <c r="L1665" s="20">
        <v>1</v>
      </c>
      <c r="M1665" s="357">
        <f>SUM(H1665)</f>
        <v>7563.72</v>
      </c>
      <c r="N1665" s="411">
        <f>IFERROR((M1665/(VLOOKUP(B1665,'Data Pull Sheet'!$C:$H,6,FALSE))),"DC")</f>
        <v>3.4380545454545455E-3</v>
      </c>
      <c r="O1665" s="23" t="s">
        <v>682</v>
      </c>
      <c r="P1665" s="18" t="s">
        <v>632</v>
      </c>
      <c r="Q1665" s="18" t="s">
        <v>637</v>
      </c>
      <c r="R1665" s="372" t="str">
        <f t="shared" si="45"/>
        <v/>
      </c>
      <c r="S1665" s="106"/>
      <c r="T1665" s="107"/>
      <c r="U1665" s="108"/>
      <c r="V1665" s="108"/>
      <c r="W1665" s="108"/>
      <c r="X1665" s="108"/>
    </row>
    <row r="1666" spans="1:24" x14ac:dyDescent="0.25">
      <c r="A1666" s="23" t="s">
        <v>7080</v>
      </c>
      <c r="B1666" s="59" t="s">
        <v>7509</v>
      </c>
      <c r="C1666" s="59" t="s">
        <v>418</v>
      </c>
      <c r="D1666" s="356" t="s">
        <v>7081</v>
      </c>
      <c r="E1666" s="356" t="s">
        <v>7079</v>
      </c>
      <c r="F1666" s="23" t="s">
        <v>7083</v>
      </c>
      <c r="G1666" s="59" t="s">
        <v>403</v>
      </c>
      <c r="H1666" s="353">
        <v>16154.02</v>
      </c>
      <c r="I1666" s="59" t="s">
        <v>406</v>
      </c>
      <c r="J1666" s="59" t="s">
        <v>7770</v>
      </c>
      <c r="K1666" s="20"/>
      <c r="L1666" s="20">
        <v>3</v>
      </c>
      <c r="M1666" s="357">
        <f>SUM(H1666:H1668)</f>
        <v>94392.94</v>
      </c>
      <c r="N1666" s="411">
        <f>IFERROR((M1666/(VLOOKUP(B1666,'Data Pull Sheet'!$C:$H,6,FALSE))),"DC")</f>
        <v>4.2905881818181821E-2</v>
      </c>
      <c r="O1666" s="23" t="s">
        <v>4153</v>
      </c>
      <c r="P1666" s="18" t="s">
        <v>632</v>
      </c>
      <c r="Q1666" s="18" t="s">
        <v>646</v>
      </c>
      <c r="R1666" s="372" t="str">
        <f t="shared" ref="R1666:R1729" si="46">IF(COUNTIF(F:F,F1666)&gt;=2,"FF","")</f>
        <v/>
      </c>
      <c r="S1666" s="106"/>
      <c r="T1666" s="107"/>
      <c r="U1666" s="108"/>
      <c r="V1666" s="108"/>
      <c r="W1666" s="108"/>
      <c r="X1666" s="108"/>
    </row>
    <row r="1667" spans="1:24" x14ac:dyDescent="0.25">
      <c r="A1667" s="23" t="s">
        <v>7080</v>
      </c>
      <c r="B1667" s="59" t="s">
        <v>7509</v>
      </c>
      <c r="C1667" s="59" t="s">
        <v>418</v>
      </c>
      <c r="D1667" s="356" t="s">
        <v>7081</v>
      </c>
      <c r="E1667" s="356" t="s">
        <v>7079</v>
      </c>
      <c r="F1667" s="23" t="s">
        <v>7084</v>
      </c>
      <c r="G1667" s="59" t="s">
        <v>403</v>
      </c>
      <c r="H1667" s="353">
        <v>25988.25</v>
      </c>
      <c r="I1667" s="59"/>
      <c r="J1667" s="59" t="s">
        <v>7771</v>
      </c>
      <c r="K1667" s="20"/>
      <c r="L1667" s="20"/>
      <c r="M1667" s="357"/>
      <c r="N1667" s="411"/>
      <c r="O1667" s="23" t="s">
        <v>4153</v>
      </c>
      <c r="P1667" s="18" t="s">
        <v>632</v>
      </c>
      <c r="Q1667" s="18" t="s">
        <v>646</v>
      </c>
      <c r="R1667" s="372" t="str">
        <f t="shared" si="46"/>
        <v/>
      </c>
      <c r="S1667" s="106"/>
      <c r="T1667" s="107"/>
      <c r="U1667" s="108"/>
      <c r="V1667" s="108"/>
      <c r="W1667" s="108"/>
      <c r="X1667" s="108"/>
    </row>
    <row r="1668" spans="1:24" x14ac:dyDescent="0.25">
      <c r="A1668" s="23" t="s">
        <v>7080</v>
      </c>
      <c r="B1668" s="59" t="s">
        <v>7509</v>
      </c>
      <c r="C1668" s="59" t="s">
        <v>418</v>
      </c>
      <c r="D1668" s="356" t="s">
        <v>7081</v>
      </c>
      <c r="E1668" s="356" t="s">
        <v>7079</v>
      </c>
      <c r="F1668" s="23" t="s">
        <v>7085</v>
      </c>
      <c r="G1668" s="59" t="s">
        <v>403</v>
      </c>
      <c r="H1668" s="353">
        <v>52250.67</v>
      </c>
      <c r="I1668" s="59" t="s">
        <v>406</v>
      </c>
      <c r="J1668" s="59" t="s">
        <v>7772</v>
      </c>
      <c r="K1668" s="20"/>
      <c r="L1668" s="20"/>
      <c r="M1668" s="357"/>
      <c r="N1668" s="411"/>
      <c r="O1668" s="23" t="s">
        <v>4153</v>
      </c>
      <c r="P1668" s="18" t="s">
        <v>632</v>
      </c>
      <c r="Q1668" s="18" t="s">
        <v>646</v>
      </c>
      <c r="R1668" s="372" t="str">
        <f t="shared" si="46"/>
        <v/>
      </c>
      <c r="S1668" s="106"/>
      <c r="T1668" s="107"/>
      <c r="U1668" s="108"/>
      <c r="V1668" s="108"/>
      <c r="W1668" s="108"/>
      <c r="X1668" s="108"/>
    </row>
    <row r="1669" spans="1:24" x14ac:dyDescent="0.25">
      <c r="A1669" s="23" t="s">
        <v>7080</v>
      </c>
      <c r="B1669" s="59" t="s">
        <v>7509</v>
      </c>
      <c r="C1669" s="59" t="s">
        <v>418</v>
      </c>
      <c r="D1669" s="356" t="s">
        <v>7081</v>
      </c>
      <c r="E1669" s="356" t="s">
        <v>7079</v>
      </c>
      <c r="F1669" s="23" t="s">
        <v>7086</v>
      </c>
      <c r="G1669" s="59" t="s">
        <v>403</v>
      </c>
      <c r="H1669" s="353">
        <v>45825.9</v>
      </c>
      <c r="I1669" s="59" t="s">
        <v>413</v>
      </c>
      <c r="J1669" s="59" t="s">
        <v>7773</v>
      </c>
      <c r="K1669" s="20"/>
      <c r="L1669" s="20">
        <v>2</v>
      </c>
      <c r="M1669" s="357">
        <f>SUM(H1669:H1670)</f>
        <v>198744.22</v>
      </c>
      <c r="N1669" s="411">
        <f>IFERROR((M1669/(VLOOKUP(B1669,'Data Pull Sheet'!$C:$H,6,FALSE))),"DC")</f>
        <v>9.033828181818182E-2</v>
      </c>
      <c r="O1669" s="23" t="s">
        <v>1196</v>
      </c>
      <c r="P1669" s="18" t="s">
        <v>632</v>
      </c>
      <c r="Q1669" s="18" t="s">
        <v>646</v>
      </c>
      <c r="R1669" s="372" t="str">
        <f t="shared" si="46"/>
        <v/>
      </c>
      <c r="S1669" s="106"/>
      <c r="T1669" s="107"/>
      <c r="U1669" s="108"/>
      <c r="V1669" s="108"/>
      <c r="W1669" s="108"/>
      <c r="X1669" s="108"/>
    </row>
    <row r="1670" spans="1:24" x14ac:dyDescent="0.25">
      <c r="A1670" s="23" t="s">
        <v>7080</v>
      </c>
      <c r="B1670" s="59" t="s">
        <v>7509</v>
      </c>
      <c r="C1670" s="59" t="s">
        <v>418</v>
      </c>
      <c r="D1670" s="356" t="s">
        <v>7081</v>
      </c>
      <c r="E1670" s="356" t="s">
        <v>7079</v>
      </c>
      <c r="F1670" s="23" t="s">
        <v>7087</v>
      </c>
      <c r="G1670" s="59" t="s">
        <v>403</v>
      </c>
      <c r="H1670" s="353">
        <v>152918.32</v>
      </c>
      <c r="I1670" s="59" t="s">
        <v>413</v>
      </c>
      <c r="J1670" s="59" t="s">
        <v>7774</v>
      </c>
      <c r="K1670" s="20"/>
      <c r="L1670" s="20"/>
      <c r="M1670" s="357"/>
      <c r="N1670" s="411"/>
      <c r="O1670" s="23" t="s">
        <v>1196</v>
      </c>
      <c r="P1670" s="18" t="s">
        <v>632</v>
      </c>
      <c r="Q1670" s="18" t="s">
        <v>646</v>
      </c>
      <c r="R1670" s="372" t="str">
        <f t="shared" si="46"/>
        <v/>
      </c>
      <c r="S1670" s="106"/>
      <c r="T1670" s="107"/>
      <c r="U1670" s="108"/>
      <c r="V1670" s="108"/>
      <c r="W1670" s="108"/>
      <c r="X1670" s="108"/>
    </row>
    <row r="1671" spans="1:24" x14ac:dyDescent="0.25">
      <c r="A1671" s="23" t="s">
        <v>7080</v>
      </c>
      <c r="B1671" s="59" t="s">
        <v>7509</v>
      </c>
      <c r="C1671" s="59" t="s">
        <v>418</v>
      </c>
      <c r="D1671" s="356" t="s">
        <v>7081</v>
      </c>
      <c r="E1671" s="356" t="s">
        <v>7079</v>
      </c>
      <c r="F1671" s="23" t="s">
        <v>7088</v>
      </c>
      <c r="G1671" s="59" t="s">
        <v>403</v>
      </c>
      <c r="H1671" s="353">
        <v>171849</v>
      </c>
      <c r="I1671" s="59" t="s">
        <v>476</v>
      </c>
      <c r="J1671" s="59" t="s">
        <v>7775</v>
      </c>
      <c r="K1671" s="20"/>
      <c r="L1671" s="20">
        <v>2</v>
      </c>
      <c r="M1671" s="357">
        <f>SUM(H1671:H1672)</f>
        <v>257392</v>
      </c>
      <c r="N1671" s="411">
        <f>IFERROR((M1671/(VLOOKUP(B1671,'Data Pull Sheet'!$C:$H,6,FALSE))),"DC")</f>
        <v>0.11699636363636363</v>
      </c>
      <c r="O1671" s="23" t="s">
        <v>1204</v>
      </c>
      <c r="P1671" s="18" t="s">
        <v>632</v>
      </c>
      <c r="Q1671" s="18" t="s">
        <v>662</v>
      </c>
      <c r="R1671" s="372" t="str">
        <f t="shared" si="46"/>
        <v/>
      </c>
      <c r="S1671" s="106"/>
      <c r="T1671" s="107"/>
      <c r="U1671" s="108"/>
      <c r="V1671" s="108"/>
      <c r="W1671" s="108"/>
      <c r="X1671" s="108"/>
    </row>
    <row r="1672" spans="1:24" x14ac:dyDescent="0.25">
      <c r="A1672" s="23" t="s">
        <v>7080</v>
      </c>
      <c r="B1672" s="59" t="s">
        <v>7509</v>
      </c>
      <c r="C1672" s="59" t="s">
        <v>418</v>
      </c>
      <c r="D1672" s="356" t="s">
        <v>7081</v>
      </c>
      <c r="E1672" s="356" t="s">
        <v>7079</v>
      </c>
      <c r="F1672" s="23" t="s">
        <v>7089</v>
      </c>
      <c r="G1672" s="59" t="s">
        <v>417</v>
      </c>
      <c r="H1672" s="353">
        <v>85543</v>
      </c>
      <c r="I1672" s="59" t="s">
        <v>413</v>
      </c>
      <c r="J1672" s="59" t="s">
        <v>7776</v>
      </c>
      <c r="K1672" s="20"/>
      <c r="L1672" s="20"/>
      <c r="M1672" s="357"/>
      <c r="N1672" s="411"/>
      <c r="O1672" s="23" t="s">
        <v>1204</v>
      </c>
      <c r="P1672" s="18" t="s">
        <v>632</v>
      </c>
      <c r="Q1672" s="18" t="s">
        <v>662</v>
      </c>
      <c r="R1672" s="372" t="str">
        <f t="shared" si="46"/>
        <v/>
      </c>
      <c r="S1672" s="106"/>
      <c r="T1672" s="107"/>
      <c r="U1672" s="108"/>
      <c r="V1672" s="108"/>
      <c r="W1672" s="108"/>
      <c r="X1672" s="108"/>
    </row>
    <row r="1673" spans="1:24" ht="30" x14ac:dyDescent="0.25">
      <c r="A1673" s="23" t="s">
        <v>7090</v>
      </c>
      <c r="B1673" s="59" t="s">
        <v>7519</v>
      </c>
      <c r="C1673" s="59" t="s">
        <v>7091</v>
      </c>
      <c r="D1673" s="356" t="s">
        <v>7081</v>
      </c>
      <c r="E1673" s="356" t="s">
        <v>7079</v>
      </c>
      <c r="F1673" s="23" t="s">
        <v>7092</v>
      </c>
      <c r="G1673" s="59" t="s">
        <v>417</v>
      </c>
      <c r="H1673" s="353">
        <v>446401.18</v>
      </c>
      <c r="I1673" s="59" t="s">
        <v>406</v>
      </c>
      <c r="J1673" s="59" t="s">
        <v>7777</v>
      </c>
      <c r="K1673" s="20">
        <v>6</v>
      </c>
      <c r="L1673" s="20">
        <v>2</v>
      </c>
      <c r="M1673" s="357">
        <f>SUM(H1673:H1674)</f>
        <v>1047041.8799999999</v>
      </c>
      <c r="N1673" s="411">
        <f>IFERROR((M1673/(VLOOKUP(B1673,'Data Pull Sheet'!$C:$H,6,FALSE))),"DC")</f>
        <v>2.0940837599999996E-3</v>
      </c>
      <c r="O1673" s="23" t="s">
        <v>7093</v>
      </c>
      <c r="P1673" s="18" t="s">
        <v>632</v>
      </c>
      <c r="Q1673" s="18" t="s">
        <v>640</v>
      </c>
      <c r="R1673" s="372" t="str">
        <f t="shared" si="46"/>
        <v/>
      </c>
      <c r="S1673" s="106"/>
      <c r="T1673" s="107"/>
      <c r="U1673" s="108"/>
      <c r="V1673" s="108"/>
      <c r="W1673" s="108"/>
      <c r="X1673" s="108"/>
    </row>
    <row r="1674" spans="1:24" ht="30" x14ac:dyDescent="0.25">
      <c r="A1674" s="23" t="s">
        <v>7090</v>
      </c>
      <c r="B1674" s="59" t="s">
        <v>7519</v>
      </c>
      <c r="C1674" s="59" t="s">
        <v>7091</v>
      </c>
      <c r="D1674" s="356" t="s">
        <v>7081</v>
      </c>
      <c r="E1674" s="356" t="s">
        <v>7079</v>
      </c>
      <c r="F1674" s="23" t="s">
        <v>2535</v>
      </c>
      <c r="G1674" s="59" t="s">
        <v>417</v>
      </c>
      <c r="H1674" s="353">
        <v>600640.69999999995</v>
      </c>
      <c r="I1674" s="59" t="s">
        <v>406</v>
      </c>
      <c r="J1674" s="59" t="s">
        <v>7778</v>
      </c>
      <c r="K1674" s="20"/>
      <c r="L1674" s="20"/>
      <c r="M1674" s="357"/>
      <c r="N1674" s="411"/>
      <c r="O1674" s="23" t="s">
        <v>7093</v>
      </c>
      <c r="P1674" s="18" t="s">
        <v>632</v>
      </c>
      <c r="Q1674" s="18" t="s">
        <v>640</v>
      </c>
      <c r="R1674" s="372" t="str">
        <f t="shared" si="46"/>
        <v>FF</v>
      </c>
      <c r="S1674" s="106"/>
      <c r="T1674" s="107"/>
      <c r="U1674" s="108"/>
      <c r="V1674" s="108"/>
      <c r="W1674" s="108"/>
      <c r="X1674" s="108"/>
    </row>
    <row r="1675" spans="1:24" x14ac:dyDescent="0.25">
      <c r="A1675" s="23" t="s">
        <v>7090</v>
      </c>
      <c r="B1675" s="59" t="s">
        <v>7519</v>
      </c>
      <c r="C1675" s="59" t="s">
        <v>7091</v>
      </c>
      <c r="D1675" s="356" t="s">
        <v>7081</v>
      </c>
      <c r="E1675" s="356" t="s">
        <v>7079</v>
      </c>
      <c r="F1675" s="23" t="s">
        <v>218</v>
      </c>
      <c r="G1675" s="59" t="s">
        <v>417</v>
      </c>
      <c r="H1675" s="353">
        <v>13166113.43</v>
      </c>
      <c r="I1675" s="59"/>
      <c r="J1675" s="59" t="s">
        <v>7779</v>
      </c>
      <c r="K1675" s="20"/>
      <c r="L1675" s="20">
        <v>1</v>
      </c>
      <c r="M1675" s="357">
        <f>H1675</f>
        <v>13166113.43</v>
      </c>
      <c r="N1675" s="411">
        <f>IFERROR((M1675/(VLOOKUP(B1675,'Data Pull Sheet'!$C:$H,6,FALSE))),"DC")</f>
        <v>2.6332226859999999E-2</v>
      </c>
      <c r="O1675" s="23" t="s">
        <v>7096</v>
      </c>
      <c r="P1675" s="18" t="s">
        <v>632</v>
      </c>
      <c r="Q1675" s="18" t="s">
        <v>633</v>
      </c>
      <c r="R1675" s="372" t="str">
        <f t="shared" si="46"/>
        <v>FF</v>
      </c>
      <c r="S1675" s="106"/>
      <c r="T1675" s="107"/>
      <c r="U1675" s="108"/>
      <c r="V1675" s="108"/>
      <c r="W1675" s="108"/>
      <c r="X1675" s="108"/>
    </row>
    <row r="1676" spans="1:24" ht="30" x14ac:dyDescent="0.25">
      <c r="A1676" s="23" t="s">
        <v>7090</v>
      </c>
      <c r="B1676" s="59" t="s">
        <v>7519</v>
      </c>
      <c r="C1676" s="59" t="s">
        <v>7091</v>
      </c>
      <c r="D1676" s="356" t="s">
        <v>7081</v>
      </c>
      <c r="E1676" s="356" t="s">
        <v>7079</v>
      </c>
      <c r="F1676" s="23" t="s">
        <v>7097</v>
      </c>
      <c r="G1676" s="59" t="s">
        <v>417</v>
      </c>
      <c r="H1676" s="353">
        <v>6894049.8600000003</v>
      </c>
      <c r="I1676" s="59" t="s">
        <v>413</v>
      </c>
      <c r="J1676" s="59" t="s">
        <v>7781</v>
      </c>
      <c r="K1676" s="20"/>
      <c r="L1676" s="20">
        <v>1</v>
      </c>
      <c r="M1676" s="357">
        <f>H1676</f>
        <v>6894049.8600000003</v>
      </c>
      <c r="N1676" s="411">
        <f>IFERROR((M1676/(VLOOKUP(B1676,'Data Pull Sheet'!$C:$H,6,FALSE))),"DC")</f>
        <v>1.378809972E-2</v>
      </c>
      <c r="O1676" s="23" t="s">
        <v>7098</v>
      </c>
      <c r="P1676" s="18" t="s">
        <v>632</v>
      </c>
      <c r="Q1676" s="18" t="s">
        <v>633</v>
      </c>
      <c r="R1676" s="372" t="str">
        <f t="shared" si="46"/>
        <v/>
      </c>
      <c r="S1676" s="106"/>
      <c r="T1676" s="107"/>
      <c r="U1676" s="108"/>
      <c r="V1676" s="108"/>
      <c r="W1676" s="108"/>
      <c r="X1676" s="108"/>
    </row>
    <row r="1677" spans="1:24" ht="30" x14ac:dyDescent="0.25">
      <c r="A1677" s="23" t="s">
        <v>7090</v>
      </c>
      <c r="B1677" s="59" t="s">
        <v>7519</v>
      </c>
      <c r="C1677" s="59" t="s">
        <v>7091</v>
      </c>
      <c r="D1677" s="356" t="s">
        <v>7081</v>
      </c>
      <c r="E1677" s="356" t="s">
        <v>7079</v>
      </c>
      <c r="F1677" s="23" t="s">
        <v>12</v>
      </c>
      <c r="G1677" s="59" t="s">
        <v>417</v>
      </c>
      <c r="H1677" s="353">
        <v>1243105.3899999999</v>
      </c>
      <c r="I1677" s="59"/>
      <c r="J1677" s="59" t="s">
        <v>7783</v>
      </c>
      <c r="K1677" s="20"/>
      <c r="L1677" s="20">
        <v>1</v>
      </c>
      <c r="M1677" s="357">
        <f>H1677</f>
        <v>1243105.3899999999</v>
      </c>
      <c r="N1677" s="411">
        <f>IFERROR((M1677/(VLOOKUP(B1677,'Data Pull Sheet'!$C:$H,6,FALSE))),"DC")</f>
        <v>2.4862107799999999E-3</v>
      </c>
      <c r="O1677" s="23" t="s">
        <v>1903</v>
      </c>
      <c r="P1677" s="18" t="s">
        <v>632</v>
      </c>
      <c r="Q1677" s="18" t="s">
        <v>633</v>
      </c>
      <c r="R1677" s="372" t="str">
        <f t="shared" si="46"/>
        <v>FF</v>
      </c>
      <c r="S1677" s="106"/>
      <c r="T1677" s="107"/>
      <c r="U1677" s="108"/>
      <c r="V1677" s="108"/>
      <c r="W1677" s="108"/>
      <c r="X1677" s="108"/>
    </row>
    <row r="1678" spans="1:24" x14ac:dyDescent="0.25">
      <c r="A1678" s="23" t="s">
        <v>7090</v>
      </c>
      <c r="B1678" s="59" t="s">
        <v>7519</v>
      </c>
      <c r="C1678" s="59" t="s">
        <v>7091</v>
      </c>
      <c r="D1678" s="356" t="s">
        <v>7081</v>
      </c>
      <c r="E1678" s="356" t="s">
        <v>7079</v>
      </c>
      <c r="F1678" s="23" t="s">
        <v>7100</v>
      </c>
      <c r="G1678" s="59" t="s">
        <v>403</v>
      </c>
      <c r="H1678" s="353">
        <v>27339.8</v>
      </c>
      <c r="I1678" s="59"/>
      <c r="J1678" s="59" t="s">
        <v>7784</v>
      </c>
      <c r="K1678" s="20"/>
      <c r="L1678" s="20">
        <v>1</v>
      </c>
      <c r="M1678" s="357">
        <f>H1678</f>
        <v>27339.8</v>
      </c>
      <c r="N1678" s="411">
        <f>IFERROR((M1678/(VLOOKUP(B1678,'Data Pull Sheet'!$C:$H,6,FALSE))),"DC")</f>
        <v>5.4679599999999997E-5</v>
      </c>
      <c r="O1678" s="23" t="s">
        <v>7101</v>
      </c>
      <c r="P1678" s="18" t="s">
        <v>632</v>
      </c>
      <c r="Q1678" s="18" t="s">
        <v>637</v>
      </c>
      <c r="R1678" s="372" t="str">
        <f t="shared" si="46"/>
        <v/>
      </c>
      <c r="S1678" s="106"/>
      <c r="T1678" s="107"/>
      <c r="U1678" s="108"/>
      <c r="V1678" s="108"/>
      <c r="W1678" s="108"/>
      <c r="X1678" s="108"/>
    </row>
    <row r="1679" spans="1:24" ht="30" x14ac:dyDescent="0.25">
      <c r="A1679" s="23" t="s">
        <v>7090</v>
      </c>
      <c r="B1679" s="59" t="s">
        <v>7519</v>
      </c>
      <c r="C1679" s="59" t="s">
        <v>7091</v>
      </c>
      <c r="D1679" s="356" t="s">
        <v>7081</v>
      </c>
      <c r="E1679" s="356" t="s">
        <v>7079</v>
      </c>
      <c r="F1679" s="23" t="s">
        <v>7102</v>
      </c>
      <c r="G1679" s="59" t="s">
        <v>403</v>
      </c>
      <c r="H1679" s="353">
        <v>128666</v>
      </c>
      <c r="I1679" s="59"/>
      <c r="J1679" s="59" t="s">
        <v>7785</v>
      </c>
      <c r="K1679" s="20"/>
      <c r="L1679" s="20">
        <v>5</v>
      </c>
      <c r="M1679" s="357">
        <f>SUM(H1679:H1683)</f>
        <v>1033738</v>
      </c>
      <c r="N1679" s="411">
        <f>IFERROR((M1679/(VLOOKUP(B1679,'Data Pull Sheet'!$C:$H,6,FALSE))),"DC")</f>
        <v>2.0674759999999999E-3</v>
      </c>
      <c r="O1679" s="23" t="s">
        <v>7103</v>
      </c>
      <c r="P1679" s="18" t="s">
        <v>632</v>
      </c>
      <c r="Q1679" s="18" t="s">
        <v>646</v>
      </c>
      <c r="R1679" s="372" t="str">
        <f t="shared" si="46"/>
        <v/>
      </c>
      <c r="S1679" s="106"/>
      <c r="T1679" s="107"/>
      <c r="U1679" s="108"/>
      <c r="V1679" s="108"/>
      <c r="W1679" s="108"/>
      <c r="X1679" s="108"/>
    </row>
    <row r="1680" spans="1:24" ht="30" x14ac:dyDescent="0.25">
      <c r="A1680" s="23" t="s">
        <v>7090</v>
      </c>
      <c r="B1680" s="59" t="s">
        <v>7519</v>
      </c>
      <c r="C1680" s="59" t="s">
        <v>7091</v>
      </c>
      <c r="D1680" s="356" t="s">
        <v>7081</v>
      </c>
      <c r="E1680" s="356" t="s">
        <v>7079</v>
      </c>
      <c r="F1680" s="23" t="s">
        <v>7104</v>
      </c>
      <c r="G1680" s="59" t="s">
        <v>403</v>
      </c>
      <c r="H1680" s="353">
        <v>182870</v>
      </c>
      <c r="I1680" s="59"/>
      <c r="J1680" s="59" t="s">
        <v>7788</v>
      </c>
      <c r="K1680" s="20"/>
      <c r="L1680" s="20"/>
      <c r="M1680" s="357"/>
      <c r="N1680" s="411"/>
      <c r="O1680" s="23" t="s">
        <v>7103</v>
      </c>
      <c r="P1680" s="18" t="s">
        <v>632</v>
      </c>
      <c r="Q1680" s="18" t="s">
        <v>646</v>
      </c>
      <c r="R1680" s="372" t="str">
        <f t="shared" si="46"/>
        <v/>
      </c>
      <c r="S1680" s="106"/>
      <c r="T1680" s="107"/>
      <c r="U1680" s="108"/>
      <c r="V1680" s="108"/>
      <c r="W1680" s="108"/>
      <c r="X1680" s="108"/>
    </row>
    <row r="1681" spans="1:24" ht="30" x14ac:dyDescent="0.25">
      <c r="A1681" s="23" t="s">
        <v>7090</v>
      </c>
      <c r="B1681" s="59" t="s">
        <v>7519</v>
      </c>
      <c r="C1681" s="59" t="s">
        <v>7091</v>
      </c>
      <c r="D1681" s="356" t="s">
        <v>7081</v>
      </c>
      <c r="E1681" s="356" t="s">
        <v>7079</v>
      </c>
      <c r="F1681" s="23" t="s">
        <v>7105</v>
      </c>
      <c r="G1681" s="59" t="s">
        <v>403</v>
      </c>
      <c r="H1681" s="353">
        <v>484006</v>
      </c>
      <c r="I1681" s="59"/>
      <c r="J1681" s="59" t="s">
        <v>7789</v>
      </c>
      <c r="K1681" s="20"/>
      <c r="L1681" s="20"/>
      <c r="M1681" s="357"/>
      <c r="N1681" s="411"/>
      <c r="O1681" s="23" t="s">
        <v>7103</v>
      </c>
      <c r="P1681" s="18" t="s">
        <v>632</v>
      </c>
      <c r="Q1681" s="18" t="s">
        <v>646</v>
      </c>
      <c r="R1681" s="372" t="str">
        <f t="shared" si="46"/>
        <v/>
      </c>
      <c r="S1681" s="106"/>
      <c r="T1681" s="107"/>
      <c r="U1681" s="108"/>
      <c r="V1681" s="108"/>
      <c r="W1681" s="108"/>
      <c r="X1681" s="108"/>
    </row>
    <row r="1682" spans="1:24" ht="30" x14ac:dyDescent="0.25">
      <c r="A1682" s="23" t="s">
        <v>7090</v>
      </c>
      <c r="B1682" s="59" t="s">
        <v>7519</v>
      </c>
      <c r="C1682" s="59" t="s">
        <v>7091</v>
      </c>
      <c r="D1682" s="356" t="s">
        <v>7081</v>
      </c>
      <c r="E1682" s="356" t="s">
        <v>7079</v>
      </c>
      <c r="F1682" s="23" t="s">
        <v>7106</v>
      </c>
      <c r="G1682" s="59" t="s">
        <v>403</v>
      </c>
      <c r="H1682" s="353">
        <v>119978</v>
      </c>
      <c r="I1682" s="59"/>
      <c r="J1682" s="59" t="s">
        <v>7790</v>
      </c>
      <c r="K1682" s="20"/>
      <c r="L1682" s="20"/>
      <c r="M1682" s="357"/>
      <c r="N1682" s="411"/>
      <c r="O1682" s="23" t="s">
        <v>7103</v>
      </c>
      <c r="P1682" s="18" t="s">
        <v>632</v>
      </c>
      <c r="Q1682" s="18" t="s">
        <v>646</v>
      </c>
      <c r="R1682" s="372" t="str">
        <f t="shared" si="46"/>
        <v/>
      </c>
      <c r="S1682" s="106"/>
      <c r="T1682" s="107"/>
      <c r="U1682" s="108"/>
      <c r="V1682" s="108"/>
      <c r="W1682" s="108"/>
      <c r="X1682" s="108"/>
    </row>
    <row r="1683" spans="1:24" ht="30" x14ac:dyDescent="0.25">
      <c r="A1683" s="23" t="s">
        <v>7090</v>
      </c>
      <c r="B1683" s="59" t="s">
        <v>7519</v>
      </c>
      <c r="C1683" s="59" t="s">
        <v>7091</v>
      </c>
      <c r="D1683" s="356" t="s">
        <v>7081</v>
      </c>
      <c r="E1683" s="356" t="s">
        <v>7079</v>
      </c>
      <c r="F1683" s="23" t="s">
        <v>7107</v>
      </c>
      <c r="G1683" s="59" t="s">
        <v>403</v>
      </c>
      <c r="H1683" s="353">
        <v>118218</v>
      </c>
      <c r="I1683" s="59"/>
      <c r="J1683" s="59" t="s">
        <v>7786</v>
      </c>
      <c r="K1683" s="20"/>
      <c r="L1683" s="20"/>
      <c r="M1683" s="357"/>
      <c r="N1683" s="411"/>
      <c r="O1683" s="23" t="s">
        <v>7103</v>
      </c>
      <c r="P1683" s="18" t="s">
        <v>632</v>
      </c>
      <c r="Q1683" s="18" t="s">
        <v>646</v>
      </c>
      <c r="R1683" s="372" t="str">
        <f t="shared" si="46"/>
        <v/>
      </c>
      <c r="S1683" s="106"/>
      <c r="T1683" s="107"/>
      <c r="U1683" s="108"/>
      <c r="V1683" s="108"/>
      <c r="W1683" s="108"/>
      <c r="X1683" s="108"/>
    </row>
    <row r="1684" spans="1:24" x14ac:dyDescent="0.25">
      <c r="A1684" s="23" t="s">
        <v>7073</v>
      </c>
      <c r="B1684" s="59" t="s">
        <v>7577</v>
      </c>
      <c r="C1684" s="59" t="s">
        <v>1008</v>
      </c>
      <c r="D1684" s="356" t="s">
        <v>7074</v>
      </c>
      <c r="E1684" s="356" t="s">
        <v>6772</v>
      </c>
      <c r="F1684" s="23" t="s">
        <v>7075</v>
      </c>
      <c r="G1684" s="59" t="s">
        <v>403</v>
      </c>
      <c r="H1684" s="353">
        <v>336.6</v>
      </c>
      <c r="I1684" s="59"/>
      <c r="J1684" s="59" t="s">
        <v>10454</v>
      </c>
      <c r="K1684" s="20">
        <v>2</v>
      </c>
      <c r="L1684" s="20">
        <v>1</v>
      </c>
      <c r="M1684" s="357">
        <f>H1684</f>
        <v>336.6</v>
      </c>
      <c r="N1684" s="411">
        <f>IFERROR((M1684/(VLOOKUP(B1684,'Data Pull Sheet'!$C:$H,6,FALSE))),"DC")</f>
        <v>2.8050000000000001E-5</v>
      </c>
      <c r="O1684" s="23" t="s">
        <v>682</v>
      </c>
      <c r="P1684" s="18" t="s">
        <v>632</v>
      </c>
      <c r="Q1684" s="18" t="s">
        <v>637</v>
      </c>
      <c r="R1684" s="372" t="str">
        <f t="shared" si="46"/>
        <v/>
      </c>
      <c r="S1684" s="106"/>
      <c r="T1684" s="107"/>
      <c r="U1684" s="108"/>
      <c r="V1684" s="108"/>
      <c r="W1684" s="108"/>
      <c r="X1684" s="108"/>
    </row>
    <row r="1685" spans="1:24" x14ac:dyDescent="0.25">
      <c r="A1685" s="23" t="s">
        <v>7073</v>
      </c>
      <c r="B1685" s="59" t="s">
        <v>7577</v>
      </c>
      <c r="C1685" s="59" t="s">
        <v>1008</v>
      </c>
      <c r="D1685" s="356" t="s">
        <v>7074</v>
      </c>
      <c r="E1685" s="356" t="s">
        <v>6772</v>
      </c>
      <c r="F1685" s="23" t="s">
        <v>7076</v>
      </c>
      <c r="G1685" s="59" t="s">
        <v>403</v>
      </c>
      <c r="H1685" s="353">
        <v>8962.4</v>
      </c>
      <c r="I1685" s="59"/>
      <c r="J1685" s="59" t="s">
        <v>10455</v>
      </c>
      <c r="K1685" s="20"/>
      <c r="L1685" s="20">
        <v>1</v>
      </c>
      <c r="M1685" s="357">
        <f>H1685</f>
        <v>8962.4</v>
      </c>
      <c r="N1685" s="411">
        <f>IFERROR((M1685/(VLOOKUP(B1685,'Data Pull Sheet'!$C:$H,6,FALSE))),"DC")</f>
        <v>7.4686666666666664E-4</v>
      </c>
      <c r="O1685" s="23" t="s">
        <v>597</v>
      </c>
      <c r="P1685" s="18" t="s">
        <v>632</v>
      </c>
      <c r="Q1685" s="18" t="s">
        <v>637</v>
      </c>
      <c r="R1685" s="372" t="str">
        <f t="shared" si="46"/>
        <v/>
      </c>
      <c r="S1685" s="106"/>
      <c r="T1685" s="107"/>
      <c r="U1685" s="108"/>
      <c r="V1685" s="108"/>
      <c r="W1685" s="108"/>
      <c r="X1685" s="108"/>
    </row>
    <row r="1686" spans="1:24" x14ac:dyDescent="0.25">
      <c r="A1686" s="23" t="s">
        <v>7068</v>
      </c>
      <c r="B1686" s="59" t="s">
        <v>7510</v>
      </c>
      <c r="C1686" s="59" t="s">
        <v>418</v>
      </c>
      <c r="D1686" s="356" t="s">
        <v>7069</v>
      </c>
      <c r="E1686" s="356" t="s">
        <v>7057</v>
      </c>
      <c r="F1686" s="23" t="s">
        <v>7070</v>
      </c>
      <c r="G1686" s="59" t="s">
        <v>403</v>
      </c>
      <c r="H1686" s="353">
        <v>1332</v>
      </c>
      <c r="I1686" s="59"/>
      <c r="J1686" s="59" t="s">
        <v>7766</v>
      </c>
      <c r="K1686" s="20">
        <v>1</v>
      </c>
      <c r="L1686" s="20">
        <v>3</v>
      </c>
      <c r="M1686" s="357">
        <f>SUM(H1686:H1688)</f>
        <v>13960</v>
      </c>
      <c r="N1686" s="411">
        <f>IFERROR((M1686/(VLOOKUP(B1686,'Data Pull Sheet'!$C:$H,6,FALSE))),"DC")</f>
        <v>9.3066666666666666E-4</v>
      </c>
      <c r="O1686" s="23" t="s">
        <v>1204</v>
      </c>
      <c r="P1686" s="18" t="s">
        <v>676</v>
      </c>
      <c r="Q1686" s="18" t="s">
        <v>646</v>
      </c>
      <c r="R1686" s="372" t="str">
        <f t="shared" si="46"/>
        <v/>
      </c>
      <c r="S1686" s="106"/>
      <c r="T1686" s="107"/>
      <c r="U1686" s="108"/>
      <c r="V1686" s="108"/>
      <c r="W1686" s="108"/>
      <c r="X1686" s="108"/>
    </row>
    <row r="1687" spans="1:24" x14ac:dyDescent="0.25">
      <c r="A1687" s="23" t="s">
        <v>7068</v>
      </c>
      <c r="B1687" s="59" t="s">
        <v>7510</v>
      </c>
      <c r="C1687" s="59" t="s">
        <v>418</v>
      </c>
      <c r="D1687" s="356" t="s">
        <v>7069</v>
      </c>
      <c r="E1687" s="356" t="s">
        <v>7057</v>
      </c>
      <c r="F1687" s="23" t="s">
        <v>7071</v>
      </c>
      <c r="G1687" s="59" t="s">
        <v>403</v>
      </c>
      <c r="H1687" s="353">
        <v>3664</v>
      </c>
      <c r="I1687" s="59"/>
      <c r="J1687" s="59" t="s">
        <v>7767</v>
      </c>
      <c r="K1687" s="20"/>
      <c r="L1687" s="20"/>
      <c r="M1687" s="357"/>
      <c r="N1687" s="411"/>
      <c r="O1687" s="23" t="s">
        <v>1204</v>
      </c>
      <c r="P1687" s="18" t="s">
        <v>676</v>
      </c>
      <c r="Q1687" s="18" t="s">
        <v>646</v>
      </c>
      <c r="R1687" s="372" t="str">
        <f t="shared" si="46"/>
        <v/>
      </c>
      <c r="S1687" s="106"/>
      <c r="T1687" s="107"/>
      <c r="U1687" s="108"/>
      <c r="V1687" s="108"/>
      <c r="W1687" s="108"/>
      <c r="X1687" s="108"/>
    </row>
    <row r="1688" spans="1:24" x14ac:dyDescent="0.25">
      <c r="A1688" s="23" t="s">
        <v>7068</v>
      </c>
      <c r="B1688" s="59" t="s">
        <v>7510</v>
      </c>
      <c r="C1688" s="59" t="s">
        <v>418</v>
      </c>
      <c r="D1688" s="356" t="s">
        <v>7069</v>
      </c>
      <c r="E1688" s="356" t="s">
        <v>7057</v>
      </c>
      <c r="F1688" s="23" t="s">
        <v>7072</v>
      </c>
      <c r="G1688" s="59" t="s">
        <v>403</v>
      </c>
      <c r="H1688" s="353">
        <v>8964</v>
      </c>
      <c r="I1688" s="59"/>
      <c r="J1688" s="59" t="s">
        <v>7768</v>
      </c>
      <c r="K1688" s="20"/>
      <c r="L1688" s="20"/>
      <c r="M1688" s="357"/>
      <c r="N1688" s="411"/>
      <c r="O1688" s="23" t="s">
        <v>1204</v>
      </c>
      <c r="P1688" s="18" t="s">
        <v>676</v>
      </c>
      <c r="Q1688" s="18" t="s">
        <v>646</v>
      </c>
      <c r="R1688" s="372" t="str">
        <f t="shared" si="46"/>
        <v/>
      </c>
      <c r="S1688" s="106"/>
      <c r="T1688" s="107"/>
      <c r="U1688" s="108"/>
      <c r="V1688" s="108"/>
      <c r="W1688" s="108"/>
      <c r="X1688" s="108"/>
    </row>
    <row r="1689" spans="1:24" ht="30" x14ac:dyDescent="0.25">
      <c r="A1689" s="23" t="s">
        <v>7061</v>
      </c>
      <c r="B1689" s="59" t="s">
        <v>7562</v>
      </c>
      <c r="C1689" s="59" t="s">
        <v>446</v>
      </c>
      <c r="D1689" s="356" t="s">
        <v>1125</v>
      </c>
      <c r="E1689" s="356" t="s">
        <v>7057</v>
      </c>
      <c r="F1689" s="23" t="s">
        <v>3754</v>
      </c>
      <c r="G1689" s="59" t="s">
        <v>417</v>
      </c>
      <c r="H1689" s="353">
        <v>48909.89</v>
      </c>
      <c r="I1689" s="59"/>
      <c r="J1689" s="59" t="s">
        <v>7744</v>
      </c>
      <c r="K1689" s="20">
        <v>3</v>
      </c>
      <c r="L1689" s="20">
        <v>1</v>
      </c>
      <c r="M1689" s="357">
        <f>H1689</f>
        <v>48909.89</v>
      </c>
      <c r="N1689" s="411" t="str">
        <f>IFERROR((M1689/(VLOOKUP(B1689,'Data Pull Sheet'!$C:$H,6,FALSE))),"DC")</f>
        <v>DC</v>
      </c>
      <c r="O1689" s="23" t="s">
        <v>1640</v>
      </c>
      <c r="P1689" s="18" t="s">
        <v>632</v>
      </c>
      <c r="Q1689" s="18" t="s">
        <v>633</v>
      </c>
      <c r="R1689" s="372" t="str">
        <f t="shared" si="46"/>
        <v>FF</v>
      </c>
      <c r="S1689" s="106"/>
      <c r="T1689" s="107"/>
      <c r="U1689" s="108"/>
      <c r="V1689" s="108"/>
      <c r="W1689" s="108"/>
      <c r="X1689" s="108"/>
    </row>
    <row r="1690" spans="1:24" x14ac:dyDescent="0.25">
      <c r="A1690" s="23" t="s">
        <v>7061</v>
      </c>
      <c r="B1690" s="59" t="s">
        <v>7562</v>
      </c>
      <c r="C1690" s="59" t="s">
        <v>446</v>
      </c>
      <c r="D1690" s="356" t="s">
        <v>1125</v>
      </c>
      <c r="E1690" s="356" t="s">
        <v>7057</v>
      </c>
      <c r="F1690" s="23" t="s">
        <v>7063</v>
      </c>
      <c r="G1690" s="59" t="s">
        <v>403</v>
      </c>
      <c r="H1690" s="353">
        <v>67310.83</v>
      </c>
      <c r="I1690" s="59"/>
      <c r="J1690" s="59" t="s">
        <v>7746</v>
      </c>
      <c r="K1690" s="20"/>
      <c r="L1690" s="20">
        <v>1</v>
      </c>
      <c r="M1690" s="357">
        <f>H1690</f>
        <v>67310.83</v>
      </c>
      <c r="N1690" s="411" t="str">
        <f>IFERROR((M1690/(VLOOKUP(B1690,'Data Pull Sheet'!$C:$H,6,FALSE))),"DC")</f>
        <v>DC</v>
      </c>
      <c r="O1690" s="23" t="s">
        <v>63</v>
      </c>
      <c r="P1690" s="18" t="s">
        <v>632</v>
      </c>
      <c r="Q1690" s="18" t="s">
        <v>637</v>
      </c>
      <c r="R1690" s="372" t="str">
        <f t="shared" si="46"/>
        <v/>
      </c>
      <c r="S1690" s="106"/>
      <c r="T1690" s="107"/>
      <c r="U1690" s="108"/>
      <c r="V1690" s="108"/>
      <c r="W1690" s="108"/>
      <c r="X1690" s="108"/>
    </row>
    <row r="1691" spans="1:24" x14ac:dyDescent="0.25">
      <c r="A1691" s="23" t="s">
        <v>7061</v>
      </c>
      <c r="B1691" s="59" t="s">
        <v>7562</v>
      </c>
      <c r="C1691" s="59" t="s">
        <v>446</v>
      </c>
      <c r="D1691" s="356" t="s">
        <v>1125</v>
      </c>
      <c r="E1691" s="356" t="s">
        <v>7057</v>
      </c>
      <c r="F1691" s="23" t="s">
        <v>7064</v>
      </c>
      <c r="G1691" s="59" t="s">
        <v>403</v>
      </c>
      <c r="H1691" s="353">
        <v>35101</v>
      </c>
      <c r="I1691" s="59"/>
      <c r="J1691" s="59" t="s">
        <v>7750</v>
      </c>
      <c r="K1691" s="20"/>
      <c r="L1691" s="20">
        <v>4</v>
      </c>
      <c r="M1691" s="357">
        <f>SUM(H1691:H1694)</f>
        <v>105376</v>
      </c>
      <c r="N1691" s="411" t="str">
        <f>IFERROR((M1691/(VLOOKUP(B1691,'Data Pull Sheet'!$C:$H,6,FALSE))),"DC")</f>
        <v>DC</v>
      </c>
      <c r="O1691" s="23" t="s">
        <v>554</v>
      </c>
      <c r="P1691" s="18" t="s">
        <v>632</v>
      </c>
      <c r="Q1691" s="18" t="s">
        <v>646</v>
      </c>
      <c r="R1691" s="372" t="str">
        <f t="shared" si="46"/>
        <v/>
      </c>
      <c r="S1691" s="106"/>
      <c r="T1691" s="107"/>
      <c r="U1691" s="108"/>
      <c r="V1691" s="108"/>
      <c r="W1691" s="108"/>
      <c r="X1691" s="108"/>
    </row>
    <row r="1692" spans="1:24" x14ac:dyDescent="0.25">
      <c r="A1692" s="23" t="s">
        <v>7061</v>
      </c>
      <c r="B1692" s="59" t="s">
        <v>7562</v>
      </c>
      <c r="C1692" s="59" t="s">
        <v>446</v>
      </c>
      <c r="D1692" s="356" t="s">
        <v>1125</v>
      </c>
      <c r="E1692" s="356" t="s">
        <v>7057</v>
      </c>
      <c r="F1692" s="23" t="s">
        <v>7065</v>
      </c>
      <c r="G1692" s="59" t="s">
        <v>403</v>
      </c>
      <c r="H1692" s="353">
        <v>52083</v>
      </c>
      <c r="I1692" s="59"/>
      <c r="J1692" s="59" t="s">
        <v>7763</v>
      </c>
      <c r="K1692" s="20"/>
      <c r="L1692" s="20"/>
      <c r="M1692" s="357"/>
      <c r="N1692" s="411"/>
      <c r="O1692" s="23" t="s">
        <v>554</v>
      </c>
      <c r="P1692" s="18" t="s">
        <v>632</v>
      </c>
      <c r="Q1692" s="18" t="s">
        <v>646</v>
      </c>
      <c r="R1692" s="372" t="str">
        <f t="shared" si="46"/>
        <v/>
      </c>
      <c r="S1692" s="106"/>
      <c r="T1692" s="107"/>
      <c r="U1692" s="108"/>
      <c r="V1692" s="108"/>
      <c r="W1692" s="108"/>
      <c r="X1692" s="108"/>
    </row>
    <row r="1693" spans="1:24" x14ac:dyDescent="0.25">
      <c r="A1693" s="23" t="s">
        <v>7061</v>
      </c>
      <c r="B1693" s="59" t="s">
        <v>7562</v>
      </c>
      <c r="C1693" s="59" t="s">
        <v>446</v>
      </c>
      <c r="D1693" s="356" t="s">
        <v>1125</v>
      </c>
      <c r="E1693" s="356" t="s">
        <v>7057</v>
      </c>
      <c r="F1693" s="23" t="s">
        <v>7066</v>
      </c>
      <c r="G1693" s="59" t="s">
        <v>403</v>
      </c>
      <c r="H1693" s="353">
        <v>10950</v>
      </c>
      <c r="I1693" s="59"/>
      <c r="J1693" s="59" t="s">
        <v>7764</v>
      </c>
      <c r="K1693" s="20"/>
      <c r="L1693" s="20"/>
      <c r="M1693" s="357"/>
      <c r="N1693" s="411"/>
      <c r="O1693" s="23" t="s">
        <v>554</v>
      </c>
      <c r="P1693" s="18" t="s">
        <v>632</v>
      </c>
      <c r="Q1693" s="18" t="s">
        <v>646</v>
      </c>
      <c r="R1693" s="372" t="str">
        <f t="shared" si="46"/>
        <v/>
      </c>
      <c r="S1693" s="106"/>
      <c r="T1693" s="107"/>
      <c r="U1693" s="108"/>
      <c r="V1693" s="108"/>
      <c r="W1693" s="108"/>
      <c r="X1693" s="108"/>
    </row>
    <row r="1694" spans="1:24" x14ac:dyDescent="0.25">
      <c r="A1694" s="23" t="s">
        <v>7061</v>
      </c>
      <c r="B1694" s="59" t="s">
        <v>7562</v>
      </c>
      <c r="C1694" s="59" t="s">
        <v>446</v>
      </c>
      <c r="D1694" s="356" t="s">
        <v>1125</v>
      </c>
      <c r="E1694" s="356" t="s">
        <v>7057</v>
      </c>
      <c r="F1694" s="23" t="s">
        <v>7067</v>
      </c>
      <c r="G1694" s="59" t="s">
        <v>403</v>
      </c>
      <c r="H1694" s="353">
        <v>7242</v>
      </c>
      <c r="I1694" s="59"/>
      <c r="J1694" s="59" t="s">
        <v>7765</v>
      </c>
      <c r="K1694" s="20"/>
      <c r="L1694" s="20"/>
      <c r="M1694" s="357"/>
      <c r="N1694" s="411"/>
      <c r="O1694" s="23" t="s">
        <v>554</v>
      </c>
      <c r="P1694" s="18" t="s">
        <v>632</v>
      </c>
      <c r="Q1694" s="18" t="s">
        <v>646</v>
      </c>
      <c r="R1694" s="372" t="str">
        <f t="shared" si="46"/>
        <v/>
      </c>
      <c r="S1694" s="106"/>
      <c r="T1694" s="107"/>
      <c r="U1694" s="108"/>
      <c r="V1694" s="108"/>
      <c r="W1694" s="108"/>
      <c r="X1694" s="108"/>
    </row>
    <row r="1695" spans="1:24" x14ac:dyDescent="0.25">
      <c r="A1695" s="23" t="s">
        <v>7056</v>
      </c>
      <c r="B1695" s="59" t="s">
        <v>7612</v>
      </c>
      <c r="C1695" s="59" t="s">
        <v>424</v>
      </c>
      <c r="D1695" s="356" t="s">
        <v>1125</v>
      </c>
      <c r="E1695" s="356" t="s">
        <v>7057</v>
      </c>
      <c r="F1695" s="23" t="s">
        <v>7058</v>
      </c>
      <c r="G1695" s="59" t="s">
        <v>403</v>
      </c>
      <c r="H1695" s="353">
        <v>43258.83</v>
      </c>
      <c r="I1695" s="59" t="s">
        <v>406</v>
      </c>
      <c r="J1695" s="59" t="s">
        <v>7743</v>
      </c>
      <c r="K1695" s="20">
        <v>2</v>
      </c>
      <c r="L1695" s="20">
        <v>1</v>
      </c>
      <c r="M1695" s="357">
        <f>H1695</f>
        <v>43258.83</v>
      </c>
      <c r="N1695" s="411">
        <f>IFERROR((M1695/(VLOOKUP(B1695,'Data Pull Sheet'!$C:$H,6,FALSE))),"DC")</f>
        <v>5.0892741176470594E-4</v>
      </c>
      <c r="O1695" s="23" t="s">
        <v>63</v>
      </c>
      <c r="P1695" s="18" t="s">
        <v>632</v>
      </c>
      <c r="Q1695" s="18" t="s">
        <v>637</v>
      </c>
      <c r="R1695" s="372" t="str">
        <f t="shared" si="46"/>
        <v/>
      </c>
      <c r="S1695" s="106"/>
      <c r="T1695" s="107"/>
      <c r="U1695" s="108"/>
      <c r="V1695" s="108"/>
      <c r="W1695" s="108"/>
      <c r="X1695" s="108"/>
    </row>
    <row r="1696" spans="1:24" x14ac:dyDescent="0.25">
      <c r="A1696" s="23" t="s">
        <v>7056</v>
      </c>
      <c r="B1696" s="59" t="s">
        <v>7612</v>
      </c>
      <c r="C1696" s="59" t="s">
        <v>424</v>
      </c>
      <c r="D1696" s="356" t="s">
        <v>1125</v>
      </c>
      <c r="E1696" s="356" t="s">
        <v>7057</v>
      </c>
      <c r="F1696" s="23" t="s">
        <v>7059</v>
      </c>
      <c r="G1696" s="59" t="s">
        <v>403</v>
      </c>
      <c r="H1696" s="353">
        <v>1276</v>
      </c>
      <c r="I1696" s="59"/>
      <c r="J1696" s="59" t="s">
        <v>7737</v>
      </c>
      <c r="K1696" s="20"/>
      <c r="L1696" s="20">
        <v>2</v>
      </c>
      <c r="M1696" s="357">
        <f>SUM(H1696:H1697)</f>
        <v>8515.5</v>
      </c>
      <c r="N1696" s="411">
        <f>IFERROR((M1696/(VLOOKUP(B1696,'Data Pull Sheet'!$C:$H,6,FALSE))),"DC")</f>
        <v>1.0018235294117647E-4</v>
      </c>
      <c r="O1696" s="23" t="s">
        <v>877</v>
      </c>
      <c r="P1696" s="18" t="s">
        <v>632</v>
      </c>
      <c r="Q1696" s="18" t="s">
        <v>646</v>
      </c>
      <c r="R1696" s="372" t="str">
        <f t="shared" si="46"/>
        <v/>
      </c>
      <c r="S1696" s="106"/>
      <c r="T1696" s="107"/>
      <c r="U1696" s="108"/>
      <c r="V1696" s="108"/>
      <c r="W1696" s="108"/>
      <c r="X1696" s="108"/>
    </row>
    <row r="1697" spans="1:24" x14ac:dyDescent="0.25">
      <c r="A1697" s="23" t="s">
        <v>7056</v>
      </c>
      <c r="B1697" s="59" t="s">
        <v>7612</v>
      </c>
      <c r="C1697" s="59" t="s">
        <v>424</v>
      </c>
      <c r="D1697" s="356" t="s">
        <v>1125</v>
      </c>
      <c r="E1697" s="356" t="s">
        <v>7057</v>
      </c>
      <c r="F1697" s="23" t="s">
        <v>7060</v>
      </c>
      <c r="G1697" s="59" t="s">
        <v>403</v>
      </c>
      <c r="H1697" s="353">
        <v>7239.5</v>
      </c>
      <c r="I1697" s="59"/>
      <c r="J1697" s="59" t="s">
        <v>7762</v>
      </c>
      <c r="K1697" s="20"/>
      <c r="L1697" s="20"/>
      <c r="M1697" s="357"/>
      <c r="N1697" s="411"/>
      <c r="O1697" s="23" t="s">
        <v>877</v>
      </c>
      <c r="P1697" s="18" t="s">
        <v>632</v>
      </c>
      <c r="Q1697" s="18" t="s">
        <v>646</v>
      </c>
      <c r="R1697" s="372" t="str">
        <f t="shared" si="46"/>
        <v/>
      </c>
      <c r="S1697" s="106"/>
      <c r="T1697" s="107"/>
      <c r="U1697" s="108"/>
      <c r="V1697" s="108"/>
      <c r="W1697" s="108"/>
      <c r="X1697" s="108"/>
    </row>
    <row r="1698" spans="1:24" x14ac:dyDescent="0.25">
      <c r="A1698" s="23" t="s">
        <v>7025</v>
      </c>
      <c r="B1698" s="59" t="s">
        <v>7508</v>
      </c>
      <c r="C1698" s="59" t="s">
        <v>457</v>
      </c>
      <c r="D1698" s="356" t="s">
        <v>4259</v>
      </c>
      <c r="E1698" s="356" t="s">
        <v>7026</v>
      </c>
      <c r="F1698" s="23" t="s">
        <v>7027</v>
      </c>
      <c r="G1698" s="59" t="s">
        <v>403</v>
      </c>
      <c r="H1698" s="353">
        <v>19064.54</v>
      </c>
      <c r="I1698" s="59"/>
      <c r="J1698" s="59" t="s">
        <v>7735</v>
      </c>
      <c r="K1698" s="20">
        <v>3</v>
      </c>
      <c r="L1698" s="20">
        <v>1</v>
      </c>
      <c r="M1698" s="357">
        <f>H1698</f>
        <v>19064.54</v>
      </c>
      <c r="N1698" s="411" t="str">
        <f>IFERROR((M1698/(VLOOKUP(B1698,'Data Pull Sheet'!$C:$H,6,FALSE))),"DC")</f>
        <v>DC</v>
      </c>
      <c r="O1698" s="23" t="s">
        <v>1617</v>
      </c>
      <c r="P1698" s="18" t="s">
        <v>632</v>
      </c>
      <c r="Q1698" s="18" t="s">
        <v>637</v>
      </c>
      <c r="R1698" s="372" t="str">
        <f t="shared" si="46"/>
        <v/>
      </c>
      <c r="S1698" s="106"/>
      <c r="T1698" s="107"/>
      <c r="U1698" s="108"/>
      <c r="V1698" s="108"/>
      <c r="W1698" s="108"/>
      <c r="X1698" s="108"/>
    </row>
    <row r="1699" spans="1:24" x14ac:dyDescent="0.25">
      <c r="A1699" s="23" t="s">
        <v>7025</v>
      </c>
      <c r="B1699" s="59" t="s">
        <v>7508</v>
      </c>
      <c r="C1699" s="59" t="s">
        <v>457</v>
      </c>
      <c r="D1699" s="356" t="s">
        <v>4259</v>
      </c>
      <c r="E1699" s="356" t="s">
        <v>7026</v>
      </c>
      <c r="F1699" s="23" t="s">
        <v>7028</v>
      </c>
      <c r="G1699" s="59" t="s">
        <v>403</v>
      </c>
      <c r="H1699" s="353">
        <v>99658.89</v>
      </c>
      <c r="I1699" s="59" t="s">
        <v>10456</v>
      </c>
      <c r="J1699" s="59" t="s">
        <v>7736</v>
      </c>
      <c r="K1699" s="20"/>
      <c r="L1699" s="20">
        <v>2</v>
      </c>
      <c r="M1699" s="357">
        <f>SUM(H1699:H1700)</f>
        <v>148535.59</v>
      </c>
      <c r="N1699" s="411" t="str">
        <f>IFERROR((M1699/(VLOOKUP(B1699,'Data Pull Sheet'!$C:$H,6,FALSE))),"DC")</f>
        <v>DC</v>
      </c>
      <c r="O1699" s="23" t="s">
        <v>8986</v>
      </c>
      <c r="P1699" s="18" t="s">
        <v>632</v>
      </c>
      <c r="Q1699" s="18" t="s">
        <v>646</v>
      </c>
      <c r="R1699" s="372" t="str">
        <f t="shared" si="46"/>
        <v/>
      </c>
      <c r="S1699" s="106"/>
      <c r="T1699" s="107"/>
      <c r="U1699" s="108"/>
      <c r="V1699" s="108"/>
      <c r="W1699" s="108"/>
      <c r="X1699" s="108"/>
    </row>
    <row r="1700" spans="1:24" x14ac:dyDescent="0.25">
      <c r="A1700" s="23" t="s">
        <v>7025</v>
      </c>
      <c r="B1700" s="59" t="s">
        <v>7508</v>
      </c>
      <c r="C1700" s="59" t="s">
        <v>457</v>
      </c>
      <c r="D1700" s="356" t="s">
        <v>4259</v>
      </c>
      <c r="E1700" s="356" t="s">
        <v>7026</v>
      </c>
      <c r="F1700" s="23" t="s">
        <v>7029</v>
      </c>
      <c r="G1700" s="59" t="s">
        <v>403</v>
      </c>
      <c r="H1700" s="353">
        <v>48876.7</v>
      </c>
      <c r="I1700" s="59" t="s">
        <v>10456</v>
      </c>
      <c r="J1700" s="59" t="s">
        <v>7738</v>
      </c>
      <c r="K1700" s="20"/>
      <c r="L1700" s="20"/>
      <c r="M1700" s="357"/>
      <c r="N1700" s="411"/>
      <c r="O1700" s="23" t="s">
        <v>8986</v>
      </c>
      <c r="P1700" s="18" t="s">
        <v>632</v>
      </c>
      <c r="Q1700" s="18" t="s">
        <v>646</v>
      </c>
      <c r="R1700" s="372" t="str">
        <f t="shared" si="46"/>
        <v/>
      </c>
      <c r="S1700" s="106"/>
      <c r="T1700" s="107"/>
      <c r="U1700" s="108"/>
      <c r="V1700" s="108"/>
      <c r="W1700" s="108"/>
      <c r="X1700" s="108"/>
    </row>
    <row r="1701" spans="1:24" x14ac:dyDescent="0.25">
      <c r="A1701" s="23" t="s">
        <v>7025</v>
      </c>
      <c r="B1701" s="59" t="s">
        <v>7508</v>
      </c>
      <c r="C1701" s="59" t="s">
        <v>457</v>
      </c>
      <c r="D1701" s="356" t="s">
        <v>4259</v>
      </c>
      <c r="E1701" s="356" t="s">
        <v>7026</v>
      </c>
      <c r="F1701" s="23" t="s">
        <v>7030</v>
      </c>
      <c r="G1701" s="59" t="s">
        <v>403</v>
      </c>
      <c r="H1701" s="353">
        <v>106934.79</v>
      </c>
      <c r="I1701" s="59" t="s">
        <v>10456</v>
      </c>
      <c r="J1701" s="59" t="s">
        <v>7739</v>
      </c>
      <c r="K1701" s="20"/>
      <c r="L1701" s="20">
        <v>2</v>
      </c>
      <c r="M1701" s="357">
        <f>SUM(H1701:H1702)</f>
        <v>127589.98</v>
      </c>
      <c r="N1701" s="411" t="str">
        <f>IFERROR((M1701/(VLOOKUP(B1701,'Data Pull Sheet'!$C:$H,6,FALSE))),"DC")</f>
        <v>DC</v>
      </c>
      <c r="O1701" s="23" t="s">
        <v>7031</v>
      </c>
      <c r="P1701" s="18" t="s">
        <v>632</v>
      </c>
      <c r="Q1701" s="18" t="s">
        <v>646</v>
      </c>
      <c r="R1701" s="372" t="str">
        <f t="shared" si="46"/>
        <v/>
      </c>
      <c r="S1701" s="106"/>
      <c r="T1701" s="107"/>
      <c r="U1701" s="108"/>
      <c r="V1701" s="108"/>
      <c r="W1701" s="108"/>
      <c r="X1701" s="108"/>
    </row>
    <row r="1702" spans="1:24" x14ac:dyDescent="0.25">
      <c r="A1702" s="23" t="s">
        <v>7025</v>
      </c>
      <c r="B1702" s="59" t="s">
        <v>7508</v>
      </c>
      <c r="C1702" s="59" t="s">
        <v>457</v>
      </c>
      <c r="D1702" s="356" t="s">
        <v>4259</v>
      </c>
      <c r="E1702" s="356" t="s">
        <v>7026</v>
      </c>
      <c r="F1702" s="23" t="s">
        <v>7032</v>
      </c>
      <c r="G1702" s="59" t="s">
        <v>403</v>
      </c>
      <c r="H1702" s="353">
        <v>20655.189999999999</v>
      </c>
      <c r="I1702" s="59" t="s">
        <v>10456</v>
      </c>
      <c r="J1702" s="59" t="s">
        <v>7740</v>
      </c>
      <c r="K1702" s="20"/>
      <c r="L1702" s="20"/>
      <c r="M1702" s="357"/>
      <c r="N1702" s="411"/>
      <c r="O1702" s="23" t="s">
        <v>7031</v>
      </c>
      <c r="P1702" s="18" t="s">
        <v>632</v>
      </c>
      <c r="Q1702" s="18" t="s">
        <v>646</v>
      </c>
      <c r="R1702" s="372" t="str">
        <f t="shared" si="46"/>
        <v/>
      </c>
      <c r="S1702" s="106"/>
      <c r="T1702" s="107"/>
      <c r="U1702" s="108"/>
      <c r="V1702" s="108"/>
      <c r="W1702" s="108"/>
      <c r="X1702" s="108"/>
    </row>
    <row r="1703" spans="1:24" x14ac:dyDescent="0.25">
      <c r="A1703" s="23" t="s">
        <v>7033</v>
      </c>
      <c r="B1703" s="59" t="s">
        <v>7569</v>
      </c>
      <c r="C1703" s="59" t="s">
        <v>424</v>
      </c>
      <c r="D1703" s="356" t="s">
        <v>6970</v>
      </c>
      <c r="E1703" s="356" t="s">
        <v>7026</v>
      </c>
      <c r="F1703" s="23" t="s">
        <v>7034</v>
      </c>
      <c r="G1703" s="59" t="s">
        <v>403</v>
      </c>
      <c r="H1703" s="353">
        <v>97498</v>
      </c>
      <c r="I1703" s="59"/>
      <c r="J1703" s="59" t="s">
        <v>7741</v>
      </c>
      <c r="K1703" s="20">
        <v>7</v>
      </c>
      <c r="L1703" s="20">
        <v>1</v>
      </c>
      <c r="M1703" s="357">
        <f>H1703</f>
        <v>97498</v>
      </c>
      <c r="N1703" s="411">
        <f>IFERROR((M1703/(VLOOKUP(B1703,'Data Pull Sheet'!$C:$H,6,FALSE))),"DC")</f>
        <v>2.4374499999999999E-3</v>
      </c>
      <c r="O1703" s="23" t="s">
        <v>682</v>
      </c>
      <c r="P1703" s="18" t="s">
        <v>632</v>
      </c>
      <c r="Q1703" s="18" t="s">
        <v>637</v>
      </c>
      <c r="R1703" s="372" t="str">
        <f t="shared" si="46"/>
        <v/>
      </c>
      <c r="S1703" s="106"/>
      <c r="T1703" s="107"/>
      <c r="U1703" s="108"/>
      <c r="V1703" s="108"/>
      <c r="W1703" s="108"/>
      <c r="X1703" s="108"/>
    </row>
    <row r="1704" spans="1:24" ht="30" x14ac:dyDescent="0.25">
      <c r="A1704" s="23" t="s">
        <v>7033</v>
      </c>
      <c r="B1704" s="59" t="s">
        <v>7569</v>
      </c>
      <c r="C1704" s="59" t="s">
        <v>424</v>
      </c>
      <c r="D1704" s="356" t="s">
        <v>6970</v>
      </c>
      <c r="E1704" s="356" t="s">
        <v>7026</v>
      </c>
      <c r="F1704" s="23" t="s">
        <v>7035</v>
      </c>
      <c r="G1704" s="59" t="s">
        <v>403</v>
      </c>
      <c r="H1704" s="353">
        <v>112800</v>
      </c>
      <c r="I1704" s="59"/>
      <c r="J1704" s="59" t="s">
        <v>7745</v>
      </c>
      <c r="K1704" s="20"/>
      <c r="L1704" s="20">
        <v>1</v>
      </c>
      <c r="M1704" s="357">
        <f>H1704</f>
        <v>112800</v>
      </c>
      <c r="N1704" s="411">
        <f>IFERROR((M1704/(VLOOKUP(B1704,'Data Pull Sheet'!$C:$H,6,FALSE))),"DC")</f>
        <v>2.82E-3</v>
      </c>
      <c r="O1704" s="23" t="s">
        <v>687</v>
      </c>
      <c r="P1704" s="18" t="s">
        <v>632</v>
      </c>
      <c r="Q1704" s="18" t="s">
        <v>637</v>
      </c>
      <c r="R1704" s="372" t="str">
        <f t="shared" si="46"/>
        <v/>
      </c>
      <c r="S1704" s="106"/>
      <c r="T1704" s="107"/>
      <c r="U1704" s="108"/>
      <c r="V1704" s="108"/>
      <c r="W1704" s="108"/>
      <c r="X1704" s="108"/>
    </row>
    <row r="1705" spans="1:24" x14ac:dyDescent="0.25">
      <c r="A1705" s="23" t="s">
        <v>7033</v>
      </c>
      <c r="B1705" s="59" t="s">
        <v>7569</v>
      </c>
      <c r="C1705" s="59" t="s">
        <v>424</v>
      </c>
      <c r="D1705" s="356" t="s">
        <v>6970</v>
      </c>
      <c r="E1705" s="356" t="s">
        <v>7026</v>
      </c>
      <c r="F1705" s="23" t="s">
        <v>7036</v>
      </c>
      <c r="G1705" s="59" t="s">
        <v>403</v>
      </c>
      <c r="H1705" s="353">
        <v>11297</v>
      </c>
      <c r="I1705" s="59"/>
      <c r="J1705" s="59" t="s">
        <v>7747</v>
      </c>
      <c r="K1705" s="20"/>
      <c r="L1705" s="20">
        <v>4</v>
      </c>
      <c r="M1705" s="357">
        <f>SUM(H1705:H1708)</f>
        <v>113822.26000000001</v>
      </c>
      <c r="N1705" s="411">
        <f>IFERROR((M1705/(VLOOKUP(B1705,'Data Pull Sheet'!$C:$H,6,FALSE))),"DC")</f>
        <v>2.8455565000000001E-3</v>
      </c>
      <c r="O1705" s="23" t="s">
        <v>4153</v>
      </c>
      <c r="P1705" s="18" t="s">
        <v>632</v>
      </c>
      <c r="Q1705" s="18" t="s">
        <v>646</v>
      </c>
      <c r="R1705" s="372" t="str">
        <f t="shared" si="46"/>
        <v/>
      </c>
      <c r="S1705" s="106"/>
      <c r="T1705" s="107"/>
      <c r="U1705" s="108"/>
      <c r="V1705" s="108"/>
      <c r="W1705" s="108"/>
      <c r="X1705" s="108"/>
    </row>
    <row r="1706" spans="1:24" x14ac:dyDescent="0.25">
      <c r="A1706" s="23" t="s">
        <v>7033</v>
      </c>
      <c r="B1706" s="59" t="s">
        <v>7569</v>
      </c>
      <c r="C1706" s="59" t="s">
        <v>424</v>
      </c>
      <c r="D1706" s="356" t="s">
        <v>6970</v>
      </c>
      <c r="E1706" s="356" t="s">
        <v>7026</v>
      </c>
      <c r="F1706" s="23" t="s">
        <v>7037</v>
      </c>
      <c r="G1706" s="59" t="s">
        <v>403</v>
      </c>
      <c r="H1706" s="353">
        <v>41298.080000000002</v>
      </c>
      <c r="I1706" s="59"/>
      <c r="J1706" s="59" t="s">
        <v>7748</v>
      </c>
      <c r="K1706" s="20"/>
      <c r="L1706" s="20"/>
      <c r="M1706" s="357"/>
      <c r="N1706" s="411"/>
      <c r="O1706" s="23" t="s">
        <v>4153</v>
      </c>
      <c r="P1706" s="18" t="s">
        <v>632</v>
      </c>
      <c r="Q1706" s="18" t="s">
        <v>646</v>
      </c>
      <c r="R1706" s="372" t="str">
        <f t="shared" si="46"/>
        <v/>
      </c>
      <c r="S1706" s="106"/>
      <c r="T1706" s="107"/>
      <c r="U1706" s="108"/>
      <c r="V1706" s="108"/>
      <c r="W1706" s="108"/>
      <c r="X1706" s="108"/>
    </row>
    <row r="1707" spans="1:24" x14ac:dyDescent="0.25">
      <c r="A1707" s="23" t="s">
        <v>7033</v>
      </c>
      <c r="B1707" s="59" t="s">
        <v>7569</v>
      </c>
      <c r="C1707" s="59" t="s">
        <v>424</v>
      </c>
      <c r="D1707" s="356" t="s">
        <v>6970</v>
      </c>
      <c r="E1707" s="356" t="s">
        <v>7026</v>
      </c>
      <c r="F1707" s="23" t="s">
        <v>7038</v>
      </c>
      <c r="G1707" s="59" t="s">
        <v>403</v>
      </c>
      <c r="H1707" s="353">
        <v>42544.83</v>
      </c>
      <c r="I1707" s="59"/>
      <c r="J1707" s="59" t="s">
        <v>7749</v>
      </c>
      <c r="K1707" s="20"/>
      <c r="L1707" s="20"/>
      <c r="M1707" s="357"/>
      <c r="N1707" s="411"/>
      <c r="O1707" s="23" t="s">
        <v>4153</v>
      </c>
      <c r="P1707" s="18" t="s">
        <v>632</v>
      </c>
      <c r="Q1707" s="18" t="s">
        <v>646</v>
      </c>
      <c r="R1707" s="372" t="str">
        <f t="shared" si="46"/>
        <v/>
      </c>
      <c r="S1707" s="106"/>
      <c r="T1707" s="107"/>
      <c r="U1707" s="108"/>
      <c r="V1707" s="108"/>
      <c r="W1707" s="108"/>
      <c r="X1707" s="108"/>
    </row>
    <row r="1708" spans="1:24" x14ac:dyDescent="0.25">
      <c r="A1708" s="23" t="s">
        <v>7033</v>
      </c>
      <c r="B1708" s="59" t="s">
        <v>7569</v>
      </c>
      <c r="C1708" s="59" t="s">
        <v>424</v>
      </c>
      <c r="D1708" s="356" t="s">
        <v>6970</v>
      </c>
      <c r="E1708" s="356" t="s">
        <v>7026</v>
      </c>
      <c r="F1708" s="23" t="s">
        <v>7039</v>
      </c>
      <c r="G1708" s="59" t="s">
        <v>403</v>
      </c>
      <c r="H1708" s="353">
        <v>18682.349999999999</v>
      </c>
      <c r="I1708" s="59"/>
      <c r="J1708" s="59" t="s">
        <v>7751</v>
      </c>
      <c r="K1708" s="20"/>
      <c r="L1708" s="20"/>
      <c r="M1708" s="357"/>
      <c r="N1708" s="411"/>
      <c r="O1708" s="23" t="s">
        <v>4153</v>
      </c>
      <c r="P1708" s="18" t="s">
        <v>632</v>
      </c>
      <c r="Q1708" s="18" t="s">
        <v>646</v>
      </c>
      <c r="R1708" s="372" t="str">
        <f t="shared" si="46"/>
        <v>FF</v>
      </c>
      <c r="S1708" s="106"/>
      <c r="T1708" s="107"/>
      <c r="U1708" s="108"/>
      <c r="V1708" s="108"/>
      <c r="W1708" s="108"/>
      <c r="X1708" s="108"/>
    </row>
    <row r="1709" spans="1:24" x14ac:dyDescent="0.25">
      <c r="A1709" s="23" t="s">
        <v>7033</v>
      </c>
      <c r="B1709" s="59" t="s">
        <v>7569</v>
      </c>
      <c r="C1709" s="59" t="s">
        <v>424</v>
      </c>
      <c r="D1709" s="356" t="s">
        <v>6970</v>
      </c>
      <c r="E1709" s="356" t="s">
        <v>7026</v>
      </c>
      <c r="F1709" s="23" t="s">
        <v>7040</v>
      </c>
      <c r="G1709" s="59" t="s">
        <v>403</v>
      </c>
      <c r="H1709" s="353">
        <v>107525</v>
      </c>
      <c r="I1709" s="59"/>
      <c r="J1709" s="59" t="s">
        <v>7752</v>
      </c>
      <c r="K1709" s="20"/>
      <c r="L1709" s="20">
        <v>1</v>
      </c>
      <c r="M1709" s="357">
        <f>H1709</f>
        <v>107525</v>
      </c>
      <c r="N1709" s="411">
        <f>IFERROR((M1709/(VLOOKUP(B1709,'Data Pull Sheet'!$C:$H,6,FALSE))),"DC")</f>
        <v>2.688125E-3</v>
      </c>
      <c r="O1709" s="23" t="s">
        <v>4153</v>
      </c>
      <c r="P1709" s="18" t="s">
        <v>632</v>
      </c>
      <c r="Q1709" s="18" t="s">
        <v>646</v>
      </c>
      <c r="R1709" s="372" t="str">
        <f t="shared" si="46"/>
        <v/>
      </c>
      <c r="S1709" s="106"/>
      <c r="T1709" s="107"/>
      <c r="U1709" s="108"/>
      <c r="V1709" s="108"/>
      <c r="W1709" s="108"/>
      <c r="X1709" s="108"/>
    </row>
    <row r="1710" spans="1:24" x14ac:dyDescent="0.25">
      <c r="A1710" s="23" t="s">
        <v>7033</v>
      </c>
      <c r="B1710" s="59" t="s">
        <v>7569</v>
      </c>
      <c r="C1710" s="59" t="s">
        <v>424</v>
      </c>
      <c r="D1710" s="356" t="s">
        <v>6970</v>
      </c>
      <c r="E1710" s="356" t="s">
        <v>7026</v>
      </c>
      <c r="F1710" s="23" t="s">
        <v>7041</v>
      </c>
      <c r="G1710" s="59" t="s">
        <v>403</v>
      </c>
      <c r="H1710" s="353">
        <v>94041.47</v>
      </c>
      <c r="I1710" s="59" t="s">
        <v>406</v>
      </c>
      <c r="J1710" s="59" t="s">
        <v>7726</v>
      </c>
      <c r="K1710" s="20"/>
      <c r="L1710" s="20">
        <v>1</v>
      </c>
      <c r="M1710" s="357">
        <f>H1710</f>
        <v>94041.47</v>
      </c>
      <c r="N1710" s="411">
        <f>IFERROR((M1710/(VLOOKUP(B1710,'Data Pull Sheet'!$C:$H,6,FALSE))),"DC")</f>
        <v>2.35103675E-3</v>
      </c>
      <c r="O1710" s="23" t="s">
        <v>1196</v>
      </c>
      <c r="P1710" s="18" t="s">
        <v>632</v>
      </c>
      <c r="Q1710" s="18" t="s">
        <v>637</v>
      </c>
      <c r="R1710" s="372" t="str">
        <f t="shared" si="46"/>
        <v/>
      </c>
      <c r="S1710" s="106"/>
      <c r="T1710" s="107"/>
      <c r="U1710" s="108"/>
      <c r="V1710" s="108"/>
      <c r="W1710" s="108"/>
      <c r="X1710" s="108"/>
    </row>
    <row r="1711" spans="1:24" x14ac:dyDescent="0.25">
      <c r="A1711" s="23" t="s">
        <v>7033</v>
      </c>
      <c r="B1711" s="59" t="s">
        <v>7569</v>
      </c>
      <c r="C1711" s="59" t="s">
        <v>424</v>
      </c>
      <c r="D1711" s="356" t="s">
        <v>6970</v>
      </c>
      <c r="E1711" s="356" t="s">
        <v>7026</v>
      </c>
      <c r="F1711" s="23" t="s">
        <v>7042</v>
      </c>
      <c r="G1711" s="59" t="s">
        <v>403</v>
      </c>
      <c r="H1711" s="353">
        <v>85914.47</v>
      </c>
      <c r="I1711" s="59" t="s">
        <v>406</v>
      </c>
      <c r="J1711" s="59" t="s">
        <v>7753</v>
      </c>
      <c r="K1711" s="20"/>
      <c r="L1711" s="20">
        <v>1</v>
      </c>
      <c r="M1711" s="357">
        <f>H1711</f>
        <v>85914.47</v>
      </c>
      <c r="N1711" s="411">
        <f>IFERROR((M1711/(VLOOKUP(B1711,'Data Pull Sheet'!$C:$H,6,FALSE))),"DC")</f>
        <v>2.1478617500000001E-3</v>
      </c>
      <c r="O1711" s="23" t="s">
        <v>407</v>
      </c>
      <c r="P1711" s="18" t="s">
        <v>632</v>
      </c>
      <c r="Q1711" s="18" t="s">
        <v>637</v>
      </c>
      <c r="R1711" s="372" t="str">
        <f t="shared" si="46"/>
        <v/>
      </c>
      <c r="S1711" s="106"/>
      <c r="T1711" s="107"/>
      <c r="U1711" s="108"/>
      <c r="V1711" s="108"/>
      <c r="W1711" s="108"/>
      <c r="X1711" s="108"/>
    </row>
    <row r="1712" spans="1:24" ht="30" x14ac:dyDescent="0.25">
      <c r="A1712" s="23" t="s">
        <v>7033</v>
      </c>
      <c r="B1712" s="59" t="s">
        <v>7569</v>
      </c>
      <c r="C1712" s="59" t="s">
        <v>424</v>
      </c>
      <c r="D1712" s="356" t="s">
        <v>6970</v>
      </c>
      <c r="E1712" s="356" t="s">
        <v>7026</v>
      </c>
      <c r="F1712" s="23" t="s">
        <v>7043</v>
      </c>
      <c r="G1712" s="59" t="s">
        <v>403</v>
      </c>
      <c r="H1712" s="353">
        <v>87167</v>
      </c>
      <c r="I1712" s="59"/>
      <c r="J1712" s="59" t="s">
        <v>7755</v>
      </c>
      <c r="K1712" s="20"/>
      <c r="L1712" s="20">
        <v>3</v>
      </c>
      <c r="M1712" s="357">
        <f>SUM(H1712:H1714)</f>
        <v>260544</v>
      </c>
      <c r="N1712" s="411">
        <f>IFERROR((M1712/(VLOOKUP(B1712,'Data Pull Sheet'!$C:$H,6,FALSE))),"DC")</f>
        <v>6.5135999999999996E-3</v>
      </c>
      <c r="O1712" s="23" t="s">
        <v>11066</v>
      </c>
      <c r="P1712" s="18" t="s">
        <v>632</v>
      </c>
      <c r="Q1712" s="18" t="s">
        <v>646</v>
      </c>
      <c r="R1712" s="372" t="str">
        <f t="shared" si="46"/>
        <v/>
      </c>
      <c r="S1712" s="106"/>
      <c r="T1712" s="107"/>
      <c r="U1712" s="108"/>
      <c r="V1712" s="108"/>
      <c r="W1712" s="108"/>
      <c r="X1712" s="108"/>
    </row>
    <row r="1713" spans="1:24" ht="30" x14ac:dyDescent="0.25">
      <c r="A1713" s="23" t="s">
        <v>7033</v>
      </c>
      <c r="B1713" s="59" t="s">
        <v>7569</v>
      </c>
      <c r="C1713" s="59" t="s">
        <v>424</v>
      </c>
      <c r="D1713" s="356" t="s">
        <v>6970</v>
      </c>
      <c r="E1713" s="356" t="s">
        <v>7026</v>
      </c>
      <c r="F1713" s="23" t="s">
        <v>7044</v>
      </c>
      <c r="G1713" s="59" t="s">
        <v>403</v>
      </c>
      <c r="H1713" s="353">
        <v>81404</v>
      </c>
      <c r="I1713" s="59"/>
      <c r="J1713" s="59" t="s">
        <v>7754</v>
      </c>
      <c r="K1713" s="20"/>
      <c r="L1713" s="20"/>
      <c r="M1713" s="357"/>
      <c r="N1713" s="411"/>
      <c r="O1713" s="23" t="s">
        <v>11066</v>
      </c>
      <c r="P1713" s="18" t="s">
        <v>632</v>
      </c>
      <c r="Q1713" s="18" t="s">
        <v>646</v>
      </c>
      <c r="R1713" s="372" t="str">
        <f t="shared" si="46"/>
        <v/>
      </c>
      <c r="S1713" s="106"/>
      <c r="T1713" s="107"/>
      <c r="U1713" s="108"/>
      <c r="V1713" s="108"/>
      <c r="W1713" s="108"/>
      <c r="X1713" s="108"/>
    </row>
    <row r="1714" spans="1:24" ht="30" x14ac:dyDescent="0.25">
      <c r="A1714" s="23" t="s">
        <v>7033</v>
      </c>
      <c r="B1714" s="59" t="s">
        <v>7569</v>
      </c>
      <c r="C1714" s="59" t="s">
        <v>424</v>
      </c>
      <c r="D1714" s="356" t="s">
        <v>6970</v>
      </c>
      <c r="E1714" s="356" t="s">
        <v>7026</v>
      </c>
      <c r="F1714" s="23" t="s">
        <v>7045</v>
      </c>
      <c r="G1714" s="59" t="s">
        <v>403</v>
      </c>
      <c r="H1714" s="353">
        <v>91973</v>
      </c>
      <c r="I1714" s="59"/>
      <c r="J1714" s="59" t="s">
        <v>7732</v>
      </c>
      <c r="K1714" s="20"/>
      <c r="L1714" s="20"/>
      <c r="M1714" s="357"/>
      <c r="N1714" s="411"/>
      <c r="O1714" s="23" t="s">
        <v>11066</v>
      </c>
      <c r="P1714" s="18" t="s">
        <v>632</v>
      </c>
      <c r="Q1714" s="18" t="s">
        <v>646</v>
      </c>
      <c r="R1714" s="372" t="str">
        <f t="shared" si="46"/>
        <v/>
      </c>
      <c r="S1714" s="106"/>
      <c r="T1714" s="107"/>
      <c r="U1714" s="108"/>
      <c r="V1714" s="108"/>
      <c r="W1714" s="108"/>
      <c r="X1714" s="108"/>
    </row>
    <row r="1715" spans="1:24" x14ac:dyDescent="0.25">
      <c r="A1715" s="23" t="s">
        <v>7046</v>
      </c>
      <c r="B1715" s="59" t="s">
        <v>7594</v>
      </c>
      <c r="C1715" s="59" t="s">
        <v>418</v>
      </c>
      <c r="D1715" s="356" t="s">
        <v>6970</v>
      </c>
      <c r="E1715" s="356" t="s">
        <v>7026</v>
      </c>
      <c r="F1715" s="23" t="s">
        <v>7047</v>
      </c>
      <c r="G1715" s="59" t="s">
        <v>403</v>
      </c>
      <c r="H1715" s="353">
        <v>338503.23</v>
      </c>
      <c r="I1715" s="59"/>
      <c r="J1715" s="59" t="s">
        <v>7742</v>
      </c>
      <c r="K1715" s="20">
        <v>5</v>
      </c>
      <c r="L1715" s="20">
        <v>1</v>
      </c>
      <c r="M1715" s="357">
        <f>H1715</f>
        <v>338503.23</v>
      </c>
      <c r="N1715" s="411">
        <f>IFERROR((M1715/(VLOOKUP(B1715,'Data Pull Sheet'!$C:$H,6,FALSE))),"DC")</f>
        <v>9.5353022535211258E-4</v>
      </c>
      <c r="O1715" s="23" t="s">
        <v>682</v>
      </c>
      <c r="P1715" s="18" t="s">
        <v>632</v>
      </c>
      <c r="Q1715" s="18" t="s">
        <v>646</v>
      </c>
      <c r="R1715" s="372" t="str">
        <f t="shared" si="46"/>
        <v/>
      </c>
      <c r="S1715" s="106"/>
      <c r="T1715" s="107"/>
      <c r="U1715" s="108"/>
      <c r="V1715" s="108"/>
      <c r="W1715" s="108"/>
      <c r="X1715" s="108"/>
    </row>
    <row r="1716" spans="1:24" x14ac:dyDescent="0.25">
      <c r="A1716" s="23" t="s">
        <v>7046</v>
      </c>
      <c r="B1716" s="59" t="s">
        <v>7594</v>
      </c>
      <c r="C1716" s="59" t="s">
        <v>418</v>
      </c>
      <c r="D1716" s="356" t="s">
        <v>6970</v>
      </c>
      <c r="E1716" s="356" t="s">
        <v>7026</v>
      </c>
      <c r="F1716" s="23" t="s">
        <v>7048</v>
      </c>
      <c r="G1716" s="59" t="s">
        <v>403</v>
      </c>
      <c r="H1716" s="353">
        <v>227800</v>
      </c>
      <c r="I1716" s="59"/>
      <c r="J1716" s="59" t="s">
        <v>7757</v>
      </c>
      <c r="K1716" s="20"/>
      <c r="L1716" s="20">
        <v>1</v>
      </c>
      <c r="M1716" s="357">
        <f>H1716</f>
        <v>227800</v>
      </c>
      <c r="N1716" s="411">
        <f>IFERROR((M1716/(VLOOKUP(B1716,'Data Pull Sheet'!$C:$H,6,FALSE))),"DC")</f>
        <v>6.4169014084507041E-4</v>
      </c>
      <c r="O1716" s="23" t="s">
        <v>7049</v>
      </c>
      <c r="P1716" s="18" t="s">
        <v>632</v>
      </c>
      <c r="Q1716" s="18" t="s">
        <v>646</v>
      </c>
      <c r="R1716" s="372" t="str">
        <f t="shared" si="46"/>
        <v/>
      </c>
      <c r="S1716" s="106"/>
      <c r="T1716" s="107"/>
      <c r="U1716" s="108"/>
      <c r="V1716" s="108"/>
      <c r="W1716" s="108"/>
      <c r="X1716" s="108"/>
    </row>
    <row r="1717" spans="1:24" x14ac:dyDescent="0.25">
      <c r="A1717" s="23" t="s">
        <v>7046</v>
      </c>
      <c r="B1717" s="59" t="s">
        <v>7594</v>
      </c>
      <c r="C1717" s="59" t="s">
        <v>418</v>
      </c>
      <c r="D1717" s="356" t="s">
        <v>6970</v>
      </c>
      <c r="E1717" s="356" t="s">
        <v>7026</v>
      </c>
      <c r="F1717" s="23" t="s">
        <v>7050</v>
      </c>
      <c r="G1717" s="59" t="s">
        <v>403</v>
      </c>
      <c r="H1717" s="353">
        <v>73263</v>
      </c>
      <c r="I1717" s="59" t="s">
        <v>406</v>
      </c>
      <c r="J1717" s="59" t="s">
        <v>7756</v>
      </c>
      <c r="K1717" s="20"/>
      <c r="L1717" s="20">
        <v>1</v>
      </c>
      <c r="M1717" s="357">
        <f>H1717</f>
        <v>73263</v>
      </c>
      <c r="N1717" s="411">
        <f>IFERROR((M1717/(VLOOKUP(B1717,'Data Pull Sheet'!$C:$H,6,FALSE))),"DC")</f>
        <v>2.0637464788732395E-4</v>
      </c>
      <c r="O1717" s="23" t="s">
        <v>4392</v>
      </c>
      <c r="P1717" s="18" t="s">
        <v>632</v>
      </c>
      <c r="Q1717" s="18" t="s">
        <v>637</v>
      </c>
      <c r="R1717" s="372" t="str">
        <f t="shared" si="46"/>
        <v/>
      </c>
      <c r="S1717" s="106"/>
      <c r="T1717" s="107"/>
      <c r="U1717" s="108"/>
      <c r="V1717" s="108"/>
      <c r="W1717" s="108"/>
      <c r="X1717" s="108"/>
    </row>
    <row r="1718" spans="1:24" x14ac:dyDescent="0.25">
      <c r="A1718" s="23" t="s">
        <v>7046</v>
      </c>
      <c r="B1718" s="59" t="s">
        <v>7594</v>
      </c>
      <c r="C1718" s="59" t="s">
        <v>418</v>
      </c>
      <c r="D1718" s="356" t="s">
        <v>6970</v>
      </c>
      <c r="E1718" s="356" t="s">
        <v>7026</v>
      </c>
      <c r="F1718" s="23" t="s">
        <v>7051</v>
      </c>
      <c r="G1718" s="59" t="s">
        <v>403</v>
      </c>
      <c r="H1718" s="353">
        <v>1822156.3</v>
      </c>
      <c r="I1718" s="59" t="s">
        <v>406</v>
      </c>
      <c r="J1718" s="59" t="s">
        <v>7758</v>
      </c>
      <c r="K1718" s="20"/>
      <c r="L1718" s="20">
        <v>1</v>
      </c>
      <c r="M1718" s="357">
        <f>H1718</f>
        <v>1822156.3</v>
      </c>
      <c r="N1718" s="411">
        <f>IFERROR((M1718/(VLOOKUP(B1718,'Data Pull Sheet'!$C:$H,6,FALSE))),"DC")</f>
        <v>5.1328346478873238E-3</v>
      </c>
      <c r="O1718" s="23" t="s">
        <v>407</v>
      </c>
      <c r="P1718" s="18" t="s">
        <v>632</v>
      </c>
      <c r="Q1718" s="18" t="s">
        <v>637</v>
      </c>
      <c r="R1718" s="372" t="str">
        <f t="shared" si="46"/>
        <v/>
      </c>
      <c r="S1718" s="106"/>
      <c r="T1718" s="107"/>
      <c r="U1718" s="108"/>
      <c r="V1718" s="108"/>
      <c r="W1718" s="108"/>
      <c r="X1718" s="108"/>
    </row>
    <row r="1719" spans="1:24" ht="30" x14ac:dyDescent="0.25">
      <c r="A1719" s="23" t="s">
        <v>7046</v>
      </c>
      <c r="B1719" s="59" t="s">
        <v>7594</v>
      </c>
      <c r="C1719" s="59" t="s">
        <v>418</v>
      </c>
      <c r="D1719" s="356" t="s">
        <v>6970</v>
      </c>
      <c r="E1719" s="356" t="s">
        <v>7026</v>
      </c>
      <c r="F1719" s="23" t="s">
        <v>7052</v>
      </c>
      <c r="G1719" s="59" t="s">
        <v>403</v>
      </c>
      <c r="H1719" s="353">
        <v>27100</v>
      </c>
      <c r="I1719" s="59" t="s">
        <v>1651</v>
      </c>
      <c r="J1719" s="59" t="s">
        <v>7759</v>
      </c>
      <c r="K1719" s="20"/>
      <c r="L1719" s="20">
        <v>3</v>
      </c>
      <c r="M1719" s="357">
        <f>SUM(H1719:H1721)</f>
        <v>86203</v>
      </c>
      <c r="N1719" s="411">
        <f>IFERROR((M1719/(VLOOKUP(B1719,'Data Pull Sheet'!$C:$H,6,FALSE))),"DC")</f>
        <v>2.4282535211267605E-4</v>
      </c>
      <c r="O1719" s="23" t="s">
        <v>7053</v>
      </c>
      <c r="P1719" s="18" t="s">
        <v>632</v>
      </c>
      <c r="Q1719" s="18" t="s">
        <v>646</v>
      </c>
      <c r="R1719" s="372" t="str">
        <f t="shared" si="46"/>
        <v/>
      </c>
      <c r="S1719" s="106"/>
      <c r="T1719" s="107"/>
      <c r="U1719" s="108"/>
      <c r="V1719" s="108"/>
      <c r="W1719" s="108"/>
      <c r="X1719" s="108"/>
    </row>
    <row r="1720" spans="1:24" ht="30" x14ac:dyDescent="0.25">
      <c r="A1720" s="23" t="s">
        <v>7046</v>
      </c>
      <c r="B1720" s="59" t="s">
        <v>7594</v>
      </c>
      <c r="C1720" s="59" t="s">
        <v>418</v>
      </c>
      <c r="D1720" s="356" t="s">
        <v>6970</v>
      </c>
      <c r="E1720" s="356" t="s">
        <v>7026</v>
      </c>
      <c r="F1720" s="23" t="s">
        <v>7054</v>
      </c>
      <c r="G1720" s="59" t="s">
        <v>403</v>
      </c>
      <c r="H1720" s="353">
        <v>37603</v>
      </c>
      <c r="I1720" s="59" t="s">
        <v>1651</v>
      </c>
      <c r="J1720" s="59" t="s">
        <v>7760</v>
      </c>
      <c r="K1720" s="20"/>
      <c r="L1720" s="20"/>
      <c r="M1720" s="357"/>
      <c r="N1720" s="411"/>
      <c r="O1720" s="23" t="s">
        <v>7053</v>
      </c>
      <c r="P1720" s="18" t="s">
        <v>632</v>
      </c>
      <c r="Q1720" s="18" t="s">
        <v>646</v>
      </c>
      <c r="R1720" s="372" t="str">
        <f t="shared" si="46"/>
        <v/>
      </c>
      <c r="S1720" s="106"/>
      <c r="T1720" s="107"/>
      <c r="U1720" s="108"/>
      <c r="V1720" s="108"/>
      <c r="W1720" s="108"/>
      <c r="X1720" s="108"/>
    </row>
    <row r="1721" spans="1:24" ht="30" x14ac:dyDescent="0.25">
      <c r="A1721" s="23" t="s">
        <v>7046</v>
      </c>
      <c r="B1721" s="59" t="s">
        <v>7594</v>
      </c>
      <c r="C1721" s="59" t="s">
        <v>418</v>
      </c>
      <c r="D1721" s="356" t="s">
        <v>6970</v>
      </c>
      <c r="E1721" s="356" t="s">
        <v>7026</v>
      </c>
      <c r="F1721" s="23" t="s">
        <v>7055</v>
      </c>
      <c r="G1721" s="59" t="s">
        <v>403</v>
      </c>
      <c r="H1721" s="353">
        <v>21500</v>
      </c>
      <c r="I1721" s="59" t="s">
        <v>1651</v>
      </c>
      <c r="J1721" s="59" t="s">
        <v>7761</v>
      </c>
      <c r="K1721" s="20"/>
      <c r="L1721" s="20"/>
      <c r="M1721" s="357"/>
      <c r="N1721" s="411"/>
      <c r="O1721" s="23" t="s">
        <v>7053</v>
      </c>
      <c r="P1721" s="18" t="s">
        <v>632</v>
      </c>
      <c r="Q1721" s="18" t="s">
        <v>646</v>
      </c>
      <c r="R1721" s="372" t="str">
        <f t="shared" si="46"/>
        <v/>
      </c>
      <c r="S1721" s="106"/>
      <c r="T1721" s="107"/>
      <c r="U1721" s="108"/>
      <c r="V1721" s="108"/>
      <c r="W1721" s="108"/>
      <c r="X1721" s="108"/>
    </row>
    <row r="1722" spans="1:24" x14ac:dyDescent="0.25">
      <c r="A1722" s="23" t="s">
        <v>7013</v>
      </c>
      <c r="B1722" s="59" t="s">
        <v>7543</v>
      </c>
      <c r="C1722" s="59" t="s">
        <v>592</v>
      </c>
      <c r="D1722" s="356" t="s">
        <v>7014</v>
      </c>
      <c r="E1722" s="356" t="s">
        <v>7015</v>
      </c>
      <c r="F1722" s="23" t="s">
        <v>7016</v>
      </c>
      <c r="G1722" s="59" t="s">
        <v>417</v>
      </c>
      <c r="H1722" s="353">
        <v>303781</v>
      </c>
      <c r="I1722" s="59" t="s">
        <v>406</v>
      </c>
      <c r="J1722" s="59" t="s">
        <v>7730</v>
      </c>
      <c r="K1722" s="20">
        <v>2</v>
      </c>
      <c r="L1722" s="20">
        <v>3</v>
      </c>
      <c r="M1722" s="357">
        <f>SUM(H1722:H1724)</f>
        <v>1918485</v>
      </c>
      <c r="N1722" s="411">
        <f>IFERROR((M1722/(VLOOKUP(B1722,'Data Pull Sheet'!$C:$H,6,FALSE))),"DC")</f>
        <v>2.051855614973262E-3</v>
      </c>
      <c r="O1722" s="23" t="s">
        <v>7017</v>
      </c>
      <c r="P1722" s="18" t="s">
        <v>632</v>
      </c>
      <c r="Q1722" s="18" t="s">
        <v>640</v>
      </c>
      <c r="R1722" s="372" t="str">
        <f t="shared" si="46"/>
        <v/>
      </c>
      <c r="S1722" s="106"/>
      <c r="T1722" s="107"/>
      <c r="U1722" s="108"/>
      <c r="V1722" s="108"/>
      <c r="W1722" s="108"/>
      <c r="X1722" s="108"/>
    </row>
    <row r="1723" spans="1:24" ht="30" x14ac:dyDescent="0.25">
      <c r="A1723" s="23" t="s">
        <v>7013</v>
      </c>
      <c r="B1723" s="59" t="s">
        <v>7543</v>
      </c>
      <c r="C1723" s="59" t="s">
        <v>592</v>
      </c>
      <c r="D1723" s="356" t="s">
        <v>7014</v>
      </c>
      <c r="E1723" s="356" t="s">
        <v>7015</v>
      </c>
      <c r="F1723" s="23" t="s">
        <v>7018</v>
      </c>
      <c r="G1723" s="59" t="s">
        <v>417</v>
      </c>
      <c r="H1723" s="353">
        <v>1098304</v>
      </c>
      <c r="I1723" s="59" t="s">
        <v>406</v>
      </c>
      <c r="J1723" s="59" t="s">
        <v>7724</v>
      </c>
      <c r="K1723" s="20"/>
      <c r="L1723" s="20"/>
      <c r="M1723" s="357"/>
      <c r="N1723" s="411"/>
      <c r="O1723" s="23" t="s">
        <v>7017</v>
      </c>
      <c r="P1723" s="18" t="s">
        <v>632</v>
      </c>
      <c r="Q1723" s="18" t="s">
        <v>640</v>
      </c>
      <c r="R1723" s="372" t="str">
        <f t="shared" si="46"/>
        <v/>
      </c>
      <c r="S1723" s="106"/>
      <c r="T1723" s="107"/>
      <c r="U1723" s="108"/>
      <c r="V1723" s="108"/>
      <c r="W1723" s="108"/>
      <c r="X1723" s="108"/>
    </row>
    <row r="1724" spans="1:24" x14ac:dyDescent="0.25">
      <c r="A1724" s="23" t="s">
        <v>7013</v>
      </c>
      <c r="B1724" s="59" t="s">
        <v>7543</v>
      </c>
      <c r="C1724" s="59" t="s">
        <v>592</v>
      </c>
      <c r="D1724" s="356" t="s">
        <v>7014</v>
      </c>
      <c r="E1724" s="356" t="s">
        <v>7015</v>
      </c>
      <c r="F1724" s="23" t="s">
        <v>7019</v>
      </c>
      <c r="G1724" s="59" t="s">
        <v>417</v>
      </c>
      <c r="H1724" s="353">
        <v>516400</v>
      </c>
      <c r="I1724" s="59" t="s">
        <v>406</v>
      </c>
      <c r="J1724" s="59" t="s">
        <v>7731</v>
      </c>
      <c r="K1724" s="20"/>
      <c r="L1724" s="20"/>
      <c r="M1724" s="357"/>
      <c r="N1724" s="411"/>
      <c r="O1724" s="23" t="s">
        <v>7017</v>
      </c>
      <c r="P1724" s="18" t="s">
        <v>632</v>
      </c>
      <c r="Q1724" s="18" t="s">
        <v>640</v>
      </c>
      <c r="R1724" s="372" t="str">
        <f t="shared" si="46"/>
        <v>FF</v>
      </c>
      <c r="S1724" s="106"/>
      <c r="T1724" s="107"/>
      <c r="U1724" s="108"/>
      <c r="V1724" s="108"/>
      <c r="W1724" s="108"/>
      <c r="X1724" s="108"/>
    </row>
    <row r="1725" spans="1:24" x14ac:dyDescent="0.25">
      <c r="A1725" s="23" t="s">
        <v>7013</v>
      </c>
      <c r="B1725" s="59" t="s">
        <v>7543</v>
      </c>
      <c r="C1725" s="59" t="s">
        <v>592</v>
      </c>
      <c r="D1725" s="356" t="s">
        <v>7014</v>
      </c>
      <c r="E1725" s="356" t="s">
        <v>7015</v>
      </c>
      <c r="F1725" s="23" t="s">
        <v>7020</v>
      </c>
      <c r="G1725" s="59" t="s">
        <v>417</v>
      </c>
      <c r="H1725" s="353">
        <v>103713.65</v>
      </c>
      <c r="I1725" s="59" t="s">
        <v>406</v>
      </c>
      <c r="J1725" s="59" t="s">
        <v>7733</v>
      </c>
      <c r="K1725" s="20"/>
      <c r="L1725" s="20">
        <v>2</v>
      </c>
      <c r="M1725" s="357">
        <f>SUM(H1725:H1726)</f>
        <v>221077.44</v>
      </c>
      <c r="N1725" s="411">
        <f>IFERROR((M1725/(VLOOKUP(B1725,'Data Pull Sheet'!$C:$H,6,FALSE))),"DC")</f>
        <v>2.3644645989304814E-4</v>
      </c>
      <c r="O1725" s="23" t="s">
        <v>7021</v>
      </c>
      <c r="P1725" s="18" t="s">
        <v>632</v>
      </c>
      <c r="Q1725" s="18" t="s">
        <v>640</v>
      </c>
      <c r="R1725" s="372" t="str">
        <f t="shared" si="46"/>
        <v>FF</v>
      </c>
      <c r="S1725" s="106"/>
      <c r="T1725" s="107"/>
      <c r="U1725" s="108"/>
      <c r="V1725" s="108"/>
      <c r="W1725" s="108"/>
      <c r="X1725" s="108"/>
    </row>
    <row r="1726" spans="1:24" x14ac:dyDescent="0.25">
      <c r="A1726" s="23" t="s">
        <v>7013</v>
      </c>
      <c r="B1726" s="59" t="s">
        <v>7543</v>
      </c>
      <c r="C1726" s="59" t="s">
        <v>592</v>
      </c>
      <c r="D1726" s="356" t="s">
        <v>7014</v>
      </c>
      <c r="E1726" s="356" t="s">
        <v>7015</v>
      </c>
      <c r="F1726" s="23" t="s">
        <v>1646</v>
      </c>
      <c r="G1726" s="59" t="s">
        <v>417</v>
      </c>
      <c r="H1726" s="353">
        <v>117363.79</v>
      </c>
      <c r="I1726" s="59" t="s">
        <v>406</v>
      </c>
      <c r="J1726" s="59" t="s">
        <v>7734</v>
      </c>
      <c r="K1726" s="20"/>
      <c r="L1726" s="20"/>
      <c r="M1726" s="357"/>
      <c r="N1726" s="411"/>
      <c r="O1726" s="23" t="s">
        <v>7021</v>
      </c>
      <c r="P1726" s="18" t="s">
        <v>632</v>
      </c>
      <c r="Q1726" s="18" t="s">
        <v>640</v>
      </c>
      <c r="R1726" s="372" t="str">
        <f t="shared" si="46"/>
        <v>FF</v>
      </c>
      <c r="S1726" s="106"/>
      <c r="T1726" s="107"/>
      <c r="U1726" s="108"/>
      <c r="V1726" s="108"/>
      <c r="W1726" s="108"/>
      <c r="X1726" s="108"/>
    </row>
    <row r="1727" spans="1:24" x14ac:dyDescent="0.25">
      <c r="A1727" s="23" t="s">
        <v>6987</v>
      </c>
      <c r="B1727" s="59" t="s">
        <v>7528</v>
      </c>
      <c r="C1727" s="59" t="s">
        <v>1008</v>
      </c>
      <c r="D1727" s="356" t="s">
        <v>6764</v>
      </c>
      <c r="E1727" s="356" t="s">
        <v>6988</v>
      </c>
      <c r="F1727" s="23" t="s">
        <v>6989</v>
      </c>
      <c r="G1727" s="59" t="s">
        <v>417</v>
      </c>
      <c r="H1727" s="359">
        <f>M1727/2</f>
        <v>91451.335000000006</v>
      </c>
      <c r="I1727" s="59"/>
      <c r="J1727" s="59" t="s">
        <v>7722</v>
      </c>
      <c r="K1727" s="20">
        <v>10</v>
      </c>
      <c r="L1727" s="20">
        <v>2</v>
      </c>
      <c r="M1727" s="357">
        <v>182902.67</v>
      </c>
      <c r="N1727" s="411" t="str">
        <f>IFERROR((M1727/(VLOOKUP(B1727,'Data Pull Sheet'!$C:$H,6,FALSE))),"DC")</f>
        <v>DC</v>
      </c>
      <c r="O1727" s="23" t="s">
        <v>6990</v>
      </c>
      <c r="P1727" s="18" t="s">
        <v>632</v>
      </c>
      <c r="Q1727" s="18" t="s">
        <v>662</v>
      </c>
      <c r="R1727" s="372" t="str">
        <f t="shared" si="46"/>
        <v/>
      </c>
      <c r="S1727" s="106"/>
      <c r="T1727" s="107"/>
      <c r="U1727" s="108"/>
      <c r="V1727" s="108"/>
      <c r="W1727" s="108"/>
      <c r="X1727" s="108"/>
    </row>
    <row r="1728" spans="1:24" x14ac:dyDescent="0.25">
      <c r="A1728" s="23" t="s">
        <v>6987</v>
      </c>
      <c r="B1728" s="59" t="s">
        <v>7528</v>
      </c>
      <c r="C1728" s="59" t="s">
        <v>1008</v>
      </c>
      <c r="D1728" s="356" t="s">
        <v>6764</v>
      </c>
      <c r="E1728" s="356" t="s">
        <v>6988</v>
      </c>
      <c r="F1728" s="23" t="s">
        <v>6991</v>
      </c>
      <c r="G1728" s="59" t="s">
        <v>403</v>
      </c>
      <c r="H1728" s="359">
        <f>M1727/2</f>
        <v>91451.335000000006</v>
      </c>
      <c r="I1728" s="59"/>
      <c r="J1728" s="59" t="s">
        <v>7723</v>
      </c>
      <c r="K1728" s="20"/>
      <c r="L1728" s="20"/>
      <c r="M1728" s="357"/>
      <c r="N1728" s="411"/>
      <c r="O1728" s="23" t="s">
        <v>6990</v>
      </c>
      <c r="P1728" s="18" t="s">
        <v>632</v>
      </c>
      <c r="Q1728" s="18" t="s">
        <v>662</v>
      </c>
      <c r="R1728" s="372" t="str">
        <f t="shared" si="46"/>
        <v/>
      </c>
      <c r="S1728" s="106"/>
      <c r="T1728" s="107"/>
      <c r="U1728" s="108"/>
      <c r="V1728" s="108"/>
      <c r="W1728" s="108"/>
      <c r="X1728" s="108"/>
    </row>
    <row r="1729" spans="1:24" x14ac:dyDescent="0.25">
      <c r="A1729" s="23" t="s">
        <v>6987</v>
      </c>
      <c r="B1729" s="59" t="s">
        <v>7528</v>
      </c>
      <c r="C1729" s="59" t="s">
        <v>1008</v>
      </c>
      <c r="D1729" s="356" t="s">
        <v>6764</v>
      </c>
      <c r="E1729" s="356" t="s">
        <v>6988</v>
      </c>
      <c r="F1729" s="23" t="s">
        <v>7009</v>
      </c>
      <c r="G1729" s="59" t="s">
        <v>403</v>
      </c>
      <c r="H1729" s="353">
        <v>254357.62</v>
      </c>
      <c r="I1729" s="59"/>
      <c r="J1729" s="59" t="s">
        <v>10467</v>
      </c>
      <c r="K1729" s="20"/>
      <c r="L1729" s="20">
        <v>3</v>
      </c>
      <c r="M1729" s="357">
        <f>SUM(H1729:H1731)</f>
        <v>845975.66999999993</v>
      </c>
      <c r="N1729" s="411" t="str">
        <f>IFERROR((M1729/(VLOOKUP(B1729,'Data Pull Sheet'!$C:$H,6,FALSE))),"DC")</f>
        <v>DC</v>
      </c>
      <c r="O1729" s="23" t="s">
        <v>7</v>
      </c>
      <c r="P1729" s="18" t="s">
        <v>632</v>
      </c>
      <c r="Q1729" s="18" t="s">
        <v>646</v>
      </c>
      <c r="R1729" s="372" t="str">
        <f t="shared" si="46"/>
        <v>FF</v>
      </c>
      <c r="S1729" s="106"/>
      <c r="T1729" s="107"/>
      <c r="U1729" s="108"/>
      <c r="V1729" s="108"/>
      <c r="W1729" s="108"/>
      <c r="X1729" s="108"/>
    </row>
    <row r="1730" spans="1:24" x14ac:dyDescent="0.25">
      <c r="A1730" s="23" t="s">
        <v>6987</v>
      </c>
      <c r="B1730" s="59" t="s">
        <v>7528</v>
      </c>
      <c r="C1730" s="59" t="s">
        <v>1008</v>
      </c>
      <c r="D1730" s="356" t="s">
        <v>6764</v>
      </c>
      <c r="E1730" s="356" t="s">
        <v>6988</v>
      </c>
      <c r="F1730" s="23" t="s">
        <v>7010</v>
      </c>
      <c r="G1730" s="59" t="s">
        <v>403</v>
      </c>
      <c r="H1730" s="353">
        <v>195089.01</v>
      </c>
      <c r="I1730" s="59"/>
      <c r="J1730" s="59" t="s">
        <v>10468</v>
      </c>
      <c r="K1730" s="20"/>
      <c r="L1730" s="20"/>
      <c r="M1730" s="357"/>
      <c r="N1730" s="411"/>
      <c r="O1730" s="23" t="s">
        <v>7</v>
      </c>
      <c r="P1730" s="18" t="s">
        <v>632</v>
      </c>
      <c r="Q1730" s="18" t="s">
        <v>646</v>
      </c>
      <c r="R1730" s="372" t="str">
        <f t="shared" ref="R1730:R1793" si="47">IF(COUNTIF(F:F,F1730)&gt;=2,"FF","")</f>
        <v/>
      </c>
      <c r="S1730" s="106"/>
      <c r="T1730" s="107"/>
      <c r="U1730" s="108"/>
      <c r="V1730" s="108"/>
      <c r="W1730" s="108"/>
      <c r="X1730" s="108"/>
    </row>
    <row r="1731" spans="1:24" x14ac:dyDescent="0.25">
      <c r="A1731" s="23" t="s">
        <v>6987</v>
      </c>
      <c r="B1731" s="59" t="s">
        <v>7528</v>
      </c>
      <c r="C1731" s="59" t="s">
        <v>1008</v>
      </c>
      <c r="D1731" s="356" t="s">
        <v>6764</v>
      </c>
      <c r="E1731" s="356" t="s">
        <v>6988</v>
      </c>
      <c r="F1731" s="23" t="s">
        <v>7011</v>
      </c>
      <c r="G1731" s="59" t="s">
        <v>403</v>
      </c>
      <c r="H1731" s="353">
        <v>396529.04</v>
      </c>
      <c r="I1731" s="59"/>
      <c r="J1731" s="59" t="s">
        <v>10469</v>
      </c>
      <c r="K1731" s="20"/>
      <c r="L1731" s="20"/>
      <c r="M1731" s="357"/>
      <c r="N1731" s="411"/>
      <c r="O1731" s="23" t="s">
        <v>7</v>
      </c>
      <c r="P1731" s="18" t="s">
        <v>632</v>
      </c>
      <c r="Q1731" s="18" t="s">
        <v>646</v>
      </c>
      <c r="R1731" s="372" t="str">
        <f t="shared" si="47"/>
        <v/>
      </c>
      <c r="S1731" s="106"/>
      <c r="T1731" s="107"/>
      <c r="U1731" s="108"/>
      <c r="V1731" s="108"/>
      <c r="W1731" s="108"/>
      <c r="X1731" s="108"/>
    </row>
    <row r="1732" spans="1:24" x14ac:dyDescent="0.25">
      <c r="A1732" s="23" t="s">
        <v>6987</v>
      </c>
      <c r="B1732" s="59" t="s">
        <v>7528</v>
      </c>
      <c r="C1732" s="59" t="s">
        <v>1008</v>
      </c>
      <c r="D1732" s="356" t="s">
        <v>6764</v>
      </c>
      <c r="E1732" s="356" t="s">
        <v>6988</v>
      </c>
      <c r="F1732" s="23" t="s">
        <v>7012</v>
      </c>
      <c r="G1732" s="59" t="s">
        <v>403</v>
      </c>
      <c r="H1732" s="353">
        <v>3820881</v>
      </c>
      <c r="I1732" s="59"/>
      <c r="J1732" s="59" t="s">
        <v>10457</v>
      </c>
      <c r="K1732" s="20"/>
      <c r="L1732" s="20">
        <v>1</v>
      </c>
      <c r="M1732" s="357">
        <f>+H1732</f>
        <v>3820881</v>
      </c>
      <c r="N1732" s="411" t="str">
        <f>IFERROR((M1732/(VLOOKUP(B1732,'Data Pull Sheet'!$C:$H,6,FALSE))),"DC")</f>
        <v>DC</v>
      </c>
      <c r="O1732" s="23" t="s">
        <v>1598</v>
      </c>
      <c r="P1732" s="18" t="s">
        <v>632</v>
      </c>
      <c r="Q1732" s="18" t="s">
        <v>637</v>
      </c>
      <c r="R1732" s="372" t="str">
        <f t="shared" si="47"/>
        <v/>
      </c>
      <c r="S1732" s="106"/>
      <c r="T1732" s="107"/>
      <c r="U1732" s="108"/>
      <c r="V1732" s="108"/>
      <c r="W1732" s="108"/>
      <c r="X1732" s="108"/>
    </row>
    <row r="1733" spans="1:24" x14ac:dyDescent="0.25">
      <c r="A1733" s="23" t="s">
        <v>6987</v>
      </c>
      <c r="B1733" s="59" t="s">
        <v>7528</v>
      </c>
      <c r="C1733" s="59" t="s">
        <v>1008</v>
      </c>
      <c r="D1733" s="356" t="s">
        <v>6764</v>
      </c>
      <c r="E1733" s="356" t="s">
        <v>6988</v>
      </c>
      <c r="F1733" s="23" t="s">
        <v>6992</v>
      </c>
      <c r="G1733" s="59" t="s">
        <v>403</v>
      </c>
      <c r="H1733" s="353">
        <v>39996.93</v>
      </c>
      <c r="I1733" s="59"/>
      <c r="J1733" s="59" t="s">
        <v>10458</v>
      </c>
      <c r="K1733" s="20"/>
      <c r="L1733" s="20">
        <v>2</v>
      </c>
      <c r="M1733" s="357">
        <f>SUM(H1733:H1734)</f>
        <v>570027.95000000007</v>
      </c>
      <c r="N1733" s="411" t="str">
        <f>IFERROR((M1733/(VLOOKUP(B1733,'Data Pull Sheet'!$C:$H,6,FALSE))),"DC")</f>
        <v>DC</v>
      </c>
      <c r="O1733" s="23" t="s">
        <v>1558</v>
      </c>
      <c r="P1733" s="18" t="s">
        <v>632</v>
      </c>
      <c r="Q1733" s="18" t="s">
        <v>646</v>
      </c>
      <c r="R1733" s="372" t="str">
        <f t="shared" si="47"/>
        <v/>
      </c>
      <c r="S1733" s="106"/>
      <c r="T1733" s="107"/>
      <c r="U1733" s="108"/>
      <c r="V1733" s="108"/>
      <c r="W1733" s="108"/>
      <c r="X1733" s="108"/>
    </row>
    <row r="1734" spans="1:24" x14ac:dyDescent="0.25">
      <c r="A1734" s="23" t="s">
        <v>6987</v>
      </c>
      <c r="B1734" s="59" t="s">
        <v>7528</v>
      </c>
      <c r="C1734" s="59" t="s">
        <v>1008</v>
      </c>
      <c r="D1734" s="356" t="s">
        <v>6764</v>
      </c>
      <c r="E1734" s="356" t="s">
        <v>6988</v>
      </c>
      <c r="F1734" s="23" t="s">
        <v>6993</v>
      </c>
      <c r="G1734" s="59" t="s">
        <v>403</v>
      </c>
      <c r="H1734" s="353">
        <v>530031.02</v>
      </c>
      <c r="I1734" s="59"/>
      <c r="J1734" s="59" t="s">
        <v>10459</v>
      </c>
      <c r="K1734" s="20"/>
      <c r="L1734" s="20"/>
      <c r="M1734" s="357"/>
      <c r="N1734" s="411"/>
      <c r="O1734" s="23" t="s">
        <v>1558</v>
      </c>
      <c r="P1734" s="18" t="s">
        <v>632</v>
      </c>
      <c r="Q1734" s="18" t="s">
        <v>646</v>
      </c>
      <c r="R1734" s="372" t="str">
        <f t="shared" si="47"/>
        <v/>
      </c>
      <c r="S1734" s="106"/>
      <c r="T1734" s="107"/>
      <c r="U1734" s="108"/>
      <c r="V1734" s="108"/>
      <c r="W1734" s="108"/>
      <c r="X1734" s="108"/>
    </row>
    <row r="1735" spans="1:24" ht="30" x14ac:dyDescent="0.25">
      <c r="A1735" s="23" t="s">
        <v>6987</v>
      </c>
      <c r="B1735" s="59" t="s">
        <v>7528</v>
      </c>
      <c r="C1735" s="59" t="s">
        <v>1008</v>
      </c>
      <c r="D1735" s="356" t="s">
        <v>6764</v>
      </c>
      <c r="E1735" s="356" t="s">
        <v>6988</v>
      </c>
      <c r="F1735" s="23" t="s">
        <v>6994</v>
      </c>
      <c r="G1735" s="59" t="s">
        <v>403</v>
      </c>
      <c r="H1735" s="353">
        <v>170149.91</v>
      </c>
      <c r="I1735" s="59"/>
      <c r="J1735" s="59" t="s">
        <v>7725</v>
      </c>
      <c r="K1735" s="20"/>
      <c r="L1735" s="20">
        <v>1</v>
      </c>
      <c r="M1735" s="357">
        <f>+H1735</f>
        <v>170149.91</v>
      </c>
      <c r="N1735" s="411" t="str">
        <f>IFERROR((M1735/(VLOOKUP(B1735,'Data Pull Sheet'!$C:$H,6,FALSE))),"DC")</f>
        <v>DC</v>
      </c>
      <c r="O1735" s="23" t="s">
        <v>6995</v>
      </c>
      <c r="P1735" s="18" t="s">
        <v>632</v>
      </c>
      <c r="Q1735" s="18" t="s">
        <v>637</v>
      </c>
      <c r="R1735" s="372" t="str">
        <f t="shared" si="47"/>
        <v/>
      </c>
      <c r="S1735" s="106"/>
      <c r="T1735" s="107"/>
      <c r="U1735" s="108"/>
      <c r="V1735" s="108"/>
      <c r="W1735" s="108"/>
      <c r="X1735" s="108"/>
    </row>
    <row r="1736" spans="1:24" x14ac:dyDescent="0.25">
      <c r="A1736" s="23" t="s">
        <v>6987</v>
      </c>
      <c r="B1736" s="59" t="s">
        <v>7528</v>
      </c>
      <c r="C1736" s="59" t="s">
        <v>1008</v>
      </c>
      <c r="D1736" s="356" t="s">
        <v>6764</v>
      </c>
      <c r="E1736" s="356" t="s">
        <v>6988</v>
      </c>
      <c r="F1736" s="23" t="s">
        <v>6996</v>
      </c>
      <c r="G1736" s="59" t="s">
        <v>403</v>
      </c>
      <c r="H1736" s="353">
        <v>142637.22</v>
      </c>
      <c r="I1736" s="59"/>
      <c r="J1736" s="59" t="s">
        <v>7721</v>
      </c>
      <c r="K1736" s="20"/>
      <c r="L1736" s="20">
        <v>1</v>
      </c>
      <c r="M1736" s="357">
        <f>+H1736</f>
        <v>142637.22</v>
      </c>
      <c r="N1736" s="411" t="str">
        <f>IFERROR((M1736/(VLOOKUP(B1736,'Data Pull Sheet'!$C:$H,6,FALSE))),"DC")</f>
        <v>DC</v>
      </c>
      <c r="O1736" s="23" t="s">
        <v>6997</v>
      </c>
      <c r="P1736" s="18" t="s">
        <v>632</v>
      </c>
      <c r="Q1736" s="18" t="s">
        <v>637</v>
      </c>
      <c r="R1736" s="372" t="str">
        <f t="shared" si="47"/>
        <v/>
      </c>
      <c r="S1736" s="106"/>
      <c r="T1736" s="107"/>
      <c r="U1736" s="108"/>
      <c r="V1736" s="108"/>
      <c r="W1736" s="108"/>
      <c r="X1736" s="108"/>
    </row>
    <row r="1737" spans="1:24" x14ac:dyDescent="0.25">
      <c r="A1737" s="23" t="s">
        <v>6987</v>
      </c>
      <c r="B1737" s="59" t="s">
        <v>7528</v>
      </c>
      <c r="C1737" s="59" t="s">
        <v>1008</v>
      </c>
      <c r="D1737" s="356" t="s">
        <v>6764</v>
      </c>
      <c r="E1737" s="356" t="s">
        <v>6988</v>
      </c>
      <c r="F1737" s="23" t="s">
        <v>6998</v>
      </c>
      <c r="G1737" s="59" t="s">
        <v>403</v>
      </c>
      <c r="H1737" s="353">
        <v>1840802</v>
      </c>
      <c r="I1737" s="59"/>
      <c r="J1737" s="59" t="s">
        <v>10460</v>
      </c>
      <c r="K1737" s="20"/>
      <c r="L1737" s="20">
        <v>1</v>
      </c>
      <c r="M1737" s="357">
        <f>+H1737</f>
        <v>1840802</v>
      </c>
      <c r="N1737" s="411" t="str">
        <f>IFERROR((M1737/(VLOOKUP(B1737,'Data Pull Sheet'!$C:$H,6,FALSE))),"DC")</f>
        <v>DC</v>
      </c>
      <c r="O1737" s="23" t="s">
        <v>1015</v>
      </c>
      <c r="P1737" s="18" t="s">
        <v>632</v>
      </c>
      <c r="Q1737" s="18" t="s">
        <v>637</v>
      </c>
      <c r="R1737" s="372" t="str">
        <f t="shared" si="47"/>
        <v/>
      </c>
      <c r="S1737" s="106"/>
      <c r="T1737" s="107"/>
      <c r="U1737" s="108"/>
      <c r="V1737" s="108"/>
      <c r="W1737" s="108"/>
      <c r="X1737" s="108"/>
    </row>
    <row r="1738" spans="1:24" x14ac:dyDescent="0.25">
      <c r="A1738" s="23" t="s">
        <v>6987</v>
      </c>
      <c r="B1738" s="59" t="s">
        <v>7528</v>
      </c>
      <c r="C1738" s="59" t="s">
        <v>1008</v>
      </c>
      <c r="D1738" s="356" t="s">
        <v>6764</v>
      </c>
      <c r="E1738" s="356" t="s">
        <v>6988</v>
      </c>
      <c r="F1738" s="23" t="s">
        <v>6999</v>
      </c>
      <c r="G1738" s="59" t="s">
        <v>403</v>
      </c>
      <c r="H1738" s="353">
        <v>239616.51</v>
      </c>
      <c r="I1738" s="59"/>
      <c r="J1738" s="59" t="s">
        <v>10461</v>
      </c>
      <c r="K1738" s="20"/>
      <c r="L1738" s="20">
        <v>3</v>
      </c>
      <c r="M1738" s="357">
        <f>SUM(H1738:H1740)</f>
        <v>1034837.97</v>
      </c>
      <c r="N1738" s="411" t="str">
        <f>IFERROR((M1738/(VLOOKUP(B1738,'Data Pull Sheet'!$C:$H,6,FALSE))),"DC")</f>
        <v>DC</v>
      </c>
      <c r="O1738" s="23" t="s">
        <v>1328</v>
      </c>
      <c r="P1738" s="18" t="s">
        <v>632</v>
      </c>
      <c r="Q1738" s="18" t="s">
        <v>646</v>
      </c>
      <c r="R1738" s="372" t="str">
        <f t="shared" si="47"/>
        <v/>
      </c>
      <c r="S1738" s="106"/>
      <c r="T1738" s="107"/>
      <c r="U1738" s="108"/>
      <c r="V1738" s="108"/>
      <c r="W1738" s="108"/>
      <c r="X1738" s="108"/>
    </row>
    <row r="1739" spans="1:24" x14ac:dyDescent="0.25">
      <c r="A1739" s="23" t="s">
        <v>6987</v>
      </c>
      <c r="B1739" s="59" t="s">
        <v>7528</v>
      </c>
      <c r="C1739" s="59" t="s">
        <v>1008</v>
      </c>
      <c r="D1739" s="356" t="s">
        <v>6764</v>
      </c>
      <c r="E1739" s="356" t="s">
        <v>6988</v>
      </c>
      <c r="F1739" s="23" t="s">
        <v>7000</v>
      </c>
      <c r="G1739" s="59" t="s">
        <v>403</v>
      </c>
      <c r="H1739" s="353">
        <v>678204.61</v>
      </c>
      <c r="I1739" s="59"/>
      <c r="J1739" s="59" t="s">
        <v>10462</v>
      </c>
      <c r="K1739" s="20"/>
      <c r="L1739" s="20"/>
      <c r="M1739" s="357"/>
      <c r="N1739" s="411"/>
      <c r="O1739" s="23" t="s">
        <v>1328</v>
      </c>
      <c r="P1739" s="18" t="s">
        <v>632</v>
      </c>
      <c r="Q1739" s="18" t="s">
        <v>646</v>
      </c>
      <c r="R1739" s="372" t="str">
        <f t="shared" si="47"/>
        <v/>
      </c>
      <c r="S1739" s="106"/>
      <c r="T1739" s="107"/>
      <c r="U1739" s="108"/>
      <c r="V1739" s="108"/>
      <c r="W1739" s="108"/>
      <c r="X1739" s="108"/>
    </row>
    <row r="1740" spans="1:24" x14ac:dyDescent="0.25">
      <c r="A1740" s="23" t="s">
        <v>6987</v>
      </c>
      <c r="B1740" s="59" t="s">
        <v>7528</v>
      </c>
      <c r="C1740" s="59" t="s">
        <v>1008</v>
      </c>
      <c r="D1740" s="356" t="s">
        <v>6764</v>
      </c>
      <c r="E1740" s="356" t="s">
        <v>6988</v>
      </c>
      <c r="F1740" s="23" t="s">
        <v>7001</v>
      </c>
      <c r="G1740" s="59" t="s">
        <v>403</v>
      </c>
      <c r="H1740" s="353">
        <v>117016.85</v>
      </c>
      <c r="I1740" s="59"/>
      <c r="J1740" s="59" t="s">
        <v>10463</v>
      </c>
      <c r="K1740" s="20"/>
      <c r="L1740" s="20"/>
      <c r="M1740" s="357"/>
      <c r="N1740" s="411"/>
      <c r="O1740" s="23" t="s">
        <v>1328</v>
      </c>
      <c r="P1740" s="18" t="s">
        <v>632</v>
      </c>
      <c r="Q1740" s="18" t="s">
        <v>646</v>
      </c>
      <c r="R1740" s="372" t="str">
        <f t="shared" si="47"/>
        <v/>
      </c>
      <c r="S1740" s="106"/>
      <c r="T1740" s="107"/>
      <c r="U1740" s="108"/>
      <c r="V1740" s="108"/>
      <c r="W1740" s="108"/>
      <c r="X1740" s="108"/>
    </row>
    <row r="1741" spans="1:24" x14ac:dyDescent="0.25">
      <c r="A1741" s="23" t="s">
        <v>6987</v>
      </c>
      <c r="B1741" s="59" t="s">
        <v>7528</v>
      </c>
      <c r="C1741" s="59" t="s">
        <v>1008</v>
      </c>
      <c r="D1741" s="356" t="s">
        <v>6764</v>
      </c>
      <c r="E1741" s="356" t="s">
        <v>6988</v>
      </c>
      <c r="F1741" s="23" t="s">
        <v>7002</v>
      </c>
      <c r="G1741" s="59" t="s">
        <v>403</v>
      </c>
      <c r="H1741" s="353">
        <v>2254438.63</v>
      </c>
      <c r="I1741" s="59"/>
      <c r="J1741" s="59" t="s">
        <v>10464</v>
      </c>
      <c r="K1741" s="20"/>
      <c r="L1741" s="20">
        <v>1</v>
      </c>
      <c r="M1741" s="357">
        <f>+H1741</f>
        <v>2254438.63</v>
      </c>
      <c r="N1741" s="411" t="str">
        <f>IFERROR((M1741/(VLOOKUP(B1741,'Data Pull Sheet'!$C:$H,6,FALSE))),"DC")</f>
        <v>DC</v>
      </c>
      <c r="O1741" s="23" t="s">
        <v>7003</v>
      </c>
      <c r="P1741" s="18" t="s">
        <v>632</v>
      </c>
      <c r="Q1741" s="18" t="s">
        <v>637</v>
      </c>
      <c r="R1741" s="372" t="str">
        <f t="shared" si="47"/>
        <v/>
      </c>
      <c r="S1741" s="106"/>
      <c r="T1741" s="107"/>
      <c r="U1741" s="108"/>
      <c r="V1741" s="108"/>
      <c r="W1741" s="108"/>
      <c r="X1741" s="108"/>
    </row>
    <row r="1742" spans="1:24" x14ac:dyDescent="0.25">
      <c r="A1742" s="23" t="s">
        <v>6987</v>
      </c>
      <c r="B1742" s="59" t="s">
        <v>7528</v>
      </c>
      <c r="C1742" s="59" t="s">
        <v>1008</v>
      </c>
      <c r="D1742" s="356" t="s">
        <v>6764</v>
      </c>
      <c r="E1742" s="356" t="s">
        <v>6988</v>
      </c>
      <c r="F1742" s="23" t="s">
        <v>7004</v>
      </c>
      <c r="G1742" s="59" t="s">
        <v>403</v>
      </c>
      <c r="H1742" s="353">
        <v>2262614.66</v>
      </c>
      <c r="I1742" s="59"/>
      <c r="J1742" s="59" t="s">
        <v>7729</v>
      </c>
      <c r="K1742" s="20"/>
      <c r="L1742" s="20">
        <v>5</v>
      </c>
      <c r="M1742" s="357">
        <f>SUM(H1742:H1746)</f>
        <v>7452593.3499999996</v>
      </c>
      <c r="N1742" s="411" t="str">
        <f>IFERROR((M1742/(VLOOKUP(B1742,'Data Pull Sheet'!$C:$H,6,FALSE))),"DC")</f>
        <v>DC</v>
      </c>
      <c r="O1742" s="23" t="s">
        <v>10844</v>
      </c>
      <c r="P1742" s="18" t="s">
        <v>632</v>
      </c>
      <c r="Q1742" s="18" t="s">
        <v>646</v>
      </c>
      <c r="R1742" s="372" t="str">
        <f t="shared" si="47"/>
        <v/>
      </c>
      <c r="S1742" s="106"/>
      <c r="T1742" s="107"/>
      <c r="U1742" s="108"/>
      <c r="V1742" s="108"/>
      <c r="W1742" s="108"/>
      <c r="X1742" s="108"/>
    </row>
    <row r="1743" spans="1:24" x14ac:dyDescent="0.25">
      <c r="A1743" s="23" t="s">
        <v>6987</v>
      </c>
      <c r="B1743" s="59" t="s">
        <v>7528</v>
      </c>
      <c r="C1743" s="59" t="s">
        <v>1008</v>
      </c>
      <c r="D1743" s="356" t="s">
        <v>6764</v>
      </c>
      <c r="E1743" s="356" t="s">
        <v>6988</v>
      </c>
      <c r="F1743" s="23" t="s">
        <v>7005</v>
      </c>
      <c r="G1743" s="59" t="s">
        <v>403</v>
      </c>
      <c r="H1743" s="353">
        <v>1955437.31</v>
      </c>
      <c r="I1743" s="59"/>
      <c r="J1743" s="59" t="s">
        <v>7728</v>
      </c>
      <c r="K1743" s="20"/>
      <c r="L1743" s="20"/>
      <c r="M1743" s="357"/>
      <c r="N1743" s="411"/>
      <c r="O1743" s="23" t="s">
        <v>10844</v>
      </c>
      <c r="P1743" s="18" t="s">
        <v>632</v>
      </c>
      <c r="Q1743" s="18" t="s">
        <v>646</v>
      </c>
      <c r="R1743" s="372" t="str">
        <f t="shared" si="47"/>
        <v/>
      </c>
      <c r="S1743" s="106"/>
      <c r="T1743" s="107"/>
      <c r="U1743" s="108"/>
      <c r="V1743" s="108"/>
      <c r="W1743" s="108"/>
      <c r="X1743" s="108"/>
    </row>
    <row r="1744" spans="1:24" x14ac:dyDescent="0.25">
      <c r="A1744" s="23" t="s">
        <v>6987</v>
      </c>
      <c r="B1744" s="59" t="s">
        <v>7528</v>
      </c>
      <c r="C1744" s="59" t="s">
        <v>1008</v>
      </c>
      <c r="D1744" s="356" t="s">
        <v>6764</v>
      </c>
      <c r="E1744" s="356" t="s">
        <v>6988</v>
      </c>
      <c r="F1744" s="23" t="s">
        <v>7006</v>
      </c>
      <c r="G1744" s="59" t="s">
        <v>403</v>
      </c>
      <c r="H1744" s="353">
        <v>952586.22</v>
      </c>
      <c r="I1744" s="59"/>
      <c r="J1744" s="59" t="s">
        <v>7727</v>
      </c>
      <c r="K1744" s="20"/>
      <c r="L1744" s="20"/>
      <c r="M1744" s="357"/>
      <c r="N1744" s="411"/>
      <c r="O1744" s="23" t="s">
        <v>10844</v>
      </c>
      <c r="P1744" s="18" t="s">
        <v>632</v>
      </c>
      <c r="Q1744" s="18" t="s">
        <v>646</v>
      </c>
      <c r="R1744" s="372" t="str">
        <f t="shared" si="47"/>
        <v/>
      </c>
      <c r="S1744" s="106"/>
      <c r="T1744" s="107"/>
      <c r="U1744" s="108"/>
      <c r="V1744" s="108"/>
      <c r="W1744" s="108"/>
      <c r="X1744" s="108"/>
    </row>
    <row r="1745" spans="1:24" x14ac:dyDescent="0.25">
      <c r="A1745" s="23" t="s">
        <v>6987</v>
      </c>
      <c r="B1745" s="59" t="s">
        <v>7528</v>
      </c>
      <c r="C1745" s="59" t="s">
        <v>1008</v>
      </c>
      <c r="D1745" s="356" t="s">
        <v>6764</v>
      </c>
      <c r="E1745" s="356" t="s">
        <v>6988</v>
      </c>
      <c r="F1745" s="23" t="s">
        <v>7007</v>
      </c>
      <c r="G1745" s="59" t="s">
        <v>403</v>
      </c>
      <c r="H1745" s="353">
        <v>333962.73</v>
      </c>
      <c r="I1745" s="59"/>
      <c r="J1745" s="59" t="s">
        <v>10465</v>
      </c>
      <c r="K1745" s="20"/>
      <c r="L1745" s="20"/>
      <c r="M1745" s="357"/>
      <c r="N1745" s="411"/>
      <c r="O1745" s="23" t="s">
        <v>10844</v>
      </c>
      <c r="P1745" s="18" t="s">
        <v>632</v>
      </c>
      <c r="Q1745" s="18" t="s">
        <v>646</v>
      </c>
      <c r="R1745" s="372" t="str">
        <f t="shared" si="47"/>
        <v/>
      </c>
      <c r="S1745" s="106"/>
      <c r="T1745" s="107"/>
      <c r="U1745" s="108"/>
      <c r="V1745" s="108"/>
      <c r="W1745" s="108"/>
      <c r="X1745" s="108"/>
    </row>
    <row r="1746" spans="1:24" x14ac:dyDescent="0.25">
      <c r="A1746" s="23" t="s">
        <v>6987</v>
      </c>
      <c r="B1746" s="59" t="s">
        <v>7528</v>
      </c>
      <c r="C1746" s="59" t="s">
        <v>1008</v>
      </c>
      <c r="D1746" s="356" t="s">
        <v>6764</v>
      </c>
      <c r="E1746" s="356" t="s">
        <v>6988</v>
      </c>
      <c r="F1746" s="23" t="s">
        <v>7008</v>
      </c>
      <c r="G1746" s="59" t="s">
        <v>403</v>
      </c>
      <c r="H1746" s="353">
        <v>1947992.43</v>
      </c>
      <c r="I1746" s="59"/>
      <c r="J1746" s="59" t="s">
        <v>10466</v>
      </c>
      <c r="K1746" s="20"/>
      <c r="L1746" s="20"/>
      <c r="M1746" s="357"/>
      <c r="N1746" s="411"/>
      <c r="O1746" s="23" t="s">
        <v>10844</v>
      </c>
      <c r="P1746" s="18" t="s">
        <v>632</v>
      </c>
      <c r="Q1746" s="18" t="s">
        <v>646</v>
      </c>
      <c r="R1746" s="372" t="str">
        <f t="shared" si="47"/>
        <v/>
      </c>
      <c r="S1746" s="106"/>
      <c r="T1746" s="107"/>
      <c r="U1746" s="108"/>
      <c r="V1746" s="108"/>
      <c r="W1746" s="108"/>
      <c r="X1746" s="108"/>
    </row>
    <row r="1747" spans="1:24" x14ac:dyDescent="0.25">
      <c r="A1747" s="23" t="s">
        <v>40</v>
      </c>
      <c r="B1747" s="59" t="s">
        <v>10495</v>
      </c>
      <c r="C1747" s="59" t="s">
        <v>545</v>
      </c>
      <c r="D1747" s="356" t="s">
        <v>6917</v>
      </c>
      <c r="E1747" s="356" t="s">
        <v>6980</v>
      </c>
      <c r="F1747" s="23" t="s">
        <v>6981</v>
      </c>
      <c r="G1747" s="59" t="s">
        <v>403</v>
      </c>
      <c r="H1747" s="353">
        <v>1538925</v>
      </c>
      <c r="I1747" s="59" t="s">
        <v>413</v>
      </c>
      <c r="J1747" s="59" t="s">
        <v>10504</v>
      </c>
      <c r="K1747" s="20">
        <v>2</v>
      </c>
      <c r="L1747" s="20">
        <v>1</v>
      </c>
      <c r="M1747" s="357">
        <f t="shared" ref="M1747:M1754" si="48">H1747</f>
        <v>1538925</v>
      </c>
      <c r="N1747" s="411">
        <f>IFERROR((M1747/(VLOOKUP(B1747,'Data Pull Sheet'!$C:$H,6,FALSE))),"DC")</f>
        <v>2.0796283783783786E-3</v>
      </c>
      <c r="O1747" s="23" t="s">
        <v>79</v>
      </c>
      <c r="P1747" s="18" t="s">
        <v>632</v>
      </c>
      <c r="Q1747" s="18" t="s">
        <v>637</v>
      </c>
      <c r="R1747" s="372" t="str">
        <f t="shared" si="47"/>
        <v/>
      </c>
      <c r="S1747" s="106"/>
      <c r="T1747" s="107"/>
      <c r="U1747" s="108"/>
      <c r="V1747" s="108"/>
      <c r="W1747" s="108"/>
      <c r="X1747" s="108"/>
    </row>
    <row r="1748" spans="1:24" x14ac:dyDescent="0.25">
      <c r="A1748" s="23" t="s">
        <v>40</v>
      </c>
      <c r="B1748" s="59" t="s">
        <v>10495</v>
      </c>
      <c r="C1748" s="59" t="s">
        <v>545</v>
      </c>
      <c r="D1748" s="356" t="s">
        <v>6917</v>
      </c>
      <c r="E1748" s="356" t="s">
        <v>6980</v>
      </c>
      <c r="F1748" s="23" t="s">
        <v>6982</v>
      </c>
      <c r="G1748" s="59" t="s">
        <v>403</v>
      </c>
      <c r="H1748" s="353">
        <v>122718.68</v>
      </c>
      <c r="I1748" s="59"/>
      <c r="J1748" s="59" t="s">
        <v>10505</v>
      </c>
      <c r="K1748" s="20"/>
      <c r="L1748" s="20">
        <v>1</v>
      </c>
      <c r="M1748" s="357">
        <f t="shared" si="48"/>
        <v>122718.68</v>
      </c>
      <c r="N1748" s="411">
        <f>IFERROR((M1748/(VLOOKUP(B1748,'Data Pull Sheet'!$C:$H,6,FALSE))),"DC")</f>
        <v>1.6583605405405405E-4</v>
      </c>
      <c r="O1748" s="23" t="s">
        <v>63</v>
      </c>
      <c r="P1748" s="18" t="s">
        <v>632</v>
      </c>
      <c r="Q1748" s="18" t="s">
        <v>637</v>
      </c>
      <c r="R1748" s="372" t="str">
        <f t="shared" si="47"/>
        <v/>
      </c>
      <c r="S1748" s="106"/>
      <c r="T1748" s="107"/>
      <c r="U1748" s="108"/>
      <c r="V1748" s="108"/>
      <c r="W1748" s="108"/>
      <c r="X1748" s="108"/>
    </row>
    <row r="1749" spans="1:24" x14ac:dyDescent="0.25">
      <c r="A1749" s="23" t="s">
        <v>6971</v>
      </c>
      <c r="B1749" s="59" t="s">
        <v>7556</v>
      </c>
      <c r="C1749" s="59" t="s">
        <v>418</v>
      </c>
      <c r="D1749" s="356" t="s">
        <v>6917</v>
      </c>
      <c r="E1749" s="356" t="s">
        <v>6972</v>
      </c>
      <c r="F1749" s="23" t="s">
        <v>6973</v>
      </c>
      <c r="G1749" s="92" t="s">
        <v>403</v>
      </c>
      <c r="H1749" s="353">
        <v>6820</v>
      </c>
      <c r="I1749" s="59"/>
      <c r="J1749" s="59" t="s">
        <v>7718</v>
      </c>
      <c r="K1749" s="20">
        <v>3</v>
      </c>
      <c r="L1749" s="20">
        <v>1</v>
      </c>
      <c r="M1749" s="357">
        <f t="shared" si="48"/>
        <v>6820</v>
      </c>
      <c r="N1749" s="411">
        <f>IFERROR((M1749/(VLOOKUP(B1749,'Data Pull Sheet'!$C:$H,6,FALSE))),"DC")</f>
        <v>1.8944444444444443E-5</v>
      </c>
      <c r="O1749" s="23" t="s">
        <v>192</v>
      </c>
      <c r="P1749" s="18" t="s">
        <v>632</v>
      </c>
      <c r="Q1749" s="18" t="s">
        <v>637</v>
      </c>
      <c r="R1749" s="372" t="str">
        <f t="shared" si="47"/>
        <v/>
      </c>
      <c r="S1749" s="106"/>
      <c r="T1749" s="107"/>
      <c r="U1749" s="108"/>
      <c r="V1749" s="108"/>
      <c r="W1749" s="108"/>
      <c r="X1749" s="108"/>
    </row>
    <row r="1750" spans="1:24" x14ac:dyDescent="0.25">
      <c r="A1750" s="23" t="s">
        <v>6971</v>
      </c>
      <c r="B1750" s="59" t="s">
        <v>7556</v>
      </c>
      <c r="C1750" s="59" t="s">
        <v>418</v>
      </c>
      <c r="D1750" s="356" t="s">
        <v>6917</v>
      </c>
      <c r="E1750" s="356" t="s">
        <v>6972</v>
      </c>
      <c r="F1750" s="23" t="s">
        <v>3273</v>
      </c>
      <c r="G1750" s="59" t="s">
        <v>417</v>
      </c>
      <c r="H1750" s="353">
        <v>208278.5</v>
      </c>
      <c r="I1750" s="59"/>
      <c r="J1750" s="59" t="s">
        <v>7719</v>
      </c>
      <c r="K1750" s="20"/>
      <c r="L1750" s="20">
        <v>1</v>
      </c>
      <c r="M1750" s="357">
        <f t="shared" si="48"/>
        <v>208278.5</v>
      </c>
      <c r="N1750" s="411">
        <f>IFERROR((M1750/(VLOOKUP(B1750,'Data Pull Sheet'!$C:$H,6,FALSE))),"DC")</f>
        <v>5.7855138888888893E-4</v>
      </c>
      <c r="O1750" s="23" t="s">
        <v>7</v>
      </c>
      <c r="P1750" s="18" t="s">
        <v>632</v>
      </c>
      <c r="Q1750" s="18" t="s">
        <v>633</v>
      </c>
      <c r="R1750" s="372" t="str">
        <f t="shared" si="47"/>
        <v>FF</v>
      </c>
      <c r="S1750" s="106"/>
      <c r="T1750" s="107"/>
      <c r="U1750" s="108"/>
      <c r="V1750" s="108"/>
      <c r="W1750" s="108"/>
      <c r="X1750" s="108"/>
    </row>
    <row r="1751" spans="1:24" x14ac:dyDescent="0.25">
      <c r="A1751" s="23" t="s">
        <v>6971</v>
      </c>
      <c r="B1751" s="59" t="s">
        <v>7556</v>
      </c>
      <c r="C1751" s="59" t="s">
        <v>418</v>
      </c>
      <c r="D1751" s="356" t="s">
        <v>6917</v>
      </c>
      <c r="E1751" s="356" t="s">
        <v>6972</v>
      </c>
      <c r="F1751" s="23" t="s">
        <v>274</v>
      </c>
      <c r="G1751" s="59" t="s">
        <v>417</v>
      </c>
      <c r="H1751" s="353">
        <v>156029.82999999999</v>
      </c>
      <c r="I1751" s="59" t="s">
        <v>406</v>
      </c>
      <c r="J1751" s="59" t="s">
        <v>7720</v>
      </c>
      <c r="K1751" s="20"/>
      <c r="L1751" s="20">
        <v>1</v>
      </c>
      <c r="M1751" s="357">
        <f t="shared" si="48"/>
        <v>156029.82999999999</v>
      </c>
      <c r="N1751" s="411">
        <f>IFERROR((M1751/(VLOOKUP(B1751,'Data Pull Sheet'!$C:$H,6,FALSE))),"DC")</f>
        <v>4.3341619444444443E-4</v>
      </c>
      <c r="O1751" s="23" t="s">
        <v>56</v>
      </c>
      <c r="P1751" s="18" t="s">
        <v>632</v>
      </c>
      <c r="Q1751" s="18" t="s">
        <v>633</v>
      </c>
      <c r="R1751" s="372" t="str">
        <f t="shared" si="47"/>
        <v>FF</v>
      </c>
      <c r="S1751" s="106"/>
      <c r="T1751" s="107"/>
      <c r="U1751" s="108"/>
      <c r="V1751" s="108"/>
      <c r="W1751" s="108"/>
      <c r="X1751" s="108"/>
    </row>
    <row r="1752" spans="1:24" x14ac:dyDescent="0.25">
      <c r="A1752" s="23" t="s">
        <v>6964</v>
      </c>
      <c r="B1752" s="59" t="s">
        <v>7616</v>
      </c>
      <c r="C1752" s="59" t="s">
        <v>1008</v>
      </c>
      <c r="D1752" s="356" t="s">
        <v>6965</v>
      </c>
      <c r="E1752" s="356" t="s">
        <v>6966</v>
      </c>
      <c r="F1752" s="23" t="s">
        <v>6967</v>
      </c>
      <c r="G1752" s="59" t="s">
        <v>403</v>
      </c>
      <c r="H1752" s="353">
        <v>102970</v>
      </c>
      <c r="I1752" s="59"/>
      <c r="J1752" s="59" t="s">
        <v>7716</v>
      </c>
      <c r="K1752" s="20">
        <v>2</v>
      </c>
      <c r="L1752" s="20">
        <v>1</v>
      </c>
      <c r="M1752" s="357">
        <f t="shared" si="48"/>
        <v>102970</v>
      </c>
      <c r="N1752" s="411">
        <f>IFERROR((M1752/(VLOOKUP(B1752,'Data Pull Sheet'!$C:$H,6,FALSE))),"DC")</f>
        <v>9.3609090909090915E-5</v>
      </c>
      <c r="O1752" s="23" t="s">
        <v>849</v>
      </c>
      <c r="P1752" s="18" t="s">
        <v>632</v>
      </c>
      <c r="Q1752" s="18" t="s">
        <v>637</v>
      </c>
      <c r="R1752" s="372" t="str">
        <f t="shared" si="47"/>
        <v/>
      </c>
      <c r="S1752" s="106"/>
      <c r="T1752" s="107"/>
      <c r="U1752" s="108"/>
      <c r="V1752" s="108"/>
      <c r="W1752" s="108"/>
      <c r="X1752" s="108"/>
    </row>
    <row r="1753" spans="1:24" ht="30" x14ac:dyDescent="0.25">
      <c r="A1753" s="23" t="s">
        <v>6964</v>
      </c>
      <c r="B1753" s="59" t="s">
        <v>7616</v>
      </c>
      <c r="C1753" s="59" t="s">
        <v>1008</v>
      </c>
      <c r="D1753" s="356" t="s">
        <v>6965</v>
      </c>
      <c r="E1753" s="356" t="s">
        <v>6966</v>
      </c>
      <c r="F1753" s="23" t="s">
        <v>6968</v>
      </c>
      <c r="G1753" s="59" t="s">
        <v>417</v>
      </c>
      <c r="H1753" s="353">
        <v>191224.82</v>
      </c>
      <c r="I1753" s="59"/>
      <c r="J1753" s="59" t="s">
        <v>7717</v>
      </c>
      <c r="K1753" s="20"/>
      <c r="L1753" s="20">
        <v>1</v>
      </c>
      <c r="M1753" s="357">
        <f t="shared" si="48"/>
        <v>191224.82</v>
      </c>
      <c r="N1753" s="411">
        <f>IFERROR((M1753/(VLOOKUP(B1753,'Data Pull Sheet'!$C:$H,6,FALSE))),"DC")</f>
        <v>1.7384074545454545E-4</v>
      </c>
      <c r="O1753" s="23" t="s">
        <v>1640</v>
      </c>
      <c r="P1753" s="18" t="s">
        <v>632</v>
      </c>
      <c r="Q1753" s="18" t="s">
        <v>633</v>
      </c>
      <c r="R1753" s="372" t="str">
        <f t="shared" si="47"/>
        <v>FF</v>
      </c>
      <c r="S1753" s="106"/>
      <c r="T1753" s="107"/>
      <c r="U1753" s="108"/>
      <c r="V1753" s="108"/>
      <c r="W1753" s="108"/>
      <c r="X1753" s="108"/>
    </row>
    <row r="1754" spans="1:24" x14ac:dyDescent="0.25">
      <c r="A1754" s="23" t="s">
        <v>6957</v>
      </c>
      <c r="B1754" s="59" t="s">
        <v>7593</v>
      </c>
      <c r="C1754" s="59" t="s">
        <v>418</v>
      </c>
      <c r="D1754" s="356" t="s">
        <v>6948</v>
      </c>
      <c r="E1754" s="356" t="s">
        <v>6953</v>
      </c>
      <c r="F1754" s="23" t="s">
        <v>6958</v>
      </c>
      <c r="G1754" s="59" t="s">
        <v>403</v>
      </c>
      <c r="H1754" s="353">
        <v>119161.97</v>
      </c>
      <c r="I1754" s="59"/>
      <c r="J1754" s="59" t="s">
        <v>7710</v>
      </c>
      <c r="K1754" s="20">
        <v>4</v>
      </c>
      <c r="L1754" s="20">
        <v>1</v>
      </c>
      <c r="M1754" s="357">
        <f t="shared" si="48"/>
        <v>119161.97</v>
      </c>
      <c r="N1754" s="411">
        <f>IFERROR((M1754/(VLOOKUP(B1754,'Data Pull Sheet'!$C:$H,6,FALSE))),"DC")</f>
        <v>5.9580985000000003E-5</v>
      </c>
      <c r="O1754" s="23" t="s">
        <v>877</v>
      </c>
      <c r="P1754" s="18" t="s">
        <v>632</v>
      </c>
      <c r="Q1754" s="18" t="s">
        <v>637</v>
      </c>
      <c r="R1754" s="372" t="str">
        <f t="shared" si="47"/>
        <v/>
      </c>
      <c r="S1754" s="106"/>
      <c r="T1754" s="107"/>
      <c r="U1754" s="108"/>
      <c r="V1754" s="108"/>
      <c r="W1754" s="108"/>
      <c r="X1754" s="108"/>
    </row>
    <row r="1755" spans="1:24" x14ac:dyDescent="0.25">
      <c r="A1755" s="23" t="s">
        <v>6957</v>
      </c>
      <c r="B1755" s="59" t="s">
        <v>7593</v>
      </c>
      <c r="C1755" s="59" t="s">
        <v>418</v>
      </c>
      <c r="D1755" s="356" t="s">
        <v>6948</v>
      </c>
      <c r="E1755" s="356" t="s">
        <v>6953</v>
      </c>
      <c r="F1755" s="23" t="s">
        <v>65</v>
      </c>
      <c r="G1755" s="59" t="s">
        <v>417</v>
      </c>
      <c r="H1755" s="353">
        <v>912734.41</v>
      </c>
      <c r="I1755" s="59" t="s">
        <v>406</v>
      </c>
      <c r="J1755" s="59" t="s">
        <v>7711</v>
      </c>
      <c r="K1755" s="20"/>
      <c r="L1755" s="20">
        <v>2</v>
      </c>
      <c r="M1755" s="357">
        <f>SUM(H1755:H1756)</f>
        <v>1283757.56</v>
      </c>
      <c r="N1755" s="411">
        <f>IFERROR((M1755/(VLOOKUP(B1755,'Data Pull Sheet'!$C:$H,6,FALSE))),"DC")</f>
        <v>6.4187878000000005E-4</v>
      </c>
      <c r="O1755" s="23" t="s">
        <v>56</v>
      </c>
      <c r="P1755" s="18" t="s">
        <v>632</v>
      </c>
      <c r="Q1755" s="18" t="s">
        <v>640</v>
      </c>
      <c r="R1755" s="372" t="str">
        <f t="shared" si="47"/>
        <v>FF</v>
      </c>
      <c r="S1755" s="106"/>
      <c r="T1755" s="107"/>
      <c r="U1755" s="108"/>
      <c r="V1755" s="108"/>
      <c r="W1755" s="108"/>
      <c r="X1755" s="108"/>
    </row>
    <row r="1756" spans="1:24" ht="45" x14ac:dyDescent="0.25">
      <c r="A1756" s="23" t="s">
        <v>6957</v>
      </c>
      <c r="B1756" s="59" t="s">
        <v>7593</v>
      </c>
      <c r="C1756" s="59" t="s">
        <v>418</v>
      </c>
      <c r="D1756" s="356" t="s">
        <v>6948</v>
      </c>
      <c r="E1756" s="356" t="s">
        <v>6953</v>
      </c>
      <c r="F1756" s="23" t="s">
        <v>227</v>
      </c>
      <c r="G1756" s="59" t="s">
        <v>417</v>
      </c>
      <c r="H1756" s="353">
        <v>371023.15</v>
      </c>
      <c r="I1756" s="59" t="s">
        <v>406</v>
      </c>
      <c r="J1756" s="59" t="s">
        <v>7712</v>
      </c>
      <c r="K1756" s="20"/>
      <c r="L1756" s="20"/>
      <c r="M1756" s="357"/>
      <c r="N1756" s="411"/>
      <c r="O1756" s="23" t="s">
        <v>56</v>
      </c>
      <c r="P1756" s="18" t="s">
        <v>632</v>
      </c>
      <c r="Q1756" s="18" t="s">
        <v>640</v>
      </c>
      <c r="R1756" s="372" t="str">
        <f t="shared" si="47"/>
        <v>FF</v>
      </c>
      <c r="S1756" s="106"/>
      <c r="T1756" s="107"/>
      <c r="U1756" s="108"/>
      <c r="V1756" s="108"/>
      <c r="W1756" s="108"/>
      <c r="X1756" s="108"/>
    </row>
    <row r="1757" spans="1:24" x14ac:dyDescent="0.25">
      <c r="A1757" s="23" t="s">
        <v>6957</v>
      </c>
      <c r="B1757" s="59" t="s">
        <v>7593</v>
      </c>
      <c r="C1757" s="59" t="s">
        <v>418</v>
      </c>
      <c r="D1757" s="356" t="s">
        <v>6948</v>
      </c>
      <c r="E1757" s="356" t="s">
        <v>6953</v>
      </c>
      <c r="F1757" s="23" t="s">
        <v>6961</v>
      </c>
      <c r="G1757" s="59" t="s">
        <v>403</v>
      </c>
      <c r="H1757" s="353">
        <v>50099</v>
      </c>
      <c r="I1757" s="59"/>
      <c r="J1757" s="59" t="s">
        <v>7713</v>
      </c>
      <c r="K1757" s="20"/>
      <c r="L1757" s="20">
        <v>3</v>
      </c>
      <c r="M1757" s="357">
        <f>SUM(H1757:H1758)</f>
        <v>116494</v>
      </c>
      <c r="N1757" s="411">
        <f>IFERROR((M1757/(VLOOKUP(B1757,'Data Pull Sheet'!$C:$H,6,FALSE))),"DC")</f>
        <v>5.8247E-5</v>
      </c>
      <c r="O1757" s="23" t="s">
        <v>1204</v>
      </c>
      <c r="P1757" s="18" t="s">
        <v>632</v>
      </c>
      <c r="Q1757" s="18" t="s">
        <v>646</v>
      </c>
      <c r="R1757" s="372" t="str">
        <f t="shared" si="47"/>
        <v/>
      </c>
      <c r="S1757" s="106"/>
      <c r="T1757" s="107"/>
      <c r="U1757" s="108"/>
      <c r="V1757" s="108"/>
      <c r="W1757" s="108"/>
      <c r="X1757" s="108"/>
    </row>
    <row r="1758" spans="1:24" x14ac:dyDescent="0.25">
      <c r="A1758" s="23" t="s">
        <v>6957</v>
      </c>
      <c r="B1758" s="59" t="s">
        <v>7593</v>
      </c>
      <c r="C1758" s="59" t="s">
        <v>418</v>
      </c>
      <c r="D1758" s="356" t="s">
        <v>6948</v>
      </c>
      <c r="E1758" s="356" t="s">
        <v>6953</v>
      </c>
      <c r="F1758" s="23" t="s">
        <v>6962</v>
      </c>
      <c r="G1758" s="59" t="s">
        <v>403</v>
      </c>
      <c r="H1758" s="353">
        <v>66395</v>
      </c>
      <c r="I1758" s="59"/>
      <c r="J1758" s="59" t="s">
        <v>7714</v>
      </c>
      <c r="K1758" s="20"/>
      <c r="L1758" s="20"/>
      <c r="M1758" s="357"/>
      <c r="N1758" s="411"/>
      <c r="O1758" s="23" t="s">
        <v>1204</v>
      </c>
      <c r="P1758" s="18" t="s">
        <v>632</v>
      </c>
      <c r="Q1758" s="18" t="s">
        <v>646</v>
      </c>
      <c r="R1758" s="372" t="str">
        <f t="shared" si="47"/>
        <v/>
      </c>
      <c r="S1758" s="106"/>
      <c r="T1758" s="107"/>
      <c r="U1758" s="108"/>
      <c r="V1758" s="108"/>
      <c r="W1758" s="108"/>
      <c r="X1758" s="108"/>
    </row>
    <row r="1759" spans="1:24" ht="30" x14ac:dyDescent="0.25">
      <c r="A1759" s="23" t="s">
        <v>6957</v>
      </c>
      <c r="B1759" s="59" t="s">
        <v>7593</v>
      </c>
      <c r="C1759" s="59" t="s">
        <v>418</v>
      </c>
      <c r="D1759" s="356" t="s">
        <v>6948</v>
      </c>
      <c r="E1759" s="356" t="s">
        <v>6953</v>
      </c>
      <c r="F1759" s="23" t="s">
        <v>291</v>
      </c>
      <c r="G1759" s="59" t="s">
        <v>417</v>
      </c>
      <c r="H1759" s="353">
        <v>1413202.66</v>
      </c>
      <c r="I1759" s="59"/>
      <c r="J1759" s="59" t="s">
        <v>7715</v>
      </c>
      <c r="K1759" s="20"/>
      <c r="L1759" s="20">
        <v>4</v>
      </c>
      <c r="M1759" s="357">
        <f>H1759</f>
        <v>1413202.66</v>
      </c>
      <c r="N1759" s="411">
        <f>IFERROR((M1759/(VLOOKUP(B1759,'Data Pull Sheet'!$C:$H,6,FALSE))),"DC")</f>
        <v>7.0660132999999993E-4</v>
      </c>
      <c r="O1759" s="23" t="s">
        <v>1191</v>
      </c>
      <c r="P1759" s="18" t="s">
        <v>632</v>
      </c>
      <c r="Q1759" s="18" t="s">
        <v>633</v>
      </c>
      <c r="R1759" s="372" t="str">
        <f t="shared" si="47"/>
        <v>FF</v>
      </c>
      <c r="S1759" s="106"/>
      <c r="T1759" s="107"/>
      <c r="U1759" s="108"/>
      <c r="V1759" s="108"/>
      <c r="W1759" s="108"/>
      <c r="X1759" s="108"/>
    </row>
    <row r="1760" spans="1:24" ht="30" x14ac:dyDescent="0.25">
      <c r="A1760" s="23" t="s">
        <v>6952</v>
      </c>
      <c r="B1760" s="59" t="s">
        <v>7532</v>
      </c>
      <c r="C1760" s="59" t="s">
        <v>409</v>
      </c>
      <c r="D1760" s="356" t="s">
        <v>6948</v>
      </c>
      <c r="E1760" s="356" t="s">
        <v>6953</v>
      </c>
      <c r="F1760" s="23" t="s">
        <v>6954</v>
      </c>
      <c r="G1760" s="59" t="s">
        <v>403</v>
      </c>
      <c r="H1760" s="353">
        <v>784.86</v>
      </c>
      <c r="I1760" s="59"/>
      <c r="J1760" s="59" t="s">
        <v>10470</v>
      </c>
      <c r="K1760" s="20">
        <v>1</v>
      </c>
      <c r="L1760" s="20">
        <v>2</v>
      </c>
      <c r="M1760" s="357">
        <f>SUM(H1760:H1761)</f>
        <v>7227.4</v>
      </c>
      <c r="N1760" s="411">
        <f>IFERROR((M1760/(VLOOKUP(B1760,'Data Pull Sheet'!$C:$H,6,FALSE))),"DC")</f>
        <v>8.0304444444444445E-5</v>
      </c>
      <c r="O1760" s="23" t="s">
        <v>6955</v>
      </c>
      <c r="P1760" s="18" t="s">
        <v>676</v>
      </c>
      <c r="Q1760" s="18" t="s">
        <v>646</v>
      </c>
      <c r="R1760" s="372" t="str">
        <f t="shared" si="47"/>
        <v/>
      </c>
      <c r="S1760" s="106"/>
      <c r="T1760" s="107"/>
      <c r="U1760" s="108"/>
      <c r="V1760" s="108"/>
      <c r="W1760" s="108"/>
      <c r="X1760" s="108"/>
    </row>
    <row r="1761" spans="1:24" ht="30" x14ac:dyDescent="0.25">
      <c r="A1761" s="23" t="s">
        <v>6952</v>
      </c>
      <c r="B1761" s="59" t="s">
        <v>7532</v>
      </c>
      <c r="C1761" s="59" t="s">
        <v>409</v>
      </c>
      <c r="D1761" s="356" t="s">
        <v>6948</v>
      </c>
      <c r="E1761" s="356" t="s">
        <v>6953</v>
      </c>
      <c r="F1761" s="23" t="s">
        <v>6956</v>
      </c>
      <c r="G1761" s="59" t="s">
        <v>403</v>
      </c>
      <c r="H1761" s="353">
        <v>6442.54</v>
      </c>
      <c r="I1761" s="59"/>
      <c r="J1761" s="59" t="s">
        <v>7707</v>
      </c>
      <c r="K1761" s="20"/>
      <c r="L1761" s="20"/>
      <c r="M1761" s="357"/>
      <c r="N1761" s="411"/>
      <c r="O1761" s="23" t="s">
        <v>6955</v>
      </c>
      <c r="P1761" s="18" t="s">
        <v>676</v>
      </c>
      <c r="Q1761" s="18" t="s">
        <v>646</v>
      </c>
      <c r="R1761" s="372" t="str">
        <f t="shared" si="47"/>
        <v/>
      </c>
      <c r="S1761" s="106"/>
      <c r="T1761" s="107"/>
      <c r="U1761" s="108"/>
      <c r="V1761" s="108"/>
      <c r="W1761" s="108"/>
      <c r="X1761" s="108"/>
    </row>
    <row r="1762" spans="1:24" x14ac:dyDescent="0.25">
      <c r="A1762" s="23" t="s">
        <v>6947</v>
      </c>
      <c r="B1762" s="59" t="s">
        <v>7546</v>
      </c>
      <c r="C1762" s="59" t="s">
        <v>418</v>
      </c>
      <c r="D1762" s="356" t="s">
        <v>6948</v>
      </c>
      <c r="E1762" s="356" t="s">
        <v>6946</v>
      </c>
      <c r="F1762" s="23" t="s">
        <v>10471</v>
      </c>
      <c r="G1762" s="59" t="s">
        <v>403</v>
      </c>
      <c r="H1762" s="353">
        <v>62582.78</v>
      </c>
      <c r="I1762" s="59" t="s">
        <v>1651</v>
      </c>
      <c r="J1762" s="59" t="s">
        <v>10470</v>
      </c>
      <c r="K1762" s="20">
        <v>2</v>
      </c>
      <c r="L1762" s="20">
        <v>2</v>
      </c>
      <c r="M1762" s="357">
        <f>SUM(H1762:H1763)</f>
        <v>101484.97</v>
      </c>
      <c r="N1762" s="411">
        <f>IFERROR((M1762/(VLOOKUP(B1762,'Data Pull Sheet'!$C:$H,6,FALSE))),"DC")</f>
        <v>4.6129531818181815E-3</v>
      </c>
      <c r="O1762" s="23" t="s">
        <v>849</v>
      </c>
      <c r="P1762" s="18" t="s">
        <v>632</v>
      </c>
      <c r="Q1762" s="18" t="s">
        <v>646</v>
      </c>
      <c r="R1762" s="372" t="str">
        <f t="shared" si="47"/>
        <v/>
      </c>
      <c r="S1762" s="106"/>
      <c r="T1762" s="107"/>
      <c r="U1762" s="108"/>
      <c r="V1762" s="108"/>
      <c r="W1762" s="108"/>
      <c r="X1762" s="108"/>
    </row>
    <row r="1763" spans="1:24" x14ac:dyDescent="0.25">
      <c r="A1763" s="23" t="s">
        <v>6947</v>
      </c>
      <c r="B1763" s="59" t="s">
        <v>7546</v>
      </c>
      <c r="C1763" s="59" t="s">
        <v>418</v>
      </c>
      <c r="D1763" s="356" t="s">
        <v>6948</v>
      </c>
      <c r="E1763" s="356" t="s">
        <v>6946</v>
      </c>
      <c r="F1763" s="23" t="s">
        <v>6949</v>
      </c>
      <c r="G1763" s="59" t="s">
        <v>403</v>
      </c>
      <c r="H1763" s="353">
        <v>38902.19</v>
      </c>
      <c r="I1763" s="59" t="s">
        <v>1651</v>
      </c>
      <c r="J1763" s="59" t="s">
        <v>7707</v>
      </c>
      <c r="K1763" s="20"/>
      <c r="L1763" s="20"/>
      <c r="M1763" s="357"/>
      <c r="N1763" s="411"/>
      <c r="O1763" s="23" t="s">
        <v>849</v>
      </c>
      <c r="P1763" s="18" t="s">
        <v>632</v>
      </c>
      <c r="Q1763" s="18" t="s">
        <v>646</v>
      </c>
      <c r="R1763" s="372" t="str">
        <f t="shared" si="47"/>
        <v/>
      </c>
      <c r="S1763" s="106"/>
      <c r="T1763" s="107"/>
      <c r="U1763" s="108"/>
      <c r="V1763" s="108"/>
      <c r="W1763" s="108"/>
      <c r="X1763" s="108"/>
    </row>
    <row r="1764" spans="1:24" x14ac:dyDescent="0.25">
      <c r="A1764" s="23" t="s">
        <v>6947</v>
      </c>
      <c r="B1764" s="59" t="s">
        <v>7546</v>
      </c>
      <c r="C1764" s="59" t="s">
        <v>418</v>
      </c>
      <c r="D1764" s="356" t="s">
        <v>6948</v>
      </c>
      <c r="E1764" s="356" t="s">
        <v>6946</v>
      </c>
      <c r="F1764" s="23" t="s">
        <v>6950</v>
      </c>
      <c r="G1764" s="59" t="s">
        <v>403</v>
      </c>
      <c r="H1764" s="353">
        <v>15952</v>
      </c>
      <c r="I1764" s="59"/>
      <c r="J1764" s="59" t="s">
        <v>7708</v>
      </c>
      <c r="K1764" s="20"/>
      <c r="L1764" s="20">
        <v>2</v>
      </c>
      <c r="M1764" s="357">
        <f>SUM(H1764:H1765)</f>
        <v>51426</v>
      </c>
      <c r="N1764" s="411">
        <f>IFERROR((M1764/(VLOOKUP(B1764,'Data Pull Sheet'!$C:$H,6,FALSE))),"DC")</f>
        <v>2.3375454545454546E-3</v>
      </c>
      <c r="O1764" s="23" t="s">
        <v>554</v>
      </c>
      <c r="P1764" s="18" t="s">
        <v>632</v>
      </c>
      <c r="Q1764" s="18" t="s">
        <v>646</v>
      </c>
      <c r="R1764" s="372" t="str">
        <f t="shared" si="47"/>
        <v/>
      </c>
      <c r="S1764" s="106"/>
      <c r="T1764" s="107"/>
      <c r="U1764" s="108"/>
      <c r="V1764" s="108"/>
      <c r="W1764" s="108"/>
      <c r="X1764" s="108"/>
    </row>
    <row r="1765" spans="1:24" x14ac:dyDescent="0.25">
      <c r="A1765" s="23" t="s">
        <v>6947</v>
      </c>
      <c r="B1765" s="59" t="s">
        <v>7546</v>
      </c>
      <c r="C1765" s="59" t="s">
        <v>418</v>
      </c>
      <c r="D1765" s="356" t="s">
        <v>6948</v>
      </c>
      <c r="E1765" s="356" t="s">
        <v>6946</v>
      </c>
      <c r="F1765" s="23" t="s">
        <v>6951</v>
      </c>
      <c r="G1765" s="59" t="s">
        <v>403</v>
      </c>
      <c r="H1765" s="353">
        <v>35474</v>
      </c>
      <c r="I1765" s="59"/>
      <c r="J1765" s="59" t="s">
        <v>7709</v>
      </c>
      <c r="K1765" s="20"/>
      <c r="L1765" s="20"/>
      <c r="M1765" s="357"/>
      <c r="N1765" s="411"/>
      <c r="O1765" s="23" t="s">
        <v>554</v>
      </c>
      <c r="P1765" s="18" t="s">
        <v>632</v>
      </c>
      <c r="Q1765" s="18" t="s">
        <v>646</v>
      </c>
      <c r="R1765" s="372" t="str">
        <f t="shared" si="47"/>
        <v/>
      </c>
      <c r="S1765" s="106"/>
      <c r="T1765" s="107"/>
      <c r="U1765" s="108"/>
      <c r="V1765" s="108"/>
      <c r="W1765" s="108"/>
      <c r="X1765" s="108"/>
    </row>
    <row r="1766" spans="1:24" x14ac:dyDescent="0.25">
      <c r="A1766" s="23" t="s">
        <v>6940</v>
      </c>
      <c r="B1766" s="59" t="s">
        <v>7599</v>
      </c>
      <c r="C1766" s="59" t="s">
        <v>418</v>
      </c>
      <c r="D1766" s="356" t="s">
        <v>6937</v>
      </c>
      <c r="E1766" s="356" t="s">
        <v>6938</v>
      </c>
      <c r="F1766" s="23" t="s">
        <v>295</v>
      </c>
      <c r="G1766" s="59" t="s">
        <v>417</v>
      </c>
      <c r="H1766" s="353">
        <v>168154.74</v>
      </c>
      <c r="I1766" s="59" t="s">
        <v>406</v>
      </c>
      <c r="J1766" s="59" t="s">
        <v>7696</v>
      </c>
      <c r="K1766" s="20">
        <v>2</v>
      </c>
      <c r="L1766" s="20">
        <v>1</v>
      </c>
      <c r="M1766" s="357">
        <f>H1766</f>
        <v>168154.74</v>
      </c>
      <c r="N1766" s="411">
        <f>IFERROR((M1766/(VLOOKUP(B1766,'Data Pull Sheet'!$C:$H,6,FALSE))),"DC")</f>
        <v>4.2038684999999999E-4</v>
      </c>
      <c r="O1766" s="23" t="s">
        <v>34</v>
      </c>
      <c r="P1766" s="18" t="s">
        <v>632</v>
      </c>
      <c r="Q1766" s="18" t="s">
        <v>633</v>
      </c>
      <c r="R1766" s="372" t="str">
        <f t="shared" si="47"/>
        <v>FF</v>
      </c>
      <c r="S1766" s="106"/>
      <c r="T1766" s="107"/>
      <c r="U1766" s="108"/>
      <c r="V1766" s="108"/>
      <c r="W1766" s="108"/>
      <c r="X1766" s="108"/>
    </row>
    <row r="1767" spans="1:24" x14ac:dyDescent="0.25">
      <c r="A1767" s="23" t="s">
        <v>6940</v>
      </c>
      <c r="B1767" s="59" t="s">
        <v>7599</v>
      </c>
      <c r="C1767" s="59" t="s">
        <v>418</v>
      </c>
      <c r="D1767" s="356" t="s">
        <v>6937</v>
      </c>
      <c r="E1767" s="356" t="s">
        <v>6938</v>
      </c>
      <c r="F1767" s="23" t="s">
        <v>10860</v>
      </c>
      <c r="G1767" s="59" t="s">
        <v>417</v>
      </c>
      <c r="H1767" s="353">
        <v>422385.73</v>
      </c>
      <c r="I1767" s="59"/>
      <c r="J1767" s="59" t="s">
        <v>7705</v>
      </c>
      <c r="K1767" s="20"/>
      <c r="L1767" s="20">
        <v>2</v>
      </c>
      <c r="M1767" s="357">
        <f>SUM(H1767:H1768)</f>
        <v>1030296.48</v>
      </c>
      <c r="N1767" s="411">
        <f>IFERROR((M1767/(VLOOKUP(B1767,'Data Pull Sheet'!$C:$H,6,FALSE))),"DC")</f>
        <v>2.5757411999999999E-3</v>
      </c>
      <c r="O1767" s="23" t="s">
        <v>7</v>
      </c>
      <c r="P1767" s="18" t="s">
        <v>632</v>
      </c>
      <c r="Q1767" s="18" t="s">
        <v>640</v>
      </c>
      <c r="R1767" s="372" t="str">
        <f t="shared" si="47"/>
        <v>FF</v>
      </c>
      <c r="S1767" s="106"/>
      <c r="T1767" s="107"/>
      <c r="U1767" s="108"/>
      <c r="V1767" s="108"/>
      <c r="W1767" s="108"/>
      <c r="X1767" s="108"/>
    </row>
    <row r="1768" spans="1:24" x14ac:dyDescent="0.25">
      <c r="A1768" s="23" t="s">
        <v>6940</v>
      </c>
      <c r="B1768" s="59" t="s">
        <v>7599</v>
      </c>
      <c r="C1768" s="59" t="s">
        <v>418</v>
      </c>
      <c r="D1768" s="356" t="s">
        <v>6937</v>
      </c>
      <c r="E1768" s="356" t="s">
        <v>6938</v>
      </c>
      <c r="F1768" s="23" t="s">
        <v>111</v>
      </c>
      <c r="G1768" s="59" t="s">
        <v>417</v>
      </c>
      <c r="H1768" s="353">
        <v>607910.75</v>
      </c>
      <c r="I1768" s="59"/>
      <c r="J1768" s="59" t="s">
        <v>7706</v>
      </c>
      <c r="K1768" s="20"/>
      <c r="L1768" s="20"/>
      <c r="M1768" s="357"/>
      <c r="N1768" s="411"/>
      <c r="O1768" s="23" t="s">
        <v>7</v>
      </c>
      <c r="P1768" s="18" t="s">
        <v>632</v>
      </c>
      <c r="Q1768" s="18" t="s">
        <v>640</v>
      </c>
      <c r="R1768" s="372" t="str">
        <f t="shared" si="47"/>
        <v>FF</v>
      </c>
      <c r="S1768" s="106"/>
      <c r="T1768" s="107"/>
      <c r="U1768" s="108"/>
      <c r="V1768" s="108"/>
      <c r="W1768" s="108"/>
      <c r="X1768" s="108"/>
    </row>
    <row r="1769" spans="1:24" x14ac:dyDescent="0.25">
      <c r="A1769" s="23" t="s">
        <v>6936</v>
      </c>
      <c r="B1769" s="59" t="s">
        <v>7596</v>
      </c>
      <c r="C1769" s="59" t="s">
        <v>421</v>
      </c>
      <c r="D1769" s="356" t="s">
        <v>6937</v>
      </c>
      <c r="E1769" s="356" t="s">
        <v>6938</v>
      </c>
      <c r="F1769" s="23" t="s">
        <v>6939</v>
      </c>
      <c r="G1769" s="59" t="s">
        <v>403</v>
      </c>
      <c r="H1769" s="353">
        <v>1721</v>
      </c>
      <c r="I1769" s="59"/>
      <c r="J1769" s="59" t="s">
        <v>7695</v>
      </c>
      <c r="K1769" s="20">
        <v>1</v>
      </c>
      <c r="L1769" s="20">
        <v>1</v>
      </c>
      <c r="M1769" s="357">
        <f>H1769</f>
        <v>1721</v>
      </c>
      <c r="N1769" s="411" t="str">
        <f>IFERROR((M1769/(VLOOKUP(B1769,'Data Pull Sheet'!$C:$H,6,FALSE))),"DC")</f>
        <v>DC</v>
      </c>
      <c r="O1769" s="23" t="s">
        <v>2858</v>
      </c>
      <c r="P1769" s="18" t="s">
        <v>676</v>
      </c>
      <c r="Q1769" s="18" t="s">
        <v>637</v>
      </c>
      <c r="R1769" s="372" t="str">
        <f t="shared" si="47"/>
        <v/>
      </c>
      <c r="S1769" s="106"/>
      <c r="T1769" s="107"/>
      <c r="U1769" s="108"/>
      <c r="V1769" s="108"/>
      <c r="W1769" s="108"/>
      <c r="X1769" s="108"/>
    </row>
    <row r="1770" spans="1:24" x14ac:dyDescent="0.25">
      <c r="A1770" s="23" t="s">
        <v>6921</v>
      </c>
      <c r="B1770" s="59" t="s">
        <v>4594</v>
      </c>
      <c r="C1770" s="59" t="s">
        <v>431</v>
      </c>
      <c r="D1770" s="356" t="s">
        <v>6768</v>
      </c>
      <c r="E1770" s="356" t="s">
        <v>6918</v>
      </c>
      <c r="F1770" s="23" t="s">
        <v>2224</v>
      </c>
      <c r="G1770" s="59" t="s">
        <v>417</v>
      </c>
      <c r="H1770" s="353">
        <v>518590.77</v>
      </c>
      <c r="I1770" s="59"/>
      <c r="J1770" s="59" t="s">
        <v>7694</v>
      </c>
      <c r="K1770" s="20">
        <v>6</v>
      </c>
      <c r="L1770" s="20">
        <v>1</v>
      </c>
      <c r="M1770" s="357">
        <f>H1770</f>
        <v>518590.77</v>
      </c>
      <c r="N1770" s="411">
        <f>IFERROR((M1770/(VLOOKUP(B1770,'Data Pull Sheet'!$C:$H,6,FALSE))),"DC")</f>
        <v>2.2067692340425535E-3</v>
      </c>
      <c r="O1770" s="23" t="s">
        <v>6923</v>
      </c>
      <c r="P1770" s="18" t="s">
        <v>632</v>
      </c>
      <c r="Q1770" s="18" t="s">
        <v>633</v>
      </c>
      <c r="R1770" s="372" t="str">
        <f t="shared" si="47"/>
        <v>FF</v>
      </c>
      <c r="S1770" s="106"/>
      <c r="T1770" s="107"/>
      <c r="U1770" s="108"/>
      <c r="V1770" s="108"/>
      <c r="W1770" s="108"/>
      <c r="X1770" s="108"/>
    </row>
    <row r="1771" spans="1:24" ht="30" x14ac:dyDescent="0.25">
      <c r="A1771" s="23" t="s">
        <v>6921</v>
      </c>
      <c r="B1771" s="59" t="s">
        <v>4594</v>
      </c>
      <c r="C1771" s="59" t="s">
        <v>431</v>
      </c>
      <c r="D1771" s="356" t="s">
        <v>6768</v>
      </c>
      <c r="E1771" s="356" t="s">
        <v>6918</v>
      </c>
      <c r="F1771" s="23" t="s">
        <v>6924</v>
      </c>
      <c r="G1771" s="59" t="s">
        <v>403</v>
      </c>
      <c r="H1771" s="353">
        <v>40065.51</v>
      </c>
      <c r="I1771" s="59"/>
      <c r="J1771" s="59" t="s">
        <v>7697</v>
      </c>
      <c r="K1771" s="20"/>
      <c r="L1771" s="20">
        <v>1</v>
      </c>
      <c r="M1771" s="357">
        <f>H1771</f>
        <v>40065.51</v>
      </c>
      <c r="N1771" s="411">
        <f>IFERROR((M1771/(VLOOKUP(B1771,'Data Pull Sheet'!$C:$H,6,FALSE))),"DC")</f>
        <v>1.7049153191489363E-4</v>
      </c>
      <c r="O1771" s="23" t="s">
        <v>1506</v>
      </c>
      <c r="P1771" s="18" t="s">
        <v>632</v>
      </c>
      <c r="Q1771" s="18" t="s">
        <v>637</v>
      </c>
      <c r="R1771" s="372" t="str">
        <f t="shared" si="47"/>
        <v/>
      </c>
      <c r="S1771" s="106"/>
      <c r="T1771" s="107"/>
      <c r="U1771" s="108"/>
      <c r="V1771" s="108"/>
      <c r="W1771" s="108"/>
      <c r="X1771" s="108"/>
    </row>
    <row r="1772" spans="1:24" ht="30" x14ac:dyDescent="0.25">
      <c r="A1772" s="23" t="s">
        <v>6921</v>
      </c>
      <c r="B1772" s="59" t="s">
        <v>4594</v>
      </c>
      <c r="C1772" s="59" t="s">
        <v>431</v>
      </c>
      <c r="D1772" s="356" t="s">
        <v>6768</v>
      </c>
      <c r="E1772" s="356" t="s">
        <v>6918</v>
      </c>
      <c r="F1772" s="23" t="s">
        <v>3675</v>
      </c>
      <c r="G1772" s="59" t="s">
        <v>417</v>
      </c>
      <c r="H1772" s="353">
        <v>670325.43000000005</v>
      </c>
      <c r="I1772" s="59" t="s">
        <v>442</v>
      </c>
      <c r="J1772" s="59" t="s">
        <v>7700</v>
      </c>
      <c r="K1772" s="20"/>
      <c r="L1772" s="20">
        <v>2</v>
      </c>
      <c r="M1772" s="357">
        <f>SUM(H1772:H1773)</f>
        <v>1168347.23</v>
      </c>
      <c r="N1772" s="411">
        <f>IFERROR((M1772/(VLOOKUP(B1772,'Data Pull Sheet'!$C:$H,6,FALSE))),"DC")</f>
        <v>4.9716903404255315E-3</v>
      </c>
      <c r="O1772" s="23" t="s">
        <v>10818</v>
      </c>
      <c r="P1772" s="18" t="s">
        <v>632</v>
      </c>
      <c r="Q1772" s="18" t="s">
        <v>640</v>
      </c>
      <c r="R1772" s="372" t="str">
        <f t="shared" si="47"/>
        <v>FF</v>
      </c>
      <c r="S1772" s="106"/>
      <c r="T1772" s="107"/>
      <c r="U1772" s="108"/>
      <c r="V1772" s="108"/>
      <c r="W1772" s="108"/>
      <c r="X1772" s="108"/>
    </row>
    <row r="1773" spans="1:24" ht="30" x14ac:dyDescent="0.25">
      <c r="A1773" s="23" t="s">
        <v>6921</v>
      </c>
      <c r="B1773" s="59" t="s">
        <v>4594</v>
      </c>
      <c r="C1773" s="59" t="s">
        <v>431</v>
      </c>
      <c r="D1773" s="356" t="s">
        <v>6768</v>
      </c>
      <c r="E1773" s="356" t="s">
        <v>6918</v>
      </c>
      <c r="F1773" s="23" t="s">
        <v>6927</v>
      </c>
      <c r="G1773" s="59" t="s">
        <v>417</v>
      </c>
      <c r="H1773" s="353">
        <v>498021.8</v>
      </c>
      <c r="I1773" s="59" t="s">
        <v>442</v>
      </c>
      <c r="J1773" s="59" t="s">
        <v>7701</v>
      </c>
      <c r="K1773" s="20"/>
      <c r="L1773" s="20"/>
      <c r="M1773" s="357"/>
      <c r="N1773" s="411"/>
      <c r="O1773" s="23" t="s">
        <v>10818</v>
      </c>
      <c r="P1773" s="18" t="s">
        <v>632</v>
      </c>
      <c r="Q1773" s="18" t="s">
        <v>640</v>
      </c>
      <c r="R1773" s="372" t="str">
        <f t="shared" si="47"/>
        <v/>
      </c>
      <c r="S1773" s="106"/>
      <c r="T1773" s="107"/>
      <c r="U1773" s="108"/>
      <c r="V1773" s="108"/>
      <c r="W1773" s="108"/>
      <c r="X1773" s="108"/>
    </row>
    <row r="1774" spans="1:24" x14ac:dyDescent="0.25">
      <c r="A1774" s="23" t="s">
        <v>6921</v>
      </c>
      <c r="B1774" s="59" t="s">
        <v>4594</v>
      </c>
      <c r="C1774" s="59" t="s">
        <v>431</v>
      </c>
      <c r="D1774" s="356" t="s">
        <v>6768</v>
      </c>
      <c r="E1774" s="356" t="s">
        <v>6918</v>
      </c>
      <c r="F1774" s="23" t="s">
        <v>295</v>
      </c>
      <c r="G1774" s="59" t="s">
        <v>417</v>
      </c>
      <c r="H1774" s="353">
        <v>446288.81</v>
      </c>
      <c r="I1774" s="59" t="s">
        <v>406</v>
      </c>
      <c r="J1774" s="59" t="s">
        <v>7698</v>
      </c>
      <c r="K1774" s="20"/>
      <c r="L1774" s="20">
        <v>1</v>
      </c>
      <c r="M1774" s="357">
        <f>H1774</f>
        <v>446288.81</v>
      </c>
      <c r="N1774" s="411">
        <f>IFERROR((M1774/(VLOOKUP(B1774,'Data Pull Sheet'!$C:$H,6,FALSE))),"DC")</f>
        <v>1.8991013191489361E-3</v>
      </c>
      <c r="O1774" s="23" t="s">
        <v>10845</v>
      </c>
      <c r="P1774" s="18" t="s">
        <v>632</v>
      </c>
      <c r="Q1774" s="18" t="s">
        <v>633</v>
      </c>
      <c r="R1774" s="372" t="str">
        <f t="shared" si="47"/>
        <v>FF</v>
      </c>
      <c r="S1774" s="106"/>
      <c r="T1774" s="107"/>
      <c r="U1774" s="108"/>
      <c r="V1774" s="108"/>
      <c r="W1774" s="108"/>
      <c r="X1774" s="108"/>
    </row>
    <row r="1775" spans="1:24" x14ac:dyDescent="0.25">
      <c r="A1775" s="23" t="s">
        <v>6921</v>
      </c>
      <c r="B1775" s="59" t="s">
        <v>4594</v>
      </c>
      <c r="C1775" s="59" t="s">
        <v>431</v>
      </c>
      <c r="D1775" s="356" t="s">
        <v>6768</v>
      </c>
      <c r="E1775" s="356" t="s">
        <v>6918</v>
      </c>
      <c r="F1775" s="23" t="s">
        <v>384</v>
      </c>
      <c r="G1775" s="59" t="s">
        <v>417</v>
      </c>
      <c r="H1775" s="353">
        <v>352544.6</v>
      </c>
      <c r="I1775" s="59" t="s">
        <v>476</v>
      </c>
      <c r="J1775" s="59" t="s">
        <v>7699</v>
      </c>
      <c r="K1775" s="20"/>
      <c r="L1775" s="20">
        <v>1</v>
      </c>
      <c r="M1775" s="357">
        <f>H1775</f>
        <v>352544.6</v>
      </c>
      <c r="N1775" s="411">
        <f>IFERROR((M1775/(VLOOKUP(B1775,'Data Pull Sheet'!$C:$H,6,FALSE))),"DC")</f>
        <v>1.5001897872340424E-3</v>
      </c>
      <c r="O1775" s="23" t="s">
        <v>6931</v>
      </c>
      <c r="P1775" s="18" t="s">
        <v>632</v>
      </c>
      <c r="Q1775" s="18" t="s">
        <v>633</v>
      </c>
      <c r="R1775" s="372" t="str">
        <f t="shared" si="47"/>
        <v>FF</v>
      </c>
      <c r="S1775" s="106"/>
      <c r="T1775" s="107"/>
      <c r="U1775" s="108"/>
      <c r="V1775" s="108"/>
      <c r="W1775" s="108"/>
      <c r="X1775" s="108"/>
    </row>
    <row r="1776" spans="1:24" ht="30" x14ac:dyDescent="0.25">
      <c r="A1776" s="23" t="s">
        <v>6921</v>
      </c>
      <c r="B1776" s="59" t="s">
        <v>4594</v>
      </c>
      <c r="C1776" s="59" t="s">
        <v>431</v>
      </c>
      <c r="D1776" s="356" t="s">
        <v>6768</v>
      </c>
      <c r="E1776" s="356" t="s">
        <v>6918</v>
      </c>
      <c r="F1776" s="23" t="s">
        <v>1461</v>
      </c>
      <c r="G1776" s="59" t="s">
        <v>417</v>
      </c>
      <c r="H1776" s="353">
        <v>936677.32</v>
      </c>
      <c r="I1776" s="59"/>
      <c r="J1776" s="59" t="s">
        <v>7702</v>
      </c>
      <c r="K1776" s="20"/>
      <c r="L1776" s="20">
        <v>3</v>
      </c>
      <c r="M1776" s="357">
        <f>SUM(H1776:H1778)</f>
        <v>3344034.1100000003</v>
      </c>
      <c r="N1776" s="411">
        <f>IFERROR((M1776/(VLOOKUP(B1776,'Data Pull Sheet'!$C:$H,6,FALSE))),"DC")</f>
        <v>1.4229932382978724E-2</v>
      </c>
      <c r="O1776" s="23" t="s">
        <v>1515</v>
      </c>
      <c r="P1776" s="18" t="s">
        <v>632</v>
      </c>
      <c r="Q1776" s="18" t="s">
        <v>640</v>
      </c>
      <c r="R1776" s="372" t="str">
        <f t="shared" si="47"/>
        <v>FF</v>
      </c>
      <c r="S1776" s="106"/>
      <c r="T1776" s="107"/>
      <c r="U1776" s="108"/>
      <c r="V1776" s="108"/>
      <c r="W1776" s="108"/>
      <c r="X1776" s="108"/>
    </row>
    <row r="1777" spans="1:24" ht="30" x14ac:dyDescent="0.25">
      <c r="A1777" s="23" t="s">
        <v>6921</v>
      </c>
      <c r="B1777" s="59" t="s">
        <v>4594</v>
      </c>
      <c r="C1777" s="59" t="s">
        <v>431</v>
      </c>
      <c r="D1777" s="356" t="s">
        <v>6768</v>
      </c>
      <c r="E1777" s="356" t="s">
        <v>6918</v>
      </c>
      <c r="F1777" s="23" t="s">
        <v>6933</v>
      </c>
      <c r="G1777" s="59" t="s">
        <v>417</v>
      </c>
      <c r="H1777" s="353">
        <v>1190364.51</v>
      </c>
      <c r="I1777" s="59"/>
      <c r="J1777" s="59" t="s">
        <v>7703</v>
      </c>
      <c r="K1777" s="20"/>
      <c r="L1777" s="20"/>
      <c r="M1777" s="357"/>
      <c r="N1777" s="411"/>
      <c r="O1777" s="23" t="s">
        <v>1515</v>
      </c>
      <c r="P1777" s="18" t="s">
        <v>632</v>
      </c>
      <c r="Q1777" s="18" t="s">
        <v>640</v>
      </c>
      <c r="R1777" s="372" t="str">
        <f t="shared" si="47"/>
        <v/>
      </c>
      <c r="S1777" s="106"/>
      <c r="T1777" s="107"/>
      <c r="U1777" s="108"/>
      <c r="V1777" s="108"/>
      <c r="W1777" s="108"/>
      <c r="X1777" s="108"/>
    </row>
    <row r="1778" spans="1:24" ht="30" x14ac:dyDescent="0.25">
      <c r="A1778" s="23" t="s">
        <v>6921</v>
      </c>
      <c r="B1778" s="59" t="s">
        <v>4594</v>
      </c>
      <c r="C1778" s="59" t="s">
        <v>431</v>
      </c>
      <c r="D1778" s="356" t="s">
        <v>6768</v>
      </c>
      <c r="E1778" s="356" t="s">
        <v>6918</v>
      </c>
      <c r="F1778" s="23" t="s">
        <v>6934</v>
      </c>
      <c r="G1778" s="59" t="s">
        <v>417</v>
      </c>
      <c r="H1778" s="353">
        <v>1216992.28</v>
      </c>
      <c r="I1778" s="59"/>
      <c r="J1778" s="59" t="s">
        <v>7704</v>
      </c>
      <c r="K1778" s="20"/>
      <c r="L1778" s="20"/>
      <c r="M1778" s="357"/>
      <c r="N1778" s="411"/>
      <c r="O1778" s="23" t="s">
        <v>1515</v>
      </c>
      <c r="P1778" s="18" t="s">
        <v>632</v>
      </c>
      <c r="Q1778" s="18" t="s">
        <v>640</v>
      </c>
      <c r="R1778" s="372" t="str">
        <f t="shared" si="47"/>
        <v/>
      </c>
      <c r="S1778" s="106"/>
      <c r="T1778" s="107"/>
      <c r="U1778" s="108"/>
      <c r="V1778" s="108"/>
      <c r="W1778" s="108"/>
      <c r="X1778" s="108"/>
    </row>
    <row r="1779" spans="1:24" ht="30" x14ac:dyDescent="0.25">
      <c r="A1779" s="23" t="s">
        <v>6900</v>
      </c>
      <c r="B1779" s="59" t="s">
        <v>10593</v>
      </c>
      <c r="C1779" s="59" t="s">
        <v>421</v>
      </c>
      <c r="D1779" s="356" t="s">
        <v>6901</v>
      </c>
      <c r="E1779" s="356" t="s">
        <v>6902</v>
      </c>
      <c r="F1779" s="23" t="s">
        <v>6903</v>
      </c>
      <c r="G1779" s="59" t="s">
        <v>403</v>
      </c>
      <c r="H1779" s="353">
        <v>324552.52</v>
      </c>
      <c r="I1779" s="59"/>
      <c r="J1779" s="59" t="s">
        <v>10595</v>
      </c>
      <c r="K1779" s="20">
        <v>5</v>
      </c>
      <c r="L1779" s="20">
        <v>5</v>
      </c>
      <c r="M1779" s="357">
        <f>SUM(H1779:H1783)</f>
        <v>2453900</v>
      </c>
      <c r="N1779" s="411">
        <f>IFERROR((M1779/(VLOOKUP(B1779,'Data Pull Sheet'!$C:$H,6,FALSE))),"DC")</f>
        <v>6.1347499999999996E-3</v>
      </c>
      <c r="O1779" s="23" t="s">
        <v>6904</v>
      </c>
      <c r="P1779" s="18" t="s">
        <v>632</v>
      </c>
      <c r="Q1779" s="18" t="s">
        <v>646</v>
      </c>
      <c r="R1779" s="372" t="str">
        <f t="shared" si="47"/>
        <v/>
      </c>
      <c r="S1779" s="106"/>
      <c r="T1779" s="107"/>
      <c r="U1779" s="108"/>
      <c r="V1779" s="108"/>
      <c r="W1779" s="108"/>
      <c r="X1779" s="108"/>
    </row>
    <row r="1780" spans="1:24" ht="30" x14ac:dyDescent="0.25">
      <c r="A1780" s="23" t="s">
        <v>6900</v>
      </c>
      <c r="B1780" s="59" t="s">
        <v>10593</v>
      </c>
      <c r="C1780" s="59" t="s">
        <v>421</v>
      </c>
      <c r="D1780" s="356" t="s">
        <v>6901</v>
      </c>
      <c r="E1780" s="356" t="s">
        <v>6902</v>
      </c>
      <c r="F1780" s="23" t="s">
        <v>6905</v>
      </c>
      <c r="G1780" s="59" t="s">
        <v>403</v>
      </c>
      <c r="H1780" s="353">
        <v>352143</v>
      </c>
      <c r="I1780" s="59"/>
      <c r="J1780" s="59" t="s">
        <v>10596</v>
      </c>
      <c r="K1780" s="20"/>
      <c r="L1780" s="20"/>
      <c r="M1780" s="357"/>
      <c r="N1780" s="411"/>
      <c r="O1780" s="23" t="s">
        <v>6904</v>
      </c>
      <c r="P1780" s="18" t="s">
        <v>632</v>
      </c>
      <c r="Q1780" s="18" t="s">
        <v>646</v>
      </c>
      <c r="R1780" s="372" t="str">
        <f t="shared" si="47"/>
        <v/>
      </c>
      <c r="S1780" s="106"/>
      <c r="T1780" s="107"/>
      <c r="U1780" s="108"/>
      <c r="V1780" s="108"/>
      <c r="W1780" s="108"/>
      <c r="X1780" s="108"/>
    </row>
    <row r="1781" spans="1:24" ht="30" x14ac:dyDescent="0.25">
      <c r="A1781" s="23" t="s">
        <v>6900</v>
      </c>
      <c r="B1781" s="59" t="s">
        <v>10593</v>
      </c>
      <c r="C1781" s="59" t="s">
        <v>421</v>
      </c>
      <c r="D1781" s="356" t="s">
        <v>6901</v>
      </c>
      <c r="E1781" s="356" t="s">
        <v>6902</v>
      </c>
      <c r="F1781" s="23" t="s">
        <v>6906</v>
      </c>
      <c r="G1781" s="59" t="s">
        <v>403</v>
      </c>
      <c r="H1781" s="353">
        <v>906386.83</v>
      </c>
      <c r="I1781" s="59"/>
      <c r="J1781" s="59" t="s">
        <v>10597</v>
      </c>
      <c r="K1781" s="20"/>
      <c r="L1781" s="20"/>
      <c r="M1781" s="357"/>
      <c r="N1781" s="411"/>
      <c r="O1781" s="23" t="s">
        <v>6904</v>
      </c>
      <c r="P1781" s="18" t="s">
        <v>632</v>
      </c>
      <c r="Q1781" s="18" t="s">
        <v>646</v>
      </c>
      <c r="R1781" s="372" t="str">
        <f t="shared" si="47"/>
        <v/>
      </c>
      <c r="S1781" s="106"/>
      <c r="T1781" s="107"/>
      <c r="U1781" s="108"/>
      <c r="V1781" s="108"/>
      <c r="W1781" s="108"/>
      <c r="X1781" s="108"/>
    </row>
    <row r="1782" spans="1:24" ht="30" x14ac:dyDescent="0.25">
      <c r="A1782" s="23" t="s">
        <v>6900</v>
      </c>
      <c r="B1782" s="59" t="s">
        <v>10593</v>
      </c>
      <c r="C1782" s="59" t="s">
        <v>421</v>
      </c>
      <c r="D1782" s="356" t="s">
        <v>6901</v>
      </c>
      <c r="E1782" s="356" t="s">
        <v>6902</v>
      </c>
      <c r="F1782" s="23" t="s">
        <v>6907</v>
      </c>
      <c r="G1782" s="59" t="s">
        <v>403</v>
      </c>
      <c r="H1782" s="353">
        <v>635118</v>
      </c>
      <c r="I1782" s="59"/>
      <c r="J1782" s="59" t="s">
        <v>10598</v>
      </c>
      <c r="K1782" s="20"/>
      <c r="L1782" s="20"/>
      <c r="M1782" s="357"/>
      <c r="N1782" s="411"/>
      <c r="O1782" s="23" t="s">
        <v>6904</v>
      </c>
      <c r="P1782" s="18" t="s">
        <v>632</v>
      </c>
      <c r="Q1782" s="18" t="s">
        <v>646</v>
      </c>
      <c r="R1782" s="372" t="str">
        <f t="shared" si="47"/>
        <v/>
      </c>
      <c r="S1782" s="106"/>
      <c r="T1782" s="107"/>
      <c r="U1782" s="108"/>
      <c r="V1782" s="108"/>
      <c r="W1782" s="108"/>
      <c r="X1782" s="108"/>
    </row>
    <row r="1783" spans="1:24" ht="30" x14ac:dyDescent="0.25">
      <c r="A1783" s="23" t="s">
        <v>6900</v>
      </c>
      <c r="B1783" s="59" t="s">
        <v>10593</v>
      </c>
      <c r="C1783" s="59" t="s">
        <v>421</v>
      </c>
      <c r="D1783" s="356" t="s">
        <v>6901</v>
      </c>
      <c r="E1783" s="356" t="s">
        <v>6902</v>
      </c>
      <c r="F1783" s="23" t="s">
        <v>6908</v>
      </c>
      <c r="G1783" s="59" t="s">
        <v>403</v>
      </c>
      <c r="H1783" s="353">
        <v>235699.65</v>
      </c>
      <c r="I1783" s="59"/>
      <c r="J1783" s="59" t="s">
        <v>10599</v>
      </c>
      <c r="K1783" s="20"/>
      <c r="L1783" s="20"/>
      <c r="M1783" s="357"/>
      <c r="N1783" s="411"/>
      <c r="O1783" s="23" t="s">
        <v>6904</v>
      </c>
      <c r="P1783" s="18" t="s">
        <v>632</v>
      </c>
      <c r="Q1783" s="18" t="s">
        <v>646</v>
      </c>
      <c r="R1783" s="372" t="str">
        <f t="shared" si="47"/>
        <v/>
      </c>
      <c r="S1783" s="106"/>
      <c r="T1783" s="107"/>
      <c r="U1783" s="108"/>
      <c r="V1783" s="108"/>
      <c r="W1783" s="108"/>
      <c r="X1783" s="108"/>
    </row>
    <row r="1784" spans="1:24" x14ac:dyDescent="0.25">
      <c r="A1784" s="23" t="s">
        <v>6900</v>
      </c>
      <c r="B1784" s="59" t="s">
        <v>10593</v>
      </c>
      <c r="C1784" s="59" t="s">
        <v>421</v>
      </c>
      <c r="D1784" s="356" t="s">
        <v>6901</v>
      </c>
      <c r="E1784" s="356" t="s">
        <v>6902</v>
      </c>
      <c r="F1784" s="23" t="s">
        <v>6909</v>
      </c>
      <c r="G1784" s="59" t="s">
        <v>403</v>
      </c>
      <c r="H1784" s="353">
        <v>417690</v>
      </c>
      <c r="I1784" s="59" t="s">
        <v>406</v>
      </c>
      <c r="J1784" s="59" t="s">
        <v>10600</v>
      </c>
      <c r="K1784" s="20"/>
      <c r="L1784" s="20">
        <v>1</v>
      </c>
      <c r="M1784" s="357">
        <f t="shared" ref="M1784:M1792" si="49">H1784</f>
        <v>417690</v>
      </c>
      <c r="N1784" s="411">
        <f>IFERROR((M1784/(VLOOKUP(B1784,'Data Pull Sheet'!$C:$H,6,FALSE))),"DC")</f>
        <v>1.044225E-3</v>
      </c>
      <c r="O1784" s="23" t="s">
        <v>6910</v>
      </c>
      <c r="P1784" s="18" t="s">
        <v>632</v>
      </c>
      <c r="Q1784" s="18" t="s">
        <v>637</v>
      </c>
      <c r="R1784" s="372" t="str">
        <f t="shared" si="47"/>
        <v/>
      </c>
      <c r="S1784" s="106"/>
      <c r="T1784" s="107"/>
      <c r="U1784" s="108"/>
      <c r="V1784" s="108"/>
      <c r="W1784" s="108"/>
      <c r="X1784" s="108"/>
    </row>
    <row r="1785" spans="1:24" ht="30" x14ac:dyDescent="0.25">
      <c r="A1785" s="23" t="s">
        <v>6900</v>
      </c>
      <c r="B1785" s="59" t="s">
        <v>10593</v>
      </c>
      <c r="C1785" s="59" t="s">
        <v>421</v>
      </c>
      <c r="D1785" s="356" t="s">
        <v>6901</v>
      </c>
      <c r="E1785" s="356" t="s">
        <v>6902</v>
      </c>
      <c r="F1785" s="23" t="s">
        <v>6911</v>
      </c>
      <c r="G1785" s="59" t="s">
        <v>403</v>
      </c>
      <c r="H1785" s="353">
        <v>88978.5</v>
      </c>
      <c r="I1785" s="59"/>
      <c r="J1785" s="59" t="s">
        <v>10601</v>
      </c>
      <c r="K1785" s="20"/>
      <c r="L1785" s="20">
        <v>1</v>
      </c>
      <c r="M1785" s="357">
        <f t="shared" si="49"/>
        <v>88978.5</v>
      </c>
      <c r="N1785" s="411">
        <f>IFERROR((M1785/(VLOOKUP(B1785,'Data Pull Sheet'!$C:$H,6,FALSE))),"DC")</f>
        <v>2.2244625000000001E-4</v>
      </c>
      <c r="O1785" s="23" t="s">
        <v>6912</v>
      </c>
      <c r="P1785" s="18" t="s">
        <v>632</v>
      </c>
      <c r="Q1785" s="18" t="s">
        <v>637</v>
      </c>
      <c r="R1785" s="372" t="str">
        <f t="shared" si="47"/>
        <v/>
      </c>
      <c r="S1785" s="106"/>
      <c r="T1785" s="107"/>
      <c r="U1785" s="108"/>
      <c r="V1785" s="108"/>
      <c r="W1785" s="108"/>
      <c r="X1785" s="108"/>
    </row>
    <row r="1786" spans="1:24" x14ac:dyDescent="0.25">
      <c r="A1786" s="23" t="s">
        <v>6900</v>
      </c>
      <c r="B1786" s="59" t="s">
        <v>10593</v>
      </c>
      <c r="C1786" s="59" t="s">
        <v>421</v>
      </c>
      <c r="D1786" s="356" t="s">
        <v>6901</v>
      </c>
      <c r="E1786" s="356" t="s">
        <v>6902</v>
      </c>
      <c r="F1786" s="23" t="s">
        <v>6913</v>
      </c>
      <c r="G1786" s="59" t="s">
        <v>403</v>
      </c>
      <c r="H1786" s="353">
        <v>110911.67</v>
      </c>
      <c r="I1786" s="59"/>
      <c r="J1786" s="59" t="s">
        <v>10602</v>
      </c>
      <c r="K1786" s="20"/>
      <c r="L1786" s="20">
        <v>1</v>
      </c>
      <c r="M1786" s="357">
        <f t="shared" si="49"/>
        <v>110911.67</v>
      </c>
      <c r="N1786" s="411">
        <f>IFERROR((M1786/(VLOOKUP(B1786,'Data Pull Sheet'!$C:$H,6,FALSE))),"DC")</f>
        <v>2.7727917500000002E-4</v>
      </c>
      <c r="O1786" s="23" t="s">
        <v>281</v>
      </c>
      <c r="P1786" s="18" t="s">
        <v>632</v>
      </c>
      <c r="Q1786" s="18" t="s">
        <v>637</v>
      </c>
      <c r="R1786" s="372" t="str">
        <f t="shared" si="47"/>
        <v/>
      </c>
      <c r="S1786" s="106"/>
      <c r="T1786" s="107"/>
      <c r="U1786" s="108"/>
      <c r="V1786" s="108"/>
      <c r="W1786" s="108"/>
      <c r="X1786" s="108"/>
    </row>
    <row r="1787" spans="1:24" x14ac:dyDescent="0.25">
      <c r="A1787" s="23" t="s">
        <v>6900</v>
      </c>
      <c r="B1787" s="59" t="s">
        <v>10593</v>
      </c>
      <c r="C1787" s="59" t="s">
        <v>421</v>
      </c>
      <c r="D1787" s="356" t="s">
        <v>6901</v>
      </c>
      <c r="E1787" s="356" t="s">
        <v>6902</v>
      </c>
      <c r="F1787" s="23" t="s">
        <v>6914</v>
      </c>
      <c r="G1787" s="59" t="s">
        <v>403</v>
      </c>
      <c r="H1787" s="353">
        <v>34287.620000000003</v>
      </c>
      <c r="I1787" s="59"/>
      <c r="J1787" s="59" t="s">
        <v>10603</v>
      </c>
      <c r="K1787" s="20"/>
      <c r="L1787" s="20">
        <v>1</v>
      </c>
      <c r="M1787" s="357">
        <f t="shared" si="49"/>
        <v>34287.620000000003</v>
      </c>
      <c r="N1787" s="411">
        <f>IFERROR((M1787/(VLOOKUP(B1787,'Data Pull Sheet'!$C:$H,6,FALSE))),"DC")</f>
        <v>8.5719050000000001E-5</v>
      </c>
      <c r="O1787" s="23" t="s">
        <v>6915</v>
      </c>
      <c r="P1787" s="18" t="s">
        <v>632</v>
      </c>
      <c r="Q1787" s="18" t="s">
        <v>637</v>
      </c>
      <c r="R1787" s="372" t="str">
        <f t="shared" si="47"/>
        <v/>
      </c>
      <c r="S1787" s="106"/>
      <c r="T1787" s="107"/>
      <c r="U1787" s="108"/>
      <c r="V1787" s="108"/>
      <c r="W1787" s="108"/>
      <c r="X1787" s="108"/>
    </row>
    <row r="1788" spans="1:24" ht="30" x14ac:dyDescent="0.25">
      <c r="A1788" s="23" t="s">
        <v>6896</v>
      </c>
      <c r="B1788" s="59" t="s">
        <v>7563</v>
      </c>
      <c r="C1788" s="59" t="s">
        <v>460</v>
      </c>
      <c r="D1788" s="356" t="s">
        <v>6768</v>
      </c>
      <c r="E1788" s="356" t="s">
        <v>6897</v>
      </c>
      <c r="F1788" s="23" t="s">
        <v>12</v>
      </c>
      <c r="G1788" s="59" t="s">
        <v>417</v>
      </c>
      <c r="H1788" s="353">
        <v>358632.77</v>
      </c>
      <c r="I1788" s="59" t="s">
        <v>406</v>
      </c>
      <c r="J1788" s="59" t="s">
        <v>7692</v>
      </c>
      <c r="K1788" s="20">
        <v>1</v>
      </c>
      <c r="L1788" s="20">
        <v>1</v>
      </c>
      <c r="M1788" s="357">
        <f t="shared" si="49"/>
        <v>358632.77</v>
      </c>
      <c r="N1788" s="411">
        <f>IFERROR((M1788/(VLOOKUP(B1788,'Data Pull Sheet'!$C:$H,6,FALSE))),"DC")</f>
        <v>3.9848085555555559E-4</v>
      </c>
      <c r="O1788" s="23" t="s">
        <v>6899</v>
      </c>
      <c r="P1788" s="18" t="s">
        <v>676</v>
      </c>
      <c r="Q1788" s="18" t="s">
        <v>633</v>
      </c>
      <c r="R1788" s="372" t="str">
        <f t="shared" si="47"/>
        <v>FF</v>
      </c>
      <c r="S1788" s="106"/>
      <c r="T1788" s="107"/>
      <c r="U1788" s="108"/>
      <c r="V1788" s="108"/>
      <c r="W1788" s="108"/>
      <c r="X1788" s="108"/>
    </row>
    <row r="1789" spans="1:24" x14ac:dyDescent="0.25">
      <c r="A1789" s="23" t="s">
        <v>6893</v>
      </c>
      <c r="B1789" s="59" t="s">
        <v>7531</v>
      </c>
      <c r="C1789" s="59" t="s">
        <v>424</v>
      </c>
      <c r="D1789" s="356" t="s">
        <v>6888</v>
      </c>
      <c r="E1789" s="356" t="s">
        <v>6877</v>
      </c>
      <c r="F1789" s="23" t="s">
        <v>6894</v>
      </c>
      <c r="G1789" s="59" t="s">
        <v>403</v>
      </c>
      <c r="H1789" s="353">
        <v>1626.4</v>
      </c>
      <c r="I1789" s="59"/>
      <c r="J1789" s="59" t="s">
        <v>7687</v>
      </c>
      <c r="K1789" s="20">
        <v>2</v>
      </c>
      <c r="L1789" s="20">
        <v>1</v>
      </c>
      <c r="M1789" s="357">
        <f t="shared" si="49"/>
        <v>1626.4</v>
      </c>
      <c r="N1789" s="411">
        <f>IFERROR((M1789/(VLOOKUP(B1789,'Data Pull Sheet'!$C:$H,6,FALSE))),"DC")</f>
        <v>3.2528E-6</v>
      </c>
      <c r="O1789" s="23" t="s">
        <v>682</v>
      </c>
      <c r="P1789" s="18" t="s">
        <v>632</v>
      </c>
      <c r="Q1789" s="18" t="s">
        <v>637</v>
      </c>
      <c r="R1789" s="372" t="str">
        <f t="shared" si="47"/>
        <v/>
      </c>
      <c r="S1789" s="106"/>
      <c r="T1789" s="107"/>
      <c r="U1789" s="108"/>
      <c r="V1789" s="108"/>
      <c r="W1789" s="108"/>
      <c r="X1789" s="108"/>
    </row>
    <row r="1790" spans="1:24" ht="30" x14ac:dyDescent="0.25">
      <c r="A1790" s="23" t="s">
        <v>6893</v>
      </c>
      <c r="B1790" s="59" t="s">
        <v>7531</v>
      </c>
      <c r="C1790" s="59" t="s">
        <v>424</v>
      </c>
      <c r="D1790" s="356" t="s">
        <v>6888</v>
      </c>
      <c r="E1790" s="356" t="s">
        <v>6877</v>
      </c>
      <c r="F1790" s="23" t="s">
        <v>6895</v>
      </c>
      <c r="G1790" s="59" t="s">
        <v>403</v>
      </c>
      <c r="H1790" s="353">
        <v>2083.11</v>
      </c>
      <c r="I1790" s="59"/>
      <c r="J1790" s="59" t="s">
        <v>7684</v>
      </c>
      <c r="K1790" s="20"/>
      <c r="L1790" s="20">
        <v>1</v>
      </c>
      <c r="M1790" s="357">
        <f t="shared" si="49"/>
        <v>2083.11</v>
      </c>
      <c r="N1790" s="411">
        <f>IFERROR((M1790/(VLOOKUP(B1790,'Data Pull Sheet'!$C:$H,6,FALSE))),"DC")</f>
        <v>4.1662200000000006E-6</v>
      </c>
      <c r="O1790" s="23" t="s">
        <v>687</v>
      </c>
      <c r="P1790" s="18" t="s">
        <v>632</v>
      </c>
      <c r="Q1790" s="18" t="s">
        <v>637</v>
      </c>
      <c r="R1790" s="372" t="str">
        <f t="shared" si="47"/>
        <v/>
      </c>
      <c r="S1790" s="106"/>
      <c r="T1790" s="107"/>
      <c r="U1790" s="108"/>
      <c r="V1790" s="108"/>
      <c r="W1790" s="108"/>
      <c r="X1790" s="108"/>
    </row>
    <row r="1791" spans="1:24" x14ac:dyDescent="0.25">
      <c r="A1791" s="23" t="s">
        <v>6883</v>
      </c>
      <c r="B1791" s="59" t="s">
        <v>7542</v>
      </c>
      <c r="C1791" s="59" t="s">
        <v>1380</v>
      </c>
      <c r="D1791" s="356" t="s">
        <v>6876</v>
      </c>
      <c r="E1791" s="356" t="s">
        <v>6877</v>
      </c>
      <c r="F1791" s="23" t="s">
        <v>6884</v>
      </c>
      <c r="G1791" s="59" t="s">
        <v>403</v>
      </c>
      <c r="H1791" s="353">
        <v>2280</v>
      </c>
      <c r="I1791" s="59"/>
      <c r="J1791" s="59" t="s">
        <v>7690</v>
      </c>
      <c r="K1791" s="20">
        <v>2</v>
      </c>
      <c r="L1791" s="20">
        <v>1</v>
      </c>
      <c r="M1791" s="357">
        <f t="shared" si="49"/>
        <v>2280</v>
      </c>
      <c r="N1791" s="411">
        <f>IFERROR((M1791/(VLOOKUP(B1791,'Data Pull Sheet'!$C:$H,6,FALSE))),"DC")</f>
        <v>4.5600000000000003E-4</v>
      </c>
      <c r="O1791" s="23" t="s">
        <v>1384</v>
      </c>
      <c r="P1791" s="18" t="s">
        <v>632</v>
      </c>
      <c r="Q1791" s="18" t="s">
        <v>637</v>
      </c>
      <c r="R1791" s="372" t="str">
        <f t="shared" si="47"/>
        <v/>
      </c>
      <c r="S1791" s="106"/>
      <c r="T1791" s="107"/>
      <c r="U1791" s="108"/>
      <c r="V1791" s="108"/>
      <c r="W1791" s="108"/>
      <c r="X1791" s="108"/>
    </row>
    <row r="1792" spans="1:24" x14ac:dyDescent="0.25">
      <c r="A1792" s="23" t="s">
        <v>6883</v>
      </c>
      <c r="B1792" s="59" t="s">
        <v>7542</v>
      </c>
      <c r="C1792" s="59" t="s">
        <v>1380</v>
      </c>
      <c r="D1792" s="356" t="s">
        <v>6876</v>
      </c>
      <c r="E1792" s="356" t="s">
        <v>6877</v>
      </c>
      <c r="F1792" s="23" t="s">
        <v>6885</v>
      </c>
      <c r="G1792" s="59" t="s">
        <v>403</v>
      </c>
      <c r="H1792" s="353">
        <v>3439.66</v>
      </c>
      <c r="I1792" s="59" t="s">
        <v>413</v>
      </c>
      <c r="J1792" s="59" t="s">
        <v>7659</v>
      </c>
      <c r="K1792" s="20"/>
      <c r="L1792" s="20">
        <v>1</v>
      </c>
      <c r="M1792" s="357">
        <f t="shared" si="49"/>
        <v>3439.66</v>
      </c>
      <c r="N1792" s="411">
        <f>IFERROR((M1792/(VLOOKUP(B1792,'Data Pull Sheet'!$C:$H,6,FALSE))),"DC")</f>
        <v>6.8793199999999993E-4</v>
      </c>
      <c r="O1792" s="23" t="s">
        <v>6886</v>
      </c>
      <c r="P1792" s="18" t="s">
        <v>632</v>
      </c>
      <c r="Q1792" s="18" t="s">
        <v>637</v>
      </c>
      <c r="R1792" s="372" t="str">
        <f t="shared" si="47"/>
        <v/>
      </c>
      <c r="S1792" s="106"/>
      <c r="T1792" s="107"/>
      <c r="U1792" s="108"/>
      <c r="V1792" s="108"/>
      <c r="W1792" s="108"/>
      <c r="X1792" s="108"/>
    </row>
    <row r="1793" spans="1:24" ht="30" x14ac:dyDescent="0.25">
      <c r="A1793" s="23" t="s">
        <v>6875</v>
      </c>
      <c r="B1793" s="59" t="s">
        <v>7585</v>
      </c>
      <c r="C1793" s="59" t="s">
        <v>1008</v>
      </c>
      <c r="D1793" s="356" t="s">
        <v>6876</v>
      </c>
      <c r="E1793" s="356" t="s">
        <v>6877</v>
      </c>
      <c r="F1793" s="23" t="s">
        <v>6878</v>
      </c>
      <c r="G1793" s="59" t="s">
        <v>403</v>
      </c>
      <c r="H1793" s="353">
        <v>108303</v>
      </c>
      <c r="I1793" s="59"/>
      <c r="J1793" s="59" t="s">
        <v>7689</v>
      </c>
      <c r="K1793" s="20">
        <v>3</v>
      </c>
      <c r="L1793" s="20">
        <v>2</v>
      </c>
      <c r="M1793" s="357">
        <f>SUM(H1793:H1794)</f>
        <v>144271</v>
      </c>
      <c r="N1793" s="411">
        <f>IFERROR((M1793/(VLOOKUP(B1793,'Data Pull Sheet'!$C:$H,6,FALSE))),"DC")</f>
        <v>2.0610142857142858E-2</v>
      </c>
      <c r="O1793" s="23" t="s">
        <v>1169</v>
      </c>
      <c r="P1793" s="18" t="s">
        <v>632</v>
      </c>
      <c r="Q1793" s="18" t="s">
        <v>646</v>
      </c>
      <c r="R1793" s="372" t="str">
        <f t="shared" si="47"/>
        <v/>
      </c>
      <c r="S1793" s="106"/>
      <c r="T1793" s="107"/>
      <c r="U1793" s="108"/>
      <c r="V1793" s="108"/>
      <c r="W1793" s="108"/>
      <c r="X1793" s="108"/>
    </row>
    <row r="1794" spans="1:24" ht="30" x14ac:dyDescent="0.25">
      <c r="A1794" s="23" t="s">
        <v>6875</v>
      </c>
      <c r="B1794" s="59" t="s">
        <v>7585</v>
      </c>
      <c r="C1794" s="59" t="s">
        <v>1008</v>
      </c>
      <c r="D1794" s="356" t="s">
        <v>6876</v>
      </c>
      <c r="E1794" s="356" t="s">
        <v>6877</v>
      </c>
      <c r="F1794" s="23" t="s">
        <v>6879</v>
      </c>
      <c r="G1794" s="59" t="s">
        <v>403</v>
      </c>
      <c r="H1794" s="353">
        <v>35968</v>
      </c>
      <c r="I1794" s="59"/>
      <c r="J1794" s="59" t="s">
        <v>7688</v>
      </c>
      <c r="K1794" s="20"/>
      <c r="L1794" s="20"/>
      <c r="M1794" s="357"/>
      <c r="N1794" s="411"/>
      <c r="O1794" s="23" t="s">
        <v>1169</v>
      </c>
      <c r="P1794" s="18" t="s">
        <v>632</v>
      </c>
      <c r="Q1794" s="18" t="s">
        <v>646</v>
      </c>
      <c r="R1794" s="372" t="str">
        <f t="shared" ref="R1794:R1857" si="50">IF(COUNTIF(F:F,F1794)&gt;=2,"FF","")</f>
        <v/>
      </c>
      <c r="S1794" s="106"/>
      <c r="T1794" s="107"/>
      <c r="U1794" s="108"/>
      <c r="V1794" s="108"/>
      <c r="W1794" s="108"/>
      <c r="X1794" s="108"/>
    </row>
    <row r="1795" spans="1:24" x14ac:dyDescent="0.25">
      <c r="A1795" s="23" t="s">
        <v>6875</v>
      </c>
      <c r="B1795" s="59" t="s">
        <v>7585</v>
      </c>
      <c r="C1795" s="59" t="s">
        <v>1008</v>
      </c>
      <c r="D1795" s="356" t="s">
        <v>6876</v>
      </c>
      <c r="E1795" s="356" t="s">
        <v>6877</v>
      </c>
      <c r="F1795" s="23" t="s">
        <v>6880</v>
      </c>
      <c r="G1795" s="59" t="s">
        <v>403</v>
      </c>
      <c r="H1795" s="353">
        <v>1209.47</v>
      </c>
      <c r="I1795" s="59"/>
      <c r="J1795" s="59" t="s">
        <v>7658</v>
      </c>
      <c r="K1795" s="20"/>
      <c r="L1795" s="20">
        <v>1</v>
      </c>
      <c r="M1795" s="357">
        <f>H1795</f>
        <v>1209.47</v>
      </c>
      <c r="N1795" s="411">
        <f>IFERROR((M1795/(VLOOKUP(B1795,'Data Pull Sheet'!$C:$H,6,FALSE))),"DC")</f>
        <v>1.7278142857142859E-4</v>
      </c>
      <c r="O1795" s="23" t="s">
        <v>597</v>
      </c>
      <c r="P1795" s="18" t="s">
        <v>632</v>
      </c>
      <c r="Q1795" s="18" t="s">
        <v>637</v>
      </c>
      <c r="R1795" s="372" t="str">
        <f t="shared" si="50"/>
        <v/>
      </c>
      <c r="S1795" s="106"/>
      <c r="T1795" s="107"/>
      <c r="U1795" s="108"/>
      <c r="V1795" s="108"/>
      <c r="W1795" s="108"/>
      <c r="X1795" s="108"/>
    </row>
    <row r="1796" spans="1:24" x14ac:dyDescent="0.25">
      <c r="A1796" s="23" t="s">
        <v>6875</v>
      </c>
      <c r="B1796" s="59" t="s">
        <v>7585</v>
      </c>
      <c r="C1796" s="59" t="s">
        <v>1008</v>
      </c>
      <c r="D1796" s="356" t="s">
        <v>6876</v>
      </c>
      <c r="E1796" s="356" t="s">
        <v>6877</v>
      </c>
      <c r="F1796" s="23" t="s">
        <v>6881</v>
      </c>
      <c r="G1796" s="59" t="s">
        <v>417</v>
      </c>
      <c r="H1796" s="353">
        <v>45948</v>
      </c>
      <c r="I1796" s="59"/>
      <c r="J1796" s="59" t="s">
        <v>7657</v>
      </c>
      <c r="K1796" s="20">
        <v>1</v>
      </c>
      <c r="L1796" s="20">
        <v>1</v>
      </c>
      <c r="M1796" s="357">
        <f>H1796</f>
        <v>45948</v>
      </c>
      <c r="N1796" s="411">
        <f>IFERROR((M1796/(VLOOKUP(B1796,'Data Pull Sheet'!$C:$H,6,FALSE))),"DC")</f>
        <v>6.5640000000000004E-3</v>
      </c>
      <c r="O1796" s="23" t="s">
        <v>6882</v>
      </c>
      <c r="P1796" s="18" t="s">
        <v>632</v>
      </c>
      <c r="Q1796" s="18" t="s">
        <v>633</v>
      </c>
      <c r="R1796" s="372" t="str">
        <f t="shared" si="50"/>
        <v/>
      </c>
      <c r="S1796" s="106"/>
      <c r="T1796" s="107"/>
      <c r="U1796" s="108"/>
      <c r="V1796" s="108"/>
      <c r="W1796" s="108"/>
      <c r="X1796" s="108"/>
    </row>
    <row r="1797" spans="1:24" ht="30" x14ac:dyDescent="0.25">
      <c r="A1797" s="23" t="s">
        <v>6887</v>
      </c>
      <c r="B1797" s="59" t="s">
        <v>7603</v>
      </c>
      <c r="C1797" s="59" t="s">
        <v>496</v>
      </c>
      <c r="D1797" s="356" t="s">
        <v>6888</v>
      </c>
      <c r="E1797" s="356" t="s">
        <v>6877</v>
      </c>
      <c r="F1797" s="23" t="s">
        <v>6889</v>
      </c>
      <c r="G1797" s="59" t="s">
        <v>417</v>
      </c>
      <c r="H1797" s="353">
        <v>53472</v>
      </c>
      <c r="I1797" s="59" t="s">
        <v>413</v>
      </c>
      <c r="J1797" s="59" t="s">
        <v>7691</v>
      </c>
      <c r="K1797" s="20">
        <v>2</v>
      </c>
      <c r="L1797" s="20">
        <v>1</v>
      </c>
      <c r="M1797" s="357">
        <f>H1797</f>
        <v>53472</v>
      </c>
      <c r="N1797" s="411">
        <f>IFERROR((M1797/(VLOOKUP(B1797,'Data Pull Sheet'!$C:$H,6,FALSE))),"DC")</f>
        <v>7.1296000000000003E-5</v>
      </c>
      <c r="O1797" s="23" t="s">
        <v>6890</v>
      </c>
      <c r="P1797" s="18" t="s">
        <v>632</v>
      </c>
      <c r="Q1797" s="18" t="s">
        <v>633</v>
      </c>
      <c r="R1797" s="372" t="str">
        <f t="shared" si="50"/>
        <v/>
      </c>
      <c r="S1797" s="106"/>
      <c r="T1797" s="107"/>
      <c r="U1797" s="108"/>
      <c r="V1797" s="108"/>
      <c r="W1797" s="108"/>
      <c r="X1797" s="108"/>
    </row>
    <row r="1798" spans="1:24" ht="30" x14ac:dyDescent="0.25">
      <c r="A1798" s="23" t="s">
        <v>6887</v>
      </c>
      <c r="B1798" s="59" t="s">
        <v>7603</v>
      </c>
      <c r="C1798" s="59" t="s">
        <v>496</v>
      </c>
      <c r="D1798" s="356" t="s">
        <v>6888</v>
      </c>
      <c r="E1798" s="356" t="s">
        <v>6877</v>
      </c>
      <c r="F1798" s="23" t="s">
        <v>3273</v>
      </c>
      <c r="G1798" s="59" t="s">
        <v>417</v>
      </c>
      <c r="H1798" s="353">
        <v>48153.53</v>
      </c>
      <c r="I1798" s="59"/>
      <c r="J1798" s="59" t="s">
        <v>7683</v>
      </c>
      <c r="K1798" s="20"/>
      <c r="L1798" s="20">
        <v>1</v>
      </c>
      <c r="M1798" s="357">
        <f>H1798</f>
        <v>48153.53</v>
      </c>
      <c r="N1798" s="411">
        <f>IFERROR((M1798/(VLOOKUP(B1798,'Data Pull Sheet'!$C:$H,6,FALSE))),"DC")</f>
        <v>6.4204706666666668E-5</v>
      </c>
      <c r="O1798" s="23" t="s">
        <v>6892</v>
      </c>
      <c r="P1798" s="18" t="s">
        <v>632</v>
      </c>
      <c r="Q1798" s="18" t="s">
        <v>633</v>
      </c>
      <c r="R1798" s="372" t="str">
        <f t="shared" si="50"/>
        <v>FF</v>
      </c>
      <c r="S1798" s="106"/>
      <c r="T1798" s="107"/>
      <c r="U1798" s="108"/>
      <c r="V1798" s="108"/>
      <c r="W1798" s="108"/>
      <c r="X1798" s="108"/>
    </row>
    <row r="1799" spans="1:24" x14ac:dyDescent="0.25">
      <c r="A1799" s="23" t="s">
        <v>6865</v>
      </c>
      <c r="B1799" s="59" t="s">
        <v>7498</v>
      </c>
      <c r="C1799" s="59" t="s">
        <v>409</v>
      </c>
      <c r="D1799" s="356" t="s">
        <v>6833</v>
      </c>
      <c r="E1799" s="356" t="s">
        <v>6858</v>
      </c>
      <c r="F1799" s="23" t="s">
        <v>6866</v>
      </c>
      <c r="G1799" s="59" t="s">
        <v>403</v>
      </c>
      <c r="H1799" s="353">
        <v>637132.62</v>
      </c>
      <c r="I1799" s="59"/>
      <c r="J1799" s="59" t="s">
        <v>7676</v>
      </c>
      <c r="K1799" s="20">
        <v>6</v>
      </c>
      <c r="L1799" s="20">
        <v>2</v>
      </c>
      <c r="M1799" s="357">
        <f>SUM(H1799:H1800)</f>
        <v>1671281.9</v>
      </c>
      <c r="N1799" s="411">
        <f>IFERROR((M1799/(VLOOKUP(B1799,'Data Pull Sheet'!$C:$H,6,FALSE))),"DC")</f>
        <v>4.7750911428571428E-2</v>
      </c>
      <c r="O1799" s="23" t="s">
        <v>6867</v>
      </c>
      <c r="P1799" s="18" t="s">
        <v>632</v>
      </c>
      <c r="Q1799" s="18" t="s">
        <v>662</v>
      </c>
      <c r="R1799" s="372" t="str">
        <f t="shared" si="50"/>
        <v/>
      </c>
      <c r="S1799" s="106"/>
      <c r="T1799" s="107"/>
      <c r="U1799" s="108"/>
      <c r="V1799" s="108"/>
      <c r="W1799" s="108"/>
      <c r="X1799" s="108"/>
    </row>
    <row r="1800" spans="1:24" x14ac:dyDescent="0.25">
      <c r="A1800" s="23" t="s">
        <v>6865</v>
      </c>
      <c r="B1800" s="59" t="s">
        <v>7498</v>
      </c>
      <c r="C1800" s="59" t="s">
        <v>409</v>
      </c>
      <c r="D1800" s="356" t="s">
        <v>6833</v>
      </c>
      <c r="E1800" s="356" t="s">
        <v>6858</v>
      </c>
      <c r="F1800" s="23" t="s">
        <v>6868</v>
      </c>
      <c r="G1800" s="59" t="s">
        <v>417</v>
      </c>
      <c r="H1800" s="353">
        <v>1034149.28</v>
      </c>
      <c r="I1800" s="59"/>
      <c r="J1800" s="59" t="s">
        <v>7681</v>
      </c>
      <c r="K1800" s="20"/>
      <c r="L1800" s="20"/>
      <c r="M1800" s="357"/>
      <c r="N1800" s="411"/>
      <c r="O1800" s="23" t="s">
        <v>6867</v>
      </c>
      <c r="P1800" s="18" t="s">
        <v>632</v>
      </c>
      <c r="Q1800" s="18" t="s">
        <v>662</v>
      </c>
      <c r="R1800" s="372" t="str">
        <f t="shared" si="50"/>
        <v/>
      </c>
      <c r="S1800" s="106"/>
      <c r="T1800" s="107"/>
      <c r="U1800" s="108"/>
      <c r="V1800" s="108"/>
      <c r="W1800" s="108"/>
      <c r="X1800" s="108"/>
    </row>
    <row r="1801" spans="1:24" x14ac:dyDescent="0.25">
      <c r="A1801" s="23" t="s">
        <v>6865</v>
      </c>
      <c r="B1801" s="59" t="s">
        <v>7498</v>
      </c>
      <c r="C1801" s="59" t="s">
        <v>409</v>
      </c>
      <c r="D1801" s="356" t="s">
        <v>6833</v>
      </c>
      <c r="E1801" s="356" t="s">
        <v>6858</v>
      </c>
      <c r="F1801" s="23" t="s">
        <v>6869</v>
      </c>
      <c r="G1801" s="59" t="s">
        <v>403</v>
      </c>
      <c r="H1801" s="353">
        <v>61600</v>
      </c>
      <c r="I1801" s="59"/>
      <c r="J1801" s="59" t="s">
        <v>7667</v>
      </c>
      <c r="K1801" s="20"/>
      <c r="L1801" s="20">
        <v>1</v>
      </c>
      <c r="M1801" s="357">
        <f t="shared" ref="M1801:M1806" si="51">H1801</f>
        <v>61600</v>
      </c>
      <c r="N1801" s="411">
        <f>IFERROR((M1801/(VLOOKUP(B1801,'Data Pull Sheet'!$C:$H,6,FALSE))),"DC")</f>
        <v>1.7600000000000001E-3</v>
      </c>
      <c r="O1801" s="23" t="s">
        <v>682</v>
      </c>
      <c r="P1801" s="18" t="s">
        <v>632</v>
      </c>
      <c r="Q1801" s="18" t="s">
        <v>637</v>
      </c>
      <c r="R1801" s="372" t="str">
        <f t="shared" si="50"/>
        <v/>
      </c>
      <c r="S1801" s="106"/>
      <c r="T1801" s="107"/>
      <c r="U1801" s="108"/>
      <c r="V1801" s="108"/>
      <c r="W1801" s="108"/>
      <c r="X1801" s="108"/>
    </row>
    <row r="1802" spans="1:24" x14ac:dyDescent="0.25">
      <c r="A1802" s="23" t="s">
        <v>6865</v>
      </c>
      <c r="B1802" s="59" t="s">
        <v>7498</v>
      </c>
      <c r="C1802" s="59" t="s">
        <v>409</v>
      </c>
      <c r="D1802" s="356" t="s">
        <v>6833</v>
      </c>
      <c r="E1802" s="356" t="s">
        <v>6858</v>
      </c>
      <c r="F1802" s="23" t="s">
        <v>6870</v>
      </c>
      <c r="G1802" s="59" t="s">
        <v>403</v>
      </c>
      <c r="H1802" s="353">
        <v>104792.11</v>
      </c>
      <c r="I1802" s="59"/>
      <c r="J1802" s="59" t="s">
        <v>7682</v>
      </c>
      <c r="K1802" s="20"/>
      <c r="L1802" s="20">
        <v>1</v>
      </c>
      <c r="M1802" s="357">
        <f t="shared" si="51"/>
        <v>104792.11</v>
      </c>
      <c r="N1802" s="411">
        <f>IFERROR((M1802/(VLOOKUP(B1802,'Data Pull Sheet'!$C:$H,6,FALSE))),"DC")</f>
        <v>2.9940602857142858E-3</v>
      </c>
      <c r="O1802" s="23" t="s">
        <v>6871</v>
      </c>
      <c r="P1802" s="18" t="s">
        <v>632</v>
      </c>
      <c r="Q1802" s="18" t="s">
        <v>637</v>
      </c>
      <c r="R1802" s="372" t="str">
        <f t="shared" si="50"/>
        <v/>
      </c>
      <c r="S1802" s="106"/>
      <c r="T1802" s="107"/>
      <c r="U1802" s="108"/>
      <c r="V1802" s="108"/>
      <c r="W1802" s="108"/>
      <c r="X1802" s="108"/>
    </row>
    <row r="1803" spans="1:24" x14ac:dyDescent="0.25">
      <c r="A1803" s="23" t="s">
        <v>6865</v>
      </c>
      <c r="B1803" s="59" t="s">
        <v>7498</v>
      </c>
      <c r="C1803" s="59" t="s">
        <v>409</v>
      </c>
      <c r="D1803" s="356" t="s">
        <v>6833</v>
      </c>
      <c r="E1803" s="356" t="s">
        <v>6858</v>
      </c>
      <c r="F1803" s="23" t="s">
        <v>6872</v>
      </c>
      <c r="G1803" s="59" t="s">
        <v>403</v>
      </c>
      <c r="H1803" s="353">
        <v>20134</v>
      </c>
      <c r="I1803" s="59"/>
      <c r="J1803" s="59" t="s">
        <v>7685</v>
      </c>
      <c r="K1803" s="20"/>
      <c r="L1803" s="20">
        <v>1</v>
      </c>
      <c r="M1803" s="357">
        <f t="shared" si="51"/>
        <v>20134</v>
      </c>
      <c r="N1803" s="411">
        <f>IFERROR((M1803/(VLOOKUP(B1803,'Data Pull Sheet'!$C:$H,6,FALSE))),"DC")</f>
        <v>5.7525714285714281E-4</v>
      </c>
      <c r="O1803" s="23" t="s">
        <v>6873</v>
      </c>
      <c r="P1803" s="18" t="s">
        <v>632</v>
      </c>
      <c r="Q1803" s="18" t="s">
        <v>637</v>
      </c>
      <c r="R1803" s="372" t="str">
        <f t="shared" si="50"/>
        <v/>
      </c>
      <c r="S1803" s="106"/>
      <c r="T1803" s="107"/>
      <c r="U1803" s="108"/>
      <c r="V1803" s="108"/>
      <c r="W1803" s="108"/>
      <c r="X1803" s="108"/>
    </row>
    <row r="1804" spans="1:24" ht="30" x14ac:dyDescent="0.25">
      <c r="A1804" s="23" t="s">
        <v>6865</v>
      </c>
      <c r="B1804" s="59" t="s">
        <v>7498</v>
      </c>
      <c r="C1804" s="59" t="s">
        <v>409</v>
      </c>
      <c r="D1804" s="356" t="s">
        <v>6833</v>
      </c>
      <c r="E1804" s="356" t="s">
        <v>6858</v>
      </c>
      <c r="F1804" s="23" t="s">
        <v>6874</v>
      </c>
      <c r="G1804" s="59" t="s">
        <v>403</v>
      </c>
      <c r="H1804" s="353">
        <v>4600</v>
      </c>
      <c r="I1804" s="59"/>
      <c r="J1804" s="59" t="s">
        <v>7686</v>
      </c>
      <c r="K1804" s="20"/>
      <c r="L1804" s="20">
        <v>1</v>
      </c>
      <c r="M1804" s="357">
        <f t="shared" si="51"/>
        <v>4600</v>
      </c>
      <c r="N1804" s="411">
        <f>IFERROR((M1804/(VLOOKUP(B1804,'Data Pull Sheet'!$C:$H,6,FALSE))),"DC")</f>
        <v>1.3142857142857143E-4</v>
      </c>
      <c r="O1804" s="23" t="s">
        <v>714</v>
      </c>
      <c r="P1804" s="18" t="s">
        <v>632</v>
      </c>
      <c r="Q1804" s="18" t="s">
        <v>637</v>
      </c>
      <c r="R1804" s="372" t="str">
        <f t="shared" si="50"/>
        <v/>
      </c>
      <c r="S1804" s="106"/>
      <c r="T1804" s="107"/>
      <c r="U1804" s="108"/>
      <c r="V1804" s="108"/>
      <c r="W1804" s="108"/>
      <c r="X1804" s="108"/>
    </row>
    <row r="1805" spans="1:24" ht="30" x14ac:dyDescent="0.25">
      <c r="A1805" s="23" t="s">
        <v>6865</v>
      </c>
      <c r="B1805" s="59" t="s">
        <v>7498</v>
      </c>
      <c r="C1805" s="59" t="s">
        <v>409</v>
      </c>
      <c r="D1805" s="356" t="s">
        <v>6833</v>
      </c>
      <c r="E1805" s="356" t="s">
        <v>6858</v>
      </c>
      <c r="F1805" s="23" t="s">
        <v>10803</v>
      </c>
      <c r="G1805" s="59" t="s">
        <v>403</v>
      </c>
      <c r="H1805" s="353">
        <v>133000</v>
      </c>
      <c r="I1805" s="59"/>
      <c r="J1805" s="59" t="s">
        <v>10804</v>
      </c>
      <c r="K1805" s="20"/>
      <c r="L1805" s="20">
        <v>1</v>
      </c>
      <c r="M1805" s="357">
        <f t="shared" si="51"/>
        <v>133000</v>
      </c>
      <c r="N1805" s="411">
        <f>IFERROR((M1805/(VLOOKUP(B1805,'Data Pull Sheet'!$C:$H,6,FALSE))),"DC")</f>
        <v>3.8E-3</v>
      </c>
      <c r="O1805" s="23" t="s">
        <v>10805</v>
      </c>
      <c r="P1805" s="18" t="s">
        <v>632</v>
      </c>
      <c r="Q1805" s="18" t="s">
        <v>637</v>
      </c>
      <c r="R1805" s="372" t="str">
        <f t="shared" si="50"/>
        <v/>
      </c>
      <c r="S1805" s="106"/>
      <c r="T1805" s="107"/>
      <c r="U1805" s="108"/>
      <c r="V1805" s="108"/>
      <c r="W1805" s="108"/>
      <c r="X1805" s="108"/>
    </row>
    <row r="1806" spans="1:24" x14ac:dyDescent="0.25">
      <c r="A1806" s="23" t="s">
        <v>6857</v>
      </c>
      <c r="B1806" s="59" t="s">
        <v>7538</v>
      </c>
      <c r="C1806" s="59" t="s">
        <v>1008</v>
      </c>
      <c r="D1806" s="356" t="s">
        <v>6833</v>
      </c>
      <c r="E1806" s="356" t="s">
        <v>6858</v>
      </c>
      <c r="F1806" s="23" t="s">
        <v>6859</v>
      </c>
      <c r="G1806" s="59" t="s">
        <v>403</v>
      </c>
      <c r="H1806" s="353">
        <v>114311.52</v>
      </c>
      <c r="I1806" s="59"/>
      <c r="J1806" s="59" t="s">
        <v>7656</v>
      </c>
      <c r="K1806" s="20">
        <v>3</v>
      </c>
      <c r="L1806" s="20">
        <v>1</v>
      </c>
      <c r="M1806" s="357">
        <f t="shared" si="51"/>
        <v>114311.52</v>
      </c>
      <c r="N1806" s="411">
        <f>IFERROR((M1806/(VLOOKUP(B1806,'Data Pull Sheet'!$C:$H,6,FALSE))),"DC")</f>
        <v>2.6584074418604654E-4</v>
      </c>
      <c r="O1806" s="23" t="s">
        <v>597</v>
      </c>
      <c r="P1806" s="18" t="s">
        <v>632</v>
      </c>
      <c r="Q1806" s="18" t="s">
        <v>637</v>
      </c>
      <c r="R1806" s="372" t="str">
        <f t="shared" si="50"/>
        <v/>
      </c>
      <c r="S1806" s="106"/>
      <c r="T1806" s="107"/>
      <c r="U1806" s="108"/>
      <c r="V1806" s="108"/>
      <c r="W1806" s="108"/>
      <c r="X1806" s="108"/>
    </row>
    <row r="1807" spans="1:24" x14ac:dyDescent="0.25">
      <c r="A1807" s="23" t="s">
        <v>6857</v>
      </c>
      <c r="B1807" s="59" t="s">
        <v>7538</v>
      </c>
      <c r="C1807" s="59" t="s">
        <v>1008</v>
      </c>
      <c r="D1807" s="356" t="s">
        <v>6833</v>
      </c>
      <c r="E1807" s="356" t="s">
        <v>6858</v>
      </c>
      <c r="F1807" s="23" t="s">
        <v>6860</v>
      </c>
      <c r="G1807" s="59" t="s">
        <v>403</v>
      </c>
      <c r="H1807" s="353">
        <v>6070</v>
      </c>
      <c r="I1807" s="59"/>
      <c r="J1807" s="59" t="s">
        <v>7677</v>
      </c>
      <c r="K1807" s="20"/>
      <c r="L1807" s="20">
        <v>4</v>
      </c>
      <c r="M1807" s="357">
        <f>SUM(H1807:H1810)</f>
        <v>29423</v>
      </c>
      <c r="N1807" s="411">
        <f>IFERROR((M1807/(VLOOKUP(B1807,'Data Pull Sheet'!$C:$H,6,FALSE))),"DC")</f>
        <v>6.8425581395348839E-5</v>
      </c>
      <c r="O1807" s="23" t="s">
        <v>554</v>
      </c>
      <c r="P1807" s="18" t="s">
        <v>632</v>
      </c>
      <c r="Q1807" s="18" t="s">
        <v>637</v>
      </c>
      <c r="R1807" s="372" t="str">
        <f t="shared" si="50"/>
        <v/>
      </c>
      <c r="S1807" s="106"/>
      <c r="T1807" s="107"/>
      <c r="U1807" s="108"/>
      <c r="V1807" s="108"/>
      <c r="W1807" s="108"/>
      <c r="X1807" s="108"/>
    </row>
    <row r="1808" spans="1:24" x14ac:dyDescent="0.25">
      <c r="A1808" s="23" t="s">
        <v>6857</v>
      </c>
      <c r="B1808" s="59" t="s">
        <v>7538</v>
      </c>
      <c r="C1808" s="59" t="s">
        <v>1008</v>
      </c>
      <c r="D1808" s="356" t="s">
        <v>6833</v>
      </c>
      <c r="E1808" s="356" t="s">
        <v>6858</v>
      </c>
      <c r="F1808" s="23" t="s">
        <v>6861</v>
      </c>
      <c r="G1808" s="59" t="s">
        <v>403</v>
      </c>
      <c r="H1808" s="353">
        <v>5175</v>
      </c>
      <c r="I1808" s="59"/>
      <c r="J1808" s="59" t="s">
        <v>7678</v>
      </c>
      <c r="K1808" s="20"/>
      <c r="L1808" s="20"/>
      <c r="M1808" s="357"/>
      <c r="N1808" s="411"/>
      <c r="O1808" s="23" t="s">
        <v>554</v>
      </c>
      <c r="P1808" s="18" t="s">
        <v>632</v>
      </c>
      <c r="Q1808" s="18" t="s">
        <v>637</v>
      </c>
      <c r="R1808" s="372" t="str">
        <f t="shared" si="50"/>
        <v/>
      </c>
      <c r="S1808" s="106"/>
      <c r="T1808" s="107"/>
      <c r="U1808" s="108"/>
      <c r="V1808" s="108"/>
      <c r="W1808" s="108"/>
      <c r="X1808" s="108"/>
    </row>
    <row r="1809" spans="1:24" x14ac:dyDescent="0.25">
      <c r="A1809" s="23" t="s">
        <v>6857</v>
      </c>
      <c r="B1809" s="59" t="s">
        <v>7538</v>
      </c>
      <c r="C1809" s="59" t="s">
        <v>1008</v>
      </c>
      <c r="D1809" s="356" t="s">
        <v>6833</v>
      </c>
      <c r="E1809" s="356" t="s">
        <v>6858</v>
      </c>
      <c r="F1809" s="23" t="s">
        <v>6862</v>
      </c>
      <c r="G1809" s="59" t="s">
        <v>403</v>
      </c>
      <c r="H1809" s="353">
        <v>11753</v>
      </c>
      <c r="I1809" s="59"/>
      <c r="J1809" s="59" t="s">
        <v>7679</v>
      </c>
      <c r="K1809" s="20"/>
      <c r="L1809" s="20"/>
      <c r="M1809" s="357"/>
      <c r="N1809" s="411"/>
      <c r="O1809" s="23" t="s">
        <v>554</v>
      </c>
      <c r="P1809" s="18" t="s">
        <v>632</v>
      </c>
      <c r="Q1809" s="18" t="s">
        <v>637</v>
      </c>
      <c r="R1809" s="372" t="str">
        <f t="shared" si="50"/>
        <v/>
      </c>
      <c r="S1809" s="106"/>
      <c r="T1809" s="107"/>
      <c r="U1809" s="108"/>
      <c r="V1809" s="108"/>
      <c r="W1809" s="108"/>
      <c r="X1809" s="108"/>
    </row>
    <row r="1810" spans="1:24" x14ac:dyDescent="0.25">
      <c r="A1810" s="23" t="s">
        <v>6857</v>
      </c>
      <c r="B1810" s="59" t="s">
        <v>7538</v>
      </c>
      <c r="C1810" s="59" t="s">
        <v>1008</v>
      </c>
      <c r="D1810" s="356" t="s">
        <v>6833</v>
      </c>
      <c r="E1810" s="356" t="s">
        <v>6858</v>
      </c>
      <c r="F1810" s="23" t="s">
        <v>6863</v>
      </c>
      <c r="G1810" s="59" t="s">
        <v>403</v>
      </c>
      <c r="H1810" s="353">
        <v>6425</v>
      </c>
      <c r="I1810" s="59"/>
      <c r="J1810" s="59" t="s">
        <v>7680</v>
      </c>
      <c r="K1810" s="20"/>
      <c r="L1810" s="20"/>
      <c r="M1810" s="357"/>
      <c r="N1810" s="411"/>
      <c r="O1810" s="23" t="s">
        <v>554</v>
      </c>
      <c r="P1810" s="18" t="s">
        <v>632</v>
      </c>
      <c r="Q1810" s="18" t="s">
        <v>637</v>
      </c>
      <c r="R1810" s="372" t="str">
        <f t="shared" si="50"/>
        <v/>
      </c>
      <c r="S1810" s="106"/>
      <c r="T1810" s="107"/>
      <c r="U1810" s="108"/>
      <c r="V1810" s="108"/>
      <c r="W1810" s="108"/>
      <c r="X1810" s="108"/>
    </row>
    <row r="1811" spans="1:24" x14ac:dyDescent="0.25">
      <c r="A1811" s="23" t="s">
        <v>6857</v>
      </c>
      <c r="B1811" s="59" t="s">
        <v>7538</v>
      </c>
      <c r="C1811" s="59" t="s">
        <v>1008</v>
      </c>
      <c r="D1811" s="356" t="s">
        <v>6833</v>
      </c>
      <c r="E1811" s="356" t="s">
        <v>6858</v>
      </c>
      <c r="F1811" s="23" t="s">
        <v>6864</v>
      </c>
      <c r="G1811" s="59" t="s">
        <v>403</v>
      </c>
      <c r="H1811" s="353">
        <v>31607.94</v>
      </c>
      <c r="I1811" s="59"/>
      <c r="J1811" s="59" t="s">
        <v>7655</v>
      </c>
      <c r="K1811" s="20"/>
      <c r="L1811" s="20">
        <v>1</v>
      </c>
      <c r="M1811" s="357">
        <f>H1811</f>
        <v>31607.94</v>
      </c>
      <c r="N1811" s="411">
        <f>IFERROR((M1811/(VLOOKUP(B1811,'Data Pull Sheet'!$C:$H,6,FALSE))),"DC")</f>
        <v>7.3506837209302316E-5</v>
      </c>
      <c r="O1811" s="23" t="s">
        <v>1583</v>
      </c>
      <c r="P1811" s="18" t="s">
        <v>632</v>
      </c>
      <c r="Q1811" s="18" t="s">
        <v>637</v>
      </c>
      <c r="R1811" s="372" t="str">
        <f t="shared" si="50"/>
        <v/>
      </c>
      <c r="S1811" s="106"/>
      <c r="T1811" s="107"/>
      <c r="U1811" s="108"/>
      <c r="V1811" s="108"/>
      <c r="W1811" s="108"/>
      <c r="X1811" s="108"/>
    </row>
    <row r="1812" spans="1:24" x14ac:dyDescent="0.25">
      <c r="A1812" s="23" t="s">
        <v>6844</v>
      </c>
      <c r="B1812" s="59" t="s">
        <v>7513</v>
      </c>
      <c r="C1812" s="59" t="s">
        <v>1008</v>
      </c>
      <c r="D1812" s="356" t="s">
        <v>6845</v>
      </c>
      <c r="E1812" s="356" t="s">
        <v>6834</v>
      </c>
      <c r="F1812" s="23" t="s">
        <v>6835</v>
      </c>
      <c r="G1812" s="59" t="s">
        <v>403</v>
      </c>
      <c r="H1812" s="353">
        <v>11114</v>
      </c>
      <c r="I1812" s="59" t="s">
        <v>2613</v>
      </c>
      <c r="J1812" s="59" t="s">
        <v>7666</v>
      </c>
      <c r="K1812" s="20">
        <v>3</v>
      </c>
      <c r="L1812" s="20">
        <v>1</v>
      </c>
      <c r="M1812" s="357">
        <f>H1812</f>
        <v>11114</v>
      </c>
      <c r="N1812" s="411">
        <f>IFERROR((M1812/(VLOOKUP(B1812,'Data Pull Sheet'!$C:$H,6,FALSE))),"DC")</f>
        <v>5.7585492227979274E-5</v>
      </c>
      <c r="O1812" s="23" t="s">
        <v>6837</v>
      </c>
      <c r="P1812" s="18" t="s">
        <v>632</v>
      </c>
      <c r="Q1812" s="18" t="s">
        <v>637</v>
      </c>
      <c r="R1812" s="372" t="str">
        <f t="shared" si="50"/>
        <v>FF</v>
      </c>
      <c r="S1812" s="106"/>
      <c r="T1812" s="107"/>
      <c r="U1812" s="108"/>
      <c r="V1812" s="108"/>
      <c r="W1812" s="108"/>
      <c r="X1812" s="108"/>
    </row>
    <row r="1813" spans="1:24" ht="30" x14ac:dyDescent="0.25">
      <c r="A1813" s="23" t="s">
        <v>6844</v>
      </c>
      <c r="B1813" s="59" t="s">
        <v>7513</v>
      </c>
      <c r="C1813" s="59" t="s">
        <v>1008</v>
      </c>
      <c r="D1813" s="356" t="s">
        <v>6845</v>
      </c>
      <c r="E1813" s="356" t="s">
        <v>6834</v>
      </c>
      <c r="F1813" s="23" t="s">
        <v>6847</v>
      </c>
      <c r="G1813" s="59" t="s">
        <v>403</v>
      </c>
      <c r="H1813" s="353">
        <v>37042</v>
      </c>
      <c r="I1813" s="59"/>
      <c r="J1813" s="59" t="s">
        <v>7668</v>
      </c>
      <c r="K1813" s="20"/>
      <c r="L1813" s="20">
        <v>2</v>
      </c>
      <c r="M1813" s="357">
        <f>SUM(H1813:H1814)</f>
        <v>67395.5</v>
      </c>
      <c r="N1813" s="411">
        <f>IFERROR((M1813/(VLOOKUP(B1813,'Data Pull Sheet'!$C:$H,6,FALSE))),"DC")</f>
        <v>3.4919948186528499E-4</v>
      </c>
      <c r="O1813" s="23" t="s">
        <v>11188</v>
      </c>
      <c r="P1813" s="18" t="s">
        <v>632</v>
      </c>
      <c r="Q1813" s="18" t="s">
        <v>646</v>
      </c>
      <c r="R1813" s="372" t="str">
        <f t="shared" si="50"/>
        <v/>
      </c>
      <c r="S1813" s="106"/>
      <c r="T1813" s="107"/>
      <c r="U1813" s="108"/>
      <c r="V1813" s="108"/>
      <c r="W1813" s="108"/>
      <c r="X1813" s="108"/>
    </row>
    <row r="1814" spans="1:24" ht="30" x14ac:dyDescent="0.25">
      <c r="A1814" s="23" t="s">
        <v>6844</v>
      </c>
      <c r="B1814" s="59" t="s">
        <v>7513</v>
      </c>
      <c r="C1814" s="59" t="s">
        <v>1008</v>
      </c>
      <c r="D1814" s="356" t="s">
        <v>6845</v>
      </c>
      <c r="E1814" s="356" t="s">
        <v>6834</v>
      </c>
      <c r="F1814" s="23" t="s">
        <v>6848</v>
      </c>
      <c r="G1814" s="59" t="s">
        <v>403</v>
      </c>
      <c r="H1814" s="353">
        <v>30353.5</v>
      </c>
      <c r="I1814" s="59"/>
      <c r="J1814" s="59" t="s">
        <v>7670</v>
      </c>
      <c r="K1814" s="20"/>
      <c r="L1814" s="20"/>
      <c r="M1814" s="357"/>
      <c r="N1814" s="411"/>
      <c r="O1814" s="23" t="s">
        <v>11188</v>
      </c>
      <c r="P1814" s="18" t="s">
        <v>632</v>
      </c>
      <c r="Q1814" s="18" t="s">
        <v>646</v>
      </c>
      <c r="R1814" s="372" t="str">
        <f t="shared" si="50"/>
        <v/>
      </c>
      <c r="S1814" s="106"/>
      <c r="T1814" s="107"/>
      <c r="U1814" s="108"/>
      <c r="V1814" s="108"/>
      <c r="W1814" s="108"/>
      <c r="X1814" s="108"/>
    </row>
    <row r="1815" spans="1:24" ht="30" x14ac:dyDescent="0.25">
      <c r="A1815" s="23" t="s">
        <v>6844</v>
      </c>
      <c r="B1815" s="59" t="s">
        <v>7513</v>
      </c>
      <c r="C1815" s="59" t="s">
        <v>1008</v>
      </c>
      <c r="D1815" s="356" t="s">
        <v>6845</v>
      </c>
      <c r="E1815" s="356" t="s">
        <v>6834</v>
      </c>
      <c r="F1815" s="23" t="s">
        <v>6849</v>
      </c>
      <c r="G1815" s="59" t="s">
        <v>403</v>
      </c>
      <c r="H1815" s="353">
        <v>53852</v>
      </c>
      <c r="I1815" s="59"/>
      <c r="J1815" s="59" t="s">
        <v>7669</v>
      </c>
      <c r="K1815" s="20"/>
      <c r="L1815" s="20">
        <v>4</v>
      </c>
      <c r="M1815" s="357">
        <f>SUM(H1815:H1818)</f>
        <v>91654</v>
      </c>
      <c r="N1815" s="411">
        <f>IFERROR((M1815/(VLOOKUP(B1815,'Data Pull Sheet'!$C:$H,6,FALSE))),"DC")</f>
        <v>4.7489119170984458E-4</v>
      </c>
      <c r="O1815" s="23" t="s">
        <v>1169</v>
      </c>
      <c r="P1815" s="18" t="s">
        <v>632</v>
      </c>
      <c r="Q1815" s="18" t="s">
        <v>646</v>
      </c>
      <c r="R1815" s="372" t="str">
        <f t="shared" si="50"/>
        <v/>
      </c>
      <c r="S1815" s="106"/>
      <c r="T1815" s="107"/>
      <c r="U1815" s="108"/>
      <c r="V1815" s="108"/>
      <c r="W1815" s="108"/>
      <c r="X1815" s="108"/>
    </row>
    <row r="1816" spans="1:24" ht="30" x14ac:dyDescent="0.25">
      <c r="A1816" s="23" t="s">
        <v>6844</v>
      </c>
      <c r="B1816" s="59" t="s">
        <v>7513</v>
      </c>
      <c r="C1816" s="59" t="s">
        <v>1008</v>
      </c>
      <c r="D1816" s="356" t="s">
        <v>6845</v>
      </c>
      <c r="E1816" s="356" t="s">
        <v>6834</v>
      </c>
      <c r="F1816" s="23" t="s">
        <v>6850</v>
      </c>
      <c r="G1816" s="59" t="s">
        <v>403</v>
      </c>
      <c r="H1816" s="353">
        <v>22617</v>
      </c>
      <c r="I1816" s="59"/>
      <c r="J1816" s="59" t="s">
        <v>7671</v>
      </c>
      <c r="K1816" s="20"/>
      <c r="L1816" s="20"/>
      <c r="M1816" s="357"/>
      <c r="N1816" s="411"/>
      <c r="O1816" s="23" t="s">
        <v>1169</v>
      </c>
      <c r="P1816" s="18" t="s">
        <v>632</v>
      </c>
      <c r="Q1816" s="18" t="s">
        <v>646</v>
      </c>
      <c r="R1816" s="372" t="str">
        <f t="shared" si="50"/>
        <v>FF</v>
      </c>
      <c r="S1816" s="106"/>
      <c r="T1816" s="107"/>
      <c r="U1816" s="108"/>
      <c r="V1816" s="108"/>
      <c r="W1816" s="108"/>
      <c r="X1816" s="108"/>
    </row>
    <row r="1817" spans="1:24" ht="30" x14ac:dyDescent="0.25">
      <c r="A1817" s="23" t="s">
        <v>6844</v>
      </c>
      <c r="B1817" s="59" t="s">
        <v>7513</v>
      </c>
      <c r="C1817" s="59" t="s">
        <v>1008</v>
      </c>
      <c r="D1817" s="356" t="s">
        <v>6845</v>
      </c>
      <c r="E1817" s="356" t="s">
        <v>6834</v>
      </c>
      <c r="F1817" s="23" t="s">
        <v>6852</v>
      </c>
      <c r="G1817" s="59" t="s">
        <v>403</v>
      </c>
      <c r="H1817" s="353">
        <v>13289</v>
      </c>
      <c r="I1817" s="59"/>
      <c r="J1817" s="59" t="s">
        <v>7672</v>
      </c>
      <c r="K1817" s="20"/>
      <c r="L1817" s="20"/>
      <c r="M1817" s="357"/>
      <c r="N1817" s="411"/>
      <c r="O1817" s="23" t="s">
        <v>1169</v>
      </c>
      <c r="P1817" s="18" t="s">
        <v>632</v>
      </c>
      <c r="Q1817" s="18" t="s">
        <v>646</v>
      </c>
      <c r="R1817" s="372" t="str">
        <f t="shared" si="50"/>
        <v/>
      </c>
      <c r="S1817" s="106"/>
      <c r="T1817" s="107"/>
      <c r="U1817" s="108"/>
      <c r="V1817" s="108"/>
      <c r="W1817" s="108"/>
      <c r="X1817" s="108"/>
    </row>
    <row r="1818" spans="1:24" ht="30" x14ac:dyDescent="0.25">
      <c r="A1818" s="23" t="s">
        <v>6844</v>
      </c>
      <c r="B1818" s="59" t="s">
        <v>7513</v>
      </c>
      <c r="C1818" s="59" t="s">
        <v>1008</v>
      </c>
      <c r="D1818" s="356" t="s">
        <v>6845</v>
      </c>
      <c r="E1818" s="356" t="s">
        <v>6834</v>
      </c>
      <c r="F1818" s="23" t="s">
        <v>6853</v>
      </c>
      <c r="G1818" s="59" t="s">
        <v>403</v>
      </c>
      <c r="H1818" s="353">
        <v>1896</v>
      </c>
      <c r="I1818" s="59"/>
      <c r="J1818" s="59" t="s">
        <v>7673</v>
      </c>
      <c r="K1818" s="20"/>
      <c r="L1818" s="20"/>
      <c r="M1818" s="357"/>
      <c r="N1818" s="411"/>
      <c r="O1818" s="23" t="s">
        <v>1169</v>
      </c>
      <c r="P1818" s="18" t="s">
        <v>632</v>
      </c>
      <c r="Q1818" s="18" t="s">
        <v>646</v>
      </c>
      <c r="R1818" s="372" t="str">
        <f t="shared" si="50"/>
        <v/>
      </c>
      <c r="S1818" s="106"/>
      <c r="T1818" s="107"/>
      <c r="U1818" s="108"/>
      <c r="V1818" s="108"/>
      <c r="W1818" s="108"/>
      <c r="X1818" s="108"/>
    </row>
    <row r="1819" spans="1:24" ht="30" x14ac:dyDescent="0.25">
      <c r="A1819" s="23" t="s">
        <v>6854</v>
      </c>
      <c r="B1819" s="59" t="s">
        <v>7579</v>
      </c>
      <c r="C1819" s="59" t="s">
        <v>431</v>
      </c>
      <c r="D1819" s="356" t="s">
        <v>6845</v>
      </c>
      <c r="E1819" s="356" t="s">
        <v>6834</v>
      </c>
      <c r="F1819" s="23" t="s">
        <v>6855</v>
      </c>
      <c r="G1819" s="59" t="s">
        <v>417</v>
      </c>
      <c r="H1819" s="353">
        <v>224684.76</v>
      </c>
      <c r="I1819" s="59"/>
      <c r="J1819" s="59" t="s">
        <v>7674</v>
      </c>
      <c r="K1819" s="20">
        <v>1</v>
      </c>
      <c r="L1819" s="20">
        <v>2</v>
      </c>
      <c r="M1819" s="357">
        <f>SUM(H1819:H1820)</f>
        <v>558071.72</v>
      </c>
      <c r="N1819" s="411">
        <f>IFERROR((M1819/(VLOOKUP(B1819,'Data Pull Sheet'!$C:$H,6,FALSE))),"DC")</f>
        <v>3.7204781333333332E-3</v>
      </c>
      <c r="O1819" s="23" t="s">
        <v>11073</v>
      </c>
      <c r="P1819" s="18" t="s">
        <v>676</v>
      </c>
      <c r="Q1819" s="18" t="s">
        <v>633</v>
      </c>
      <c r="R1819" s="372" t="str">
        <f t="shared" si="50"/>
        <v/>
      </c>
      <c r="S1819" s="106"/>
      <c r="T1819" s="107"/>
      <c r="U1819" s="108"/>
      <c r="V1819" s="108"/>
      <c r="W1819" s="108"/>
      <c r="X1819" s="108"/>
    </row>
    <row r="1820" spans="1:24" ht="30" x14ac:dyDescent="0.25">
      <c r="A1820" s="23" t="s">
        <v>6854</v>
      </c>
      <c r="B1820" s="59" t="s">
        <v>7579</v>
      </c>
      <c r="C1820" s="59" t="s">
        <v>431</v>
      </c>
      <c r="D1820" s="356" t="s">
        <v>6845</v>
      </c>
      <c r="E1820" s="356" t="s">
        <v>6834</v>
      </c>
      <c r="F1820" s="23" t="s">
        <v>6856</v>
      </c>
      <c r="G1820" s="59" t="s">
        <v>417</v>
      </c>
      <c r="H1820" s="353">
        <v>333386.96000000002</v>
      </c>
      <c r="I1820" s="59"/>
      <c r="J1820" s="59" t="s">
        <v>7675</v>
      </c>
      <c r="K1820" s="20"/>
      <c r="L1820" s="20"/>
      <c r="M1820" s="357"/>
      <c r="N1820" s="411"/>
      <c r="O1820" s="23" t="s">
        <v>11073</v>
      </c>
      <c r="P1820" s="18" t="s">
        <v>676</v>
      </c>
      <c r="Q1820" s="18" t="s">
        <v>633</v>
      </c>
      <c r="R1820" s="372" t="str">
        <f t="shared" si="50"/>
        <v/>
      </c>
      <c r="S1820" s="106"/>
      <c r="T1820" s="107"/>
      <c r="U1820" s="108"/>
      <c r="V1820" s="108"/>
      <c r="W1820" s="108"/>
      <c r="X1820" s="108"/>
    </row>
    <row r="1821" spans="1:24" x14ac:dyDescent="0.25">
      <c r="A1821" s="23" t="s">
        <v>6832</v>
      </c>
      <c r="B1821" s="59" t="s">
        <v>7620</v>
      </c>
      <c r="C1821" s="59" t="s">
        <v>418</v>
      </c>
      <c r="D1821" s="356" t="s">
        <v>6833</v>
      </c>
      <c r="E1821" s="356" t="s">
        <v>6834</v>
      </c>
      <c r="F1821" s="23" t="s">
        <v>6835</v>
      </c>
      <c r="G1821" s="59" t="s">
        <v>403</v>
      </c>
      <c r="H1821" s="353">
        <v>5128</v>
      </c>
      <c r="I1821" s="59" t="s">
        <v>2613</v>
      </c>
      <c r="J1821" s="59" t="s">
        <v>7654</v>
      </c>
      <c r="K1821" s="20">
        <v>3</v>
      </c>
      <c r="L1821" s="20">
        <v>1</v>
      </c>
      <c r="M1821" s="357">
        <f>H1821</f>
        <v>5128</v>
      </c>
      <c r="N1821" s="411">
        <f>IFERROR((M1821/(VLOOKUP(B1821,'Data Pull Sheet'!$C:$H,6,FALSE))),"DC")</f>
        <v>9.4962962962962957E-6</v>
      </c>
      <c r="O1821" s="23" t="s">
        <v>6837</v>
      </c>
      <c r="P1821" s="18" t="s">
        <v>632</v>
      </c>
      <c r="Q1821" s="18" t="s">
        <v>637</v>
      </c>
      <c r="R1821" s="372" t="str">
        <f t="shared" si="50"/>
        <v>FF</v>
      </c>
      <c r="S1821" s="106"/>
      <c r="T1821" s="107"/>
      <c r="U1821" s="108"/>
      <c r="V1821" s="108"/>
      <c r="W1821" s="108"/>
      <c r="X1821" s="108"/>
    </row>
    <row r="1822" spans="1:24" x14ac:dyDescent="0.25">
      <c r="A1822" s="23" t="s">
        <v>6832</v>
      </c>
      <c r="B1822" s="59" t="s">
        <v>7620</v>
      </c>
      <c r="C1822" s="59" t="s">
        <v>418</v>
      </c>
      <c r="D1822" s="356" t="s">
        <v>6833</v>
      </c>
      <c r="E1822" s="356" t="s">
        <v>6834</v>
      </c>
      <c r="F1822" s="23" t="s">
        <v>6838</v>
      </c>
      <c r="G1822" s="59" t="s">
        <v>403</v>
      </c>
      <c r="H1822" s="353" t="s">
        <v>10798</v>
      </c>
      <c r="I1822" s="59"/>
      <c r="J1822" s="59" t="s">
        <v>7660</v>
      </c>
      <c r="K1822" s="20"/>
      <c r="L1822" s="20">
        <v>4</v>
      </c>
      <c r="M1822" s="357" t="str">
        <f>+H1822</f>
        <v>NA</v>
      </c>
      <c r="N1822" s="411" t="str">
        <f>IFERROR((M1822/(VLOOKUP(B1822,'Data Pull Sheet'!$C:$H,6,FALSE))),"DC")</f>
        <v>DC</v>
      </c>
      <c r="O1822" s="23" t="s">
        <v>10822</v>
      </c>
      <c r="P1822" s="18" t="s">
        <v>632</v>
      </c>
      <c r="Q1822" s="18" t="s">
        <v>662</v>
      </c>
      <c r="R1822" s="372" t="str">
        <f t="shared" si="50"/>
        <v/>
      </c>
      <c r="S1822" s="106"/>
      <c r="T1822" s="107"/>
      <c r="U1822" s="108"/>
      <c r="V1822" s="108"/>
      <c r="W1822" s="108"/>
      <c r="X1822" s="108"/>
    </row>
    <row r="1823" spans="1:24" x14ac:dyDescent="0.25">
      <c r="A1823" s="23" t="s">
        <v>6832</v>
      </c>
      <c r="B1823" s="59" t="s">
        <v>7620</v>
      </c>
      <c r="C1823" s="59" t="s">
        <v>418</v>
      </c>
      <c r="D1823" s="356" t="s">
        <v>6833</v>
      </c>
      <c r="E1823" s="356" t="s">
        <v>6834</v>
      </c>
      <c r="F1823" s="23" t="s">
        <v>6839</v>
      </c>
      <c r="G1823" s="59" t="s">
        <v>403</v>
      </c>
      <c r="H1823" s="353" t="s">
        <v>10798</v>
      </c>
      <c r="I1823" s="59"/>
      <c r="J1823" s="59" t="s">
        <v>7661</v>
      </c>
      <c r="K1823" s="20"/>
      <c r="L1823" s="20"/>
      <c r="M1823" s="357"/>
      <c r="N1823" s="411"/>
      <c r="O1823" s="23" t="s">
        <v>10822</v>
      </c>
      <c r="P1823" s="18" t="s">
        <v>632</v>
      </c>
      <c r="Q1823" s="18" t="s">
        <v>662</v>
      </c>
      <c r="R1823" s="372" t="str">
        <f t="shared" si="50"/>
        <v/>
      </c>
      <c r="S1823" s="106"/>
      <c r="T1823" s="107"/>
      <c r="U1823" s="108"/>
      <c r="V1823" s="108"/>
      <c r="W1823" s="108"/>
      <c r="X1823" s="108"/>
    </row>
    <row r="1824" spans="1:24" x14ac:dyDescent="0.25">
      <c r="A1824" s="23" t="s">
        <v>6832</v>
      </c>
      <c r="B1824" s="59" t="s">
        <v>7620</v>
      </c>
      <c r="C1824" s="59" t="s">
        <v>418</v>
      </c>
      <c r="D1824" s="356" t="s">
        <v>6833</v>
      </c>
      <c r="E1824" s="356" t="s">
        <v>6834</v>
      </c>
      <c r="F1824" s="23" t="s">
        <v>6840</v>
      </c>
      <c r="G1824" s="59" t="s">
        <v>417</v>
      </c>
      <c r="H1824" s="353" t="s">
        <v>10798</v>
      </c>
      <c r="I1824" s="59"/>
      <c r="J1824" s="59" t="s">
        <v>7662</v>
      </c>
      <c r="K1824" s="20"/>
      <c r="L1824" s="20"/>
      <c r="M1824" s="357"/>
      <c r="N1824" s="411"/>
      <c r="O1824" s="23" t="s">
        <v>10822</v>
      </c>
      <c r="P1824" s="18" t="s">
        <v>632</v>
      </c>
      <c r="Q1824" s="18" t="s">
        <v>662</v>
      </c>
      <c r="R1824" s="372" t="str">
        <f t="shared" si="50"/>
        <v/>
      </c>
      <c r="S1824" s="106"/>
      <c r="T1824" s="107"/>
      <c r="U1824" s="108"/>
      <c r="V1824" s="108"/>
      <c r="W1824" s="108"/>
      <c r="X1824" s="108"/>
    </row>
    <row r="1825" spans="1:24" x14ac:dyDescent="0.25">
      <c r="A1825" s="23" t="s">
        <v>6832</v>
      </c>
      <c r="B1825" s="59" t="s">
        <v>7620</v>
      </c>
      <c r="C1825" s="59" t="s">
        <v>418</v>
      </c>
      <c r="D1825" s="356" t="s">
        <v>6833</v>
      </c>
      <c r="E1825" s="356" t="s">
        <v>6834</v>
      </c>
      <c r="F1825" s="23" t="s">
        <v>6841</v>
      </c>
      <c r="G1825" s="59" t="s">
        <v>403</v>
      </c>
      <c r="H1825" s="353" t="s">
        <v>10798</v>
      </c>
      <c r="I1825" s="59"/>
      <c r="J1825" s="59" t="s">
        <v>7663</v>
      </c>
      <c r="K1825" s="20"/>
      <c r="L1825" s="20"/>
      <c r="M1825" s="357"/>
      <c r="N1825" s="411"/>
      <c r="O1825" s="23" t="s">
        <v>10822</v>
      </c>
      <c r="P1825" s="18" t="s">
        <v>632</v>
      </c>
      <c r="Q1825" s="18" t="s">
        <v>662</v>
      </c>
      <c r="R1825" s="372" t="str">
        <f t="shared" si="50"/>
        <v/>
      </c>
      <c r="S1825" s="106"/>
      <c r="T1825" s="107"/>
      <c r="U1825" s="108"/>
      <c r="V1825" s="108"/>
      <c r="W1825" s="108"/>
      <c r="X1825" s="108"/>
    </row>
    <row r="1826" spans="1:24" ht="30" x14ac:dyDescent="0.25">
      <c r="A1826" s="23" t="s">
        <v>6832</v>
      </c>
      <c r="B1826" s="59" t="s">
        <v>7620</v>
      </c>
      <c r="C1826" s="59" t="s">
        <v>418</v>
      </c>
      <c r="D1826" s="356" t="s">
        <v>6833</v>
      </c>
      <c r="E1826" s="356" t="s">
        <v>6834</v>
      </c>
      <c r="F1826" s="23" t="s">
        <v>6842</v>
      </c>
      <c r="G1826" s="59" t="s">
        <v>403</v>
      </c>
      <c r="H1826" s="353">
        <v>64123.26</v>
      </c>
      <c r="I1826" s="59"/>
      <c r="J1826" s="59" t="s">
        <v>7664</v>
      </c>
      <c r="K1826" s="20"/>
      <c r="L1826" s="20">
        <v>2</v>
      </c>
      <c r="M1826" s="357">
        <f>SUM(H1826:H1827)</f>
        <v>299241.86</v>
      </c>
      <c r="N1826" s="411">
        <f>IFERROR((M1826/(VLOOKUP(B1826,'Data Pull Sheet'!$C:$H,6,FALSE))),"DC")</f>
        <v>5.5415159259259252E-4</v>
      </c>
      <c r="O1826" s="23" t="s">
        <v>1002</v>
      </c>
      <c r="P1826" s="18" t="s">
        <v>632</v>
      </c>
      <c r="Q1826" s="18" t="s">
        <v>646</v>
      </c>
      <c r="R1826" s="372" t="str">
        <f t="shared" si="50"/>
        <v/>
      </c>
      <c r="S1826" s="106"/>
      <c r="T1826" s="107"/>
      <c r="U1826" s="108"/>
      <c r="V1826" s="108"/>
      <c r="W1826" s="108"/>
      <c r="X1826" s="108"/>
    </row>
    <row r="1827" spans="1:24" ht="30" x14ac:dyDescent="0.25">
      <c r="A1827" s="23" t="s">
        <v>6832</v>
      </c>
      <c r="B1827" s="59" t="s">
        <v>7620</v>
      </c>
      <c r="C1827" s="59" t="s">
        <v>418</v>
      </c>
      <c r="D1827" s="356" t="s">
        <v>6833</v>
      </c>
      <c r="E1827" s="356" t="s">
        <v>6834</v>
      </c>
      <c r="F1827" s="23" t="s">
        <v>6843</v>
      </c>
      <c r="G1827" s="59" t="s">
        <v>403</v>
      </c>
      <c r="H1827" s="353">
        <v>235118.6</v>
      </c>
      <c r="I1827" s="59"/>
      <c r="J1827" s="59" t="s">
        <v>7665</v>
      </c>
      <c r="K1827" s="20"/>
      <c r="L1827" s="20"/>
      <c r="M1827" s="357"/>
      <c r="N1827" s="411"/>
      <c r="O1827" s="23" t="s">
        <v>1002</v>
      </c>
      <c r="P1827" s="18" t="s">
        <v>632</v>
      </c>
      <c r="Q1827" s="18" t="s">
        <v>646</v>
      </c>
      <c r="R1827" s="372" t="str">
        <f t="shared" si="50"/>
        <v/>
      </c>
      <c r="S1827" s="106"/>
      <c r="T1827" s="107"/>
      <c r="U1827" s="108"/>
      <c r="V1827" s="108"/>
      <c r="W1827" s="108"/>
      <c r="X1827" s="108"/>
    </row>
    <row r="1828" spans="1:24" x14ac:dyDescent="0.25">
      <c r="A1828" s="23" t="s">
        <v>6808</v>
      </c>
      <c r="B1828" s="59" t="s">
        <v>7522</v>
      </c>
      <c r="C1828" s="59" t="s">
        <v>457</v>
      </c>
      <c r="D1828" s="356" t="s">
        <v>6809</v>
      </c>
      <c r="E1828" s="356" t="s">
        <v>6810</v>
      </c>
      <c r="F1828" s="23" t="s">
        <v>1795</v>
      </c>
      <c r="G1828" s="59" t="s">
        <v>403</v>
      </c>
      <c r="H1828" s="353">
        <v>150714.70000000001</v>
      </c>
      <c r="I1828" s="59"/>
      <c r="J1828" s="59" t="s">
        <v>7643</v>
      </c>
      <c r="K1828" s="20">
        <v>5</v>
      </c>
      <c r="L1828" s="20">
        <v>4</v>
      </c>
      <c r="M1828" s="357">
        <f>SUM(H1828:H1831)</f>
        <v>403930.08999999997</v>
      </c>
      <c r="N1828" s="411">
        <f>IFERROR((M1828/(VLOOKUP(B1828,'Data Pull Sheet'!$C:$H,6,FALSE))),"DC")</f>
        <v>2.9920747407407404E-3</v>
      </c>
      <c r="O1828" s="23" t="s">
        <v>63</v>
      </c>
      <c r="P1828" s="18" t="s">
        <v>632</v>
      </c>
      <c r="Q1828" s="18" t="s">
        <v>646</v>
      </c>
      <c r="R1828" s="372" t="str">
        <f t="shared" si="50"/>
        <v>FF</v>
      </c>
      <c r="S1828" s="106"/>
      <c r="T1828" s="107"/>
      <c r="U1828" s="108"/>
      <c r="V1828" s="108"/>
      <c r="W1828" s="108"/>
      <c r="X1828" s="108"/>
    </row>
    <row r="1829" spans="1:24" x14ac:dyDescent="0.25">
      <c r="A1829" s="23" t="s">
        <v>6808</v>
      </c>
      <c r="B1829" s="59" t="s">
        <v>7522</v>
      </c>
      <c r="C1829" s="59" t="s">
        <v>457</v>
      </c>
      <c r="D1829" s="356" t="s">
        <v>6809</v>
      </c>
      <c r="E1829" s="356" t="s">
        <v>6810</v>
      </c>
      <c r="F1829" s="23" t="s">
        <v>6812</v>
      </c>
      <c r="G1829" s="59" t="s">
        <v>403</v>
      </c>
      <c r="H1829" s="353">
        <v>85692</v>
      </c>
      <c r="I1829" s="59"/>
      <c r="J1829" s="59" t="s">
        <v>7642</v>
      </c>
      <c r="K1829" s="20"/>
      <c r="L1829" s="20"/>
      <c r="M1829" s="357"/>
      <c r="N1829" s="411"/>
      <c r="O1829" s="23" t="s">
        <v>63</v>
      </c>
      <c r="P1829" s="18" t="s">
        <v>632</v>
      </c>
      <c r="Q1829" s="18" t="s">
        <v>646</v>
      </c>
      <c r="R1829" s="372" t="str">
        <f t="shared" si="50"/>
        <v/>
      </c>
      <c r="S1829" s="106"/>
      <c r="T1829" s="107"/>
      <c r="U1829" s="108"/>
      <c r="V1829" s="108"/>
      <c r="W1829" s="108"/>
      <c r="X1829" s="108"/>
    </row>
    <row r="1830" spans="1:24" x14ac:dyDescent="0.25">
      <c r="A1830" s="23" t="s">
        <v>6808</v>
      </c>
      <c r="B1830" s="59" t="s">
        <v>7522</v>
      </c>
      <c r="C1830" s="59" t="s">
        <v>457</v>
      </c>
      <c r="D1830" s="356" t="s">
        <v>6809</v>
      </c>
      <c r="E1830" s="356" t="s">
        <v>6810</v>
      </c>
      <c r="F1830" s="23" t="s">
        <v>1798</v>
      </c>
      <c r="G1830" s="59" t="s">
        <v>403</v>
      </c>
      <c r="H1830" s="353">
        <v>77974.61</v>
      </c>
      <c r="I1830" s="59"/>
      <c r="J1830" s="59" t="s">
        <v>7644</v>
      </c>
      <c r="K1830" s="20"/>
      <c r="L1830" s="20"/>
      <c r="M1830" s="357"/>
      <c r="N1830" s="411"/>
      <c r="O1830" s="23" t="s">
        <v>63</v>
      </c>
      <c r="P1830" s="18" t="s">
        <v>632</v>
      </c>
      <c r="Q1830" s="18" t="s">
        <v>646</v>
      </c>
      <c r="R1830" s="372" t="str">
        <f t="shared" si="50"/>
        <v>FF</v>
      </c>
      <c r="S1830" s="106"/>
      <c r="T1830" s="107"/>
      <c r="U1830" s="108"/>
      <c r="V1830" s="108"/>
      <c r="W1830" s="108"/>
      <c r="X1830" s="108"/>
    </row>
    <row r="1831" spans="1:24" x14ac:dyDescent="0.25">
      <c r="A1831" s="23" t="s">
        <v>6808</v>
      </c>
      <c r="B1831" s="59" t="s">
        <v>7522</v>
      </c>
      <c r="C1831" s="59" t="s">
        <v>457</v>
      </c>
      <c r="D1831" s="356" t="s">
        <v>6809</v>
      </c>
      <c r="E1831" s="356" t="s">
        <v>6810</v>
      </c>
      <c r="F1831" s="23" t="s">
        <v>6814</v>
      </c>
      <c r="G1831" s="59" t="s">
        <v>403</v>
      </c>
      <c r="H1831" s="353">
        <v>89548.78</v>
      </c>
      <c r="I1831" s="59"/>
      <c r="J1831" s="59" t="s">
        <v>7645</v>
      </c>
      <c r="K1831" s="20"/>
      <c r="L1831" s="20"/>
      <c r="M1831" s="357"/>
      <c r="N1831" s="411"/>
      <c r="O1831" s="23" t="s">
        <v>63</v>
      </c>
      <c r="P1831" s="18" t="s">
        <v>632</v>
      </c>
      <c r="Q1831" s="18" t="s">
        <v>646</v>
      </c>
      <c r="R1831" s="372" t="str">
        <f t="shared" si="50"/>
        <v>FF</v>
      </c>
      <c r="S1831" s="106"/>
      <c r="T1831" s="107"/>
      <c r="U1831" s="108"/>
      <c r="V1831" s="108"/>
      <c r="W1831" s="108"/>
      <c r="X1831" s="108"/>
    </row>
    <row r="1832" spans="1:24" ht="30" x14ac:dyDescent="0.25">
      <c r="A1832" s="23" t="s">
        <v>6808</v>
      </c>
      <c r="B1832" s="59" t="s">
        <v>7522</v>
      </c>
      <c r="C1832" s="59" t="s">
        <v>457</v>
      </c>
      <c r="D1832" s="356" t="s">
        <v>6809</v>
      </c>
      <c r="E1832" s="356" t="s">
        <v>6810</v>
      </c>
      <c r="F1832" s="23" t="s">
        <v>3361</v>
      </c>
      <c r="G1832" s="59" t="s">
        <v>417</v>
      </c>
      <c r="H1832" s="353">
        <v>143025.57</v>
      </c>
      <c r="I1832" s="59"/>
      <c r="J1832" s="59" t="s">
        <v>7646</v>
      </c>
      <c r="K1832" s="20"/>
      <c r="L1832" s="20">
        <v>1</v>
      </c>
      <c r="M1832" s="357">
        <f>H1832</f>
        <v>143025.57</v>
      </c>
      <c r="N1832" s="411">
        <f>IFERROR((M1832/(VLOOKUP(B1832,'Data Pull Sheet'!$C:$H,6,FALSE))),"DC")</f>
        <v>1.0594486666666667E-3</v>
      </c>
      <c r="O1832" s="23" t="s">
        <v>993</v>
      </c>
      <c r="P1832" s="18" t="s">
        <v>632</v>
      </c>
      <c r="Q1832" s="18" t="s">
        <v>633</v>
      </c>
      <c r="R1832" s="372" t="str">
        <f t="shared" si="50"/>
        <v>FF</v>
      </c>
      <c r="S1832" s="106"/>
      <c r="T1832" s="107"/>
      <c r="U1832" s="108"/>
      <c r="V1832" s="108"/>
      <c r="W1832" s="108"/>
      <c r="X1832" s="108"/>
    </row>
    <row r="1833" spans="1:24" x14ac:dyDescent="0.25">
      <c r="A1833" s="23" t="s">
        <v>6808</v>
      </c>
      <c r="B1833" s="59" t="s">
        <v>7522</v>
      </c>
      <c r="C1833" s="59" t="s">
        <v>457</v>
      </c>
      <c r="D1833" s="356" t="s">
        <v>6809</v>
      </c>
      <c r="E1833" s="356" t="s">
        <v>6810</v>
      </c>
      <c r="F1833" s="23" t="s">
        <v>6816</v>
      </c>
      <c r="G1833" s="59" t="s">
        <v>403</v>
      </c>
      <c r="H1833" s="353">
        <v>88260</v>
      </c>
      <c r="I1833" s="59"/>
      <c r="J1833" s="59" t="s">
        <v>7647</v>
      </c>
      <c r="K1833" s="20"/>
      <c r="L1833" s="20">
        <v>1</v>
      </c>
      <c r="M1833" s="357">
        <f>H1833</f>
        <v>88260</v>
      </c>
      <c r="N1833" s="411">
        <f>IFERROR((M1833/(VLOOKUP(B1833,'Data Pull Sheet'!$C:$H,6,FALSE))),"DC")</f>
        <v>6.5377777777777776E-4</v>
      </c>
      <c r="O1833" s="23" t="s">
        <v>682</v>
      </c>
      <c r="P1833" s="18" t="s">
        <v>632</v>
      </c>
      <c r="Q1833" s="18" t="s">
        <v>637</v>
      </c>
      <c r="R1833" s="372" t="str">
        <f t="shared" si="50"/>
        <v/>
      </c>
      <c r="S1833" s="106"/>
      <c r="T1833" s="107"/>
      <c r="U1833" s="108"/>
      <c r="V1833" s="108"/>
      <c r="W1833" s="108"/>
      <c r="X1833" s="108"/>
    </row>
    <row r="1834" spans="1:24" x14ac:dyDescent="0.25">
      <c r="A1834" s="23" t="s">
        <v>6808</v>
      </c>
      <c r="B1834" s="59" t="s">
        <v>7522</v>
      </c>
      <c r="C1834" s="59" t="s">
        <v>457</v>
      </c>
      <c r="D1834" s="356" t="s">
        <v>6809</v>
      </c>
      <c r="E1834" s="356" t="s">
        <v>6810</v>
      </c>
      <c r="F1834" s="23" t="s">
        <v>6817</v>
      </c>
      <c r="G1834" s="59" t="s">
        <v>403</v>
      </c>
      <c r="H1834" s="353">
        <v>26933.31</v>
      </c>
      <c r="I1834" s="59"/>
      <c r="J1834" s="59" t="s">
        <v>7649</v>
      </c>
      <c r="K1834" s="20"/>
      <c r="L1834" s="20">
        <v>2</v>
      </c>
      <c r="M1834" s="357">
        <f>SUM(H1834:H1835)</f>
        <v>51596.29</v>
      </c>
      <c r="N1834" s="411">
        <f>IFERROR((M1834/(VLOOKUP(B1834,'Data Pull Sheet'!$C:$H,6,FALSE))),"DC")</f>
        <v>3.8219474074074075E-4</v>
      </c>
      <c r="O1834" s="23" t="s">
        <v>597</v>
      </c>
      <c r="P1834" s="18" t="s">
        <v>632</v>
      </c>
      <c r="Q1834" s="18" t="s">
        <v>646</v>
      </c>
      <c r="R1834" s="372" t="str">
        <f t="shared" si="50"/>
        <v/>
      </c>
      <c r="S1834" s="106"/>
      <c r="T1834" s="107"/>
      <c r="U1834" s="108"/>
      <c r="V1834" s="108"/>
      <c r="W1834" s="108"/>
      <c r="X1834" s="108"/>
    </row>
    <row r="1835" spans="1:24" x14ac:dyDescent="0.25">
      <c r="A1835" s="23" t="s">
        <v>6808</v>
      </c>
      <c r="B1835" s="59" t="s">
        <v>7522</v>
      </c>
      <c r="C1835" s="59" t="s">
        <v>457</v>
      </c>
      <c r="D1835" s="356" t="s">
        <v>6809</v>
      </c>
      <c r="E1835" s="356" t="s">
        <v>6810</v>
      </c>
      <c r="F1835" s="23" t="s">
        <v>6818</v>
      </c>
      <c r="G1835" s="59" t="s">
        <v>403</v>
      </c>
      <c r="H1835" s="353">
        <v>24662.98</v>
      </c>
      <c r="I1835" s="59"/>
      <c r="J1835" s="59" t="s">
        <v>7648</v>
      </c>
      <c r="K1835" s="20"/>
      <c r="L1835" s="20"/>
      <c r="M1835" s="357"/>
      <c r="N1835" s="411"/>
      <c r="O1835" s="23" t="s">
        <v>597</v>
      </c>
      <c r="P1835" s="18" t="s">
        <v>632</v>
      </c>
      <c r="Q1835" s="18" t="s">
        <v>646</v>
      </c>
      <c r="R1835" s="372" t="str">
        <f t="shared" si="50"/>
        <v/>
      </c>
      <c r="S1835" s="106"/>
      <c r="T1835" s="107"/>
      <c r="U1835" s="108"/>
      <c r="V1835" s="108"/>
      <c r="W1835" s="108"/>
      <c r="X1835" s="108"/>
    </row>
    <row r="1836" spans="1:24" x14ac:dyDescent="0.25">
      <c r="A1836" s="23" t="s">
        <v>6808</v>
      </c>
      <c r="B1836" s="59" t="s">
        <v>7522</v>
      </c>
      <c r="C1836" s="59" t="s">
        <v>457</v>
      </c>
      <c r="D1836" s="356" t="s">
        <v>6809</v>
      </c>
      <c r="E1836" s="356" t="s">
        <v>6810</v>
      </c>
      <c r="F1836" s="23" t="s">
        <v>6819</v>
      </c>
      <c r="G1836" s="59" t="s">
        <v>403</v>
      </c>
      <c r="H1836" s="353">
        <v>9651</v>
      </c>
      <c r="I1836" s="59"/>
      <c r="J1836" s="59" t="s">
        <v>7651</v>
      </c>
      <c r="K1836" s="20"/>
      <c r="L1836" s="20">
        <v>4</v>
      </c>
      <c r="M1836" s="357">
        <f>SUM(H1836:H1839)</f>
        <v>96498</v>
      </c>
      <c r="N1836" s="411">
        <f>IFERROR((M1836/(VLOOKUP(B1836,'Data Pull Sheet'!$C:$H,6,FALSE))),"DC")</f>
        <v>7.1480000000000003E-4</v>
      </c>
      <c r="O1836" s="23" t="s">
        <v>79</v>
      </c>
      <c r="P1836" s="18" t="s">
        <v>632</v>
      </c>
      <c r="Q1836" s="18" t="s">
        <v>646</v>
      </c>
      <c r="R1836" s="372" t="str">
        <f t="shared" si="50"/>
        <v/>
      </c>
      <c r="S1836" s="106"/>
      <c r="T1836" s="107"/>
      <c r="U1836" s="108"/>
      <c r="V1836" s="108"/>
      <c r="W1836" s="108"/>
      <c r="X1836" s="108"/>
    </row>
    <row r="1837" spans="1:24" x14ac:dyDescent="0.25">
      <c r="A1837" s="23" t="s">
        <v>6808</v>
      </c>
      <c r="B1837" s="59" t="s">
        <v>7522</v>
      </c>
      <c r="C1837" s="59" t="s">
        <v>457</v>
      </c>
      <c r="D1837" s="356" t="s">
        <v>6809</v>
      </c>
      <c r="E1837" s="356" t="s">
        <v>6810</v>
      </c>
      <c r="F1837" s="23" t="s">
        <v>6820</v>
      </c>
      <c r="G1837" s="59" t="s">
        <v>403</v>
      </c>
      <c r="H1837" s="353">
        <v>10445</v>
      </c>
      <c r="I1837" s="59"/>
      <c r="J1837" s="59" t="s">
        <v>7650</v>
      </c>
      <c r="K1837" s="20"/>
      <c r="L1837" s="20"/>
      <c r="M1837" s="357"/>
      <c r="N1837" s="411"/>
      <c r="O1837" s="23" t="s">
        <v>79</v>
      </c>
      <c r="P1837" s="18" t="s">
        <v>632</v>
      </c>
      <c r="Q1837" s="18" t="s">
        <v>646</v>
      </c>
      <c r="R1837" s="372" t="str">
        <f t="shared" si="50"/>
        <v/>
      </c>
      <c r="S1837" s="106"/>
      <c r="T1837" s="107"/>
      <c r="U1837" s="108"/>
      <c r="V1837" s="108"/>
      <c r="W1837" s="108"/>
      <c r="X1837" s="108"/>
    </row>
    <row r="1838" spans="1:24" x14ac:dyDescent="0.25">
      <c r="A1838" s="23" t="s">
        <v>6808</v>
      </c>
      <c r="B1838" s="59" t="s">
        <v>7522</v>
      </c>
      <c r="C1838" s="59" t="s">
        <v>457</v>
      </c>
      <c r="D1838" s="356" t="s">
        <v>6809</v>
      </c>
      <c r="E1838" s="356" t="s">
        <v>6810</v>
      </c>
      <c r="F1838" s="23" t="s">
        <v>6821</v>
      </c>
      <c r="G1838" s="59" t="s">
        <v>403</v>
      </c>
      <c r="H1838" s="353">
        <v>16804</v>
      </c>
      <c r="I1838" s="59"/>
      <c r="J1838" s="59" t="s">
        <v>7652</v>
      </c>
      <c r="K1838" s="20"/>
      <c r="L1838" s="20"/>
      <c r="M1838" s="357"/>
      <c r="N1838" s="411"/>
      <c r="O1838" s="23" t="s">
        <v>79</v>
      </c>
      <c r="P1838" s="18" t="s">
        <v>632</v>
      </c>
      <c r="Q1838" s="18" t="s">
        <v>646</v>
      </c>
      <c r="R1838" s="372" t="str">
        <f t="shared" si="50"/>
        <v/>
      </c>
      <c r="S1838" s="106"/>
      <c r="T1838" s="107"/>
      <c r="U1838" s="108"/>
      <c r="V1838" s="108"/>
      <c r="W1838" s="108"/>
      <c r="X1838" s="108"/>
    </row>
    <row r="1839" spans="1:24" x14ac:dyDescent="0.25">
      <c r="A1839" s="23" t="s">
        <v>6808</v>
      </c>
      <c r="B1839" s="59" t="s">
        <v>7522</v>
      </c>
      <c r="C1839" s="59" t="s">
        <v>457</v>
      </c>
      <c r="D1839" s="356" t="s">
        <v>6809</v>
      </c>
      <c r="E1839" s="356" t="s">
        <v>6810</v>
      </c>
      <c r="F1839" s="23" t="s">
        <v>6822</v>
      </c>
      <c r="G1839" s="59" t="s">
        <v>403</v>
      </c>
      <c r="H1839" s="353">
        <v>59598</v>
      </c>
      <c r="I1839" s="59"/>
      <c r="J1839" s="59" t="s">
        <v>7653</v>
      </c>
      <c r="K1839" s="20"/>
      <c r="L1839" s="20"/>
      <c r="M1839" s="357"/>
      <c r="N1839" s="411"/>
      <c r="O1839" s="23" t="s">
        <v>79</v>
      </c>
      <c r="P1839" s="18" t="s">
        <v>632</v>
      </c>
      <c r="Q1839" s="18" t="s">
        <v>646</v>
      </c>
      <c r="R1839" s="372" t="str">
        <f t="shared" si="50"/>
        <v/>
      </c>
      <c r="S1839" s="106"/>
      <c r="T1839" s="107"/>
      <c r="U1839" s="108"/>
      <c r="V1839" s="108"/>
      <c r="W1839" s="108"/>
      <c r="X1839" s="108"/>
    </row>
    <row r="1840" spans="1:24" x14ac:dyDescent="0.25">
      <c r="A1840" s="23" t="s">
        <v>51</v>
      </c>
      <c r="B1840" s="59" t="s">
        <v>10516</v>
      </c>
      <c r="C1840" s="59" t="s">
        <v>542</v>
      </c>
      <c r="D1840" s="356" t="s">
        <v>6809</v>
      </c>
      <c r="E1840" s="356" t="s">
        <v>6810</v>
      </c>
      <c r="F1840" s="23" t="s">
        <v>355</v>
      </c>
      <c r="G1840" s="59" t="s">
        <v>417</v>
      </c>
      <c r="H1840" s="353">
        <v>1601663</v>
      </c>
      <c r="I1840" s="59" t="s">
        <v>442</v>
      </c>
      <c r="J1840" s="59" t="s">
        <v>10524</v>
      </c>
      <c r="K1840" s="20">
        <v>5</v>
      </c>
      <c r="L1840" s="20">
        <v>1</v>
      </c>
      <c r="M1840" s="357">
        <f>H1840</f>
        <v>1601663</v>
      </c>
      <c r="N1840" s="411">
        <f>IFERROR((M1840/(VLOOKUP(B1840,'Data Pull Sheet'!$C:$H,6,FALSE))),"DC")</f>
        <v>5.720225E-4</v>
      </c>
      <c r="O1840" s="23" t="s">
        <v>4634</v>
      </c>
      <c r="P1840" s="18" t="s">
        <v>632</v>
      </c>
      <c r="Q1840" s="18" t="s">
        <v>633</v>
      </c>
      <c r="R1840" s="372" t="str">
        <f t="shared" si="50"/>
        <v>FF</v>
      </c>
      <c r="S1840" s="106"/>
      <c r="T1840" s="107"/>
      <c r="U1840" s="108"/>
      <c r="V1840" s="108"/>
      <c r="W1840" s="108"/>
      <c r="X1840" s="108"/>
    </row>
    <row r="1841" spans="1:24" x14ac:dyDescent="0.25">
      <c r="A1841" s="23" t="s">
        <v>51</v>
      </c>
      <c r="B1841" s="59" t="s">
        <v>10516</v>
      </c>
      <c r="C1841" s="59" t="s">
        <v>542</v>
      </c>
      <c r="D1841" s="356" t="s">
        <v>6809</v>
      </c>
      <c r="E1841" s="356" t="s">
        <v>6810</v>
      </c>
      <c r="F1841" s="23" t="s">
        <v>6825</v>
      </c>
      <c r="G1841" s="59" t="s">
        <v>403</v>
      </c>
      <c r="H1841" s="353">
        <v>39614.129999999997</v>
      </c>
      <c r="I1841" s="59"/>
      <c r="J1841" s="59" t="s">
        <v>10523</v>
      </c>
      <c r="K1841" s="20"/>
      <c r="L1841" s="20">
        <v>3</v>
      </c>
      <c r="M1841" s="357">
        <f>SUM(H1841:H1843)</f>
        <v>124722.81999999999</v>
      </c>
      <c r="N1841" s="411">
        <f>IFERROR((M1841/(VLOOKUP(B1841,'Data Pull Sheet'!$C:$H,6,FALSE))),"DC")</f>
        <v>4.4543864285714283E-5</v>
      </c>
      <c r="O1841" s="23" t="s">
        <v>6792</v>
      </c>
      <c r="P1841" s="18" t="s">
        <v>632</v>
      </c>
      <c r="Q1841" s="18" t="s">
        <v>662</v>
      </c>
      <c r="R1841" s="372" t="str">
        <f t="shared" si="50"/>
        <v/>
      </c>
      <c r="S1841" s="106"/>
      <c r="T1841" s="107"/>
      <c r="U1841" s="108"/>
      <c r="V1841" s="108"/>
      <c r="W1841" s="108"/>
      <c r="X1841" s="108"/>
    </row>
    <row r="1842" spans="1:24" x14ac:dyDescent="0.25">
      <c r="A1842" s="23" t="s">
        <v>51</v>
      </c>
      <c r="B1842" s="59" t="s">
        <v>10516</v>
      </c>
      <c r="C1842" s="59" t="s">
        <v>542</v>
      </c>
      <c r="D1842" s="356" t="s">
        <v>6809</v>
      </c>
      <c r="E1842" s="356" t="s">
        <v>6810</v>
      </c>
      <c r="F1842" s="23" t="s">
        <v>6827</v>
      </c>
      <c r="G1842" s="59" t="s">
        <v>403</v>
      </c>
      <c r="H1842" s="353">
        <v>48734.13</v>
      </c>
      <c r="I1842" s="59"/>
      <c r="J1842" s="59" t="s">
        <v>10522</v>
      </c>
      <c r="K1842" s="20"/>
      <c r="L1842" s="20"/>
      <c r="M1842" s="357"/>
      <c r="N1842" s="411"/>
      <c r="O1842" s="23" t="s">
        <v>6792</v>
      </c>
      <c r="P1842" s="18" t="s">
        <v>632</v>
      </c>
      <c r="Q1842" s="18" t="s">
        <v>662</v>
      </c>
      <c r="R1842" s="372" t="str">
        <f t="shared" si="50"/>
        <v/>
      </c>
      <c r="S1842" s="106"/>
      <c r="T1842" s="107"/>
      <c r="U1842" s="108"/>
      <c r="V1842" s="108"/>
      <c r="W1842" s="108"/>
      <c r="X1842" s="108"/>
    </row>
    <row r="1843" spans="1:24" x14ac:dyDescent="0.25">
      <c r="A1843" s="23" t="s">
        <v>51</v>
      </c>
      <c r="B1843" s="59" t="s">
        <v>10516</v>
      </c>
      <c r="C1843" s="59" t="s">
        <v>542</v>
      </c>
      <c r="D1843" s="356" t="s">
        <v>6809</v>
      </c>
      <c r="E1843" s="356" t="s">
        <v>6810</v>
      </c>
      <c r="F1843" s="23" t="s">
        <v>6826</v>
      </c>
      <c r="G1843" s="59" t="s">
        <v>417</v>
      </c>
      <c r="H1843" s="353">
        <v>36374.559999999998</v>
      </c>
      <c r="I1843" s="59"/>
      <c r="J1843" s="59" t="s">
        <v>10521</v>
      </c>
      <c r="K1843" s="20"/>
      <c r="L1843" s="20"/>
      <c r="M1843" s="357"/>
      <c r="N1843" s="411"/>
      <c r="O1843" s="23" t="s">
        <v>6792</v>
      </c>
      <c r="P1843" s="18" t="s">
        <v>632</v>
      </c>
      <c r="Q1843" s="18" t="s">
        <v>662</v>
      </c>
      <c r="R1843" s="372" t="str">
        <f t="shared" si="50"/>
        <v/>
      </c>
      <c r="S1843" s="106"/>
      <c r="T1843" s="107"/>
      <c r="U1843" s="108"/>
      <c r="V1843" s="108"/>
      <c r="W1843" s="108"/>
      <c r="X1843" s="108"/>
    </row>
    <row r="1844" spans="1:24" x14ac:dyDescent="0.25">
      <c r="A1844" s="23" t="s">
        <v>51</v>
      </c>
      <c r="B1844" s="59" t="s">
        <v>10516</v>
      </c>
      <c r="C1844" s="59" t="s">
        <v>542</v>
      </c>
      <c r="D1844" s="356" t="s">
        <v>6809</v>
      </c>
      <c r="E1844" s="356" t="s">
        <v>6810</v>
      </c>
      <c r="F1844" s="23" t="s">
        <v>6828</v>
      </c>
      <c r="G1844" s="59" t="s">
        <v>403</v>
      </c>
      <c r="H1844" s="353">
        <v>17681</v>
      </c>
      <c r="I1844" s="59"/>
      <c r="J1844" s="59" t="s">
        <v>10520</v>
      </c>
      <c r="K1844" s="20"/>
      <c r="L1844" s="20">
        <v>2</v>
      </c>
      <c r="M1844" s="357">
        <f>SUM(H1844:H1845)</f>
        <v>40581</v>
      </c>
      <c r="N1844" s="411">
        <f>IFERROR((M1844/(VLOOKUP(B1844,'Data Pull Sheet'!$C:$H,6,FALSE))),"DC")</f>
        <v>1.4493214285714286E-5</v>
      </c>
      <c r="O1844" s="23" t="s">
        <v>554</v>
      </c>
      <c r="P1844" s="18" t="s">
        <v>632</v>
      </c>
      <c r="Q1844" s="18" t="s">
        <v>646</v>
      </c>
      <c r="R1844" s="372" t="str">
        <f t="shared" si="50"/>
        <v/>
      </c>
      <c r="S1844" s="106"/>
      <c r="T1844" s="107"/>
      <c r="U1844" s="108"/>
      <c r="V1844" s="108"/>
      <c r="W1844" s="108"/>
      <c r="X1844" s="108"/>
    </row>
    <row r="1845" spans="1:24" x14ac:dyDescent="0.25">
      <c r="A1845" s="23" t="s">
        <v>51</v>
      </c>
      <c r="B1845" s="59" t="s">
        <v>10516</v>
      </c>
      <c r="C1845" s="59" t="s">
        <v>542</v>
      </c>
      <c r="D1845" s="356" t="s">
        <v>6809</v>
      </c>
      <c r="E1845" s="356" t="s">
        <v>6810</v>
      </c>
      <c r="F1845" s="23" t="s">
        <v>6829</v>
      </c>
      <c r="G1845" s="59" t="s">
        <v>403</v>
      </c>
      <c r="H1845" s="353">
        <v>22900</v>
      </c>
      <c r="I1845" s="59"/>
      <c r="J1845" s="59" t="s">
        <v>10519</v>
      </c>
      <c r="K1845" s="20"/>
      <c r="L1845" s="20"/>
      <c r="M1845" s="357"/>
      <c r="N1845" s="411"/>
      <c r="O1845" s="23" t="s">
        <v>554</v>
      </c>
      <c r="P1845" s="18" t="s">
        <v>632</v>
      </c>
      <c r="Q1845" s="18" t="s">
        <v>646</v>
      </c>
      <c r="R1845" s="372" t="str">
        <f t="shared" si="50"/>
        <v/>
      </c>
      <c r="S1845" s="106"/>
      <c r="T1845" s="107"/>
      <c r="U1845" s="108"/>
      <c r="V1845" s="108"/>
      <c r="W1845" s="108"/>
      <c r="X1845" s="108"/>
    </row>
    <row r="1846" spans="1:24" x14ac:dyDescent="0.25">
      <c r="A1846" s="23" t="s">
        <v>51</v>
      </c>
      <c r="B1846" s="59" t="s">
        <v>10516</v>
      </c>
      <c r="C1846" s="59" t="s">
        <v>542</v>
      </c>
      <c r="D1846" s="356" t="s">
        <v>6809</v>
      </c>
      <c r="E1846" s="356" t="s">
        <v>6810</v>
      </c>
      <c r="F1846" s="23" t="s">
        <v>65</v>
      </c>
      <c r="G1846" s="59" t="s">
        <v>417</v>
      </c>
      <c r="H1846" s="353">
        <v>2225875.48</v>
      </c>
      <c r="I1846" s="59" t="s">
        <v>406</v>
      </c>
      <c r="J1846" s="59" t="s">
        <v>10518</v>
      </c>
      <c r="K1846" s="20"/>
      <c r="L1846" s="20">
        <v>1</v>
      </c>
      <c r="M1846" s="357">
        <f>H1846</f>
        <v>2225875.48</v>
      </c>
      <c r="N1846" s="411">
        <f>IFERROR((M1846/(VLOOKUP(B1846,'Data Pull Sheet'!$C:$H,6,FALSE))),"DC")</f>
        <v>7.9495552857142856E-4</v>
      </c>
      <c r="O1846" s="23" t="s">
        <v>34</v>
      </c>
      <c r="P1846" s="18" t="s">
        <v>632</v>
      </c>
      <c r="Q1846" s="18" t="s">
        <v>633</v>
      </c>
      <c r="R1846" s="372" t="str">
        <f t="shared" si="50"/>
        <v>FF</v>
      </c>
      <c r="S1846" s="106"/>
      <c r="T1846" s="107"/>
      <c r="U1846" s="108"/>
      <c r="V1846" s="108"/>
      <c r="W1846" s="108"/>
      <c r="X1846" s="108"/>
    </row>
    <row r="1847" spans="1:24" x14ac:dyDescent="0.25">
      <c r="A1847" s="23" t="s">
        <v>51</v>
      </c>
      <c r="B1847" s="59" t="s">
        <v>10516</v>
      </c>
      <c r="C1847" s="59" t="s">
        <v>542</v>
      </c>
      <c r="D1847" s="356" t="s">
        <v>6809</v>
      </c>
      <c r="E1847" s="356" t="s">
        <v>6810</v>
      </c>
      <c r="F1847" s="23" t="s">
        <v>6831</v>
      </c>
      <c r="G1847" s="59" t="s">
        <v>417</v>
      </c>
      <c r="H1847" s="353">
        <v>14238109.76</v>
      </c>
      <c r="I1847" s="59" t="s">
        <v>406</v>
      </c>
      <c r="J1847" s="59" t="s">
        <v>10517</v>
      </c>
      <c r="K1847" s="20"/>
      <c r="L1847" s="20">
        <v>1</v>
      </c>
      <c r="M1847" s="357">
        <f>H1847</f>
        <v>14238109.76</v>
      </c>
      <c r="N1847" s="411">
        <f>IFERROR((M1847/(VLOOKUP(B1847,'Data Pull Sheet'!$C:$H,6,FALSE))),"DC")</f>
        <v>5.0850391999999996E-3</v>
      </c>
      <c r="O1847" s="23" t="s">
        <v>4392</v>
      </c>
      <c r="P1847" s="18" t="s">
        <v>632</v>
      </c>
      <c r="Q1847" s="18" t="s">
        <v>633</v>
      </c>
      <c r="R1847" s="372" t="str">
        <f t="shared" si="50"/>
        <v>FF</v>
      </c>
      <c r="S1847" s="106"/>
      <c r="T1847" s="107"/>
      <c r="U1847" s="108"/>
      <c r="V1847" s="108"/>
      <c r="W1847" s="108"/>
      <c r="X1847" s="108"/>
    </row>
    <row r="1848" spans="1:24" ht="30" x14ac:dyDescent="0.25">
      <c r="A1848" s="23" t="s">
        <v>287</v>
      </c>
      <c r="B1848" s="59" t="s">
        <v>10692</v>
      </c>
      <c r="C1848" s="59" t="s">
        <v>542</v>
      </c>
      <c r="D1848" s="356" t="s">
        <v>6789</v>
      </c>
      <c r="E1848" s="356" t="s">
        <v>6765</v>
      </c>
      <c r="F1848" s="23" t="s">
        <v>6790</v>
      </c>
      <c r="G1848" s="59" t="s">
        <v>403</v>
      </c>
      <c r="H1848" s="353">
        <v>2089405</v>
      </c>
      <c r="I1848" s="59"/>
      <c r="J1848" s="59" t="s">
        <v>10693</v>
      </c>
      <c r="K1848" s="20">
        <v>7</v>
      </c>
      <c r="L1848" s="20">
        <v>1</v>
      </c>
      <c r="M1848" s="357">
        <f>H1848</f>
        <v>2089405</v>
      </c>
      <c r="N1848" s="411">
        <f>IFERROR((M1848/(VLOOKUP(B1848,'Data Pull Sheet'!$C:$H,6,FALSE))),"DC")</f>
        <v>5.2235124999999998E-4</v>
      </c>
      <c r="O1848" s="23" t="s">
        <v>1617</v>
      </c>
      <c r="P1848" s="18" t="s">
        <v>632</v>
      </c>
      <c r="Q1848" s="18" t="s">
        <v>637</v>
      </c>
      <c r="R1848" s="372" t="str">
        <f t="shared" si="50"/>
        <v/>
      </c>
      <c r="S1848" s="106"/>
      <c r="T1848" s="107"/>
      <c r="U1848" s="108"/>
      <c r="V1848" s="108"/>
      <c r="W1848" s="108"/>
      <c r="X1848" s="108"/>
    </row>
    <row r="1849" spans="1:24" x14ac:dyDescent="0.25">
      <c r="A1849" s="23" t="s">
        <v>287</v>
      </c>
      <c r="B1849" s="59" t="s">
        <v>10692</v>
      </c>
      <c r="C1849" s="59" t="s">
        <v>542</v>
      </c>
      <c r="D1849" s="356" t="s">
        <v>6789</v>
      </c>
      <c r="E1849" s="356" t="s">
        <v>6765</v>
      </c>
      <c r="F1849" s="23" t="s">
        <v>6791</v>
      </c>
      <c r="G1849" s="59" t="s">
        <v>403</v>
      </c>
      <c r="H1849" s="353">
        <v>74374.14</v>
      </c>
      <c r="I1849" s="59"/>
      <c r="J1849" s="59" t="s">
        <v>10694</v>
      </c>
      <c r="K1849" s="20"/>
      <c r="L1849" s="20">
        <v>6</v>
      </c>
      <c r="M1849" s="357">
        <f>SUM(H1849:H1854)</f>
        <v>752825.80999999994</v>
      </c>
      <c r="N1849" s="411">
        <f>IFERROR((M1849/(VLOOKUP(B1849,'Data Pull Sheet'!$C:$H,6,FALSE))),"DC")</f>
        <v>1.8820645249999999E-4</v>
      </c>
      <c r="O1849" s="23" t="s">
        <v>6792</v>
      </c>
      <c r="P1849" s="18" t="s">
        <v>632</v>
      </c>
      <c r="Q1849" s="18" t="s">
        <v>646</v>
      </c>
      <c r="R1849" s="372" t="str">
        <f t="shared" si="50"/>
        <v/>
      </c>
      <c r="S1849" s="106"/>
      <c r="T1849" s="107"/>
      <c r="U1849" s="108"/>
      <c r="V1849" s="108"/>
      <c r="W1849" s="108"/>
      <c r="X1849" s="108"/>
    </row>
    <row r="1850" spans="1:24" x14ac:dyDescent="0.25">
      <c r="A1850" s="23" t="s">
        <v>287</v>
      </c>
      <c r="B1850" s="59" t="s">
        <v>10692</v>
      </c>
      <c r="C1850" s="59" t="s">
        <v>542</v>
      </c>
      <c r="D1850" s="356" t="s">
        <v>6789</v>
      </c>
      <c r="E1850" s="356" t="s">
        <v>6765</v>
      </c>
      <c r="F1850" s="23" t="s">
        <v>6793</v>
      </c>
      <c r="G1850" s="59" t="s">
        <v>403</v>
      </c>
      <c r="H1850" s="353">
        <v>191526.2</v>
      </c>
      <c r="I1850" s="59"/>
      <c r="J1850" s="59" t="s">
        <v>10695</v>
      </c>
      <c r="K1850" s="20"/>
      <c r="L1850" s="20"/>
      <c r="M1850" s="357"/>
      <c r="N1850" s="411"/>
      <c r="O1850" s="23" t="s">
        <v>6792</v>
      </c>
      <c r="P1850" s="18" t="s">
        <v>632</v>
      </c>
      <c r="Q1850" s="18" t="s">
        <v>646</v>
      </c>
      <c r="R1850" s="372" t="str">
        <f t="shared" si="50"/>
        <v/>
      </c>
      <c r="S1850" s="106"/>
      <c r="T1850" s="107"/>
      <c r="U1850" s="108"/>
      <c r="V1850" s="108"/>
      <c r="W1850" s="108"/>
      <c r="X1850" s="108"/>
    </row>
    <row r="1851" spans="1:24" x14ac:dyDescent="0.25">
      <c r="A1851" s="23" t="s">
        <v>287</v>
      </c>
      <c r="B1851" s="59" t="s">
        <v>10692</v>
      </c>
      <c r="C1851" s="59" t="s">
        <v>542</v>
      </c>
      <c r="D1851" s="356" t="s">
        <v>6789</v>
      </c>
      <c r="E1851" s="356" t="s">
        <v>6765</v>
      </c>
      <c r="F1851" s="23" t="s">
        <v>6794</v>
      </c>
      <c r="G1851" s="59" t="s">
        <v>403</v>
      </c>
      <c r="H1851" s="353">
        <v>125619.63</v>
      </c>
      <c r="I1851" s="59"/>
      <c r="J1851" s="59" t="s">
        <v>10696</v>
      </c>
      <c r="K1851" s="20"/>
      <c r="L1851" s="20"/>
      <c r="M1851" s="357"/>
      <c r="N1851" s="411"/>
      <c r="O1851" s="23" t="s">
        <v>6792</v>
      </c>
      <c r="P1851" s="18" t="s">
        <v>632</v>
      </c>
      <c r="Q1851" s="18" t="s">
        <v>646</v>
      </c>
      <c r="R1851" s="372" t="str">
        <f t="shared" si="50"/>
        <v/>
      </c>
      <c r="S1851" s="106"/>
      <c r="T1851" s="107"/>
      <c r="U1851" s="108"/>
      <c r="V1851" s="108"/>
      <c r="W1851" s="108"/>
      <c r="X1851" s="108"/>
    </row>
    <row r="1852" spans="1:24" x14ac:dyDescent="0.25">
      <c r="A1852" s="23" t="s">
        <v>287</v>
      </c>
      <c r="B1852" s="59" t="s">
        <v>10692</v>
      </c>
      <c r="C1852" s="59" t="s">
        <v>542</v>
      </c>
      <c r="D1852" s="356" t="s">
        <v>6789</v>
      </c>
      <c r="E1852" s="356" t="s">
        <v>6765</v>
      </c>
      <c r="F1852" s="23" t="s">
        <v>6795</v>
      </c>
      <c r="G1852" s="59" t="s">
        <v>403</v>
      </c>
      <c r="H1852" s="353">
        <v>129606.05</v>
      </c>
      <c r="I1852" s="59"/>
      <c r="J1852" s="59" t="s">
        <v>10697</v>
      </c>
      <c r="K1852" s="20"/>
      <c r="L1852" s="20"/>
      <c r="M1852" s="357"/>
      <c r="N1852" s="411"/>
      <c r="O1852" s="23" t="s">
        <v>6792</v>
      </c>
      <c r="P1852" s="18" t="s">
        <v>632</v>
      </c>
      <c r="Q1852" s="18" t="s">
        <v>646</v>
      </c>
      <c r="R1852" s="372" t="str">
        <f t="shared" si="50"/>
        <v/>
      </c>
      <c r="S1852" s="106"/>
      <c r="T1852" s="107"/>
      <c r="U1852" s="108"/>
      <c r="V1852" s="108"/>
      <c r="W1852" s="108"/>
      <c r="X1852" s="108"/>
    </row>
    <row r="1853" spans="1:24" x14ac:dyDescent="0.25">
      <c r="A1853" s="23" t="s">
        <v>287</v>
      </c>
      <c r="B1853" s="59" t="s">
        <v>10692</v>
      </c>
      <c r="C1853" s="59" t="s">
        <v>542</v>
      </c>
      <c r="D1853" s="356" t="s">
        <v>6789</v>
      </c>
      <c r="E1853" s="356" t="s">
        <v>6765</v>
      </c>
      <c r="F1853" s="23" t="s">
        <v>6796</v>
      </c>
      <c r="G1853" s="59" t="s">
        <v>403</v>
      </c>
      <c r="H1853" s="353">
        <v>209448.68</v>
      </c>
      <c r="I1853" s="59"/>
      <c r="J1853" s="59" t="s">
        <v>10698</v>
      </c>
      <c r="K1853" s="20"/>
      <c r="L1853" s="20"/>
      <c r="M1853" s="357"/>
      <c r="N1853" s="411"/>
      <c r="O1853" s="23" t="s">
        <v>6792</v>
      </c>
      <c r="P1853" s="18" t="s">
        <v>632</v>
      </c>
      <c r="Q1853" s="18" t="s">
        <v>646</v>
      </c>
      <c r="R1853" s="372" t="str">
        <f t="shared" si="50"/>
        <v/>
      </c>
      <c r="S1853" s="106"/>
      <c r="T1853" s="107"/>
      <c r="U1853" s="108"/>
      <c r="V1853" s="108"/>
      <c r="W1853" s="108"/>
      <c r="X1853" s="108"/>
    </row>
    <row r="1854" spans="1:24" x14ac:dyDescent="0.25">
      <c r="A1854" s="23" t="s">
        <v>287</v>
      </c>
      <c r="B1854" s="59" t="s">
        <v>10692</v>
      </c>
      <c r="C1854" s="59" t="s">
        <v>542</v>
      </c>
      <c r="D1854" s="356" t="s">
        <v>6789</v>
      </c>
      <c r="E1854" s="356" t="s">
        <v>6765</v>
      </c>
      <c r="F1854" s="23" t="s">
        <v>6797</v>
      </c>
      <c r="G1854" s="59" t="s">
        <v>403</v>
      </c>
      <c r="H1854" s="353">
        <v>22251.11</v>
      </c>
      <c r="I1854" s="59"/>
      <c r="J1854" s="59" t="s">
        <v>10699</v>
      </c>
      <c r="K1854" s="20"/>
      <c r="L1854" s="20"/>
      <c r="M1854" s="357"/>
      <c r="N1854" s="411"/>
      <c r="O1854" s="23" t="s">
        <v>6792</v>
      </c>
      <c r="P1854" s="18" t="s">
        <v>632</v>
      </c>
      <c r="Q1854" s="18" t="s">
        <v>646</v>
      </c>
      <c r="R1854" s="372" t="str">
        <f t="shared" si="50"/>
        <v/>
      </c>
      <c r="S1854" s="106"/>
      <c r="T1854" s="107"/>
      <c r="U1854" s="108"/>
      <c r="V1854" s="108"/>
      <c r="W1854" s="108"/>
      <c r="X1854" s="108"/>
    </row>
    <row r="1855" spans="1:24" x14ac:dyDescent="0.25">
      <c r="A1855" s="23" t="s">
        <v>287</v>
      </c>
      <c r="B1855" s="59" t="s">
        <v>10692</v>
      </c>
      <c r="C1855" s="59" t="s">
        <v>542</v>
      </c>
      <c r="D1855" s="356" t="s">
        <v>6789</v>
      </c>
      <c r="E1855" s="356" t="s">
        <v>6765</v>
      </c>
      <c r="F1855" s="23" t="s">
        <v>6798</v>
      </c>
      <c r="G1855" s="59" t="s">
        <v>403</v>
      </c>
      <c r="H1855" s="353">
        <v>534046.43000000005</v>
      </c>
      <c r="I1855" s="59"/>
      <c r="J1855" s="59" t="s">
        <v>10700</v>
      </c>
      <c r="K1855" s="20"/>
      <c r="L1855" s="20">
        <v>2</v>
      </c>
      <c r="M1855" s="357">
        <f>SUM(H1855:H1856)</f>
        <v>847432.8600000001</v>
      </c>
      <c r="N1855" s="411">
        <f>IFERROR((M1855/(VLOOKUP(B1855,'Data Pull Sheet'!$C:$H,6,FALSE))),"DC")</f>
        <v>2.1185821500000003E-4</v>
      </c>
      <c r="O1855" s="23" t="s">
        <v>6799</v>
      </c>
      <c r="P1855" s="18" t="s">
        <v>632</v>
      </c>
      <c r="Q1855" s="18" t="s">
        <v>646</v>
      </c>
      <c r="R1855" s="372" t="str">
        <f t="shared" si="50"/>
        <v/>
      </c>
      <c r="S1855" s="106"/>
      <c r="T1855" s="107"/>
      <c r="U1855" s="108"/>
      <c r="V1855" s="108"/>
      <c r="W1855" s="108"/>
      <c r="X1855" s="108"/>
    </row>
    <row r="1856" spans="1:24" x14ac:dyDescent="0.25">
      <c r="A1856" s="23" t="s">
        <v>287</v>
      </c>
      <c r="B1856" s="59" t="s">
        <v>10692</v>
      </c>
      <c r="C1856" s="59" t="s">
        <v>542</v>
      </c>
      <c r="D1856" s="356" t="s">
        <v>6789</v>
      </c>
      <c r="E1856" s="356" t="s">
        <v>6765</v>
      </c>
      <c r="F1856" s="23" t="s">
        <v>6800</v>
      </c>
      <c r="G1856" s="59" t="s">
        <v>403</v>
      </c>
      <c r="H1856" s="353">
        <v>313386.43</v>
      </c>
      <c r="I1856" s="59"/>
      <c r="J1856" s="59" t="s">
        <v>10701</v>
      </c>
      <c r="K1856" s="20"/>
      <c r="L1856" s="20"/>
      <c r="M1856" s="357"/>
      <c r="N1856" s="411"/>
      <c r="O1856" s="23" t="s">
        <v>6799</v>
      </c>
      <c r="P1856" s="18" t="s">
        <v>632</v>
      </c>
      <c r="Q1856" s="18" t="s">
        <v>646</v>
      </c>
      <c r="R1856" s="372" t="str">
        <f t="shared" si="50"/>
        <v/>
      </c>
      <c r="S1856" s="106"/>
      <c r="T1856" s="107"/>
      <c r="U1856" s="108"/>
      <c r="V1856" s="108"/>
      <c r="W1856" s="108"/>
      <c r="X1856" s="108"/>
    </row>
    <row r="1857" spans="1:24" x14ac:dyDescent="0.25">
      <c r="A1857" s="23" t="s">
        <v>287</v>
      </c>
      <c r="B1857" s="59" t="s">
        <v>10692</v>
      </c>
      <c r="C1857" s="59" t="s">
        <v>542</v>
      </c>
      <c r="D1857" s="356" t="s">
        <v>6789</v>
      </c>
      <c r="E1857" s="356" t="s">
        <v>6765</v>
      </c>
      <c r="F1857" s="23" t="s">
        <v>6801</v>
      </c>
      <c r="G1857" s="59" t="s">
        <v>403</v>
      </c>
      <c r="H1857" s="353">
        <v>318014.25</v>
      </c>
      <c r="I1857" s="59" t="s">
        <v>406</v>
      </c>
      <c r="J1857" s="59" t="s">
        <v>10702</v>
      </c>
      <c r="K1857" s="20"/>
      <c r="L1857" s="20">
        <v>1</v>
      </c>
      <c r="M1857" s="357">
        <f>H1857</f>
        <v>318014.25</v>
      </c>
      <c r="N1857" s="411">
        <f>IFERROR((M1857/(VLOOKUP(B1857,'Data Pull Sheet'!$C:$H,6,FALSE))),"DC")</f>
        <v>7.9503562500000003E-5</v>
      </c>
      <c r="O1857" s="23" t="s">
        <v>407</v>
      </c>
      <c r="P1857" s="18" t="s">
        <v>632</v>
      </c>
      <c r="Q1857" s="18" t="s">
        <v>637</v>
      </c>
      <c r="R1857" s="372" t="str">
        <f t="shared" si="50"/>
        <v/>
      </c>
      <c r="S1857" s="106"/>
      <c r="T1857" s="107"/>
      <c r="U1857" s="108"/>
      <c r="V1857" s="108"/>
      <c r="W1857" s="108"/>
      <c r="X1857" s="108"/>
    </row>
    <row r="1858" spans="1:24" x14ac:dyDescent="0.25">
      <c r="A1858" s="23" t="s">
        <v>287</v>
      </c>
      <c r="B1858" s="59" t="s">
        <v>10692</v>
      </c>
      <c r="C1858" s="59" t="s">
        <v>542</v>
      </c>
      <c r="D1858" s="356" t="s">
        <v>6789</v>
      </c>
      <c r="E1858" s="356" t="s">
        <v>6765</v>
      </c>
      <c r="F1858" s="23" t="s">
        <v>6802</v>
      </c>
      <c r="G1858" s="59" t="s">
        <v>403</v>
      </c>
      <c r="H1858" s="353">
        <v>2326778.65</v>
      </c>
      <c r="I1858" s="59"/>
      <c r="J1858" s="59" t="s">
        <v>10703</v>
      </c>
      <c r="K1858" s="20"/>
      <c r="L1858" s="20">
        <v>1</v>
      </c>
      <c r="M1858" s="357">
        <f>H1858</f>
        <v>2326778.65</v>
      </c>
      <c r="N1858" s="411">
        <f>IFERROR((M1858/(VLOOKUP(B1858,'Data Pull Sheet'!$C:$H,6,FALSE))),"DC")</f>
        <v>5.8169466249999996E-4</v>
      </c>
      <c r="O1858" s="23" t="s">
        <v>6803</v>
      </c>
      <c r="P1858" s="18" t="s">
        <v>632</v>
      </c>
      <c r="Q1858" s="18" t="s">
        <v>637</v>
      </c>
      <c r="R1858" s="372" t="str">
        <f t="shared" ref="R1858:R1921" si="52">IF(COUNTIF(F:F,F1858)&gt;=2,"FF","")</f>
        <v/>
      </c>
      <c r="S1858" s="106"/>
      <c r="T1858" s="107"/>
      <c r="U1858" s="108"/>
      <c r="V1858" s="108"/>
      <c r="W1858" s="108"/>
      <c r="X1858" s="108"/>
    </row>
    <row r="1859" spans="1:24" x14ac:dyDescent="0.25">
      <c r="A1859" s="23" t="s">
        <v>287</v>
      </c>
      <c r="B1859" s="59" t="s">
        <v>10692</v>
      </c>
      <c r="C1859" s="59" t="s">
        <v>542</v>
      </c>
      <c r="D1859" s="356" t="s">
        <v>6789</v>
      </c>
      <c r="E1859" s="356" t="s">
        <v>6765</v>
      </c>
      <c r="F1859" s="23" t="s">
        <v>6804</v>
      </c>
      <c r="G1859" s="59" t="s">
        <v>403</v>
      </c>
      <c r="H1859" s="353">
        <v>462076.69</v>
      </c>
      <c r="I1859" s="59"/>
      <c r="J1859" s="59" t="s">
        <v>10704</v>
      </c>
      <c r="K1859" s="20"/>
      <c r="L1859" s="20">
        <v>2</v>
      </c>
      <c r="M1859" s="357">
        <f>SUM(H1859:H1860)</f>
        <v>624479.1</v>
      </c>
      <c r="N1859" s="411">
        <f>IFERROR((M1859/(VLOOKUP(B1859,'Data Pull Sheet'!$C:$H,6,FALSE))),"DC")</f>
        <v>1.5611977499999999E-4</v>
      </c>
      <c r="O1859" s="23" t="s">
        <v>2410</v>
      </c>
      <c r="P1859" s="18" t="s">
        <v>632</v>
      </c>
      <c r="Q1859" s="18" t="s">
        <v>646</v>
      </c>
      <c r="R1859" s="372" t="str">
        <f t="shared" si="52"/>
        <v/>
      </c>
      <c r="S1859" s="106"/>
      <c r="T1859" s="107"/>
      <c r="U1859" s="108"/>
      <c r="V1859" s="108"/>
      <c r="W1859" s="108"/>
      <c r="X1859" s="108"/>
    </row>
    <row r="1860" spans="1:24" x14ac:dyDescent="0.25">
      <c r="A1860" s="23" t="s">
        <v>287</v>
      </c>
      <c r="B1860" s="59" t="s">
        <v>10692</v>
      </c>
      <c r="C1860" s="59" t="s">
        <v>542</v>
      </c>
      <c r="D1860" s="356" t="s">
        <v>6789</v>
      </c>
      <c r="E1860" s="356" t="s">
        <v>6765</v>
      </c>
      <c r="F1860" s="23" t="s">
        <v>6805</v>
      </c>
      <c r="G1860" s="59" t="s">
        <v>403</v>
      </c>
      <c r="H1860" s="353">
        <v>162402.41</v>
      </c>
      <c r="I1860" s="59"/>
      <c r="J1860" s="59" t="s">
        <v>10705</v>
      </c>
      <c r="K1860" s="20"/>
      <c r="L1860" s="20"/>
      <c r="M1860" s="357"/>
      <c r="N1860" s="411"/>
      <c r="O1860" s="23" t="s">
        <v>2410</v>
      </c>
      <c r="P1860" s="18" t="s">
        <v>632</v>
      </c>
      <c r="Q1860" s="18" t="s">
        <v>646</v>
      </c>
      <c r="R1860" s="372" t="str">
        <f t="shared" si="52"/>
        <v/>
      </c>
      <c r="S1860" s="106"/>
      <c r="T1860" s="107"/>
      <c r="U1860" s="108"/>
      <c r="V1860" s="108"/>
      <c r="W1860" s="108"/>
      <c r="X1860" s="108"/>
    </row>
    <row r="1861" spans="1:24" x14ac:dyDescent="0.25">
      <c r="A1861" s="23" t="s">
        <v>287</v>
      </c>
      <c r="B1861" s="59" t="s">
        <v>10692</v>
      </c>
      <c r="C1861" s="59" t="s">
        <v>542</v>
      </c>
      <c r="D1861" s="356" t="s">
        <v>6789</v>
      </c>
      <c r="E1861" s="356" t="s">
        <v>6765</v>
      </c>
      <c r="F1861" s="23" t="s">
        <v>118</v>
      </c>
      <c r="G1861" s="59" t="s">
        <v>417</v>
      </c>
      <c r="H1861" s="353">
        <v>1090255.5</v>
      </c>
      <c r="I1861" s="59" t="s">
        <v>406</v>
      </c>
      <c r="J1861" s="59" t="s">
        <v>10706</v>
      </c>
      <c r="K1861" s="20"/>
      <c r="L1861" s="20">
        <v>1</v>
      </c>
      <c r="M1861" s="357">
        <f>H1861</f>
        <v>1090255.5</v>
      </c>
      <c r="N1861" s="411">
        <f>IFERROR((M1861/(VLOOKUP(B1861,'Data Pull Sheet'!$C:$H,6,FALSE))),"DC")</f>
        <v>2.72563875E-4</v>
      </c>
      <c r="O1861" s="23" t="s">
        <v>10821</v>
      </c>
      <c r="P1861" s="18" t="s">
        <v>632</v>
      </c>
      <c r="Q1861" s="18" t="s">
        <v>633</v>
      </c>
      <c r="R1861" s="372" t="str">
        <f t="shared" si="52"/>
        <v>FF</v>
      </c>
      <c r="S1861" s="106"/>
      <c r="T1861" s="107"/>
      <c r="U1861" s="108"/>
      <c r="V1861" s="108"/>
      <c r="W1861" s="108"/>
      <c r="X1861" s="108"/>
    </row>
    <row r="1862" spans="1:24" x14ac:dyDescent="0.25">
      <c r="A1862" s="23" t="s">
        <v>6776</v>
      </c>
      <c r="B1862" s="59" t="s">
        <v>7602</v>
      </c>
      <c r="C1862" s="59" t="s">
        <v>1008</v>
      </c>
      <c r="D1862" s="356" t="s">
        <v>6777</v>
      </c>
      <c r="E1862" s="356" t="s">
        <v>6765</v>
      </c>
      <c r="F1862" s="23" t="s">
        <v>6778</v>
      </c>
      <c r="G1862" s="59" t="s">
        <v>403</v>
      </c>
      <c r="H1862" s="353">
        <v>17000</v>
      </c>
      <c r="I1862" s="59" t="s">
        <v>2613</v>
      </c>
      <c r="J1862" s="59" t="s">
        <v>7626</v>
      </c>
      <c r="K1862" s="20">
        <v>6</v>
      </c>
      <c r="L1862" s="20">
        <v>1</v>
      </c>
      <c r="M1862" s="357">
        <f>H1862</f>
        <v>17000</v>
      </c>
      <c r="N1862" s="411" t="str">
        <f>IFERROR((M1862/(VLOOKUP(B1862,'Data Pull Sheet'!$C:$H,6,FALSE))),"DC")</f>
        <v>DC</v>
      </c>
      <c r="O1862" s="23" t="s">
        <v>48</v>
      </c>
      <c r="P1862" s="18" t="s">
        <v>632</v>
      </c>
      <c r="Q1862" s="18" t="s">
        <v>637</v>
      </c>
      <c r="R1862" s="372" t="str">
        <f t="shared" si="52"/>
        <v/>
      </c>
      <c r="S1862" s="106"/>
      <c r="T1862" s="107"/>
      <c r="U1862" s="108"/>
      <c r="V1862" s="108"/>
      <c r="W1862" s="108"/>
      <c r="X1862" s="108"/>
    </row>
    <row r="1863" spans="1:24" x14ac:dyDescent="0.25">
      <c r="A1863" s="23" t="s">
        <v>6776</v>
      </c>
      <c r="B1863" s="59" t="s">
        <v>7602</v>
      </c>
      <c r="C1863" s="59" t="s">
        <v>1008</v>
      </c>
      <c r="D1863" s="356" t="s">
        <v>6777</v>
      </c>
      <c r="E1863" s="356" t="s">
        <v>6765</v>
      </c>
      <c r="F1863" s="23" t="s">
        <v>6779</v>
      </c>
      <c r="G1863" s="59" t="s">
        <v>403</v>
      </c>
      <c r="H1863" s="353">
        <v>4950</v>
      </c>
      <c r="I1863" s="59" t="s">
        <v>2613</v>
      </c>
      <c r="J1863" s="59" t="s">
        <v>7635</v>
      </c>
      <c r="K1863" s="20"/>
      <c r="L1863" s="20">
        <v>1</v>
      </c>
      <c r="M1863" s="357">
        <f>H1863</f>
        <v>4950</v>
      </c>
      <c r="N1863" s="411" t="str">
        <f>IFERROR((M1863/(VLOOKUP(B1863,'Data Pull Sheet'!$C:$H,6,FALSE))),"DC")</f>
        <v>DC</v>
      </c>
      <c r="O1863" s="23" t="s">
        <v>682</v>
      </c>
      <c r="P1863" s="18" t="s">
        <v>632</v>
      </c>
      <c r="Q1863" s="18" t="s">
        <v>637</v>
      </c>
      <c r="R1863" s="372" t="str">
        <f t="shared" si="52"/>
        <v/>
      </c>
      <c r="S1863" s="106"/>
      <c r="T1863" s="107"/>
      <c r="U1863" s="108"/>
      <c r="V1863" s="108"/>
      <c r="W1863" s="108"/>
      <c r="X1863" s="108"/>
    </row>
    <row r="1864" spans="1:24" x14ac:dyDescent="0.25">
      <c r="A1864" s="23" t="s">
        <v>6776</v>
      </c>
      <c r="B1864" s="59" t="s">
        <v>7602</v>
      </c>
      <c r="C1864" s="59" t="s">
        <v>1008</v>
      </c>
      <c r="D1864" s="356" t="s">
        <v>6777</v>
      </c>
      <c r="E1864" s="356" t="s">
        <v>6765</v>
      </c>
      <c r="F1864" s="23" t="s">
        <v>6780</v>
      </c>
      <c r="G1864" s="59" t="s">
        <v>403</v>
      </c>
      <c r="H1864" s="353">
        <v>42089.15</v>
      </c>
      <c r="I1864" s="59"/>
      <c r="J1864" s="59" t="s">
        <v>7633</v>
      </c>
      <c r="K1864" s="20"/>
      <c r="L1864" s="20">
        <v>2</v>
      </c>
      <c r="M1864" s="357">
        <f>SUM(H1864:H1865)</f>
        <v>82588.3</v>
      </c>
      <c r="N1864" s="411" t="str">
        <f>IFERROR((M1864/(VLOOKUP(B1864,'Data Pull Sheet'!$C:$H,6,FALSE))),"DC")</f>
        <v>DC</v>
      </c>
      <c r="O1864" s="23" t="s">
        <v>597</v>
      </c>
      <c r="P1864" s="18" t="s">
        <v>632</v>
      </c>
      <c r="Q1864" s="18" t="s">
        <v>646</v>
      </c>
      <c r="R1864" s="372" t="str">
        <f t="shared" si="52"/>
        <v/>
      </c>
      <c r="S1864" s="106"/>
      <c r="T1864" s="107"/>
      <c r="U1864" s="108"/>
      <c r="V1864" s="108"/>
      <c r="W1864" s="108"/>
      <c r="X1864" s="108"/>
    </row>
    <row r="1865" spans="1:24" x14ac:dyDescent="0.25">
      <c r="A1865" s="23" t="s">
        <v>6776</v>
      </c>
      <c r="B1865" s="59" t="s">
        <v>7602</v>
      </c>
      <c r="C1865" s="59" t="s">
        <v>1008</v>
      </c>
      <c r="D1865" s="356" t="s">
        <v>6777</v>
      </c>
      <c r="E1865" s="356" t="s">
        <v>6765</v>
      </c>
      <c r="F1865" s="23" t="s">
        <v>6781</v>
      </c>
      <c r="G1865" s="59" t="s">
        <v>403</v>
      </c>
      <c r="H1865" s="353">
        <v>40499.15</v>
      </c>
      <c r="I1865" s="59"/>
      <c r="J1865" s="59" t="s">
        <v>7636</v>
      </c>
      <c r="K1865" s="20"/>
      <c r="L1865" s="20"/>
      <c r="M1865" s="357"/>
      <c r="N1865" s="411"/>
      <c r="O1865" s="23" t="s">
        <v>597</v>
      </c>
      <c r="P1865" s="18" t="s">
        <v>632</v>
      </c>
      <c r="Q1865" s="18" t="s">
        <v>646</v>
      </c>
      <c r="R1865" s="372" t="str">
        <f t="shared" si="52"/>
        <v/>
      </c>
      <c r="S1865" s="106"/>
      <c r="T1865" s="107"/>
      <c r="U1865" s="108"/>
      <c r="V1865" s="108"/>
      <c r="W1865" s="108"/>
      <c r="X1865" s="108"/>
    </row>
    <row r="1866" spans="1:24" x14ac:dyDescent="0.25">
      <c r="A1866" s="23" t="s">
        <v>6776</v>
      </c>
      <c r="B1866" s="59" t="s">
        <v>7602</v>
      </c>
      <c r="C1866" s="59" t="s">
        <v>1008</v>
      </c>
      <c r="D1866" s="356" t="s">
        <v>6777</v>
      </c>
      <c r="E1866" s="356" t="s">
        <v>6765</v>
      </c>
      <c r="F1866" s="23" t="s">
        <v>6782</v>
      </c>
      <c r="G1866" s="59" t="s">
        <v>403</v>
      </c>
      <c r="H1866" s="353">
        <v>68611.710000000006</v>
      </c>
      <c r="I1866" s="59"/>
      <c r="J1866" s="59" t="s">
        <v>7637</v>
      </c>
      <c r="K1866" s="20"/>
      <c r="L1866" s="20">
        <v>2</v>
      </c>
      <c r="M1866" s="357">
        <f>SUM(H1866:H1867)</f>
        <v>121276.99</v>
      </c>
      <c r="N1866" s="411" t="str">
        <f>IFERROR((M1866/(VLOOKUP(B1866,'Data Pull Sheet'!$C:$H,6,FALSE))),"DC")</f>
        <v>DC</v>
      </c>
      <c r="O1866" s="23" t="s">
        <v>849</v>
      </c>
      <c r="P1866" s="18" t="s">
        <v>632</v>
      </c>
      <c r="Q1866" s="18" t="s">
        <v>646</v>
      </c>
      <c r="R1866" s="372" t="str">
        <f t="shared" si="52"/>
        <v/>
      </c>
      <c r="S1866" s="106"/>
      <c r="T1866" s="107"/>
      <c r="U1866" s="108"/>
      <c r="V1866" s="108"/>
      <c r="W1866" s="108"/>
      <c r="X1866" s="108"/>
    </row>
    <row r="1867" spans="1:24" x14ac:dyDescent="0.25">
      <c r="A1867" s="23" t="s">
        <v>6776</v>
      </c>
      <c r="B1867" s="59" t="s">
        <v>7602</v>
      </c>
      <c r="C1867" s="59" t="s">
        <v>1008</v>
      </c>
      <c r="D1867" s="356" t="s">
        <v>6777</v>
      </c>
      <c r="E1867" s="356" t="s">
        <v>6765</v>
      </c>
      <c r="F1867" s="23" t="s">
        <v>6783</v>
      </c>
      <c r="G1867" s="59" t="s">
        <v>403</v>
      </c>
      <c r="H1867" s="353">
        <v>52665.279999999999</v>
      </c>
      <c r="I1867" s="59"/>
      <c r="J1867" s="59" t="s">
        <v>7638</v>
      </c>
      <c r="K1867" s="20"/>
      <c r="L1867" s="20"/>
      <c r="M1867" s="357"/>
      <c r="N1867" s="411"/>
      <c r="O1867" s="23" t="s">
        <v>849</v>
      </c>
      <c r="P1867" s="18" t="s">
        <v>632</v>
      </c>
      <c r="Q1867" s="18" t="s">
        <v>646</v>
      </c>
      <c r="R1867" s="372" t="str">
        <f t="shared" si="52"/>
        <v/>
      </c>
      <c r="S1867" s="106"/>
      <c r="T1867" s="107"/>
      <c r="U1867" s="108"/>
      <c r="V1867" s="108"/>
      <c r="W1867" s="108"/>
      <c r="X1867" s="108"/>
    </row>
    <row r="1868" spans="1:24" x14ac:dyDescent="0.25">
      <c r="A1868" s="23" t="s">
        <v>6776</v>
      </c>
      <c r="B1868" s="59" t="s">
        <v>7602</v>
      </c>
      <c r="C1868" s="59" t="s">
        <v>1008</v>
      </c>
      <c r="D1868" s="356" t="s">
        <v>6777</v>
      </c>
      <c r="E1868" s="356" t="s">
        <v>6765</v>
      </c>
      <c r="F1868" s="23" t="s">
        <v>6784</v>
      </c>
      <c r="G1868" s="59" t="s">
        <v>403</v>
      </c>
      <c r="H1868" s="353">
        <v>106044</v>
      </c>
      <c r="I1868" s="59"/>
      <c r="J1868" s="59" t="s">
        <v>7629</v>
      </c>
      <c r="K1868" s="20"/>
      <c r="L1868" s="20">
        <v>3</v>
      </c>
      <c r="M1868" s="357">
        <f>SUM(H1868:H1870)</f>
        <v>384793</v>
      </c>
      <c r="N1868" s="411" t="str">
        <f>IFERROR((M1868/(VLOOKUP(B1868,'Data Pull Sheet'!$C:$H,6,FALSE))),"DC")</f>
        <v>DC</v>
      </c>
      <c r="O1868" s="23" t="s">
        <v>1204</v>
      </c>
      <c r="P1868" s="18" t="s">
        <v>632</v>
      </c>
      <c r="Q1868" s="18" t="s">
        <v>646</v>
      </c>
      <c r="R1868" s="372" t="str">
        <f t="shared" si="52"/>
        <v/>
      </c>
      <c r="S1868" s="106"/>
      <c r="T1868" s="107"/>
      <c r="U1868" s="108"/>
      <c r="V1868" s="108"/>
      <c r="W1868" s="108"/>
      <c r="X1868" s="108"/>
    </row>
    <row r="1869" spans="1:24" x14ac:dyDescent="0.25">
      <c r="A1869" s="23" t="s">
        <v>6776</v>
      </c>
      <c r="B1869" s="59" t="s">
        <v>7602</v>
      </c>
      <c r="C1869" s="59" t="s">
        <v>1008</v>
      </c>
      <c r="D1869" s="356" t="s">
        <v>6777</v>
      </c>
      <c r="E1869" s="356" t="s">
        <v>6765</v>
      </c>
      <c r="F1869" s="23" t="s">
        <v>6785</v>
      </c>
      <c r="G1869" s="59" t="s">
        <v>403</v>
      </c>
      <c r="H1869" s="353">
        <v>90224</v>
      </c>
      <c r="I1869" s="59"/>
      <c r="J1869" s="59" t="s">
        <v>7639</v>
      </c>
      <c r="K1869" s="20"/>
      <c r="L1869" s="20"/>
      <c r="M1869" s="357"/>
      <c r="N1869" s="411"/>
      <c r="O1869" s="23" t="s">
        <v>1204</v>
      </c>
      <c r="P1869" s="18" t="s">
        <v>632</v>
      </c>
      <c r="Q1869" s="18" t="s">
        <v>646</v>
      </c>
      <c r="R1869" s="372" t="str">
        <f t="shared" si="52"/>
        <v/>
      </c>
      <c r="S1869" s="106"/>
      <c r="T1869" s="107"/>
      <c r="U1869" s="108"/>
      <c r="V1869" s="108"/>
      <c r="W1869" s="108"/>
      <c r="X1869" s="108"/>
    </row>
    <row r="1870" spans="1:24" x14ac:dyDescent="0.25">
      <c r="A1870" s="23" t="s">
        <v>6776</v>
      </c>
      <c r="B1870" s="59" t="s">
        <v>7602</v>
      </c>
      <c r="C1870" s="59" t="s">
        <v>1008</v>
      </c>
      <c r="D1870" s="356" t="s">
        <v>6777</v>
      </c>
      <c r="E1870" s="356" t="s">
        <v>6765</v>
      </c>
      <c r="F1870" s="23" t="s">
        <v>6786</v>
      </c>
      <c r="G1870" s="59" t="s">
        <v>403</v>
      </c>
      <c r="H1870" s="353">
        <v>188525</v>
      </c>
      <c r="I1870" s="59"/>
      <c r="J1870" s="59" t="s">
        <v>7640</v>
      </c>
      <c r="K1870" s="20"/>
      <c r="L1870" s="20"/>
      <c r="M1870" s="357"/>
      <c r="N1870" s="411"/>
      <c r="O1870" s="23" t="s">
        <v>1204</v>
      </c>
      <c r="P1870" s="18" t="s">
        <v>632</v>
      </c>
      <c r="Q1870" s="18" t="s">
        <v>646</v>
      </c>
      <c r="R1870" s="372" t="str">
        <f t="shared" si="52"/>
        <v/>
      </c>
      <c r="S1870" s="106"/>
      <c r="T1870" s="107"/>
      <c r="U1870" s="108"/>
      <c r="V1870" s="108"/>
      <c r="W1870" s="108"/>
      <c r="X1870" s="108"/>
    </row>
    <row r="1871" spans="1:24" x14ac:dyDescent="0.25">
      <c r="A1871" s="23" t="s">
        <v>6776</v>
      </c>
      <c r="B1871" s="59" t="s">
        <v>7602</v>
      </c>
      <c r="C1871" s="59" t="s">
        <v>1008</v>
      </c>
      <c r="D1871" s="356" t="s">
        <v>6777</v>
      </c>
      <c r="E1871" s="356" t="s">
        <v>6765</v>
      </c>
      <c r="F1871" s="23" t="s">
        <v>6787</v>
      </c>
      <c r="G1871" s="59" t="s">
        <v>403</v>
      </c>
      <c r="H1871" s="353">
        <v>201349.57</v>
      </c>
      <c r="I1871" s="59"/>
      <c r="J1871" s="59" t="s">
        <v>7632</v>
      </c>
      <c r="K1871" s="20"/>
      <c r="L1871" s="20">
        <v>2</v>
      </c>
      <c r="M1871" s="357">
        <f>SUM(H1871:H1872)</f>
        <v>321716.79000000004</v>
      </c>
      <c r="N1871" s="411" t="str">
        <f>IFERROR((M1871/(VLOOKUP(B1871,'Data Pull Sheet'!$C:$H,6,FALSE))),"DC")</f>
        <v>DC</v>
      </c>
      <c r="O1871" s="23" t="s">
        <v>7</v>
      </c>
      <c r="P1871" s="18" t="s">
        <v>632</v>
      </c>
      <c r="Q1871" s="18" t="s">
        <v>646</v>
      </c>
      <c r="R1871" s="372" t="str">
        <f t="shared" si="52"/>
        <v/>
      </c>
      <c r="S1871" s="106"/>
      <c r="T1871" s="107"/>
      <c r="U1871" s="108"/>
      <c r="V1871" s="108"/>
      <c r="W1871" s="108"/>
      <c r="X1871" s="108"/>
    </row>
    <row r="1872" spans="1:24" x14ac:dyDescent="0.25">
      <c r="A1872" s="23" t="s">
        <v>6776</v>
      </c>
      <c r="B1872" s="59" t="s">
        <v>7602</v>
      </c>
      <c r="C1872" s="59" t="s">
        <v>1008</v>
      </c>
      <c r="D1872" s="356" t="s">
        <v>6777</v>
      </c>
      <c r="E1872" s="356" t="s">
        <v>6765</v>
      </c>
      <c r="F1872" s="23" t="s">
        <v>6788</v>
      </c>
      <c r="G1872" s="59" t="s">
        <v>403</v>
      </c>
      <c r="H1872" s="353">
        <v>120367.22</v>
      </c>
      <c r="I1872" s="59"/>
      <c r="J1872" s="59" t="s">
        <v>7641</v>
      </c>
      <c r="K1872" s="20"/>
      <c r="L1872" s="20"/>
      <c r="M1872" s="357"/>
      <c r="N1872" s="411"/>
      <c r="O1872" s="23" t="s">
        <v>7</v>
      </c>
      <c r="P1872" s="18" t="s">
        <v>632</v>
      </c>
      <c r="Q1872" s="18" t="s">
        <v>646</v>
      </c>
      <c r="R1872" s="372" t="str">
        <f t="shared" si="52"/>
        <v/>
      </c>
      <c r="S1872" s="106"/>
      <c r="T1872" s="107"/>
      <c r="U1872" s="108"/>
      <c r="V1872" s="108"/>
      <c r="W1872" s="108"/>
      <c r="X1872" s="108"/>
    </row>
    <row r="1873" spans="1:24" x14ac:dyDescent="0.25">
      <c r="A1873" s="23" t="s">
        <v>6771</v>
      </c>
      <c r="B1873" s="59" t="s">
        <v>7618</v>
      </c>
      <c r="C1873" s="59" t="s">
        <v>446</v>
      </c>
      <c r="D1873" s="356" t="s">
        <v>6772</v>
      </c>
      <c r="E1873" s="356" t="s">
        <v>6765</v>
      </c>
      <c r="F1873" s="23" t="s">
        <v>6773</v>
      </c>
      <c r="G1873" s="59" t="s">
        <v>403</v>
      </c>
      <c r="H1873" s="353">
        <v>2939.77</v>
      </c>
      <c r="I1873" s="59"/>
      <c r="J1873" s="59" t="s">
        <v>10472</v>
      </c>
      <c r="K1873" s="20">
        <v>1</v>
      </c>
      <c r="L1873" s="20">
        <v>3</v>
      </c>
      <c r="M1873" s="357">
        <f>SUM(H1873:H1875)</f>
        <v>9206.0499999999993</v>
      </c>
      <c r="N1873" s="411">
        <f>IFERROR((M1873/(VLOOKUP(B1873,'Data Pull Sheet'!$C:$H,6,FALSE))),"DC")</f>
        <v>9.206049999999999E-5</v>
      </c>
      <c r="O1873" s="23" t="s">
        <v>797</v>
      </c>
      <c r="P1873" s="18" t="s">
        <v>676</v>
      </c>
      <c r="Q1873" s="18" t="s">
        <v>637</v>
      </c>
      <c r="R1873" s="372" t="str">
        <f t="shared" si="52"/>
        <v/>
      </c>
      <c r="S1873" s="106"/>
      <c r="T1873" s="107"/>
      <c r="U1873" s="108"/>
      <c r="V1873" s="108"/>
      <c r="W1873" s="108"/>
      <c r="X1873" s="108"/>
    </row>
    <row r="1874" spans="1:24" x14ac:dyDescent="0.25">
      <c r="A1874" s="23" t="s">
        <v>6771</v>
      </c>
      <c r="B1874" s="59" t="s">
        <v>7618</v>
      </c>
      <c r="C1874" s="59" t="s">
        <v>446</v>
      </c>
      <c r="D1874" s="356" t="s">
        <v>6772</v>
      </c>
      <c r="E1874" s="356" t="s">
        <v>6765</v>
      </c>
      <c r="F1874" s="23" t="s">
        <v>6774</v>
      </c>
      <c r="G1874" s="59" t="s">
        <v>403</v>
      </c>
      <c r="H1874" s="353">
        <v>1509</v>
      </c>
      <c r="I1874" s="59"/>
      <c r="J1874" s="59" t="s">
        <v>10473</v>
      </c>
      <c r="K1874" s="20"/>
      <c r="L1874" s="20"/>
      <c r="M1874" s="357"/>
      <c r="N1874" s="411"/>
      <c r="O1874" s="23" t="s">
        <v>797</v>
      </c>
      <c r="P1874" s="18" t="s">
        <v>676</v>
      </c>
      <c r="Q1874" s="18" t="s">
        <v>637</v>
      </c>
      <c r="R1874" s="372" t="str">
        <f t="shared" si="52"/>
        <v/>
      </c>
      <c r="S1874" s="106"/>
      <c r="T1874" s="107"/>
      <c r="U1874" s="108"/>
      <c r="V1874" s="108"/>
      <c r="W1874" s="108"/>
      <c r="X1874" s="108"/>
    </row>
    <row r="1875" spans="1:24" x14ac:dyDescent="0.25">
      <c r="A1875" s="23" t="s">
        <v>6771</v>
      </c>
      <c r="B1875" s="59" t="s">
        <v>7618</v>
      </c>
      <c r="C1875" s="59" t="s">
        <v>446</v>
      </c>
      <c r="D1875" s="356" t="s">
        <v>6772</v>
      </c>
      <c r="E1875" s="356" t="s">
        <v>6765</v>
      </c>
      <c r="F1875" s="23" t="s">
        <v>6775</v>
      </c>
      <c r="G1875" s="59" t="s">
        <v>403</v>
      </c>
      <c r="H1875" s="353">
        <v>4757.28</v>
      </c>
      <c r="I1875" s="59"/>
      <c r="J1875" s="59" t="s">
        <v>10474</v>
      </c>
      <c r="K1875" s="20"/>
      <c r="L1875" s="20"/>
      <c r="M1875" s="357"/>
      <c r="N1875" s="411"/>
      <c r="O1875" s="23" t="s">
        <v>797</v>
      </c>
      <c r="P1875" s="18" t="s">
        <v>676</v>
      </c>
      <c r="Q1875" s="18" t="s">
        <v>637</v>
      </c>
      <c r="R1875" s="372" t="str">
        <f t="shared" si="52"/>
        <v/>
      </c>
      <c r="S1875" s="106"/>
      <c r="T1875" s="107"/>
      <c r="U1875" s="108"/>
      <c r="V1875" s="108"/>
      <c r="W1875" s="108"/>
      <c r="X1875" s="108"/>
    </row>
    <row r="1876" spans="1:24" x14ac:dyDescent="0.25">
      <c r="A1876" s="23" t="s">
        <v>6758</v>
      </c>
      <c r="B1876" s="59" t="s">
        <v>7575</v>
      </c>
      <c r="C1876" s="59" t="s">
        <v>603</v>
      </c>
      <c r="D1876" s="356" t="s">
        <v>6752</v>
      </c>
      <c r="E1876" s="356" t="s">
        <v>6753</v>
      </c>
      <c r="F1876" s="23" t="s">
        <v>6759</v>
      </c>
      <c r="G1876" s="59" t="s">
        <v>403</v>
      </c>
      <c r="H1876" s="353">
        <v>570.4</v>
      </c>
      <c r="I1876" s="59"/>
      <c r="J1876" s="59" t="s">
        <v>7624</v>
      </c>
      <c r="K1876" s="20">
        <v>3</v>
      </c>
      <c r="L1876" s="20">
        <v>1</v>
      </c>
      <c r="M1876" s="357">
        <f>H1876</f>
        <v>570.4</v>
      </c>
      <c r="N1876" s="411">
        <f>IFERROR((M1876/(VLOOKUP(B1876,'Data Pull Sheet'!$C:$H,6,FALSE))),"DC")</f>
        <v>1.6297142857142856E-5</v>
      </c>
      <c r="O1876" s="23" t="s">
        <v>682</v>
      </c>
      <c r="P1876" s="18" t="s">
        <v>632</v>
      </c>
      <c r="Q1876" s="18" t="s">
        <v>637</v>
      </c>
      <c r="R1876" s="372" t="str">
        <f t="shared" si="52"/>
        <v/>
      </c>
      <c r="S1876" s="106"/>
      <c r="T1876" s="107"/>
      <c r="U1876" s="108"/>
      <c r="V1876" s="108"/>
      <c r="W1876" s="108"/>
      <c r="X1876" s="108"/>
    </row>
    <row r="1877" spans="1:24" x14ac:dyDescent="0.25">
      <c r="A1877" s="23" t="s">
        <v>6758</v>
      </c>
      <c r="B1877" s="59" t="s">
        <v>7575</v>
      </c>
      <c r="C1877" s="59" t="s">
        <v>603</v>
      </c>
      <c r="D1877" s="356" t="s">
        <v>6752</v>
      </c>
      <c r="E1877" s="356" t="s">
        <v>6753</v>
      </c>
      <c r="F1877" s="23" t="s">
        <v>6760</v>
      </c>
      <c r="G1877" s="59" t="s">
        <v>403</v>
      </c>
      <c r="H1877" s="353">
        <v>4396.92</v>
      </c>
      <c r="I1877" s="59"/>
      <c r="J1877" s="59" t="s">
        <v>7630</v>
      </c>
      <c r="K1877" s="20"/>
      <c r="L1877" s="20">
        <v>1</v>
      </c>
      <c r="M1877" s="357">
        <f>H1877</f>
        <v>4396.92</v>
      </c>
      <c r="N1877" s="411">
        <f>IFERROR((M1877/(VLOOKUP(B1877,'Data Pull Sheet'!$C:$H,6,FALSE))),"DC")</f>
        <v>1.2562628571428572E-4</v>
      </c>
      <c r="O1877" s="23" t="s">
        <v>3828</v>
      </c>
      <c r="P1877" s="18" t="s">
        <v>632</v>
      </c>
      <c r="Q1877" s="18" t="s">
        <v>637</v>
      </c>
      <c r="R1877" s="372" t="str">
        <f t="shared" si="52"/>
        <v/>
      </c>
      <c r="S1877" s="106"/>
      <c r="T1877" s="107"/>
      <c r="U1877" s="108"/>
      <c r="V1877" s="108"/>
      <c r="W1877" s="108"/>
      <c r="X1877" s="108"/>
    </row>
    <row r="1878" spans="1:24" ht="30" x14ac:dyDescent="0.25">
      <c r="A1878" s="23" t="s">
        <v>6758</v>
      </c>
      <c r="B1878" s="59" t="s">
        <v>7575</v>
      </c>
      <c r="C1878" s="59" t="s">
        <v>603</v>
      </c>
      <c r="D1878" s="356" t="s">
        <v>6752</v>
      </c>
      <c r="E1878" s="356" t="s">
        <v>6753</v>
      </c>
      <c r="F1878" s="23" t="s">
        <v>6761</v>
      </c>
      <c r="G1878" s="59" t="s">
        <v>403</v>
      </c>
      <c r="H1878" s="353">
        <v>4438</v>
      </c>
      <c r="I1878" s="59"/>
      <c r="J1878" s="59" t="s">
        <v>7631</v>
      </c>
      <c r="K1878" s="20"/>
      <c r="L1878" s="20">
        <v>2</v>
      </c>
      <c r="M1878" s="357">
        <f>SUM(H1878:H1879)</f>
        <v>14386</v>
      </c>
      <c r="N1878" s="411">
        <f>IFERROR((M1878/(VLOOKUP(B1878,'Data Pull Sheet'!$C:$H,6,FALSE))),"DC")</f>
        <v>4.1102857142857142E-4</v>
      </c>
      <c r="O1878" s="23" t="s">
        <v>11072</v>
      </c>
      <c r="P1878" s="18" t="s">
        <v>632</v>
      </c>
      <c r="Q1878" s="18" t="s">
        <v>646</v>
      </c>
      <c r="R1878" s="372" t="str">
        <f t="shared" si="52"/>
        <v/>
      </c>
      <c r="S1878" s="106"/>
      <c r="T1878" s="107"/>
      <c r="U1878" s="108"/>
      <c r="V1878" s="108"/>
      <c r="W1878" s="108"/>
      <c r="X1878" s="108"/>
    </row>
    <row r="1879" spans="1:24" ht="30" x14ac:dyDescent="0.25">
      <c r="A1879" s="23" t="s">
        <v>6758</v>
      </c>
      <c r="B1879" s="59" t="s">
        <v>7575</v>
      </c>
      <c r="C1879" s="59" t="s">
        <v>603</v>
      </c>
      <c r="D1879" s="356" t="s">
        <v>6752</v>
      </c>
      <c r="E1879" s="356" t="s">
        <v>6753</v>
      </c>
      <c r="F1879" s="23" t="s">
        <v>6762</v>
      </c>
      <c r="G1879" s="59" t="s">
        <v>403</v>
      </c>
      <c r="H1879" s="353">
        <v>9948</v>
      </c>
      <c r="I1879" s="59"/>
      <c r="J1879" s="59" t="s">
        <v>7634</v>
      </c>
      <c r="K1879" s="20"/>
      <c r="L1879" s="20"/>
      <c r="M1879" s="357"/>
      <c r="N1879" s="411"/>
      <c r="O1879" s="23" t="s">
        <v>11072</v>
      </c>
      <c r="P1879" s="18" t="s">
        <v>632</v>
      </c>
      <c r="Q1879" s="18" t="s">
        <v>646</v>
      </c>
      <c r="R1879" s="372" t="str">
        <f t="shared" si="52"/>
        <v/>
      </c>
      <c r="S1879" s="106"/>
      <c r="T1879" s="107"/>
      <c r="U1879" s="108"/>
      <c r="V1879" s="108"/>
      <c r="W1879" s="108"/>
      <c r="X1879" s="108"/>
    </row>
    <row r="1880" spans="1:24" x14ac:dyDescent="0.25">
      <c r="A1880" s="23" t="s">
        <v>6751</v>
      </c>
      <c r="B1880" s="59" t="s">
        <v>7527</v>
      </c>
      <c r="C1880" s="59" t="s">
        <v>424</v>
      </c>
      <c r="D1880" s="356" t="s">
        <v>6752</v>
      </c>
      <c r="E1880" s="356" t="s">
        <v>6753</v>
      </c>
      <c r="F1880" s="23" t="s">
        <v>6754</v>
      </c>
      <c r="G1880" s="59" t="s">
        <v>403</v>
      </c>
      <c r="H1880" s="353">
        <v>5090</v>
      </c>
      <c r="I1880" s="59"/>
      <c r="J1880" s="59" t="s">
        <v>7623</v>
      </c>
      <c r="K1880" s="20">
        <v>3</v>
      </c>
      <c r="L1880" s="20">
        <v>1</v>
      </c>
      <c r="M1880" s="357">
        <f>H1880</f>
        <v>5090</v>
      </c>
      <c r="N1880" s="411">
        <f>IFERROR((M1880/(VLOOKUP(B1880,'Data Pull Sheet'!$C:$H,6,FALSE))),"DC")</f>
        <v>3.7703703703703705E-6</v>
      </c>
      <c r="O1880" s="23" t="s">
        <v>682</v>
      </c>
      <c r="P1880" s="18" t="s">
        <v>632</v>
      </c>
      <c r="Q1880" s="18" t="s">
        <v>637</v>
      </c>
      <c r="R1880" s="372" t="str">
        <f t="shared" si="52"/>
        <v/>
      </c>
      <c r="S1880" s="106"/>
      <c r="T1880" s="107"/>
      <c r="U1880" s="108"/>
      <c r="V1880" s="108"/>
      <c r="W1880" s="108"/>
      <c r="X1880" s="108"/>
    </row>
    <row r="1881" spans="1:24" x14ac:dyDescent="0.25">
      <c r="A1881" s="23" t="s">
        <v>6751</v>
      </c>
      <c r="B1881" s="59" t="s">
        <v>7527</v>
      </c>
      <c r="C1881" s="59" t="s">
        <v>424</v>
      </c>
      <c r="D1881" s="356" t="s">
        <v>6752</v>
      </c>
      <c r="E1881" s="356" t="s">
        <v>6753</v>
      </c>
      <c r="F1881" s="23" t="s">
        <v>6755</v>
      </c>
      <c r="G1881" s="59" t="s">
        <v>403</v>
      </c>
      <c r="H1881" s="353">
        <v>5552.55</v>
      </c>
      <c r="I1881" s="59" t="s">
        <v>406</v>
      </c>
      <c r="J1881" s="59" t="s">
        <v>7627</v>
      </c>
      <c r="K1881" s="20"/>
      <c r="L1881" s="20">
        <v>1</v>
      </c>
      <c r="M1881" s="357">
        <f>H1881</f>
        <v>5552.55</v>
      </c>
      <c r="N1881" s="411">
        <f>IFERROR((M1881/(VLOOKUP(B1881,'Data Pull Sheet'!$C:$H,6,FALSE))),"DC")</f>
        <v>4.1130000000000003E-6</v>
      </c>
      <c r="O1881" s="23" t="s">
        <v>63</v>
      </c>
      <c r="P1881" s="18" t="s">
        <v>632</v>
      </c>
      <c r="Q1881" s="18" t="s">
        <v>637</v>
      </c>
      <c r="R1881" s="372" t="str">
        <f t="shared" si="52"/>
        <v/>
      </c>
      <c r="S1881" s="106"/>
      <c r="T1881" s="107"/>
      <c r="U1881" s="108"/>
      <c r="V1881" s="108"/>
      <c r="W1881" s="108"/>
      <c r="X1881" s="108"/>
    </row>
    <row r="1882" spans="1:24" x14ac:dyDescent="0.25">
      <c r="A1882" s="23" t="s">
        <v>6751</v>
      </c>
      <c r="B1882" s="59" t="s">
        <v>7527</v>
      </c>
      <c r="C1882" s="59" t="s">
        <v>424</v>
      </c>
      <c r="D1882" s="356" t="s">
        <v>6752</v>
      </c>
      <c r="E1882" s="356" t="s">
        <v>6753</v>
      </c>
      <c r="F1882" s="23" t="s">
        <v>249</v>
      </c>
      <c r="G1882" s="59" t="s">
        <v>417</v>
      </c>
      <c r="H1882" s="353">
        <v>2828044.92</v>
      </c>
      <c r="I1882" s="59" t="s">
        <v>406</v>
      </c>
      <c r="J1882" s="59" t="s">
        <v>7628</v>
      </c>
      <c r="K1882" s="20"/>
      <c r="L1882" s="20">
        <v>1</v>
      </c>
      <c r="M1882" s="357">
        <f>H1882</f>
        <v>2828044.92</v>
      </c>
      <c r="N1882" s="411">
        <f>IFERROR((M1882/(VLOOKUP(B1882,'Data Pull Sheet'!$C:$H,6,FALSE))),"DC")</f>
        <v>2.0948480888888887E-3</v>
      </c>
      <c r="O1882" s="23" t="s">
        <v>6757</v>
      </c>
      <c r="P1882" s="18" t="s">
        <v>632</v>
      </c>
      <c r="Q1882" s="18" t="s">
        <v>633</v>
      </c>
      <c r="R1882" s="372" t="str">
        <f t="shared" si="52"/>
        <v>FF</v>
      </c>
      <c r="S1882" s="106"/>
      <c r="T1882" s="107"/>
      <c r="U1882" s="108"/>
      <c r="V1882" s="108"/>
      <c r="W1882" s="108"/>
      <c r="X1882" s="108"/>
    </row>
    <row r="1883" spans="1:24" ht="30" x14ac:dyDescent="0.25">
      <c r="A1883" s="23" t="s">
        <v>7490</v>
      </c>
      <c r="B1883" s="59" t="s">
        <v>7610</v>
      </c>
      <c r="C1883" s="59" t="s">
        <v>424</v>
      </c>
      <c r="D1883" s="356" t="s">
        <v>7057</v>
      </c>
      <c r="E1883" s="356" t="s">
        <v>7491</v>
      </c>
      <c r="F1883" s="23" t="s">
        <v>7492</v>
      </c>
      <c r="G1883" s="59" t="s">
        <v>417</v>
      </c>
      <c r="H1883" s="353">
        <v>27990.81</v>
      </c>
      <c r="I1883" s="59"/>
      <c r="J1883" s="59" t="s">
        <v>7938</v>
      </c>
      <c r="K1883" s="20">
        <v>2</v>
      </c>
      <c r="L1883" s="20">
        <v>1</v>
      </c>
      <c r="M1883" s="357">
        <f>H1883</f>
        <v>27990.81</v>
      </c>
      <c r="N1883" s="411">
        <f>IFERROR((M1883/(VLOOKUP(B1883,'Data Pull Sheet'!$C:$H,6,FALSE))),"DC")</f>
        <v>1.8058587096774195E-4</v>
      </c>
      <c r="O1883" s="23" t="s">
        <v>1988</v>
      </c>
      <c r="P1883" s="18" t="s">
        <v>632</v>
      </c>
      <c r="Q1883" s="18" t="s">
        <v>633</v>
      </c>
      <c r="R1883" s="372" t="str">
        <f t="shared" si="52"/>
        <v/>
      </c>
      <c r="S1883" s="106"/>
      <c r="T1883" s="107"/>
      <c r="U1883" s="108"/>
      <c r="V1883" s="108"/>
      <c r="W1883" s="108"/>
      <c r="X1883" s="108"/>
    </row>
    <row r="1884" spans="1:24" ht="30" x14ac:dyDescent="0.25">
      <c r="A1884" s="23" t="s">
        <v>7490</v>
      </c>
      <c r="B1884" s="59" t="s">
        <v>7610</v>
      </c>
      <c r="C1884" s="59" t="s">
        <v>424</v>
      </c>
      <c r="D1884" s="356" t="s">
        <v>7057</v>
      </c>
      <c r="E1884" s="356" t="s">
        <v>7491</v>
      </c>
      <c r="F1884" s="23" t="s">
        <v>7493</v>
      </c>
      <c r="G1884" s="59" t="s">
        <v>403</v>
      </c>
      <c r="H1884" s="353">
        <v>18616.53</v>
      </c>
      <c r="I1884" s="59"/>
      <c r="J1884" s="59" t="s">
        <v>7939</v>
      </c>
      <c r="K1884" s="20"/>
      <c r="L1884" s="20">
        <v>3</v>
      </c>
      <c r="M1884" s="357">
        <f>SUM(H1884:H1886)</f>
        <v>86454.510000000009</v>
      </c>
      <c r="N1884" s="411">
        <f>IFERROR((M1884/(VLOOKUP(B1884,'Data Pull Sheet'!$C:$H,6,FALSE))),"DC")</f>
        <v>5.5777103225806458E-4</v>
      </c>
      <c r="O1884" s="23" t="s">
        <v>10846</v>
      </c>
      <c r="P1884" s="18" t="s">
        <v>632</v>
      </c>
      <c r="Q1884" s="18" t="s">
        <v>646</v>
      </c>
      <c r="R1884" s="372" t="str">
        <f t="shared" si="52"/>
        <v/>
      </c>
      <c r="S1884" s="106"/>
      <c r="T1884" s="107"/>
      <c r="U1884" s="108"/>
      <c r="V1884" s="108"/>
      <c r="W1884" s="108"/>
      <c r="X1884" s="108"/>
    </row>
    <row r="1885" spans="1:24" ht="30" x14ac:dyDescent="0.25">
      <c r="A1885" s="23" t="s">
        <v>7490</v>
      </c>
      <c r="B1885" s="59" t="s">
        <v>7610</v>
      </c>
      <c r="C1885" s="59" t="s">
        <v>424</v>
      </c>
      <c r="D1885" s="356" t="s">
        <v>7057</v>
      </c>
      <c r="E1885" s="356" t="s">
        <v>7491</v>
      </c>
      <c r="F1885" s="23" t="s">
        <v>7495</v>
      </c>
      <c r="G1885" s="59" t="s">
        <v>403</v>
      </c>
      <c r="H1885" s="353">
        <v>13089</v>
      </c>
      <c r="I1885" s="59"/>
      <c r="J1885" s="59" t="s">
        <v>7940</v>
      </c>
      <c r="K1885" s="20"/>
      <c r="L1885" s="20"/>
      <c r="M1885" s="357"/>
      <c r="N1885" s="411"/>
      <c r="O1885" s="23" t="s">
        <v>10846</v>
      </c>
      <c r="P1885" s="18" t="s">
        <v>632</v>
      </c>
      <c r="Q1885" s="18" t="s">
        <v>646</v>
      </c>
      <c r="R1885" s="372" t="str">
        <f t="shared" si="52"/>
        <v/>
      </c>
      <c r="S1885" s="106"/>
      <c r="T1885" s="107"/>
      <c r="U1885" s="108"/>
      <c r="V1885" s="108"/>
      <c r="W1885" s="108"/>
      <c r="X1885" s="108"/>
    </row>
    <row r="1886" spans="1:24" ht="30" x14ac:dyDescent="0.25">
      <c r="A1886" s="23" t="s">
        <v>7490</v>
      </c>
      <c r="B1886" s="59" t="s">
        <v>7610</v>
      </c>
      <c r="C1886" s="59" t="s">
        <v>424</v>
      </c>
      <c r="D1886" s="356" t="s">
        <v>7057</v>
      </c>
      <c r="E1886" s="356" t="s">
        <v>7491</v>
      </c>
      <c r="F1886" s="23" t="s">
        <v>7440</v>
      </c>
      <c r="G1886" s="59" t="s">
        <v>403</v>
      </c>
      <c r="H1886" s="353">
        <v>54748.98</v>
      </c>
      <c r="I1886" s="59"/>
      <c r="J1886" s="59" t="s">
        <v>7941</v>
      </c>
      <c r="K1886" s="20"/>
      <c r="L1886" s="20"/>
      <c r="M1886" s="357"/>
      <c r="N1886" s="411"/>
      <c r="O1886" s="23" t="s">
        <v>10846</v>
      </c>
      <c r="P1886" s="18" t="s">
        <v>632</v>
      </c>
      <c r="Q1886" s="18" t="s">
        <v>646</v>
      </c>
      <c r="R1886" s="372" t="str">
        <f t="shared" si="52"/>
        <v>FF</v>
      </c>
      <c r="S1886" s="106"/>
      <c r="T1886" s="107"/>
      <c r="U1886" s="108"/>
      <c r="V1886" s="108"/>
      <c r="W1886" s="108"/>
      <c r="X1886" s="108"/>
    </row>
    <row r="1887" spans="1:24" x14ac:dyDescent="0.25">
      <c r="A1887" s="23" t="s">
        <v>7485</v>
      </c>
      <c r="B1887" s="59" t="s">
        <v>4877</v>
      </c>
      <c r="C1887" s="59" t="s">
        <v>603</v>
      </c>
      <c r="D1887" s="356" t="s">
        <v>7390</v>
      </c>
      <c r="E1887" s="356" t="s">
        <v>7311</v>
      </c>
      <c r="F1887" s="23" t="s">
        <v>7486</v>
      </c>
      <c r="G1887" s="59" t="s">
        <v>403</v>
      </c>
      <c r="H1887" s="353">
        <v>25000</v>
      </c>
      <c r="I1887" s="59" t="s">
        <v>2613</v>
      </c>
      <c r="J1887" s="59" t="s">
        <v>2636</v>
      </c>
      <c r="K1887" s="20">
        <v>1</v>
      </c>
      <c r="L1887" s="20">
        <v>1</v>
      </c>
      <c r="M1887" s="357">
        <f t="shared" ref="M1887:M1892" si="53">H1887</f>
        <v>25000</v>
      </c>
      <c r="N1887" s="411">
        <f>IFERROR((M1887/(VLOOKUP(B1887,'Data Pull Sheet'!$C:$H,6,FALSE))),"DC")</f>
        <v>8.3333333333333339E-4</v>
      </c>
      <c r="O1887" s="23" t="s">
        <v>319</v>
      </c>
      <c r="P1887" s="18" t="s">
        <v>676</v>
      </c>
      <c r="Q1887" s="18" t="s">
        <v>637</v>
      </c>
      <c r="R1887" s="372" t="str">
        <f t="shared" si="52"/>
        <v/>
      </c>
      <c r="S1887" s="106"/>
      <c r="T1887" s="107"/>
      <c r="U1887" s="108"/>
      <c r="V1887" s="108"/>
      <c r="W1887" s="108"/>
      <c r="X1887" s="108"/>
    </row>
    <row r="1888" spans="1:24" x14ac:dyDescent="0.25">
      <c r="A1888" s="23" t="s">
        <v>7487</v>
      </c>
      <c r="B1888" s="59" t="s">
        <v>7611</v>
      </c>
      <c r="C1888" s="59" t="s">
        <v>1008</v>
      </c>
      <c r="D1888" s="356" t="s">
        <v>7488</v>
      </c>
      <c r="E1888" s="356" t="s">
        <v>7311</v>
      </c>
      <c r="F1888" s="23" t="s">
        <v>7489</v>
      </c>
      <c r="G1888" s="59" t="s">
        <v>403</v>
      </c>
      <c r="H1888" s="353">
        <v>10096.81</v>
      </c>
      <c r="I1888" s="59"/>
      <c r="J1888" s="59" t="s">
        <v>7937</v>
      </c>
      <c r="K1888" s="20">
        <v>1</v>
      </c>
      <c r="L1888" s="20">
        <v>1</v>
      </c>
      <c r="M1888" s="357">
        <f t="shared" si="53"/>
        <v>10096.81</v>
      </c>
      <c r="N1888" s="411">
        <f>IFERROR((M1888/(VLOOKUP(B1888,'Data Pull Sheet'!$C:$H,6,FALSE))),"DC")</f>
        <v>1.8357836363636362E-3</v>
      </c>
      <c r="O1888" s="23" t="s">
        <v>682</v>
      </c>
      <c r="P1888" s="18" t="s">
        <v>676</v>
      </c>
      <c r="Q1888" s="18" t="s">
        <v>637</v>
      </c>
      <c r="R1888" s="372" t="str">
        <f t="shared" si="52"/>
        <v/>
      </c>
      <c r="S1888" s="106"/>
      <c r="T1888" s="107"/>
      <c r="U1888" s="108"/>
      <c r="V1888" s="108"/>
      <c r="W1888" s="108"/>
      <c r="X1888" s="108"/>
    </row>
    <row r="1889" spans="1:24" x14ac:dyDescent="0.25">
      <c r="A1889" s="23" t="s">
        <v>7475</v>
      </c>
      <c r="B1889" s="59" t="s">
        <v>7533</v>
      </c>
      <c r="C1889" s="59" t="s">
        <v>592</v>
      </c>
      <c r="D1889" s="356" t="s">
        <v>7024</v>
      </c>
      <c r="E1889" s="356" t="s">
        <v>7473</v>
      </c>
      <c r="F1889" s="23" t="s">
        <v>7476</v>
      </c>
      <c r="G1889" s="59" t="s">
        <v>403</v>
      </c>
      <c r="H1889" s="353">
        <v>2289</v>
      </c>
      <c r="I1889" s="59"/>
      <c r="J1889" s="59" t="s">
        <v>7969</v>
      </c>
      <c r="K1889" s="20">
        <v>4</v>
      </c>
      <c r="L1889" s="20">
        <v>1</v>
      </c>
      <c r="M1889" s="357">
        <f t="shared" si="53"/>
        <v>2289</v>
      </c>
      <c r="N1889" s="411">
        <f>IFERROR((M1889/(VLOOKUP(B1889,'Data Pull Sheet'!$C:$H,6,FALSE))),"DC")</f>
        <v>1.1445E-6</v>
      </c>
      <c r="O1889" s="23" t="s">
        <v>7477</v>
      </c>
      <c r="P1889" s="18" t="s">
        <v>632</v>
      </c>
      <c r="Q1889" s="18" t="s">
        <v>637</v>
      </c>
      <c r="R1889" s="372" t="str">
        <f t="shared" si="52"/>
        <v/>
      </c>
      <c r="S1889" s="106"/>
      <c r="T1889" s="107"/>
      <c r="U1889" s="108"/>
      <c r="V1889" s="108"/>
      <c r="W1889" s="108"/>
      <c r="X1889" s="108"/>
    </row>
    <row r="1890" spans="1:24" x14ac:dyDescent="0.25">
      <c r="A1890" s="23" t="s">
        <v>7475</v>
      </c>
      <c r="B1890" s="59" t="s">
        <v>7533</v>
      </c>
      <c r="C1890" s="59" t="s">
        <v>592</v>
      </c>
      <c r="D1890" s="356" t="s">
        <v>7024</v>
      </c>
      <c r="E1890" s="356" t="s">
        <v>7473</v>
      </c>
      <c r="F1890" s="23" t="s">
        <v>1021</v>
      </c>
      <c r="G1890" s="59" t="s">
        <v>417</v>
      </c>
      <c r="H1890" s="353">
        <v>225351</v>
      </c>
      <c r="I1890" s="59" t="s">
        <v>406</v>
      </c>
      <c r="J1890" s="59" t="s">
        <v>7971</v>
      </c>
      <c r="K1890" s="20"/>
      <c r="L1890" s="20">
        <v>1</v>
      </c>
      <c r="M1890" s="357">
        <f t="shared" si="53"/>
        <v>225351</v>
      </c>
      <c r="N1890" s="411">
        <f>IFERROR((M1890/(VLOOKUP(B1890,'Data Pull Sheet'!$C:$H,6,FALSE))),"DC")</f>
        <v>1.126755E-4</v>
      </c>
      <c r="O1890" s="23" t="s">
        <v>7479</v>
      </c>
      <c r="P1890" s="18" t="s">
        <v>632</v>
      </c>
      <c r="Q1890" s="18" t="s">
        <v>633</v>
      </c>
      <c r="R1890" s="372" t="str">
        <f t="shared" si="52"/>
        <v>FF</v>
      </c>
      <c r="S1890" s="106"/>
      <c r="T1890" s="107"/>
      <c r="U1890" s="108"/>
      <c r="V1890" s="108"/>
      <c r="W1890" s="108"/>
      <c r="X1890" s="108"/>
    </row>
    <row r="1891" spans="1:24" ht="30" x14ac:dyDescent="0.25">
      <c r="A1891" s="23" t="s">
        <v>7475</v>
      </c>
      <c r="B1891" s="59" t="s">
        <v>7533</v>
      </c>
      <c r="C1891" s="59" t="s">
        <v>592</v>
      </c>
      <c r="D1891" s="356" t="s">
        <v>7024</v>
      </c>
      <c r="E1891" s="356" t="s">
        <v>7473</v>
      </c>
      <c r="F1891" s="23" t="s">
        <v>373</v>
      </c>
      <c r="G1891" s="59" t="s">
        <v>417</v>
      </c>
      <c r="H1891" s="353">
        <v>2973692.22</v>
      </c>
      <c r="I1891" s="59" t="s">
        <v>413</v>
      </c>
      <c r="J1891" s="59" t="s">
        <v>7974</v>
      </c>
      <c r="K1891" s="20"/>
      <c r="L1891" s="20">
        <v>1</v>
      </c>
      <c r="M1891" s="357">
        <f t="shared" si="53"/>
        <v>2973692.22</v>
      </c>
      <c r="N1891" s="411">
        <f>IFERROR((M1891/(VLOOKUP(B1891,'Data Pull Sheet'!$C:$H,6,FALSE))),"DC")</f>
        <v>1.48684611E-3</v>
      </c>
      <c r="O1891" s="23" t="s">
        <v>7125</v>
      </c>
      <c r="P1891" s="18" t="s">
        <v>632</v>
      </c>
      <c r="Q1891" s="18" t="s">
        <v>633</v>
      </c>
      <c r="R1891" s="372" t="str">
        <f t="shared" si="52"/>
        <v>FF</v>
      </c>
      <c r="S1891" s="106"/>
      <c r="T1891" s="107"/>
      <c r="U1891" s="108"/>
      <c r="V1891" s="108"/>
      <c r="W1891" s="108"/>
      <c r="X1891" s="108"/>
    </row>
    <row r="1892" spans="1:24" ht="30" x14ac:dyDescent="0.25">
      <c r="A1892" s="23" t="s">
        <v>7475</v>
      </c>
      <c r="B1892" s="59" t="s">
        <v>7533</v>
      </c>
      <c r="C1892" s="59" t="s">
        <v>592</v>
      </c>
      <c r="D1892" s="356" t="s">
        <v>7024</v>
      </c>
      <c r="E1892" s="356" t="s">
        <v>7473</v>
      </c>
      <c r="F1892" s="23" t="s">
        <v>7481</v>
      </c>
      <c r="G1892" s="59" t="s">
        <v>403</v>
      </c>
      <c r="H1892" s="353">
        <v>16876</v>
      </c>
      <c r="I1892" s="59"/>
      <c r="J1892" s="59" t="s">
        <v>7975</v>
      </c>
      <c r="K1892" s="20"/>
      <c r="L1892" s="20">
        <v>1</v>
      </c>
      <c r="M1892" s="357">
        <f t="shared" si="53"/>
        <v>16876</v>
      </c>
      <c r="N1892" s="411">
        <f>IFERROR((M1892/(VLOOKUP(B1892,'Data Pull Sheet'!$C:$H,6,FALSE))),"DC")</f>
        <v>8.4379999999999995E-6</v>
      </c>
      <c r="O1892" s="23" t="s">
        <v>7482</v>
      </c>
      <c r="P1892" s="18" t="s">
        <v>632</v>
      </c>
      <c r="Q1892" s="18" t="s">
        <v>637</v>
      </c>
      <c r="R1892" s="372" t="str">
        <f t="shared" si="52"/>
        <v/>
      </c>
      <c r="S1892" s="106"/>
      <c r="T1892" s="107"/>
      <c r="U1892" s="108"/>
      <c r="V1892" s="108"/>
      <c r="W1892" s="108"/>
      <c r="X1892" s="108"/>
    </row>
    <row r="1893" spans="1:24" x14ac:dyDescent="0.25">
      <c r="A1893" s="23" t="s">
        <v>7483</v>
      </c>
      <c r="B1893" s="18" t="str">
        <f>VLOOKUP(A1893, 'Data Pull Sheet'!$B$2:$C$552,2,FALSE)</f>
        <v>HIIQ</v>
      </c>
      <c r="C1893" s="59" t="s">
        <v>4253</v>
      </c>
      <c r="D1893" s="356">
        <v>42999</v>
      </c>
      <c r="E1893" s="356">
        <v>43052</v>
      </c>
      <c r="F1893" s="23" t="s">
        <v>10397</v>
      </c>
      <c r="G1893" s="92" t="s">
        <v>403</v>
      </c>
      <c r="H1893" s="353">
        <v>55932.26</v>
      </c>
      <c r="I1893" s="59"/>
      <c r="J1893" s="18" t="s">
        <v>10400</v>
      </c>
      <c r="K1893" s="20">
        <v>2</v>
      </c>
      <c r="L1893" s="20">
        <v>1</v>
      </c>
      <c r="M1893" s="357">
        <f>+H1893</f>
        <v>55932.26</v>
      </c>
      <c r="N1893" s="411">
        <f>IFERROR((M1893/(VLOOKUP(B1893,'Data Pull Sheet'!$C:$H,6,FALSE))),"DC")</f>
        <v>1.8644086666666667E-3</v>
      </c>
      <c r="O1893" s="23" t="s">
        <v>10429</v>
      </c>
      <c r="P1893" s="92" t="s">
        <v>632</v>
      </c>
      <c r="Q1893" s="92" t="s">
        <v>637</v>
      </c>
      <c r="R1893" s="372" t="str">
        <f t="shared" si="52"/>
        <v/>
      </c>
      <c r="S1893" s="106"/>
      <c r="T1893" s="107"/>
      <c r="U1893" s="108"/>
      <c r="V1893" s="108"/>
      <c r="W1893" s="108"/>
      <c r="X1893" s="108"/>
    </row>
    <row r="1894" spans="1:24" x14ac:dyDescent="0.25">
      <c r="A1894" s="23" t="s">
        <v>7483</v>
      </c>
      <c r="B1894" s="18" t="str">
        <f>VLOOKUP(A1894, 'Data Pull Sheet'!$B$2:$C$552,2,FALSE)</f>
        <v>HIIQ</v>
      </c>
      <c r="C1894" s="59" t="s">
        <v>4253</v>
      </c>
      <c r="D1894" s="356">
        <v>42999</v>
      </c>
      <c r="E1894" s="356">
        <v>43052</v>
      </c>
      <c r="F1894" s="23" t="s">
        <v>10398</v>
      </c>
      <c r="G1894" s="92" t="s">
        <v>403</v>
      </c>
      <c r="H1894" s="353">
        <v>177791.61</v>
      </c>
      <c r="I1894" s="59" t="s">
        <v>525</v>
      </c>
      <c r="J1894" s="18" t="s">
        <v>10399</v>
      </c>
      <c r="K1894" s="20"/>
      <c r="L1894" s="20">
        <v>1</v>
      </c>
      <c r="M1894" s="357">
        <f>+H1894</f>
        <v>177791.61</v>
      </c>
      <c r="N1894" s="411">
        <f>IFERROR((M1894/(VLOOKUP(B1894,'Data Pull Sheet'!$C:$H,6,FALSE))),"DC")</f>
        <v>5.9263869999999991E-3</v>
      </c>
      <c r="O1894" s="23" t="s">
        <v>10430</v>
      </c>
      <c r="P1894" s="92" t="s">
        <v>632</v>
      </c>
      <c r="Q1894" s="92" t="s">
        <v>637</v>
      </c>
      <c r="R1894" s="372" t="str">
        <f t="shared" si="52"/>
        <v/>
      </c>
      <c r="S1894" s="106"/>
      <c r="T1894" s="107"/>
      <c r="U1894" s="108"/>
      <c r="V1894" s="108"/>
      <c r="W1894" s="108"/>
      <c r="X1894" s="108"/>
    </row>
    <row r="1895" spans="1:24" x14ac:dyDescent="0.25">
      <c r="A1895" s="23" t="s">
        <v>7465</v>
      </c>
      <c r="B1895" s="59" t="s">
        <v>7601</v>
      </c>
      <c r="C1895" s="59" t="s">
        <v>457</v>
      </c>
      <c r="D1895" s="356" t="s">
        <v>6980</v>
      </c>
      <c r="E1895" s="356" t="s">
        <v>7466</v>
      </c>
      <c r="F1895" s="23" t="s">
        <v>7467</v>
      </c>
      <c r="G1895" s="59" t="s">
        <v>403</v>
      </c>
      <c r="H1895" s="353">
        <v>25481.13</v>
      </c>
      <c r="I1895" s="59" t="s">
        <v>406</v>
      </c>
      <c r="J1895" s="59" t="s">
        <v>7968</v>
      </c>
      <c r="K1895" s="20">
        <v>3</v>
      </c>
      <c r="L1895" s="20">
        <v>1</v>
      </c>
      <c r="M1895" s="357">
        <f>H1895</f>
        <v>25481.13</v>
      </c>
      <c r="N1895" s="411">
        <f>IFERROR((M1895/(VLOOKUP(B1895,'Data Pull Sheet'!$C:$H,6,FALSE))),"DC")</f>
        <v>1.2740565000000001E-3</v>
      </c>
      <c r="O1895" s="23" t="s">
        <v>7468</v>
      </c>
      <c r="P1895" s="18" t="s">
        <v>632</v>
      </c>
      <c r="Q1895" s="18" t="s">
        <v>637</v>
      </c>
      <c r="R1895" s="372" t="str">
        <f t="shared" si="52"/>
        <v/>
      </c>
      <c r="S1895" s="106"/>
      <c r="T1895" s="107"/>
      <c r="U1895" s="108"/>
      <c r="V1895" s="108"/>
      <c r="W1895" s="108"/>
      <c r="X1895" s="108"/>
    </row>
    <row r="1896" spans="1:24" x14ac:dyDescent="0.25">
      <c r="A1896" s="23" t="s">
        <v>7465</v>
      </c>
      <c r="B1896" s="59" t="s">
        <v>7601</v>
      </c>
      <c r="C1896" s="59" t="s">
        <v>457</v>
      </c>
      <c r="D1896" s="356" t="s">
        <v>6980</v>
      </c>
      <c r="E1896" s="356" t="s">
        <v>7466</v>
      </c>
      <c r="F1896" s="23" t="s">
        <v>7469</v>
      </c>
      <c r="G1896" s="59" t="s">
        <v>403</v>
      </c>
      <c r="H1896" s="353">
        <v>914</v>
      </c>
      <c r="I1896" s="59" t="s">
        <v>2613</v>
      </c>
      <c r="J1896" s="59" t="s">
        <v>7993</v>
      </c>
      <c r="K1896" s="20"/>
      <c r="L1896" s="20">
        <v>2</v>
      </c>
      <c r="M1896" s="357">
        <f>SUM(H1896:H1897)</f>
        <v>2914</v>
      </c>
      <c r="N1896" s="411">
        <f>IFERROR((M1896/(VLOOKUP(B1896,'Data Pull Sheet'!$C:$H,6,FALSE))),"DC")</f>
        <v>1.4569999999999999E-4</v>
      </c>
      <c r="O1896" s="23" t="s">
        <v>682</v>
      </c>
      <c r="P1896" s="18" t="s">
        <v>632</v>
      </c>
      <c r="Q1896" s="18" t="s">
        <v>637</v>
      </c>
      <c r="R1896" s="372" t="str">
        <f t="shared" si="52"/>
        <v/>
      </c>
      <c r="S1896" s="106"/>
      <c r="T1896" s="107"/>
      <c r="U1896" s="108"/>
      <c r="V1896" s="108"/>
      <c r="W1896" s="108"/>
      <c r="X1896" s="108"/>
    </row>
    <row r="1897" spans="1:24" x14ac:dyDescent="0.25">
      <c r="A1897" s="23" t="s">
        <v>7465</v>
      </c>
      <c r="B1897" s="59" t="s">
        <v>7601</v>
      </c>
      <c r="C1897" s="59" t="s">
        <v>457</v>
      </c>
      <c r="D1897" s="356" t="s">
        <v>6980</v>
      </c>
      <c r="E1897" s="356" t="s">
        <v>7466</v>
      </c>
      <c r="F1897" s="23" t="s">
        <v>7470</v>
      </c>
      <c r="G1897" s="59" t="s">
        <v>403</v>
      </c>
      <c r="H1897" s="353">
        <v>2000</v>
      </c>
      <c r="I1897" s="59" t="s">
        <v>2613</v>
      </c>
      <c r="J1897" s="59" t="s">
        <v>7982</v>
      </c>
      <c r="K1897" s="20"/>
      <c r="L1897" s="20"/>
      <c r="M1897" s="357"/>
      <c r="N1897" s="411"/>
      <c r="O1897" s="23" t="s">
        <v>682</v>
      </c>
      <c r="P1897" s="18" t="s">
        <v>632</v>
      </c>
      <c r="Q1897" s="18" t="s">
        <v>637</v>
      </c>
      <c r="R1897" s="372" t="str">
        <f t="shared" si="52"/>
        <v/>
      </c>
      <c r="S1897" s="106"/>
      <c r="T1897" s="107"/>
      <c r="U1897" s="108"/>
      <c r="V1897" s="108"/>
      <c r="W1897" s="108"/>
      <c r="X1897" s="108"/>
    </row>
    <row r="1898" spans="1:24" x14ac:dyDescent="0.25">
      <c r="A1898" s="23" t="s">
        <v>7465</v>
      </c>
      <c r="B1898" s="59" t="s">
        <v>7601</v>
      </c>
      <c r="C1898" s="59" t="s">
        <v>457</v>
      </c>
      <c r="D1898" s="356" t="s">
        <v>6980</v>
      </c>
      <c r="E1898" s="356" t="s">
        <v>7466</v>
      </c>
      <c r="F1898" s="23" t="s">
        <v>7471</v>
      </c>
      <c r="G1898" s="59" t="s">
        <v>403</v>
      </c>
      <c r="H1898" s="353">
        <v>51603</v>
      </c>
      <c r="I1898" s="59"/>
      <c r="J1898" s="59" t="s">
        <v>7973</v>
      </c>
      <c r="K1898" s="20"/>
      <c r="L1898" s="20">
        <v>1</v>
      </c>
      <c r="M1898" s="357">
        <f>H1898</f>
        <v>51603</v>
      </c>
      <c r="N1898" s="411">
        <f>IFERROR((M1898/(VLOOKUP(B1898,'Data Pull Sheet'!$C:$H,6,FALSE))),"DC")</f>
        <v>2.5801499999999998E-3</v>
      </c>
      <c r="O1898" s="23" t="s">
        <v>597</v>
      </c>
      <c r="P1898" s="18" t="s">
        <v>632</v>
      </c>
      <c r="Q1898" s="18" t="s">
        <v>637</v>
      </c>
      <c r="R1898" s="372" t="str">
        <f t="shared" si="52"/>
        <v/>
      </c>
      <c r="S1898" s="106"/>
      <c r="T1898" s="107"/>
      <c r="U1898" s="108"/>
      <c r="V1898" s="108"/>
      <c r="W1898" s="108"/>
      <c r="X1898" s="108"/>
    </row>
    <row r="1899" spans="1:24" x14ac:dyDescent="0.25">
      <c r="A1899" s="23" t="s">
        <v>7461</v>
      </c>
      <c r="B1899" s="59" t="s">
        <v>7595</v>
      </c>
      <c r="C1899" s="59" t="s">
        <v>4253</v>
      </c>
      <c r="D1899" s="356" t="s">
        <v>7377</v>
      </c>
      <c r="E1899" s="356" t="s">
        <v>7460</v>
      </c>
      <c r="F1899" s="23" t="s">
        <v>7462</v>
      </c>
      <c r="G1899" s="59" t="s">
        <v>403</v>
      </c>
      <c r="H1899" s="353">
        <v>17981.490000000002</v>
      </c>
      <c r="I1899" s="59" t="s">
        <v>406</v>
      </c>
      <c r="J1899" s="59" t="s">
        <v>7992</v>
      </c>
      <c r="K1899" s="20">
        <v>2</v>
      </c>
      <c r="L1899" s="20">
        <v>2</v>
      </c>
      <c r="M1899" s="357">
        <f>SUM(H1899:H1900)</f>
        <v>27163.43</v>
      </c>
      <c r="N1899" s="411" t="str">
        <f>IFERROR((M1899/(VLOOKUP(B1899,'Data Pull Sheet'!$C:$H,6,FALSE))),"DC")</f>
        <v>DC</v>
      </c>
      <c r="O1899" s="23" t="s">
        <v>1679</v>
      </c>
      <c r="P1899" s="18" t="s">
        <v>632</v>
      </c>
      <c r="Q1899" s="18" t="s">
        <v>637</v>
      </c>
      <c r="R1899" s="372" t="str">
        <f t="shared" si="52"/>
        <v/>
      </c>
      <c r="S1899" s="106"/>
      <c r="T1899" s="107"/>
      <c r="U1899" s="108"/>
      <c r="V1899" s="108"/>
      <c r="W1899" s="108"/>
      <c r="X1899" s="108"/>
    </row>
    <row r="1900" spans="1:24" x14ac:dyDescent="0.25">
      <c r="A1900" s="23" t="s">
        <v>7461</v>
      </c>
      <c r="B1900" s="59" t="s">
        <v>7595</v>
      </c>
      <c r="C1900" s="59" t="s">
        <v>4253</v>
      </c>
      <c r="D1900" s="356" t="s">
        <v>7377</v>
      </c>
      <c r="E1900" s="356" t="s">
        <v>7460</v>
      </c>
      <c r="F1900" s="23" t="s">
        <v>7463</v>
      </c>
      <c r="G1900" s="59" t="s">
        <v>403</v>
      </c>
      <c r="H1900" s="353">
        <v>9181.94</v>
      </c>
      <c r="I1900" s="59"/>
      <c r="J1900" s="59" t="s">
        <v>7966</v>
      </c>
      <c r="K1900" s="20"/>
      <c r="L1900" s="20"/>
      <c r="M1900" s="357"/>
      <c r="N1900" s="411"/>
      <c r="O1900" s="23" t="s">
        <v>1679</v>
      </c>
      <c r="P1900" s="18" t="s">
        <v>632</v>
      </c>
      <c r="Q1900" s="18" t="s">
        <v>637</v>
      </c>
      <c r="R1900" s="372" t="str">
        <f t="shared" si="52"/>
        <v/>
      </c>
      <c r="S1900" s="106"/>
      <c r="T1900" s="107"/>
      <c r="U1900" s="108"/>
      <c r="V1900" s="108"/>
      <c r="W1900" s="108"/>
      <c r="X1900" s="108"/>
    </row>
    <row r="1901" spans="1:24" ht="30" x14ac:dyDescent="0.25">
      <c r="A1901" s="23" t="s">
        <v>7461</v>
      </c>
      <c r="B1901" s="59" t="s">
        <v>7595</v>
      </c>
      <c r="C1901" s="59" t="s">
        <v>4253</v>
      </c>
      <c r="D1901" s="356" t="s">
        <v>7377</v>
      </c>
      <c r="E1901" s="356" t="s">
        <v>7460</v>
      </c>
      <c r="F1901" s="23" t="s">
        <v>384</v>
      </c>
      <c r="G1901" s="59" t="s">
        <v>417</v>
      </c>
      <c r="H1901" s="353">
        <v>35790.379999999997</v>
      </c>
      <c r="I1901" s="59"/>
      <c r="J1901" s="59" t="s">
        <v>7970</v>
      </c>
      <c r="K1901" s="20"/>
      <c r="L1901" s="20">
        <v>1</v>
      </c>
      <c r="M1901" s="357">
        <f>H1901</f>
        <v>35790.379999999997</v>
      </c>
      <c r="N1901" s="411" t="str">
        <f>IFERROR((M1901/(VLOOKUP(B1901,'Data Pull Sheet'!$C:$H,6,FALSE))),"DC")</f>
        <v>DC</v>
      </c>
      <c r="O1901" s="23" t="s">
        <v>1640</v>
      </c>
      <c r="P1901" s="18" t="s">
        <v>632</v>
      </c>
      <c r="Q1901" s="18" t="s">
        <v>633</v>
      </c>
      <c r="R1901" s="372" t="str">
        <f t="shared" si="52"/>
        <v>FF</v>
      </c>
      <c r="S1901" s="106"/>
      <c r="T1901" s="107"/>
      <c r="U1901" s="108"/>
      <c r="V1901" s="108"/>
      <c r="W1901" s="108"/>
      <c r="X1901" s="108"/>
    </row>
    <row r="1902" spans="1:24" x14ac:dyDescent="0.25">
      <c r="A1902" s="23" t="s">
        <v>7406</v>
      </c>
      <c r="B1902" s="59" t="s">
        <v>7539</v>
      </c>
      <c r="C1902" s="59" t="s">
        <v>511</v>
      </c>
      <c r="D1902" s="356" t="s">
        <v>6953</v>
      </c>
      <c r="E1902" s="356" t="s">
        <v>7403</v>
      </c>
      <c r="F1902" s="23" t="s">
        <v>7407</v>
      </c>
      <c r="G1902" s="59" t="s">
        <v>403</v>
      </c>
      <c r="H1902" s="353">
        <v>738463.03</v>
      </c>
      <c r="I1902" s="59"/>
      <c r="J1902" s="59" t="s">
        <v>7955</v>
      </c>
      <c r="K1902" s="20">
        <v>11</v>
      </c>
      <c r="L1902" s="20">
        <v>1</v>
      </c>
      <c r="M1902" s="357">
        <f>H1902</f>
        <v>738463.03</v>
      </c>
      <c r="N1902" s="411">
        <f>IFERROR((M1902/(VLOOKUP(B1902,'Data Pull Sheet'!$C:$H,6,FALSE))),"DC")</f>
        <v>1.0940193037037038E-3</v>
      </c>
      <c r="O1902" s="23" t="s">
        <v>7408</v>
      </c>
      <c r="P1902" s="18" t="s">
        <v>632</v>
      </c>
      <c r="Q1902" s="18" t="s">
        <v>637</v>
      </c>
      <c r="R1902" s="372" t="str">
        <f t="shared" si="52"/>
        <v/>
      </c>
      <c r="S1902" s="106"/>
      <c r="T1902" s="107"/>
      <c r="U1902" s="108"/>
      <c r="V1902" s="108"/>
      <c r="W1902" s="108"/>
      <c r="X1902" s="108"/>
    </row>
    <row r="1903" spans="1:24" x14ac:dyDescent="0.25">
      <c r="A1903" s="23" t="s">
        <v>7406</v>
      </c>
      <c r="B1903" s="59" t="s">
        <v>7539</v>
      </c>
      <c r="C1903" s="59" t="s">
        <v>511</v>
      </c>
      <c r="D1903" s="356" t="s">
        <v>6953</v>
      </c>
      <c r="E1903" s="356" t="s">
        <v>7403</v>
      </c>
      <c r="F1903" s="23" t="s">
        <v>7420</v>
      </c>
      <c r="G1903" s="59" t="s">
        <v>403</v>
      </c>
      <c r="H1903" s="353">
        <v>117772.8</v>
      </c>
      <c r="I1903" s="59"/>
      <c r="J1903" s="59" t="s">
        <v>10479</v>
      </c>
      <c r="K1903" s="20"/>
      <c r="L1903" s="20">
        <v>5</v>
      </c>
      <c r="M1903" s="357">
        <f>SUM(H1903:H1907)</f>
        <v>671390.32000000007</v>
      </c>
      <c r="N1903" s="411">
        <f>IFERROR((M1903/(VLOOKUP(B1903,'Data Pull Sheet'!$C:$H,6,FALSE))),"DC")</f>
        <v>9.9465232592592595E-4</v>
      </c>
      <c r="O1903" s="23" t="s">
        <v>7421</v>
      </c>
      <c r="P1903" s="18" t="s">
        <v>632</v>
      </c>
      <c r="Q1903" s="18" t="s">
        <v>637</v>
      </c>
      <c r="R1903" s="372" t="str">
        <f t="shared" si="52"/>
        <v/>
      </c>
      <c r="S1903" s="106"/>
      <c r="T1903" s="107"/>
      <c r="U1903" s="108"/>
      <c r="V1903" s="108"/>
      <c r="W1903" s="108"/>
      <c r="X1903" s="108"/>
    </row>
    <row r="1904" spans="1:24" x14ac:dyDescent="0.25">
      <c r="A1904" s="23" t="s">
        <v>7406</v>
      </c>
      <c r="B1904" s="59" t="s">
        <v>7539</v>
      </c>
      <c r="C1904" s="59" t="s">
        <v>511</v>
      </c>
      <c r="D1904" s="356" t="s">
        <v>6953</v>
      </c>
      <c r="E1904" s="356" t="s">
        <v>7403</v>
      </c>
      <c r="F1904" s="23" t="s">
        <v>7422</v>
      </c>
      <c r="G1904" s="59" t="s">
        <v>403</v>
      </c>
      <c r="H1904" s="353">
        <v>40800</v>
      </c>
      <c r="I1904" s="59"/>
      <c r="J1904" s="59" t="s">
        <v>10480</v>
      </c>
      <c r="K1904" s="20"/>
      <c r="L1904" s="20"/>
      <c r="M1904" s="357"/>
      <c r="N1904" s="411"/>
      <c r="O1904" s="23" t="s">
        <v>7421</v>
      </c>
      <c r="P1904" s="18" t="s">
        <v>632</v>
      </c>
      <c r="Q1904" s="18" t="s">
        <v>637</v>
      </c>
      <c r="R1904" s="372" t="str">
        <f t="shared" si="52"/>
        <v/>
      </c>
      <c r="S1904" s="106"/>
      <c r="T1904" s="107"/>
      <c r="U1904" s="108"/>
      <c r="V1904" s="108"/>
      <c r="W1904" s="108"/>
      <c r="X1904" s="108"/>
    </row>
    <row r="1905" spans="1:24" x14ac:dyDescent="0.25">
      <c r="A1905" s="23" t="s">
        <v>7406</v>
      </c>
      <c r="B1905" s="59" t="s">
        <v>7539</v>
      </c>
      <c r="C1905" s="59" t="s">
        <v>511</v>
      </c>
      <c r="D1905" s="356" t="s">
        <v>6953</v>
      </c>
      <c r="E1905" s="356" t="s">
        <v>7403</v>
      </c>
      <c r="F1905" s="23" t="s">
        <v>7423</v>
      </c>
      <c r="G1905" s="59" t="s">
        <v>403</v>
      </c>
      <c r="H1905" s="353">
        <v>335800</v>
      </c>
      <c r="I1905" s="59"/>
      <c r="J1905" s="59" t="s">
        <v>10481</v>
      </c>
      <c r="K1905" s="20"/>
      <c r="L1905" s="20"/>
      <c r="M1905" s="357"/>
      <c r="N1905" s="411"/>
      <c r="O1905" s="23" t="s">
        <v>7421</v>
      </c>
      <c r="P1905" s="18" t="s">
        <v>632</v>
      </c>
      <c r="Q1905" s="18" t="s">
        <v>637</v>
      </c>
      <c r="R1905" s="372" t="str">
        <f t="shared" si="52"/>
        <v/>
      </c>
      <c r="S1905" s="106"/>
      <c r="T1905" s="107"/>
      <c r="U1905" s="108"/>
      <c r="V1905" s="108"/>
      <c r="W1905" s="108"/>
      <c r="X1905" s="108"/>
    </row>
    <row r="1906" spans="1:24" x14ac:dyDescent="0.25">
      <c r="A1906" s="23" t="s">
        <v>7406</v>
      </c>
      <c r="B1906" s="59" t="s">
        <v>7539</v>
      </c>
      <c r="C1906" s="59" t="s">
        <v>511</v>
      </c>
      <c r="D1906" s="356" t="s">
        <v>6953</v>
      </c>
      <c r="E1906" s="356" t="s">
        <v>7403</v>
      </c>
      <c r="F1906" s="23" t="s">
        <v>7424</v>
      </c>
      <c r="G1906" s="59" t="s">
        <v>403</v>
      </c>
      <c r="H1906" s="353">
        <v>90273.84</v>
      </c>
      <c r="I1906" s="59"/>
      <c r="J1906" s="59" t="s">
        <v>10482</v>
      </c>
      <c r="K1906" s="20"/>
      <c r="L1906" s="20"/>
      <c r="M1906" s="357"/>
      <c r="N1906" s="411"/>
      <c r="O1906" s="23" t="s">
        <v>7421</v>
      </c>
      <c r="P1906" s="18" t="s">
        <v>632</v>
      </c>
      <c r="Q1906" s="18" t="s">
        <v>637</v>
      </c>
      <c r="R1906" s="372" t="str">
        <f t="shared" si="52"/>
        <v/>
      </c>
      <c r="S1906" s="106"/>
      <c r="T1906" s="107"/>
      <c r="U1906" s="108"/>
      <c r="V1906" s="108"/>
      <c r="W1906" s="108"/>
      <c r="X1906" s="108"/>
    </row>
    <row r="1907" spans="1:24" x14ac:dyDescent="0.25">
      <c r="A1907" s="23" t="s">
        <v>7406</v>
      </c>
      <c r="B1907" s="59" t="s">
        <v>7539</v>
      </c>
      <c r="C1907" s="59" t="s">
        <v>511</v>
      </c>
      <c r="D1907" s="356" t="s">
        <v>6953</v>
      </c>
      <c r="E1907" s="356" t="s">
        <v>7403</v>
      </c>
      <c r="F1907" s="23" t="s">
        <v>7425</v>
      </c>
      <c r="G1907" s="59" t="s">
        <v>403</v>
      </c>
      <c r="H1907" s="353">
        <v>86743.679999999993</v>
      </c>
      <c r="I1907" s="59"/>
      <c r="J1907" s="59" t="s">
        <v>10483</v>
      </c>
      <c r="K1907" s="20"/>
      <c r="L1907" s="20"/>
      <c r="M1907" s="357"/>
      <c r="N1907" s="411"/>
      <c r="O1907" s="23" t="s">
        <v>7421</v>
      </c>
      <c r="P1907" s="18" t="s">
        <v>632</v>
      </c>
      <c r="Q1907" s="18" t="s">
        <v>637</v>
      </c>
      <c r="R1907" s="372" t="str">
        <f t="shared" si="52"/>
        <v/>
      </c>
      <c r="S1907" s="106"/>
      <c r="T1907" s="107"/>
      <c r="U1907" s="108"/>
      <c r="V1907" s="108"/>
      <c r="W1907" s="108"/>
      <c r="X1907" s="108"/>
    </row>
    <row r="1908" spans="1:24" x14ac:dyDescent="0.25">
      <c r="A1908" s="23" t="s">
        <v>7406</v>
      </c>
      <c r="B1908" s="59" t="s">
        <v>7539</v>
      </c>
      <c r="C1908" s="59" t="s">
        <v>511</v>
      </c>
      <c r="D1908" s="356" t="s">
        <v>6953</v>
      </c>
      <c r="E1908" s="356" t="s">
        <v>7403</v>
      </c>
      <c r="F1908" s="23" t="s">
        <v>7426</v>
      </c>
      <c r="G1908" s="59" t="s">
        <v>403</v>
      </c>
      <c r="H1908" s="353">
        <v>161291.46</v>
      </c>
      <c r="I1908" s="59"/>
      <c r="J1908" s="59" t="s">
        <v>7978</v>
      </c>
      <c r="K1908" s="20"/>
      <c r="L1908" s="20">
        <v>2</v>
      </c>
      <c r="M1908" s="357">
        <f>SUM(H1908:H1909)</f>
        <v>455169.31999999995</v>
      </c>
      <c r="N1908" s="411">
        <f>IFERROR((M1908/(VLOOKUP(B1908,'Data Pull Sheet'!$C:$H,6,FALSE))),"DC")</f>
        <v>6.7432491851851842E-4</v>
      </c>
      <c r="O1908" s="23" t="s">
        <v>60</v>
      </c>
      <c r="P1908" s="18" t="s">
        <v>632</v>
      </c>
      <c r="Q1908" s="18" t="s">
        <v>637</v>
      </c>
      <c r="R1908" s="372" t="str">
        <f t="shared" si="52"/>
        <v/>
      </c>
      <c r="S1908" s="106"/>
      <c r="T1908" s="107"/>
      <c r="U1908" s="108"/>
      <c r="V1908" s="108"/>
      <c r="W1908" s="108"/>
      <c r="X1908" s="108"/>
    </row>
    <row r="1909" spans="1:24" x14ac:dyDescent="0.25">
      <c r="A1909" s="23" t="s">
        <v>7406</v>
      </c>
      <c r="B1909" s="59" t="s">
        <v>7539</v>
      </c>
      <c r="C1909" s="59" t="s">
        <v>511</v>
      </c>
      <c r="D1909" s="356" t="s">
        <v>6953</v>
      </c>
      <c r="E1909" s="356" t="s">
        <v>7403</v>
      </c>
      <c r="F1909" s="23" t="s">
        <v>7427</v>
      </c>
      <c r="G1909" s="59" t="s">
        <v>403</v>
      </c>
      <c r="H1909" s="353">
        <v>293877.86</v>
      </c>
      <c r="I1909" s="59"/>
      <c r="J1909" s="59" t="s">
        <v>7979</v>
      </c>
      <c r="K1909" s="20"/>
      <c r="L1909" s="20"/>
      <c r="M1909" s="357"/>
      <c r="N1909" s="411"/>
      <c r="O1909" s="23" t="s">
        <v>60</v>
      </c>
      <c r="P1909" s="18" t="s">
        <v>632</v>
      </c>
      <c r="Q1909" s="18" t="s">
        <v>637</v>
      </c>
      <c r="R1909" s="372" t="str">
        <f t="shared" si="52"/>
        <v/>
      </c>
      <c r="S1909" s="106"/>
      <c r="T1909" s="107"/>
      <c r="U1909" s="108"/>
      <c r="V1909" s="108"/>
      <c r="W1909" s="108"/>
      <c r="X1909" s="108"/>
    </row>
    <row r="1910" spans="1:24" ht="30" x14ac:dyDescent="0.25">
      <c r="A1910" s="23" t="s">
        <v>7406</v>
      </c>
      <c r="B1910" s="59" t="s">
        <v>7539</v>
      </c>
      <c r="C1910" s="59" t="s">
        <v>511</v>
      </c>
      <c r="D1910" s="356" t="s">
        <v>6953</v>
      </c>
      <c r="E1910" s="356" t="s">
        <v>7403</v>
      </c>
      <c r="F1910" s="23" t="s">
        <v>384</v>
      </c>
      <c r="G1910" s="59" t="s">
        <v>417</v>
      </c>
      <c r="H1910" s="353">
        <v>309939.77</v>
      </c>
      <c r="I1910" s="59"/>
      <c r="J1910" s="59" t="s">
        <v>7960</v>
      </c>
      <c r="K1910" s="20"/>
      <c r="L1910" s="20">
        <v>1</v>
      </c>
      <c r="M1910" s="357">
        <f>H1910</f>
        <v>309939.77</v>
      </c>
      <c r="N1910" s="411">
        <f>IFERROR((M1910/(VLOOKUP(B1910,'Data Pull Sheet'!$C:$H,6,FALSE))),"DC")</f>
        <v>4.5917002962962965E-4</v>
      </c>
      <c r="O1910" s="23" t="s">
        <v>11189</v>
      </c>
      <c r="P1910" s="18" t="s">
        <v>632</v>
      </c>
      <c r="Q1910" s="18" t="s">
        <v>633</v>
      </c>
      <c r="R1910" s="372" t="str">
        <f t="shared" si="52"/>
        <v>FF</v>
      </c>
      <c r="S1910" s="106"/>
      <c r="T1910" s="107"/>
      <c r="U1910" s="108"/>
      <c r="V1910" s="108"/>
      <c r="W1910" s="108"/>
      <c r="X1910" s="108"/>
    </row>
    <row r="1911" spans="1:24" ht="30" x14ac:dyDescent="0.25">
      <c r="A1911" s="23" t="s">
        <v>7406</v>
      </c>
      <c r="B1911" s="59" t="s">
        <v>7539</v>
      </c>
      <c r="C1911" s="59" t="s">
        <v>511</v>
      </c>
      <c r="D1911" s="356" t="s">
        <v>6953</v>
      </c>
      <c r="E1911" s="356" t="s">
        <v>7403</v>
      </c>
      <c r="F1911" s="23" t="s">
        <v>39</v>
      </c>
      <c r="G1911" s="59" t="s">
        <v>417</v>
      </c>
      <c r="H1911" s="353">
        <v>2780849.71</v>
      </c>
      <c r="I1911" s="59"/>
      <c r="J1911" s="59" t="s">
        <v>10475</v>
      </c>
      <c r="K1911" s="20"/>
      <c r="L1911" s="20">
        <v>2</v>
      </c>
      <c r="M1911" s="357">
        <f>SUM(H1911:H1912)</f>
        <v>7961107.9000000004</v>
      </c>
      <c r="N1911" s="411">
        <f>IFERROR((M1911/(VLOOKUP(B1911,'Data Pull Sheet'!$C:$H,6,FALSE))),"DC")</f>
        <v>1.1794233925925926E-2</v>
      </c>
      <c r="O1911" s="23" t="s">
        <v>7431</v>
      </c>
      <c r="P1911" s="18" t="s">
        <v>632</v>
      </c>
      <c r="Q1911" s="18" t="s">
        <v>633</v>
      </c>
      <c r="R1911" s="372" t="str">
        <f t="shared" si="52"/>
        <v>FF</v>
      </c>
      <c r="S1911" s="106"/>
      <c r="T1911" s="107"/>
      <c r="U1911" s="108"/>
      <c r="V1911" s="108"/>
      <c r="W1911" s="108"/>
      <c r="X1911" s="108"/>
    </row>
    <row r="1912" spans="1:24" ht="30" x14ac:dyDescent="0.25">
      <c r="A1912" s="23" t="s">
        <v>7406</v>
      </c>
      <c r="B1912" s="59" t="s">
        <v>7539</v>
      </c>
      <c r="C1912" s="59" t="s">
        <v>511</v>
      </c>
      <c r="D1912" s="356" t="s">
        <v>6953</v>
      </c>
      <c r="E1912" s="356" t="s">
        <v>7403</v>
      </c>
      <c r="F1912" s="23" t="s">
        <v>7432</v>
      </c>
      <c r="G1912" s="59" t="s">
        <v>403</v>
      </c>
      <c r="H1912" s="353">
        <v>5180258.1900000004</v>
      </c>
      <c r="I1912" s="59"/>
      <c r="J1912" s="59" t="s">
        <v>10476</v>
      </c>
      <c r="K1912" s="20"/>
      <c r="L1912" s="20"/>
      <c r="M1912" s="357"/>
      <c r="N1912" s="411"/>
      <c r="O1912" s="23" t="s">
        <v>7431</v>
      </c>
      <c r="P1912" s="18" t="s">
        <v>632</v>
      </c>
      <c r="Q1912" s="18" t="s">
        <v>637</v>
      </c>
      <c r="R1912" s="372" t="str">
        <f t="shared" si="52"/>
        <v/>
      </c>
      <c r="S1912" s="106"/>
      <c r="T1912" s="107"/>
      <c r="U1912" s="108"/>
      <c r="V1912" s="108"/>
      <c r="W1912" s="108"/>
      <c r="X1912" s="108"/>
    </row>
    <row r="1913" spans="1:24" ht="30" x14ac:dyDescent="0.25">
      <c r="A1913" s="23" t="s">
        <v>7406</v>
      </c>
      <c r="B1913" s="59" t="s">
        <v>7539</v>
      </c>
      <c r="C1913" s="59" t="s">
        <v>511</v>
      </c>
      <c r="D1913" s="356" t="s">
        <v>6953</v>
      </c>
      <c r="E1913" s="356" t="s">
        <v>7403</v>
      </c>
      <c r="F1913" s="23" t="s">
        <v>7409</v>
      </c>
      <c r="G1913" s="59" t="s">
        <v>403</v>
      </c>
      <c r="H1913" s="353">
        <v>640604.47</v>
      </c>
      <c r="I1913" s="59" t="s">
        <v>406</v>
      </c>
      <c r="J1913" s="59" t="s">
        <v>7961</v>
      </c>
      <c r="K1913" s="20"/>
      <c r="L1913" s="20">
        <v>1</v>
      </c>
      <c r="M1913" s="357">
        <f>H1913</f>
        <v>640604.47</v>
      </c>
      <c r="N1913" s="411">
        <f>IFERROR((M1913/(VLOOKUP(B1913,'Data Pull Sheet'!$C:$H,6,FALSE))),"DC")</f>
        <v>9.4904365925925927E-4</v>
      </c>
      <c r="O1913" s="23" t="s">
        <v>10847</v>
      </c>
      <c r="P1913" s="18" t="s">
        <v>632</v>
      </c>
      <c r="Q1913" s="18" t="s">
        <v>637</v>
      </c>
      <c r="R1913" s="372" t="str">
        <f t="shared" si="52"/>
        <v/>
      </c>
      <c r="S1913" s="106"/>
      <c r="T1913" s="107"/>
      <c r="U1913" s="108"/>
      <c r="V1913" s="108"/>
      <c r="W1913" s="108"/>
      <c r="X1913" s="108"/>
    </row>
    <row r="1914" spans="1:24" x14ac:dyDescent="0.25">
      <c r="A1914" s="23" t="s">
        <v>7406</v>
      </c>
      <c r="B1914" s="59" t="s">
        <v>7539</v>
      </c>
      <c r="C1914" s="59" t="s">
        <v>511</v>
      </c>
      <c r="D1914" s="356" t="s">
        <v>6953</v>
      </c>
      <c r="E1914" s="356" t="s">
        <v>7403</v>
      </c>
      <c r="F1914" s="23" t="s">
        <v>7410</v>
      </c>
      <c r="G1914" s="59" t="s">
        <v>403</v>
      </c>
      <c r="H1914" s="353">
        <v>356375.85</v>
      </c>
      <c r="I1914" s="59"/>
      <c r="J1914" s="59" t="s">
        <v>7958</v>
      </c>
      <c r="K1914" s="20"/>
      <c r="L1914" s="20">
        <v>1</v>
      </c>
      <c r="M1914" s="357">
        <f>H1914</f>
        <v>356375.85</v>
      </c>
      <c r="N1914" s="411">
        <f>IFERROR((M1914/(VLOOKUP(B1914,'Data Pull Sheet'!$C:$H,6,FALSE))),"DC")</f>
        <v>5.2796422222222219E-4</v>
      </c>
      <c r="O1914" s="23" t="s">
        <v>7411</v>
      </c>
      <c r="P1914" s="18" t="s">
        <v>632</v>
      </c>
      <c r="Q1914" s="18" t="s">
        <v>637</v>
      </c>
      <c r="R1914" s="372" t="str">
        <f t="shared" si="52"/>
        <v/>
      </c>
      <c r="S1914" s="106"/>
      <c r="T1914" s="107"/>
      <c r="U1914" s="108"/>
      <c r="V1914" s="108"/>
      <c r="W1914" s="108"/>
      <c r="X1914" s="108"/>
    </row>
    <row r="1915" spans="1:24" ht="30" x14ac:dyDescent="0.25">
      <c r="A1915" s="23" t="s">
        <v>7406</v>
      </c>
      <c r="B1915" s="59" t="s">
        <v>7539</v>
      </c>
      <c r="C1915" s="59" t="s">
        <v>511</v>
      </c>
      <c r="D1915" s="356" t="s">
        <v>6953</v>
      </c>
      <c r="E1915" s="356" t="s">
        <v>7403</v>
      </c>
      <c r="F1915" s="23" t="s">
        <v>7412</v>
      </c>
      <c r="G1915" s="59" t="s">
        <v>403</v>
      </c>
      <c r="H1915" s="353">
        <v>596583.97</v>
      </c>
      <c r="I1915" s="59" t="s">
        <v>406</v>
      </c>
      <c r="J1915" s="59" t="s">
        <v>10477</v>
      </c>
      <c r="K1915" s="20"/>
      <c r="L1915" s="20">
        <v>1</v>
      </c>
      <c r="M1915" s="357">
        <f>H1915</f>
        <v>596583.97</v>
      </c>
      <c r="N1915" s="411">
        <f>IFERROR((M1915/(VLOOKUP(B1915,'Data Pull Sheet'!$C:$H,6,FALSE))),"DC")</f>
        <v>8.8382810370370363E-4</v>
      </c>
      <c r="O1915" s="23" t="s">
        <v>7413</v>
      </c>
      <c r="P1915" s="18" t="s">
        <v>632</v>
      </c>
      <c r="Q1915" s="18" t="s">
        <v>637</v>
      </c>
      <c r="R1915" s="372" t="str">
        <f t="shared" si="52"/>
        <v/>
      </c>
      <c r="S1915" s="106"/>
      <c r="T1915" s="107"/>
      <c r="U1915" s="108"/>
      <c r="V1915" s="108"/>
      <c r="W1915" s="108"/>
      <c r="X1915" s="108"/>
    </row>
    <row r="1916" spans="1:24" x14ac:dyDescent="0.25">
      <c r="A1916" s="23" t="s">
        <v>7406</v>
      </c>
      <c r="B1916" s="59" t="s">
        <v>7539</v>
      </c>
      <c r="C1916" s="59" t="s">
        <v>511</v>
      </c>
      <c r="D1916" s="356" t="s">
        <v>6953</v>
      </c>
      <c r="E1916" s="356" t="s">
        <v>7403</v>
      </c>
      <c r="F1916" s="23" t="s">
        <v>7414</v>
      </c>
      <c r="G1916" s="59" t="s">
        <v>403</v>
      </c>
      <c r="H1916" s="353">
        <v>633757.38</v>
      </c>
      <c r="I1916" s="59" t="s">
        <v>406</v>
      </c>
      <c r="J1916" s="59" t="s">
        <v>7959</v>
      </c>
      <c r="K1916" s="20"/>
      <c r="L1916" s="20">
        <v>1</v>
      </c>
      <c r="M1916" s="357">
        <f>H1916</f>
        <v>633757.38</v>
      </c>
      <c r="N1916" s="411">
        <f>IFERROR((M1916/(VLOOKUP(B1916,'Data Pull Sheet'!$C:$H,6,FALSE))),"DC")</f>
        <v>9.3889982222222226E-4</v>
      </c>
      <c r="O1916" s="23" t="s">
        <v>7415</v>
      </c>
      <c r="P1916" s="18" t="s">
        <v>632</v>
      </c>
      <c r="Q1916" s="18" t="s">
        <v>637</v>
      </c>
      <c r="R1916" s="372" t="str">
        <f t="shared" si="52"/>
        <v/>
      </c>
      <c r="S1916" s="106"/>
      <c r="T1916" s="107"/>
      <c r="U1916" s="108"/>
      <c r="V1916" s="108"/>
      <c r="W1916" s="108"/>
      <c r="X1916" s="108"/>
    </row>
    <row r="1917" spans="1:24" x14ac:dyDescent="0.25">
      <c r="A1917" s="23" t="s">
        <v>7406</v>
      </c>
      <c r="B1917" s="59" t="s">
        <v>7539</v>
      </c>
      <c r="C1917" s="59" t="s">
        <v>511</v>
      </c>
      <c r="D1917" s="356" t="s">
        <v>6953</v>
      </c>
      <c r="E1917" s="356" t="s">
        <v>7403</v>
      </c>
      <c r="F1917" s="23" t="s">
        <v>7416</v>
      </c>
      <c r="G1917" s="59" t="s">
        <v>403</v>
      </c>
      <c r="H1917" s="353">
        <v>807368</v>
      </c>
      <c r="I1917" s="59" t="s">
        <v>442</v>
      </c>
      <c r="J1917" s="59" t="s">
        <v>7976</v>
      </c>
      <c r="K1917" s="20"/>
      <c r="L1917" s="20">
        <v>2</v>
      </c>
      <c r="M1917" s="357">
        <f>SUM(H1917:H1918)</f>
        <v>2967277</v>
      </c>
      <c r="N1917" s="411">
        <f>IFERROR((M1917/(VLOOKUP(B1917,'Data Pull Sheet'!$C:$H,6,FALSE))),"DC")</f>
        <v>4.3959659259259262E-3</v>
      </c>
      <c r="O1917" s="23" t="s">
        <v>7417</v>
      </c>
      <c r="P1917" s="18" t="s">
        <v>632</v>
      </c>
      <c r="Q1917" s="18" t="s">
        <v>637</v>
      </c>
      <c r="R1917" s="372" t="str">
        <f t="shared" si="52"/>
        <v/>
      </c>
      <c r="S1917" s="106"/>
      <c r="T1917" s="107"/>
      <c r="U1917" s="108"/>
      <c r="V1917" s="108"/>
      <c r="W1917" s="108"/>
      <c r="X1917" s="108"/>
    </row>
    <row r="1918" spans="1:24" x14ac:dyDescent="0.25">
      <c r="A1918" s="23" t="s">
        <v>7406</v>
      </c>
      <c r="B1918" s="59" t="s">
        <v>7539</v>
      </c>
      <c r="C1918" s="59" t="s">
        <v>511</v>
      </c>
      <c r="D1918" s="356" t="s">
        <v>6953</v>
      </c>
      <c r="E1918" s="356" t="s">
        <v>7403</v>
      </c>
      <c r="F1918" s="23" t="s">
        <v>7418</v>
      </c>
      <c r="G1918" s="59" t="s">
        <v>403</v>
      </c>
      <c r="H1918" s="353">
        <v>2159909</v>
      </c>
      <c r="I1918" s="59" t="s">
        <v>413</v>
      </c>
      <c r="J1918" s="59" t="s">
        <v>7977</v>
      </c>
      <c r="K1918" s="20"/>
      <c r="L1918" s="20"/>
      <c r="M1918" s="357"/>
      <c r="N1918" s="411"/>
      <c r="O1918" s="23" t="s">
        <v>7417</v>
      </c>
      <c r="P1918" s="18" t="s">
        <v>632</v>
      </c>
      <c r="Q1918" s="18" t="s">
        <v>637</v>
      </c>
      <c r="R1918" s="372" t="str">
        <f t="shared" si="52"/>
        <v/>
      </c>
      <c r="S1918" s="106"/>
      <c r="T1918" s="107"/>
      <c r="U1918" s="108"/>
      <c r="V1918" s="108"/>
      <c r="W1918" s="108"/>
      <c r="X1918" s="108"/>
    </row>
    <row r="1919" spans="1:24" ht="30" x14ac:dyDescent="0.25">
      <c r="A1919" s="23" t="s">
        <v>7406</v>
      </c>
      <c r="B1919" s="59" t="s">
        <v>7539</v>
      </c>
      <c r="C1919" s="59" t="s">
        <v>511</v>
      </c>
      <c r="D1919" s="356" t="s">
        <v>6953</v>
      </c>
      <c r="E1919" s="356" t="s">
        <v>7403</v>
      </c>
      <c r="F1919" s="23" t="s">
        <v>7419</v>
      </c>
      <c r="G1919" s="59" t="s">
        <v>417</v>
      </c>
      <c r="H1919" s="353">
        <v>2284277.1</v>
      </c>
      <c r="I1919" s="59"/>
      <c r="J1919" s="59" t="s">
        <v>10478</v>
      </c>
      <c r="K1919" s="20"/>
      <c r="L1919" s="20">
        <v>1</v>
      </c>
      <c r="M1919" s="357">
        <f>H1919</f>
        <v>2284277.1</v>
      </c>
      <c r="N1919" s="411">
        <f>IFERROR((M1919/(VLOOKUP(B1919,'Data Pull Sheet'!$C:$H,6,FALSE))),"DC")</f>
        <v>3.3841142222222225E-3</v>
      </c>
      <c r="O1919" s="23" t="s">
        <v>2285</v>
      </c>
      <c r="P1919" s="18" t="s">
        <v>632</v>
      </c>
      <c r="Q1919" s="18" t="s">
        <v>633</v>
      </c>
      <c r="R1919" s="372" t="str">
        <f t="shared" si="52"/>
        <v/>
      </c>
      <c r="S1919" s="106"/>
      <c r="T1919" s="107"/>
      <c r="U1919" s="108"/>
      <c r="V1919" s="108"/>
      <c r="W1919" s="108"/>
      <c r="X1919" s="108"/>
    </row>
    <row r="1920" spans="1:24" x14ac:dyDescent="0.25">
      <c r="A1920" s="23" t="s">
        <v>7433</v>
      </c>
      <c r="B1920" s="59" t="s">
        <v>7547</v>
      </c>
      <c r="C1920" s="59" t="s">
        <v>418</v>
      </c>
      <c r="D1920" s="356" t="s">
        <v>7434</v>
      </c>
      <c r="E1920" s="356" t="s">
        <v>7403</v>
      </c>
      <c r="F1920" s="23" t="s">
        <v>7435</v>
      </c>
      <c r="G1920" s="59" t="s">
        <v>403</v>
      </c>
      <c r="H1920" s="353">
        <v>950736.47</v>
      </c>
      <c r="I1920" s="59"/>
      <c r="J1920" s="59" t="s">
        <v>7956</v>
      </c>
      <c r="K1920" s="20">
        <v>4</v>
      </c>
      <c r="L1920" s="20">
        <v>1</v>
      </c>
      <c r="M1920" s="357">
        <f>H1920</f>
        <v>950736.47</v>
      </c>
      <c r="N1920" s="411">
        <f>IFERROR((M1920/(VLOOKUP(B1920,'Data Pull Sheet'!$C:$H,6,FALSE))),"DC")</f>
        <v>1.6251905470085471E-3</v>
      </c>
      <c r="O1920" s="23" t="s">
        <v>682</v>
      </c>
      <c r="P1920" s="18" t="s">
        <v>632</v>
      </c>
      <c r="Q1920" s="18" t="s">
        <v>637</v>
      </c>
      <c r="R1920" s="372" t="str">
        <f t="shared" si="52"/>
        <v/>
      </c>
      <c r="S1920" s="106"/>
      <c r="T1920" s="107"/>
      <c r="U1920" s="108"/>
      <c r="V1920" s="108"/>
      <c r="W1920" s="108"/>
      <c r="X1920" s="108"/>
    </row>
    <row r="1921" spans="1:25" x14ac:dyDescent="0.25">
      <c r="A1921" s="23" t="s">
        <v>7433</v>
      </c>
      <c r="B1921" s="59" t="s">
        <v>7547</v>
      </c>
      <c r="C1921" s="59" t="s">
        <v>418</v>
      </c>
      <c r="D1921" s="356" t="s">
        <v>7434</v>
      </c>
      <c r="E1921" s="356" t="s">
        <v>7403</v>
      </c>
      <c r="F1921" s="23" t="s">
        <v>7436</v>
      </c>
      <c r="G1921" s="59" t="s">
        <v>403</v>
      </c>
      <c r="H1921" s="353">
        <v>449138</v>
      </c>
      <c r="I1921" s="59"/>
      <c r="J1921" s="59" t="s">
        <v>7980</v>
      </c>
      <c r="K1921" s="20"/>
      <c r="L1921" s="20">
        <v>4</v>
      </c>
      <c r="M1921" s="357">
        <f>SUM(H1921:H1924)</f>
        <v>2206711.91</v>
      </c>
      <c r="N1921" s="411">
        <f>IFERROR((M1921/(VLOOKUP(B1921,'Data Pull Sheet'!$C:$H,6,FALSE))),"DC")</f>
        <v>3.7721571111111116E-3</v>
      </c>
      <c r="O1921" s="23" t="s">
        <v>4571</v>
      </c>
      <c r="P1921" s="18" t="s">
        <v>632</v>
      </c>
      <c r="Q1921" s="18" t="s">
        <v>637</v>
      </c>
      <c r="R1921" s="372" t="str">
        <f t="shared" si="52"/>
        <v/>
      </c>
      <c r="S1921" s="106"/>
      <c r="T1921" s="107"/>
      <c r="U1921" s="108"/>
      <c r="V1921" s="108"/>
      <c r="W1921" s="108"/>
      <c r="X1921" s="108"/>
    </row>
    <row r="1922" spans="1:25" x14ac:dyDescent="0.25">
      <c r="A1922" s="23" t="s">
        <v>7433</v>
      </c>
      <c r="B1922" s="59" t="s">
        <v>7547</v>
      </c>
      <c r="C1922" s="59" t="s">
        <v>418</v>
      </c>
      <c r="D1922" s="356" t="s">
        <v>7434</v>
      </c>
      <c r="E1922" s="356" t="s">
        <v>7403</v>
      </c>
      <c r="F1922" s="23" t="s">
        <v>7437</v>
      </c>
      <c r="G1922" s="59" t="s">
        <v>403</v>
      </c>
      <c r="H1922" s="353">
        <v>671611.38</v>
      </c>
      <c r="I1922" s="59"/>
      <c r="J1922" s="59" t="s">
        <v>7981</v>
      </c>
      <c r="K1922" s="20"/>
      <c r="L1922" s="20"/>
      <c r="M1922" s="357"/>
      <c r="N1922" s="411"/>
      <c r="O1922" s="23" t="s">
        <v>4571</v>
      </c>
      <c r="P1922" s="18" t="s">
        <v>632</v>
      </c>
      <c r="Q1922" s="18" t="s">
        <v>637</v>
      </c>
      <c r="R1922" s="372" t="str">
        <f t="shared" ref="R1922:R1985" si="54">IF(COUNTIF(F:F,F1922)&gt;=2,"FF","")</f>
        <v/>
      </c>
      <c r="S1922" s="106"/>
      <c r="T1922" s="107"/>
      <c r="U1922" s="108"/>
      <c r="V1922" s="108"/>
      <c r="W1922" s="108"/>
      <c r="X1922" s="108"/>
    </row>
    <row r="1923" spans="1:25" x14ac:dyDescent="0.25">
      <c r="A1923" s="23" t="s">
        <v>7433</v>
      </c>
      <c r="B1923" s="59" t="s">
        <v>7547</v>
      </c>
      <c r="C1923" s="59" t="s">
        <v>418</v>
      </c>
      <c r="D1923" s="356" t="s">
        <v>7434</v>
      </c>
      <c r="E1923" s="356" t="s">
        <v>7403</v>
      </c>
      <c r="F1923" s="23" t="s">
        <v>7438</v>
      </c>
      <c r="G1923" s="59" t="s">
        <v>403</v>
      </c>
      <c r="H1923" s="353">
        <v>617760</v>
      </c>
      <c r="I1923" s="59"/>
      <c r="J1923" s="59" t="s">
        <v>7983</v>
      </c>
      <c r="K1923" s="20"/>
      <c r="L1923" s="20"/>
      <c r="M1923" s="357"/>
      <c r="N1923" s="411"/>
      <c r="O1923" s="23" t="s">
        <v>4571</v>
      </c>
      <c r="P1923" s="18" t="s">
        <v>632</v>
      </c>
      <c r="Q1923" s="18" t="s">
        <v>637</v>
      </c>
      <c r="R1923" s="372" t="str">
        <f t="shared" si="54"/>
        <v/>
      </c>
      <c r="S1923" s="106"/>
      <c r="T1923" s="107"/>
      <c r="U1923" s="108"/>
      <c r="V1923" s="108"/>
      <c r="W1923" s="108"/>
      <c r="X1923" s="108"/>
    </row>
    <row r="1924" spans="1:25" x14ac:dyDescent="0.25">
      <c r="A1924" s="23" t="s">
        <v>7433</v>
      </c>
      <c r="B1924" s="59" t="s">
        <v>7547</v>
      </c>
      <c r="C1924" s="59" t="s">
        <v>418</v>
      </c>
      <c r="D1924" s="356" t="s">
        <v>7434</v>
      </c>
      <c r="E1924" s="356" t="s">
        <v>7403</v>
      </c>
      <c r="F1924" s="23" t="s">
        <v>7439</v>
      </c>
      <c r="G1924" s="59" t="s">
        <v>403</v>
      </c>
      <c r="H1924" s="353">
        <v>468202.53</v>
      </c>
      <c r="I1924" s="59"/>
      <c r="J1924" s="59" t="s">
        <v>7984</v>
      </c>
      <c r="K1924" s="20"/>
      <c r="L1924" s="20"/>
      <c r="M1924" s="357"/>
      <c r="N1924" s="411"/>
      <c r="O1924" s="23" t="s">
        <v>4571</v>
      </c>
      <c r="P1924" s="18" t="s">
        <v>632</v>
      </c>
      <c r="Q1924" s="18" t="s">
        <v>637</v>
      </c>
      <c r="R1924" s="372" t="str">
        <f t="shared" si="54"/>
        <v/>
      </c>
      <c r="S1924" s="106"/>
      <c r="T1924" s="107"/>
      <c r="U1924" s="108"/>
      <c r="V1924" s="108"/>
      <c r="W1924" s="108"/>
      <c r="X1924" s="108"/>
    </row>
    <row r="1925" spans="1:25" x14ac:dyDescent="0.25">
      <c r="A1925" s="23" t="s">
        <v>7433</v>
      </c>
      <c r="B1925" s="59" t="s">
        <v>7547</v>
      </c>
      <c r="C1925" s="59" t="s">
        <v>418</v>
      </c>
      <c r="D1925" s="356" t="s">
        <v>7434</v>
      </c>
      <c r="E1925" s="356" t="s">
        <v>7403</v>
      </c>
      <c r="F1925" s="23" t="s">
        <v>7440</v>
      </c>
      <c r="G1925" s="59" t="s">
        <v>403</v>
      </c>
      <c r="H1925" s="353">
        <v>58229.85</v>
      </c>
      <c r="I1925" s="59"/>
      <c r="J1925" s="59" t="s">
        <v>7972</v>
      </c>
      <c r="K1925" s="20"/>
      <c r="L1925" s="20">
        <v>1</v>
      </c>
      <c r="M1925" s="357">
        <f>H1925</f>
        <v>58229.85</v>
      </c>
      <c r="N1925" s="411">
        <f>IFERROR((M1925/(VLOOKUP(B1925,'Data Pull Sheet'!$C:$H,6,FALSE))),"DC")</f>
        <v>9.953820512820512E-5</v>
      </c>
      <c r="O1925" s="23" t="s">
        <v>597</v>
      </c>
      <c r="P1925" s="18" t="s">
        <v>632</v>
      </c>
      <c r="Q1925" s="18" t="s">
        <v>637</v>
      </c>
      <c r="R1925" s="372" t="str">
        <f t="shared" si="54"/>
        <v>FF</v>
      </c>
      <c r="S1925" s="106"/>
      <c r="T1925" s="107"/>
      <c r="U1925" s="108"/>
      <c r="V1925" s="108"/>
      <c r="W1925" s="108"/>
      <c r="X1925" s="108"/>
    </row>
    <row r="1926" spans="1:25" x14ac:dyDescent="0.25">
      <c r="A1926" s="23" t="s">
        <v>7433</v>
      </c>
      <c r="B1926" s="59" t="s">
        <v>7547</v>
      </c>
      <c r="C1926" s="59" t="s">
        <v>418</v>
      </c>
      <c r="D1926" s="356" t="s">
        <v>7434</v>
      </c>
      <c r="E1926" s="356" t="s">
        <v>7403</v>
      </c>
      <c r="F1926" s="23" t="s">
        <v>7442</v>
      </c>
      <c r="G1926" s="59" t="s">
        <v>403</v>
      </c>
      <c r="H1926" s="353">
        <v>109656.73</v>
      </c>
      <c r="I1926" s="59"/>
      <c r="J1926" s="59" t="s">
        <v>7962</v>
      </c>
      <c r="K1926" s="20"/>
      <c r="L1926" s="20">
        <v>1</v>
      </c>
      <c r="M1926" s="357">
        <f>H1926</f>
        <v>109656.73</v>
      </c>
      <c r="N1926" s="411">
        <f>IFERROR((M1926/(VLOOKUP(B1926,'Data Pull Sheet'!$C:$H,6,FALSE))),"DC")</f>
        <v>1.874474017094017E-4</v>
      </c>
      <c r="O1926" s="23" t="s">
        <v>407</v>
      </c>
      <c r="P1926" s="18" t="s">
        <v>632</v>
      </c>
      <c r="Q1926" s="18" t="s">
        <v>637</v>
      </c>
      <c r="R1926" s="372" t="str">
        <f t="shared" si="54"/>
        <v/>
      </c>
      <c r="S1926" s="106"/>
      <c r="T1926" s="107"/>
      <c r="U1926" s="108"/>
      <c r="V1926" s="108"/>
      <c r="W1926" s="108"/>
      <c r="X1926" s="108"/>
    </row>
    <row r="1927" spans="1:25" ht="30" x14ac:dyDescent="0.25">
      <c r="A1927" s="23" t="s">
        <v>7443</v>
      </c>
      <c r="B1927" s="59" t="s">
        <v>7584</v>
      </c>
      <c r="C1927" s="59" t="s">
        <v>7444</v>
      </c>
      <c r="D1927" s="356" t="s">
        <v>7434</v>
      </c>
      <c r="E1927" s="356" t="s">
        <v>7403</v>
      </c>
      <c r="F1927" s="23" t="s">
        <v>165</v>
      </c>
      <c r="G1927" s="59" t="s">
        <v>417</v>
      </c>
      <c r="H1927" s="353" t="s">
        <v>10798</v>
      </c>
      <c r="I1927" s="59"/>
      <c r="J1927" s="59" t="s">
        <v>7985</v>
      </c>
      <c r="K1927" s="20">
        <v>3</v>
      </c>
      <c r="L1927" s="20">
        <v>2</v>
      </c>
      <c r="M1927" s="357" t="str">
        <f>+H1927</f>
        <v>NA</v>
      </c>
      <c r="N1927" s="411" t="str">
        <f>IFERROR((M1927/(VLOOKUP(B1927,'Data Pull Sheet'!$C:$H,6,FALSE))),"DC")</f>
        <v>DC</v>
      </c>
      <c r="O1927" s="23" t="s">
        <v>7445</v>
      </c>
      <c r="P1927" s="18" t="s">
        <v>632</v>
      </c>
      <c r="Q1927" s="18" t="s">
        <v>633</v>
      </c>
      <c r="R1927" s="372" t="str">
        <f t="shared" si="54"/>
        <v>FF</v>
      </c>
      <c r="S1927" s="106"/>
      <c r="T1927" s="107"/>
      <c r="U1927" s="108"/>
      <c r="V1927" s="108"/>
      <c r="W1927" s="108"/>
      <c r="X1927" s="108"/>
    </row>
    <row r="1928" spans="1:25" x14ac:dyDescent="0.25">
      <c r="A1928" s="23" t="s">
        <v>7443</v>
      </c>
      <c r="B1928" s="59" t="s">
        <v>7584</v>
      </c>
      <c r="C1928" s="59" t="s">
        <v>7444</v>
      </c>
      <c r="D1928" s="356" t="s">
        <v>7434</v>
      </c>
      <c r="E1928" s="356" t="s">
        <v>7403</v>
      </c>
      <c r="F1928" s="23" t="s">
        <v>377</v>
      </c>
      <c r="G1928" s="59" t="s">
        <v>417</v>
      </c>
      <c r="H1928" s="353" t="s">
        <v>10798</v>
      </c>
      <c r="I1928" s="59"/>
      <c r="J1928" s="59" t="s">
        <v>7965</v>
      </c>
      <c r="K1928" s="20"/>
      <c r="L1928" s="20"/>
      <c r="M1928" s="357"/>
      <c r="N1928" s="411"/>
      <c r="O1928" s="23" t="s">
        <v>7445</v>
      </c>
      <c r="P1928" s="18" t="s">
        <v>632</v>
      </c>
      <c r="Q1928" s="18" t="s">
        <v>633</v>
      </c>
      <c r="R1928" s="372" t="str">
        <f t="shared" si="54"/>
        <v>FF</v>
      </c>
      <c r="S1928" s="106"/>
      <c r="T1928" s="107"/>
      <c r="U1928" s="108"/>
      <c r="V1928" s="108"/>
      <c r="W1928" s="108"/>
      <c r="X1928" s="108"/>
    </row>
    <row r="1929" spans="1:25" ht="30" x14ac:dyDescent="0.25">
      <c r="A1929" s="23" t="s">
        <v>7443</v>
      </c>
      <c r="B1929" s="59" t="s">
        <v>7584</v>
      </c>
      <c r="C1929" s="59" t="s">
        <v>7444</v>
      </c>
      <c r="D1929" s="356" t="s">
        <v>7434</v>
      </c>
      <c r="E1929" s="356" t="s">
        <v>7403</v>
      </c>
      <c r="F1929" s="23" t="s">
        <v>3950</v>
      </c>
      <c r="G1929" s="59" t="s">
        <v>417</v>
      </c>
      <c r="H1929" s="353">
        <v>166765.26</v>
      </c>
      <c r="I1929" s="59" t="s">
        <v>413</v>
      </c>
      <c r="J1929" s="59" t="s">
        <v>7986</v>
      </c>
      <c r="K1929" s="20"/>
      <c r="L1929" s="20">
        <v>3</v>
      </c>
      <c r="M1929" s="357">
        <f>SUM(H1929:H1931)</f>
        <v>4570593.8</v>
      </c>
      <c r="N1929" s="411">
        <f>IFERROR((M1929/(VLOOKUP(B1929,'Data Pull Sheet'!$C:$H,6,FALSE))),"DC")</f>
        <v>4.5705937999999998E-3</v>
      </c>
      <c r="O1929" s="23" t="s">
        <v>7447</v>
      </c>
      <c r="P1929" s="18" t="s">
        <v>632</v>
      </c>
      <c r="Q1929" s="18" t="s">
        <v>633</v>
      </c>
      <c r="R1929" s="372" t="str">
        <f t="shared" si="54"/>
        <v>FF</v>
      </c>
      <c r="S1929" s="106"/>
      <c r="T1929" s="107"/>
      <c r="U1929" s="108"/>
      <c r="V1929" s="108"/>
      <c r="W1929" s="108"/>
      <c r="X1929" s="108"/>
    </row>
    <row r="1930" spans="1:25" ht="30" x14ac:dyDescent="0.25">
      <c r="A1930" s="23" t="s">
        <v>7443</v>
      </c>
      <c r="B1930" s="59" t="s">
        <v>7584</v>
      </c>
      <c r="C1930" s="59" t="s">
        <v>7444</v>
      </c>
      <c r="D1930" s="356" t="s">
        <v>7434</v>
      </c>
      <c r="E1930" s="356" t="s">
        <v>7403</v>
      </c>
      <c r="F1930" s="23" t="s">
        <v>3952</v>
      </c>
      <c r="G1930" s="59" t="s">
        <v>417</v>
      </c>
      <c r="H1930" s="353">
        <v>1947527.75</v>
      </c>
      <c r="I1930" s="59" t="s">
        <v>413</v>
      </c>
      <c r="J1930" s="59" t="s">
        <v>7987</v>
      </c>
      <c r="K1930" s="20"/>
      <c r="L1930" s="20"/>
      <c r="M1930" s="357"/>
      <c r="N1930" s="411"/>
      <c r="O1930" s="23" t="s">
        <v>7447</v>
      </c>
      <c r="P1930" s="18" t="s">
        <v>632</v>
      </c>
      <c r="Q1930" s="18" t="s">
        <v>633</v>
      </c>
      <c r="R1930" s="372" t="str">
        <f t="shared" si="54"/>
        <v>FF</v>
      </c>
      <c r="S1930" s="106"/>
      <c r="T1930" s="107"/>
      <c r="U1930" s="108"/>
      <c r="V1930" s="108"/>
      <c r="W1930" s="108"/>
      <c r="X1930" s="108"/>
    </row>
    <row r="1931" spans="1:25" ht="30" x14ac:dyDescent="0.25">
      <c r="A1931" s="23" t="s">
        <v>7443</v>
      </c>
      <c r="B1931" s="59" t="s">
        <v>7584</v>
      </c>
      <c r="C1931" s="59" t="s">
        <v>7444</v>
      </c>
      <c r="D1931" s="356" t="s">
        <v>7434</v>
      </c>
      <c r="E1931" s="356" t="s">
        <v>7403</v>
      </c>
      <c r="F1931" s="23" t="s">
        <v>7449</v>
      </c>
      <c r="G1931" s="59" t="s">
        <v>417</v>
      </c>
      <c r="H1931" s="353">
        <v>2456300.79</v>
      </c>
      <c r="I1931" s="59" t="s">
        <v>413</v>
      </c>
      <c r="J1931" s="59" t="s">
        <v>7988</v>
      </c>
      <c r="K1931" s="20"/>
      <c r="L1931" s="20"/>
      <c r="M1931" s="357"/>
      <c r="N1931" s="411"/>
      <c r="O1931" s="23" t="s">
        <v>7447</v>
      </c>
      <c r="P1931" s="18" t="s">
        <v>632</v>
      </c>
      <c r="Q1931" s="18" t="s">
        <v>633</v>
      </c>
      <c r="R1931" s="372" t="str">
        <f t="shared" si="54"/>
        <v/>
      </c>
      <c r="S1931" s="106"/>
      <c r="T1931" s="107"/>
      <c r="U1931" s="108"/>
      <c r="V1931" s="108"/>
      <c r="W1931" s="108"/>
      <c r="X1931" s="108"/>
    </row>
    <row r="1932" spans="1:25" x14ac:dyDescent="0.25">
      <c r="A1932" s="23" t="s">
        <v>7443</v>
      </c>
      <c r="B1932" s="59" t="s">
        <v>7584</v>
      </c>
      <c r="C1932" s="59" t="s">
        <v>7444</v>
      </c>
      <c r="D1932" s="356" t="s">
        <v>7434</v>
      </c>
      <c r="E1932" s="356" t="s">
        <v>7403</v>
      </c>
      <c r="F1932" s="23" t="s">
        <v>7450</v>
      </c>
      <c r="G1932" s="59" t="s">
        <v>403</v>
      </c>
      <c r="H1932" s="353">
        <v>30832</v>
      </c>
      <c r="I1932" s="59"/>
      <c r="J1932" s="59" t="s">
        <v>7989</v>
      </c>
      <c r="K1932" s="20"/>
      <c r="L1932" s="20">
        <v>3</v>
      </c>
      <c r="M1932" s="357">
        <f>SUM(H1932:H1934)</f>
        <v>106141</v>
      </c>
      <c r="N1932" s="411">
        <f>IFERROR((M1932/(VLOOKUP(B1932,'Data Pull Sheet'!$C:$H,6,FALSE))),"DC")</f>
        <v>1.06141E-4</v>
      </c>
      <c r="O1932" s="23" t="s">
        <v>7451</v>
      </c>
      <c r="P1932" s="18" t="s">
        <v>632</v>
      </c>
      <c r="Q1932" s="18" t="s">
        <v>637</v>
      </c>
      <c r="R1932" s="372" t="str">
        <f t="shared" si="54"/>
        <v/>
      </c>
      <c r="S1932" s="106"/>
      <c r="T1932" s="107"/>
      <c r="U1932" s="108"/>
      <c r="V1932" s="108"/>
      <c r="W1932" s="108"/>
      <c r="X1932" s="108"/>
    </row>
    <row r="1933" spans="1:25" x14ac:dyDescent="0.25">
      <c r="A1933" s="23" t="s">
        <v>7443</v>
      </c>
      <c r="B1933" s="59" t="s">
        <v>7584</v>
      </c>
      <c r="C1933" s="59" t="s">
        <v>7444</v>
      </c>
      <c r="D1933" s="356" t="s">
        <v>7434</v>
      </c>
      <c r="E1933" s="356" t="s">
        <v>7403</v>
      </c>
      <c r="F1933" s="23" t="s">
        <v>7452</v>
      </c>
      <c r="G1933" s="59" t="s">
        <v>403</v>
      </c>
      <c r="H1933" s="353">
        <v>24101</v>
      </c>
      <c r="I1933" s="59"/>
      <c r="J1933" s="59" t="s">
        <v>7990</v>
      </c>
      <c r="K1933" s="20"/>
      <c r="L1933" s="20"/>
      <c r="M1933" s="357"/>
      <c r="N1933" s="411"/>
      <c r="O1933" s="23" t="s">
        <v>7451</v>
      </c>
      <c r="P1933" s="18" t="s">
        <v>632</v>
      </c>
      <c r="Q1933" s="18" t="s">
        <v>637</v>
      </c>
      <c r="R1933" s="372" t="str">
        <f t="shared" si="54"/>
        <v/>
      </c>
      <c r="S1933" s="106"/>
      <c r="T1933" s="107"/>
      <c r="U1933" s="108"/>
      <c r="V1933" s="108"/>
      <c r="W1933" s="108"/>
      <c r="X1933" s="108"/>
    </row>
    <row r="1934" spans="1:25" x14ac:dyDescent="0.25">
      <c r="A1934" s="23" t="s">
        <v>7443</v>
      </c>
      <c r="B1934" s="59" t="s">
        <v>7584</v>
      </c>
      <c r="C1934" s="59" t="s">
        <v>7444</v>
      </c>
      <c r="D1934" s="356" t="s">
        <v>7434</v>
      </c>
      <c r="E1934" s="356" t="s">
        <v>7403</v>
      </c>
      <c r="F1934" s="23" t="s">
        <v>7453</v>
      </c>
      <c r="G1934" s="59" t="s">
        <v>403</v>
      </c>
      <c r="H1934" s="353">
        <v>51208</v>
      </c>
      <c r="I1934" s="59"/>
      <c r="J1934" s="59" t="s">
        <v>7991</v>
      </c>
      <c r="K1934" s="20"/>
      <c r="L1934" s="20"/>
      <c r="M1934" s="357"/>
      <c r="N1934" s="411"/>
      <c r="O1934" s="23" t="s">
        <v>7451</v>
      </c>
      <c r="P1934" s="18" t="s">
        <v>632</v>
      </c>
      <c r="Q1934" s="18" t="s">
        <v>637</v>
      </c>
      <c r="R1934" s="372" t="str">
        <f t="shared" si="54"/>
        <v/>
      </c>
      <c r="S1934" s="106"/>
      <c r="T1934" s="107"/>
      <c r="U1934" s="108"/>
      <c r="V1934" s="108"/>
      <c r="W1934" s="108"/>
      <c r="X1934" s="108"/>
    </row>
    <row r="1935" spans="1:25" ht="30" x14ac:dyDescent="0.25">
      <c r="A1935" s="23" t="s">
        <v>7389</v>
      </c>
      <c r="B1935" s="59" t="s">
        <v>7504</v>
      </c>
      <c r="C1935" s="59" t="s">
        <v>7286</v>
      </c>
      <c r="D1935" s="356" t="s">
        <v>7390</v>
      </c>
      <c r="E1935" s="356" t="s">
        <v>7391</v>
      </c>
      <c r="F1935" s="23" t="s">
        <v>206</v>
      </c>
      <c r="G1935" s="59" t="s">
        <v>417</v>
      </c>
      <c r="H1935" s="353">
        <v>616622</v>
      </c>
      <c r="I1935" s="59" t="s">
        <v>442</v>
      </c>
      <c r="J1935" s="59" t="s">
        <v>7963</v>
      </c>
      <c r="K1935" s="20">
        <v>1</v>
      </c>
      <c r="L1935" s="20">
        <v>3</v>
      </c>
      <c r="M1935" s="357">
        <f>SUM(H1935:H1937)</f>
        <v>1162672</v>
      </c>
      <c r="N1935" s="411">
        <f>IFERROR((M1935/(VLOOKUP(B1935,'Data Pull Sheet'!$C:$H,6,FALSE))),"DC")</f>
        <v>2.5837155555555554E-3</v>
      </c>
      <c r="O1935" s="23" t="s">
        <v>7393</v>
      </c>
      <c r="P1935" s="18" t="s">
        <v>676</v>
      </c>
      <c r="Q1935" s="18" t="s">
        <v>633</v>
      </c>
      <c r="R1935" s="372" t="str">
        <f t="shared" si="54"/>
        <v>FF</v>
      </c>
      <c r="S1935" s="117"/>
      <c r="T1935" s="118"/>
      <c r="U1935" s="119"/>
      <c r="V1935" s="116"/>
      <c r="W1935" s="116"/>
      <c r="X1935" s="116"/>
      <c r="Y1935" s="116"/>
    </row>
    <row r="1936" spans="1:25" ht="30" x14ac:dyDescent="0.25">
      <c r="A1936" s="23" t="s">
        <v>7389</v>
      </c>
      <c r="B1936" s="59" t="s">
        <v>7504</v>
      </c>
      <c r="C1936" s="59" t="s">
        <v>7286</v>
      </c>
      <c r="D1936" s="356" t="s">
        <v>7390</v>
      </c>
      <c r="E1936" s="356" t="s">
        <v>7391</v>
      </c>
      <c r="F1936" s="23" t="s">
        <v>1334</v>
      </c>
      <c r="G1936" s="59" t="s">
        <v>417</v>
      </c>
      <c r="H1936" s="353">
        <v>539992</v>
      </c>
      <c r="I1936" s="59" t="s">
        <v>413</v>
      </c>
      <c r="J1936" s="59" t="s">
        <v>7964</v>
      </c>
      <c r="K1936" s="20"/>
      <c r="L1936" s="20"/>
      <c r="M1936" s="357"/>
      <c r="N1936" s="411"/>
      <c r="O1936" s="23" t="s">
        <v>7393</v>
      </c>
      <c r="P1936" s="18" t="s">
        <v>676</v>
      </c>
      <c r="Q1936" s="18" t="s">
        <v>633</v>
      </c>
      <c r="R1936" s="372" t="str">
        <f t="shared" si="54"/>
        <v>FF</v>
      </c>
      <c r="S1936" s="106"/>
      <c r="T1936" s="107"/>
      <c r="U1936" s="108"/>
      <c r="V1936" s="108"/>
      <c r="W1936" s="108"/>
      <c r="X1936" s="108"/>
    </row>
    <row r="1937" spans="1:24" ht="30" x14ac:dyDescent="0.25">
      <c r="A1937" s="23" t="s">
        <v>7389</v>
      </c>
      <c r="B1937" s="59" t="s">
        <v>7504</v>
      </c>
      <c r="C1937" s="59" t="s">
        <v>7286</v>
      </c>
      <c r="D1937" s="356" t="s">
        <v>7390</v>
      </c>
      <c r="E1937" s="356" t="s">
        <v>7391</v>
      </c>
      <c r="F1937" s="23" t="s">
        <v>7395</v>
      </c>
      <c r="G1937" s="59" t="s">
        <v>403</v>
      </c>
      <c r="H1937" s="353">
        <v>6058</v>
      </c>
      <c r="I1937" s="59" t="s">
        <v>442</v>
      </c>
      <c r="J1937" s="59" t="s">
        <v>7967</v>
      </c>
      <c r="K1937" s="20"/>
      <c r="L1937" s="20"/>
      <c r="M1937" s="357"/>
      <c r="N1937" s="411"/>
      <c r="O1937" s="23" t="s">
        <v>7393</v>
      </c>
      <c r="P1937" s="59" t="s">
        <v>676</v>
      </c>
      <c r="Q1937" s="18" t="s">
        <v>637</v>
      </c>
      <c r="R1937" s="372" t="str">
        <f t="shared" si="54"/>
        <v/>
      </c>
      <c r="S1937" s="106"/>
      <c r="T1937" s="107"/>
      <c r="U1937" s="108"/>
      <c r="V1937" s="108"/>
      <c r="W1937" s="108"/>
      <c r="X1937" s="108"/>
    </row>
    <row r="1938" spans="1:24" x14ac:dyDescent="0.25">
      <c r="A1938" s="23" t="s">
        <v>7379</v>
      </c>
      <c r="B1938" s="59" t="s">
        <v>10688</v>
      </c>
      <c r="C1938" s="59" t="s">
        <v>457</v>
      </c>
      <c r="D1938" s="356" t="s">
        <v>6877</v>
      </c>
      <c r="E1938" s="356" t="s">
        <v>7378</v>
      </c>
      <c r="F1938" s="23" t="s">
        <v>7380</v>
      </c>
      <c r="G1938" s="59" t="s">
        <v>403</v>
      </c>
      <c r="H1938" s="353">
        <v>103368</v>
      </c>
      <c r="I1938" s="59"/>
      <c r="J1938" s="59" t="s">
        <v>10690</v>
      </c>
      <c r="K1938" s="20">
        <v>1</v>
      </c>
      <c r="L1938" s="20">
        <v>1</v>
      </c>
      <c r="M1938" s="357">
        <f>H1938</f>
        <v>103368</v>
      </c>
      <c r="N1938" s="411">
        <f>IFERROR((M1938/(VLOOKUP(B1938,'Data Pull Sheet'!$C:$H,6,FALSE))),"DC")</f>
        <v>5.1683999999999996E-4</v>
      </c>
      <c r="O1938" s="23" t="s">
        <v>682</v>
      </c>
      <c r="P1938" s="18" t="s">
        <v>676</v>
      </c>
      <c r="Q1938" s="18" t="s">
        <v>637</v>
      </c>
      <c r="R1938" s="372" t="str">
        <f t="shared" si="54"/>
        <v/>
      </c>
      <c r="S1938" s="106"/>
      <c r="T1938" s="107"/>
      <c r="U1938" s="108"/>
      <c r="V1938" s="108"/>
      <c r="W1938" s="108"/>
      <c r="X1938" s="108"/>
    </row>
    <row r="1939" spans="1:24" x14ac:dyDescent="0.25">
      <c r="A1939" s="23" t="s">
        <v>7370</v>
      </c>
      <c r="B1939" s="59" t="s">
        <v>7549</v>
      </c>
      <c r="C1939" s="59" t="s">
        <v>409</v>
      </c>
      <c r="D1939" s="356" t="s">
        <v>6858</v>
      </c>
      <c r="E1939" s="356" t="s">
        <v>7371</v>
      </c>
      <c r="F1939" s="23" t="s">
        <v>7372</v>
      </c>
      <c r="G1939" s="59" t="s">
        <v>403</v>
      </c>
      <c r="H1939" s="353">
        <v>45224.62</v>
      </c>
      <c r="I1939" s="59"/>
      <c r="J1939" s="59" t="s">
        <v>7942</v>
      </c>
      <c r="K1939" s="20">
        <v>2</v>
      </c>
      <c r="L1939" s="20">
        <v>1</v>
      </c>
      <c r="M1939" s="357">
        <f>H1939</f>
        <v>45224.62</v>
      </c>
      <c r="N1939" s="411">
        <f>IFERROR((M1939/(VLOOKUP(B1939,'Data Pull Sheet'!$C:$H,6,FALSE))),"DC")</f>
        <v>2.7408860606060607E-4</v>
      </c>
      <c r="O1939" s="23" t="s">
        <v>7373</v>
      </c>
      <c r="P1939" s="18" t="s">
        <v>632</v>
      </c>
      <c r="Q1939" s="18" t="s">
        <v>637</v>
      </c>
      <c r="R1939" s="372" t="str">
        <f t="shared" si="54"/>
        <v/>
      </c>
      <c r="S1939" s="106"/>
      <c r="T1939" s="107"/>
      <c r="U1939" s="108"/>
      <c r="V1939" s="108"/>
      <c r="W1939" s="108"/>
      <c r="X1939" s="108"/>
    </row>
    <row r="1940" spans="1:24" ht="30" x14ac:dyDescent="0.25">
      <c r="A1940" s="23" t="s">
        <v>7370</v>
      </c>
      <c r="B1940" s="59" t="s">
        <v>7549</v>
      </c>
      <c r="C1940" s="59" t="s">
        <v>409</v>
      </c>
      <c r="D1940" s="356" t="s">
        <v>6858</v>
      </c>
      <c r="E1940" s="356" t="s">
        <v>7371</v>
      </c>
      <c r="F1940" s="23" t="s">
        <v>7374</v>
      </c>
      <c r="G1940" s="59" t="s">
        <v>417</v>
      </c>
      <c r="H1940" s="353">
        <v>112547.86</v>
      </c>
      <c r="I1940" s="59"/>
      <c r="J1940" s="59" t="s">
        <v>7948</v>
      </c>
      <c r="K1940" s="20"/>
      <c r="L1940" s="20">
        <v>1</v>
      </c>
      <c r="M1940" s="357">
        <f>H1940</f>
        <v>112547.86</v>
      </c>
      <c r="N1940" s="411">
        <f>IFERROR((M1940/(VLOOKUP(B1940,'Data Pull Sheet'!$C:$H,6,FALSE))),"DC")</f>
        <v>6.8210824242424242E-4</v>
      </c>
      <c r="O1940" s="23" t="s">
        <v>3752</v>
      </c>
      <c r="P1940" s="18" t="s">
        <v>632</v>
      </c>
      <c r="Q1940" s="18" t="s">
        <v>633</v>
      </c>
      <c r="R1940" s="372" t="str">
        <f t="shared" si="54"/>
        <v/>
      </c>
      <c r="S1940" s="106"/>
      <c r="T1940" s="107"/>
      <c r="U1940" s="108"/>
      <c r="V1940" s="108"/>
      <c r="W1940" s="108"/>
      <c r="X1940" s="108"/>
    </row>
    <row r="1941" spans="1:24" x14ac:dyDescent="0.25">
      <c r="A1941" s="23" t="s">
        <v>13</v>
      </c>
      <c r="B1941" s="59" t="s">
        <v>10625</v>
      </c>
      <c r="C1941" s="59" t="s">
        <v>424</v>
      </c>
      <c r="D1941" s="356" t="s">
        <v>6834</v>
      </c>
      <c r="E1941" s="356" t="s">
        <v>7366</v>
      </c>
      <c r="F1941" s="23" t="s">
        <v>7367</v>
      </c>
      <c r="G1941" s="59" t="s">
        <v>403</v>
      </c>
      <c r="H1941" s="353">
        <v>479</v>
      </c>
      <c r="I1941" s="59"/>
      <c r="J1941" s="59" t="s">
        <v>10635</v>
      </c>
      <c r="K1941" s="20">
        <v>2</v>
      </c>
      <c r="L1941" s="20">
        <v>1</v>
      </c>
      <c r="M1941" s="357">
        <f>H1941</f>
        <v>479</v>
      </c>
      <c r="N1941" s="411">
        <f>IFERROR((M1941/(VLOOKUP(B1941,'Data Pull Sheet'!$C:$H,6,FALSE))),"DC")</f>
        <v>1.1975E-6</v>
      </c>
      <c r="O1941" s="23" t="s">
        <v>2897</v>
      </c>
      <c r="P1941" s="18" t="s">
        <v>632</v>
      </c>
      <c r="Q1941" s="18" t="s">
        <v>637</v>
      </c>
      <c r="R1941" s="372" t="str">
        <f t="shared" si="54"/>
        <v/>
      </c>
      <c r="S1941" s="106"/>
      <c r="T1941" s="107"/>
      <c r="U1941" s="108"/>
      <c r="V1941" s="108"/>
      <c r="W1941" s="108"/>
      <c r="X1941" s="108"/>
    </row>
    <row r="1942" spans="1:24" x14ac:dyDescent="0.25">
      <c r="A1942" s="23" t="s">
        <v>13</v>
      </c>
      <c r="B1942" s="59" t="s">
        <v>10625</v>
      </c>
      <c r="C1942" s="59" t="s">
        <v>424</v>
      </c>
      <c r="D1942" s="356" t="s">
        <v>6834</v>
      </c>
      <c r="E1942" s="356" t="s">
        <v>7366</v>
      </c>
      <c r="F1942" s="23" t="s">
        <v>7368</v>
      </c>
      <c r="G1942" s="59" t="s">
        <v>403</v>
      </c>
      <c r="H1942" s="353">
        <v>898.54</v>
      </c>
      <c r="I1942" s="59"/>
      <c r="J1942" s="59" t="s">
        <v>10636</v>
      </c>
      <c r="K1942" s="20"/>
      <c r="L1942" s="20">
        <v>2</v>
      </c>
      <c r="M1942" s="357">
        <f>SUM(H1942:H1943)</f>
        <v>3114.58</v>
      </c>
      <c r="N1942" s="411">
        <f>IFERROR((M1942/(VLOOKUP(B1942,'Data Pull Sheet'!$C:$H,6,FALSE))),"DC")</f>
        <v>7.7864500000000006E-6</v>
      </c>
      <c r="O1942" s="23" t="s">
        <v>63</v>
      </c>
      <c r="P1942" s="18" t="s">
        <v>632</v>
      </c>
      <c r="Q1942" s="18" t="s">
        <v>637</v>
      </c>
      <c r="R1942" s="372" t="str">
        <f t="shared" si="54"/>
        <v/>
      </c>
      <c r="S1942" s="106"/>
      <c r="T1942" s="107"/>
      <c r="U1942" s="108"/>
      <c r="V1942" s="108"/>
      <c r="W1942" s="108"/>
      <c r="X1942" s="108"/>
    </row>
    <row r="1943" spans="1:24" x14ac:dyDescent="0.25">
      <c r="A1943" s="23" t="s">
        <v>13</v>
      </c>
      <c r="B1943" s="59" t="s">
        <v>10625</v>
      </c>
      <c r="C1943" s="59" t="s">
        <v>424</v>
      </c>
      <c r="D1943" s="356" t="s">
        <v>6834</v>
      </c>
      <c r="E1943" s="356" t="s">
        <v>7366</v>
      </c>
      <c r="F1943" s="23" t="s">
        <v>7369</v>
      </c>
      <c r="G1943" s="59" t="s">
        <v>403</v>
      </c>
      <c r="H1943" s="353">
        <v>2216.04</v>
      </c>
      <c r="I1943" s="59"/>
      <c r="J1943" s="59" t="s">
        <v>10637</v>
      </c>
      <c r="K1943" s="20"/>
      <c r="L1943" s="20"/>
      <c r="M1943" s="357"/>
      <c r="N1943" s="411"/>
      <c r="O1943" s="23" t="s">
        <v>63</v>
      </c>
      <c r="P1943" s="18" t="s">
        <v>632</v>
      </c>
      <c r="Q1943" s="18" t="s">
        <v>637</v>
      </c>
      <c r="R1943" s="372" t="str">
        <f t="shared" si="54"/>
        <v/>
      </c>
      <c r="S1943" s="106"/>
      <c r="T1943" s="107"/>
      <c r="U1943" s="108"/>
      <c r="V1943" s="108"/>
      <c r="W1943" s="108"/>
      <c r="X1943" s="108"/>
    </row>
    <row r="1944" spans="1:24" x14ac:dyDescent="0.25">
      <c r="A1944" s="23" t="s">
        <v>7353</v>
      </c>
      <c r="B1944" s="59" t="s">
        <v>7503</v>
      </c>
      <c r="C1944" s="59" t="s">
        <v>424</v>
      </c>
      <c r="D1944" s="356" t="s">
        <v>6765</v>
      </c>
      <c r="E1944" s="356" t="s">
        <v>7331</v>
      </c>
      <c r="F1944" s="23" t="s">
        <v>7354</v>
      </c>
      <c r="G1944" s="59" t="s">
        <v>403</v>
      </c>
      <c r="H1944" s="353">
        <v>3939</v>
      </c>
      <c r="I1944" s="59"/>
      <c r="J1944" s="59" t="s">
        <v>7925</v>
      </c>
      <c r="K1944" s="20">
        <v>5</v>
      </c>
      <c r="L1944" s="20">
        <v>2</v>
      </c>
      <c r="M1944" s="357">
        <f>SUM(H1944:H1945)</f>
        <v>17301.14</v>
      </c>
      <c r="N1944" s="411">
        <f>IFERROR((M1944/(VLOOKUP(B1944,'Data Pull Sheet'!$C:$H,6,FALSE))),"DC")</f>
        <v>3.1456618181818183E-4</v>
      </c>
      <c r="O1944" s="23" t="s">
        <v>682</v>
      </c>
      <c r="P1944" s="18" t="s">
        <v>632</v>
      </c>
      <c r="Q1944" s="18" t="s">
        <v>637</v>
      </c>
      <c r="R1944" s="372" t="str">
        <f t="shared" si="54"/>
        <v/>
      </c>
      <c r="S1944" s="106"/>
      <c r="T1944" s="107"/>
      <c r="U1944" s="108"/>
      <c r="V1944" s="108"/>
      <c r="W1944" s="108"/>
      <c r="X1944" s="108"/>
    </row>
    <row r="1945" spans="1:24" x14ac:dyDescent="0.25">
      <c r="A1945" s="23" t="s">
        <v>7353</v>
      </c>
      <c r="B1945" s="59" t="s">
        <v>7503</v>
      </c>
      <c r="C1945" s="59" t="s">
        <v>424</v>
      </c>
      <c r="D1945" s="356" t="s">
        <v>6765</v>
      </c>
      <c r="E1945" s="356" t="s">
        <v>7331</v>
      </c>
      <c r="F1945" s="23" t="s">
        <v>7355</v>
      </c>
      <c r="G1945" s="59" t="s">
        <v>403</v>
      </c>
      <c r="H1945" s="353">
        <v>13362.14</v>
      </c>
      <c r="I1945" s="59"/>
      <c r="J1945" s="59" t="s">
        <v>7934</v>
      </c>
      <c r="K1945" s="20"/>
      <c r="L1945" s="20"/>
      <c r="M1945" s="357"/>
      <c r="N1945" s="411"/>
      <c r="O1945" s="23" t="s">
        <v>682</v>
      </c>
      <c r="P1945" s="18" t="s">
        <v>632</v>
      </c>
      <c r="Q1945" s="18" t="s">
        <v>637</v>
      </c>
      <c r="R1945" s="372" t="str">
        <f t="shared" si="54"/>
        <v/>
      </c>
      <c r="S1945" s="106"/>
      <c r="T1945" s="107"/>
      <c r="U1945" s="108"/>
      <c r="V1945" s="108"/>
      <c r="W1945" s="108"/>
      <c r="X1945" s="108"/>
    </row>
    <row r="1946" spans="1:24" x14ac:dyDescent="0.25">
      <c r="A1946" s="23" t="s">
        <v>7353</v>
      </c>
      <c r="B1946" s="59" t="s">
        <v>7503</v>
      </c>
      <c r="C1946" s="59" t="s">
        <v>424</v>
      </c>
      <c r="D1946" s="356" t="s">
        <v>6765</v>
      </c>
      <c r="E1946" s="356" t="s">
        <v>7331</v>
      </c>
      <c r="F1946" s="23" t="s">
        <v>7356</v>
      </c>
      <c r="G1946" s="59" t="s">
        <v>403</v>
      </c>
      <c r="H1946" s="353">
        <v>61764</v>
      </c>
      <c r="I1946" s="59"/>
      <c r="J1946" s="59" t="s">
        <v>7946</v>
      </c>
      <c r="K1946" s="20"/>
      <c r="L1946" s="20">
        <v>1</v>
      </c>
      <c r="M1946" s="357">
        <f>H1946</f>
        <v>61764</v>
      </c>
      <c r="N1946" s="411">
        <f>IFERROR((M1946/(VLOOKUP(B1946,'Data Pull Sheet'!$C:$H,6,FALSE))),"DC")</f>
        <v>1.1229818181818182E-3</v>
      </c>
      <c r="O1946" s="23" t="s">
        <v>2897</v>
      </c>
      <c r="P1946" s="18" t="s">
        <v>632</v>
      </c>
      <c r="Q1946" s="18" t="s">
        <v>637</v>
      </c>
      <c r="R1946" s="372" t="str">
        <f t="shared" si="54"/>
        <v/>
      </c>
      <c r="S1946" s="106"/>
      <c r="T1946" s="107"/>
      <c r="U1946" s="108"/>
      <c r="V1946" s="108"/>
      <c r="W1946" s="108"/>
      <c r="X1946" s="108"/>
    </row>
    <row r="1947" spans="1:24" x14ac:dyDescent="0.25">
      <c r="A1947" s="23" t="s">
        <v>7353</v>
      </c>
      <c r="B1947" s="59" t="s">
        <v>7503</v>
      </c>
      <c r="C1947" s="59" t="s">
        <v>424</v>
      </c>
      <c r="D1947" s="356" t="s">
        <v>6765</v>
      </c>
      <c r="E1947" s="356" t="s">
        <v>7331</v>
      </c>
      <c r="F1947" s="23" t="s">
        <v>7357</v>
      </c>
      <c r="G1947" s="59" t="s">
        <v>403</v>
      </c>
      <c r="H1947" s="353">
        <v>49236.66</v>
      </c>
      <c r="I1947" s="59" t="s">
        <v>406</v>
      </c>
      <c r="J1947" s="59" t="s">
        <v>7931</v>
      </c>
      <c r="K1947" s="20"/>
      <c r="L1947" s="20">
        <v>1</v>
      </c>
      <c r="M1947" s="357">
        <f>H1947</f>
        <v>49236.66</v>
      </c>
      <c r="N1947" s="411">
        <f>IFERROR((M1947/(VLOOKUP(B1947,'Data Pull Sheet'!$C:$H,6,FALSE))),"DC")</f>
        <v>8.9521200000000005E-4</v>
      </c>
      <c r="O1947" s="23" t="s">
        <v>407</v>
      </c>
      <c r="P1947" s="18" t="s">
        <v>632</v>
      </c>
      <c r="Q1947" s="18" t="s">
        <v>637</v>
      </c>
      <c r="R1947" s="372" t="str">
        <f t="shared" si="54"/>
        <v/>
      </c>
      <c r="S1947" s="106"/>
      <c r="T1947" s="107"/>
      <c r="U1947" s="108"/>
      <c r="V1947" s="108"/>
      <c r="W1947" s="108"/>
      <c r="X1947" s="108"/>
    </row>
    <row r="1948" spans="1:24" x14ac:dyDescent="0.25">
      <c r="A1948" s="23" t="s">
        <v>7353</v>
      </c>
      <c r="B1948" s="59" t="s">
        <v>7503</v>
      </c>
      <c r="C1948" s="59" t="s">
        <v>424</v>
      </c>
      <c r="D1948" s="356" t="s">
        <v>6765</v>
      </c>
      <c r="E1948" s="356" t="s">
        <v>7331</v>
      </c>
      <c r="F1948" s="23" t="s">
        <v>7358</v>
      </c>
      <c r="G1948" s="59" t="s">
        <v>403</v>
      </c>
      <c r="H1948" s="353">
        <v>7372.1</v>
      </c>
      <c r="I1948" s="59" t="s">
        <v>406</v>
      </c>
      <c r="J1948" s="59" t="s">
        <v>7949</v>
      </c>
      <c r="K1948" s="20"/>
      <c r="L1948" s="20">
        <v>5</v>
      </c>
      <c r="M1948" s="357">
        <f>SUM(H1948:H1952)</f>
        <v>48795.44</v>
      </c>
      <c r="N1948" s="411">
        <f>IFERROR((M1948/(VLOOKUP(B1948,'Data Pull Sheet'!$C:$H,6,FALSE))),"DC")</f>
        <v>8.8718981818181823E-4</v>
      </c>
      <c r="O1948" s="23" t="s">
        <v>4153</v>
      </c>
      <c r="P1948" s="18" t="s">
        <v>632</v>
      </c>
      <c r="Q1948" s="18" t="s">
        <v>637</v>
      </c>
      <c r="R1948" s="372" t="str">
        <f t="shared" si="54"/>
        <v/>
      </c>
      <c r="S1948" s="106"/>
      <c r="T1948" s="107"/>
      <c r="U1948" s="108"/>
      <c r="V1948" s="108"/>
      <c r="W1948" s="108"/>
      <c r="X1948" s="108"/>
    </row>
    <row r="1949" spans="1:24" x14ac:dyDescent="0.25">
      <c r="A1949" s="23" t="s">
        <v>7353</v>
      </c>
      <c r="B1949" s="59" t="s">
        <v>7503</v>
      </c>
      <c r="C1949" s="59" t="s">
        <v>424</v>
      </c>
      <c r="D1949" s="356" t="s">
        <v>6765</v>
      </c>
      <c r="E1949" s="356" t="s">
        <v>7331</v>
      </c>
      <c r="F1949" s="23" t="s">
        <v>7359</v>
      </c>
      <c r="G1949" s="59" t="s">
        <v>403</v>
      </c>
      <c r="H1949" s="353">
        <v>4164.08</v>
      </c>
      <c r="I1949" s="59" t="s">
        <v>406</v>
      </c>
      <c r="J1949" s="59" t="s">
        <v>7947</v>
      </c>
      <c r="K1949" s="20"/>
      <c r="L1949" s="20"/>
      <c r="M1949" s="357"/>
      <c r="N1949" s="411"/>
      <c r="O1949" s="23" t="s">
        <v>4153</v>
      </c>
      <c r="P1949" s="18" t="s">
        <v>632</v>
      </c>
      <c r="Q1949" s="18" t="s">
        <v>637</v>
      </c>
      <c r="R1949" s="372" t="str">
        <f t="shared" si="54"/>
        <v/>
      </c>
      <c r="S1949" s="106"/>
      <c r="T1949" s="107"/>
      <c r="U1949" s="108"/>
      <c r="V1949" s="108"/>
      <c r="W1949" s="108"/>
      <c r="X1949" s="108"/>
    </row>
    <row r="1950" spans="1:24" x14ac:dyDescent="0.25">
      <c r="A1950" s="23" t="s">
        <v>7353</v>
      </c>
      <c r="B1950" s="59" t="s">
        <v>7503</v>
      </c>
      <c r="C1950" s="59" t="s">
        <v>424</v>
      </c>
      <c r="D1950" s="356" t="s">
        <v>6765</v>
      </c>
      <c r="E1950" s="356" t="s">
        <v>7331</v>
      </c>
      <c r="F1950" s="23" t="s">
        <v>7360</v>
      </c>
      <c r="G1950" s="59" t="s">
        <v>403</v>
      </c>
      <c r="H1950" s="353">
        <v>18194.47</v>
      </c>
      <c r="I1950" s="59" t="s">
        <v>406</v>
      </c>
      <c r="J1950" s="59" t="s">
        <v>7951</v>
      </c>
      <c r="K1950" s="20"/>
      <c r="L1950" s="20"/>
      <c r="M1950" s="357"/>
      <c r="N1950" s="411"/>
      <c r="O1950" s="23" t="s">
        <v>4153</v>
      </c>
      <c r="P1950" s="18" t="s">
        <v>632</v>
      </c>
      <c r="Q1950" s="18" t="s">
        <v>637</v>
      </c>
      <c r="R1950" s="372" t="str">
        <f t="shared" si="54"/>
        <v/>
      </c>
      <c r="S1950" s="106"/>
      <c r="T1950" s="107"/>
      <c r="U1950" s="108"/>
      <c r="V1950" s="108"/>
      <c r="W1950" s="108"/>
      <c r="X1950" s="108"/>
    </row>
    <row r="1951" spans="1:24" x14ac:dyDescent="0.25">
      <c r="A1951" s="23" t="s">
        <v>7353</v>
      </c>
      <c r="B1951" s="59" t="s">
        <v>7503</v>
      </c>
      <c r="C1951" s="59" t="s">
        <v>424</v>
      </c>
      <c r="D1951" s="356" t="s">
        <v>6765</v>
      </c>
      <c r="E1951" s="356" t="s">
        <v>7331</v>
      </c>
      <c r="F1951" s="23" t="s">
        <v>7361</v>
      </c>
      <c r="G1951" s="59" t="s">
        <v>403</v>
      </c>
      <c r="H1951" s="353">
        <v>8914.59</v>
      </c>
      <c r="I1951" s="59" t="s">
        <v>406</v>
      </c>
      <c r="J1951" s="59" t="s">
        <v>7952</v>
      </c>
      <c r="K1951" s="20"/>
      <c r="L1951" s="20"/>
      <c r="M1951" s="357"/>
      <c r="N1951" s="411"/>
      <c r="O1951" s="23" t="s">
        <v>4153</v>
      </c>
      <c r="P1951" s="18" t="s">
        <v>632</v>
      </c>
      <c r="Q1951" s="18" t="s">
        <v>637</v>
      </c>
      <c r="R1951" s="372" t="str">
        <f t="shared" si="54"/>
        <v/>
      </c>
      <c r="S1951" s="106"/>
      <c r="T1951" s="107"/>
      <c r="U1951" s="108"/>
      <c r="V1951" s="108"/>
      <c r="W1951" s="108"/>
      <c r="X1951" s="108"/>
    </row>
    <row r="1952" spans="1:24" x14ac:dyDescent="0.25">
      <c r="A1952" s="23" t="s">
        <v>7353</v>
      </c>
      <c r="B1952" s="59" t="s">
        <v>7503</v>
      </c>
      <c r="C1952" s="59" t="s">
        <v>424</v>
      </c>
      <c r="D1952" s="356" t="s">
        <v>6765</v>
      </c>
      <c r="E1952" s="356" t="s">
        <v>7331</v>
      </c>
      <c r="F1952" s="23" t="s">
        <v>7362</v>
      </c>
      <c r="G1952" s="59" t="s">
        <v>403</v>
      </c>
      <c r="H1952" s="353">
        <v>10150.200000000001</v>
      </c>
      <c r="I1952" s="59" t="s">
        <v>406</v>
      </c>
      <c r="J1952" s="59" t="s">
        <v>7950</v>
      </c>
      <c r="K1952" s="20"/>
      <c r="L1952" s="20"/>
      <c r="M1952" s="357"/>
      <c r="N1952" s="411"/>
      <c r="O1952" s="23" t="s">
        <v>4153</v>
      </c>
      <c r="P1952" s="18" t="s">
        <v>632</v>
      </c>
      <c r="Q1952" s="18" t="s">
        <v>637</v>
      </c>
      <c r="R1952" s="372" t="str">
        <f t="shared" si="54"/>
        <v/>
      </c>
      <c r="S1952" s="106"/>
      <c r="T1952" s="107"/>
      <c r="U1952" s="108"/>
      <c r="V1952" s="108"/>
      <c r="W1952" s="108"/>
      <c r="X1952" s="108"/>
    </row>
    <row r="1953" spans="1:24" ht="30" x14ac:dyDescent="0.25">
      <c r="A1953" s="23" t="s">
        <v>7353</v>
      </c>
      <c r="B1953" s="59" t="s">
        <v>7503</v>
      </c>
      <c r="C1953" s="59" t="s">
        <v>424</v>
      </c>
      <c r="D1953" s="356" t="s">
        <v>6765</v>
      </c>
      <c r="E1953" s="356" t="s">
        <v>7331</v>
      </c>
      <c r="F1953" s="23" t="s">
        <v>7363</v>
      </c>
      <c r="G1953" s="59" t="s">
        <v>403</v>
      </c>
      <c r="H1953" s="353">
        <v>12867.6</v>
      </c>
      <c r="I1953" s="59"/>
      <c r="J1953" s="59" t="s">
        <v>7953</v>
      </c>
      <c r="K1953" s="20"/>
      <c r="L1953" s="20">
        <v>1</v>
      </c>
      <c r="M1953" s="357">
        <f>H1953</f>
        <v>12867.6</v>
      </c>
      <c r="N1953" s="411">
        <f>IFERROR((M1953/(VLOOKUP(B1953,'Data Pull Sheet'!$C:$H,6,FALSE))),"DC")</f>
        <v>2.3395636363636365E-4</v>
      </c>
      <c r="O1953" s="23" t="s">
        <v>687</v>
      </c>
      <c r="P1953" s="18" t="s">
        <v>632</v>
      </c>
      <c r="Q1953" s="18" t="s">
        <v>637</v>
      </c>
      <c r="R1953" s="372" t="str">
        <f t="shared" si="54"/>
        <v/>
      </c>
      <c r="S1953" s="106"/>
      <c r="T1953" s="107"/>
      <c r="U1953" s="108"/>
      <c r="V1953" s="108"/>
      <c r="W1953" s="108"/>
      <c r="X1953" s="108"/>
    </row>
    <row r="1954" spans="1:24" x14ac:dyDescent="0.25">
      <c r="A1954" s="59" t="s">
        <v>7340</v>
      </c>
      <c r="B1954" s="59" t="s">
        <v>7523</v>
      </c>
      <c r="C1954" s="59" t="s">
        <v>1008</v>
      </c>
      <c r="D1954" s="356" t="s">
        <v>6765</v>
      </c>
      <c r="E1954" s="356" t="s">
        <v>7331</v>
      </c>
      <c r="F1954" s="59" t="s">
        <v>7341</v>
      </c>
      <c r="G1954" s="59" t="s">
        <v>403</v>
      </c>
      <c r="H1954" s="353">
        <v>858</v>
      </c>
      <c r="I1954" s="59" t="s">
        <v>2613</v>
      </c>
      <c r="J1954" s="59" t="s">
        <v>7921</v>
      </c>
      <c r="K1954" s="20">
        <v>7</v>
      </c>
      <c r="L1954" s="20">
        <v>1</v>
      </c>
      <c r="M1954" s="357">
        <f>H1954</f>
        <v>858</v>
      </c>
      <c r="N1954" s="411" t="str">
        <f>IFERROR((M1954/(VLOOKUP(B1954,'Data Pull Sheet'!$C:$H,6,FALSE))),"DC")</f>
        <v>DC</v>
      </c>
      <c r="O1954" s="59" t="s">
        <v>7</v>
      </c>
      <c r="P1954" s="18" t="s">
        <v>632</v>
      </c>
      <c r="Q1954" s="18" t="s">
        <v>637</v>
      </c>
      <c r="R1954" s="372" t="str">
        <f t="shared" si="54"/>
        <v/>
      </c>
      <c r="S1954" s="106"/>
      <c r="T1954" s="107"/>
      <c r="U1954" s="108"/>
      <c r="V1954" s="108"/>
      <c r="W1954" s="108"/>
      <c r="X1954" s="108"/>
    </row>
    <row r="1955" spans="1:24" x14ac:dyDescent="0.25">
      <c r="A1955" s="23" t="s">
        <v>7340</v>
      </c>
      <c r="B1955" s="59" t="s">
        <v>7523</v>
      </c>
      <c r="C1955" s="59" t="s">
        <v>1008</v>
      </c>
      <c r="D1955" s="356" t="s">
        <v>6765</v>
      </c>
      <c r="E1955" s="356" t="s">
        <v>7331</v>
      </c>
      <c r="F1955" s="23" t="s">
        <v>7342</v>
      </c>
      <c r="G1955" s="59" t="s">
        <v>403</v>
      </c>
      <c r="H1955" s="353">
        <v>3782.17</v>
      </c>
      <c r="I1955" s="59"/>
      <c r="J1955" s="59" t="s">
        <v>7945</v>
      </c>
      <c r="K1955" s="20"/>
      <c r="L1955" s="20">
        <v>1</v>
      </c>
      <c r="M1955" s="357">
        <f>H1955</f>
        <v>3782.17</v>
      </c>
      <c r="N1955" s="411" t="str">
        <f>IFERROR((M1955/(VLOOKUP(B1955,'Data Pull Sheet'!$C:$H,6,FALSE))),"DC")</f>
        <v>DC</v>
      </c>
      <c r="O1955" s="23" t="s">
        <v>6997</v>
      </c>
      <c r="P1955" s="18" t="s">
        <v>632</v>
      </c>
      <c r="Q1955" s="18" t="s">
        <v>637</v>
      </c>
      <c r="R1955" s="372" t="str">
        <f t="shared" si="54"/>
        <v/>
      </c>
      <c r="S1955" s="106"/>
      <c r="T1955" s="107"/>
      <c r="U1955" s="108"/>
      <c r="V1955" s="108"/>
      <c r="W1955" s="108"/>
      <c r="X1955" s="108"/>
    </row>
    <row r="1956" spans="1:24" x14ac:dyDescent="0.25">
      <c r="A1956" s="23" t="s">
        <v>7340</v>
      </c>
      <c r="B1956" s="59" t="s">
        <v>7523</v>
      </c>
      <c r="C1956" s="59" t="s">
        <v>1008</v>
      </c>
      <c r="D1956" s="356" t="s">
        <v>6765</v>
      </c>
      <c r="E1956" s="356" t="s">
        <v>7331</v>
      </c>
      <c r="F1956" s="23" t="s">
        <v>7343</v>
      </c>
      <c r="G1956" s="59" t="s">
        <v>403</v>
      </c>
      <c r="H1956" s="353">
        <v>11948.54</v>
      </c>
      <c r="I1956" s="59"/>
      <c r="J1956" s="59" t="s">
        <v>7997</v>
      </c>
      <c r="K1956" s="20"/>
      <c r="L1956" s="20">
        <v>2</v>
      </c>
      <c r="M1956" s="357">
        <f>SUM(H1956:H1957)</f>
        <v>21510.58</v>
      </c>
      <c r="N1956" s="411" t="str">
        <f>IFERROR((M1956/(VLOOKUP(B1956,'Data Pull Sheet'!$C:$H,6,FALSE))),"DC")</f>
        <v>DC</v>
      </c>
      <c r="O1956" s="23" t="s">
        <v>682</v>
      </c>
      <c r="P1956" s="18" t="s">
        <v>632</v>
      </c>
      <c r="Q1956" s="18" t="s">
        <v>637</v>
      </c>
      <c r="R1956" s="372" t="str">
        <f t="shared" si="54"/>
        <v/>
      </c>
      <c r="S1956" s="106"/>
      <c r="T1956" s="107"/>
      <c r="U1956" s="108"/>
      <c r="V1956" s="108"/>
      <c r="W1956" s="108"/>
      <c r="X1956" s="108"/>
    </row>
    <row r="1957" spans="1:24" x14ac:dyDescent="0.25">
      <c r="A1957" s="23" t="s">
        <v>7340</v>
      </c>
      <c r="B1957" s="59" t="s">
        <v>7523</v>
      </c>
      <c r="C1957" s="59" t="s">
        <v>1008</v>
      </c>
      <c r="D1957" s="356" t="s">
        <v>6765</v>
      </c>
      <c r="E1957" s="356" t="s">
        <v>7331</v>
      </c>
      <c r="F1957" s="23" t="s">
        <v>7344</v>
      </c>
      <c r="G1957" s="59" t="s">
        <v>403</v>
      </c>
      <c r="H1957" s="353">
        <v>9562.0400000000009</v>
      </c>
      <c r="I1957" s="59"/>
      <c r="J1957" s="59" t="s">
        <v>7998</v>
      </c>
      <c r="K1957" s="20"/>
      <c r="L1957" s="20"/>
      <c r="M1957" s="357"/>
      <c r="N1957" s="411"/>
      <c r="O1957" s="23" t="s">
        <v>682</v>
      </c>
      <c r="P1957" s="18" t="s">
        <v>632</v>
      </c>
      <c r="Q1957" s="18" t="s">
        <v>637</v>
      </c>
      <c r="R1957" s="372" t="str">
        <f t="shared" si="54"/>
        <v/>
      </c>
      <c r="S1957" s="106"/>
      <c r="T1957" s="107"/>
      <c r="U1957" s="108"/>
      <c r="V1957" s="108"/>
      <c r="W1957" s="108"/>
      <c r="X1957" s="108"/>
    </row>
    <row r="1958" spans="1:24" x14ac:dyDescent="0.25">
      <c r="A1958" s="23" t="s">
        <v>7340</v>
      </c>
      <c r="B1958" s="59" t="s">
        <v>7523</v>
      </c>
      <c r="C1958" s="59" t="s">
        <v>1008</v>
      </c>
      <c r="D1958" s="356" t="s">
        <v>6765</v>
      </c>
      <c r="E1958" s="356" t="s">
        <v>7331</v>
      </c>
      <c r="F1958" s="23" t="s">
        <v>7345</v>
      </c>
      <c r="G1958" s="59" t="s">
        <v>403</v>
      </c>
      <c r="H1958" s="353">
        <v>122160.03</v>
      </c>
      <c r="I1958" s="59" t="s">
        <v>406</v>
      </c>
      <c r="J1958" s="59" t="s">
        <v>7999</v>
      </c>
      <c r="K1958" s="20"/>
      <c r="L1958" s="20">
        <v>2</v>
      </c>
      <c r="M1958" s="357">
        <f>SUM(H1958:H1959)</f>
        <v>219657.53</v>
      </c>
      <c r="N1958" s="411" t="str">
        <f>IFERROR((M1958/(VLOOKUP(B1958,'Data Pull Sheet'!$C:$H,6,FALSE))),"DC")</f>
        <v>DC</v>
      </c>
      <c r="O1958" s="23" t="s">
        <v>4153</v>
      </c>
      <c r="P1958" s="18" t="s">
        <v>632</v>
      </c>
      <c r="Q1958" s="18" t="s">
        <v>637</v>
      </c>
      <c r="R1958" s="372" t="str">
        <f t="shared" si="54"/>
        <v/>
      </c>
      <c r="S1958" s="106"/>
      <c r="T1958" s="107"/>
      <c r="U1958" s="108"/>
      <c r="V1958" s="108"/>
      <c r="W1958" s="108"/>
      <c r="X1958" s="108"/>
    </row>
    <row r="1959" spans="1:24" x14ac:dyDescent="0.25">
      <c r="A1959" s="23" t="s">
        <v>7340</v>
      </c>
      <c r="B1959" s="59" t="s">
        <v>7523</v>
      </c>
      <c r="C1959" s="59" t="s">
        <v>1008</v>
      </c>
      <c r="D1959" s="356" t="s">
        <v>6765</v>
      </c>
      <c r="E1959" s="356" t="s">
        <v>7331</v>
      </c>
      <c r="F1959" s="23" t="s">
        <v>7346</v>
      </c>
      <c r="G1959" s="59" t="s">
        <v>403</v>
      </c>
      <c r="H1959" s="353">
        <v>97497.5</v>
      </c>
      <c r="I1959" s="59" t="s">
        <v>406</v>
      </c>
      <c r="J1959" s="59" t="s">
        <v>8000</v>
      </c>
      <c r="K1959" s="20"/>
      <c r="L1959" s="20"/>
      <c r="M1959" s="357"/>
      <c r="N1959" s="411"/>
      <c r="O1959" s="23" t="s">
        <v>4153</v>
      </c>
      <c r="P1959" s="18" t="s">
        <v>632</v>
      </c>
      <c r="Q1959" s="18" t="s">
        <v>637</v>
      </c>
      <c r="R1959" s="372" t="str">
        <f t="shared" si="54"/>
        <v/>
      </c>
      <c r="S1959" s="106"/>
      <c r="T1959" s="107"/>
      <c r="U1959" s="108"/>
      <c r="V1959" s="108"/>
      <c r="W1959" s="108"/>
      <c r="X1959" s="108"/>
    </row>
    <row r="1960" spans="1:24" x14ac:dyDescent="0.25">
      <c r="A1960" s="23" t="s">
        <v>7340</v>
      </c>
      <c r="B1960" s="59" t="s">
        <v>7523</v>
      </c>
      <c r="C1960" s="59" t="s">
        <v>1008</v>
      </c>
      <c r="D1960" s="356" t="s">
        <v>6765</v>
      </c>
      <c r="E1960" s="356" t="s">
        <v>7331</v>
      </c>
      <c r="F1960" s="23" t="s">
        <v>7347</v>
      </c>
      <c r="G1960" s="59" t="s">
        <v>403</v>
      </c>
      <c r="H1960" s="353">
        <v>100667.25</v>
      </c>
      <c r="I1960" s="59" t="s">
        <v>406</v>
      </c>
      <c r="J1960" s="59" t="s">
        <v>8001</v>
      </c>
      <c r="K1960" s="20"/>
      <c r="L1960" s="20">
        <v>3</v>
      </c>
      <c r="M1960" s="357">
        <f>SUM(H1960:H1962)</f>
        <v>236883.01</v>
      </c>
      <c r="N1960" s="411" t="str">
        <f>IFERROR((M1960/(VLOOKUP(B1960,'Data Pull Sheet'!$C:$H,6,FALSE))),"DC")</f>
        <v>DC</v>
      </c>
      <c r="O1960" s="23" t="s">
        <v>10848</v>
      </c>
      <c r="P1960" s="18" t="s">
        <v>632</v>
      </c>
      <c r="Q1960" s="18" t="s">
        <v>637</v>
      </c>
      <c r="R1960" s="372" t="str">
        <f t="shared" si="54"/>
        <v/>
      </c>
      <c r="S1960" s="106"/>
      <c r="T1960" s="107"/>
      <c r="U1960" s="108"/>
      <c r="V1960" s="108"/>
      <c r="W1960" s="108"/>
      <c r="X1960" s="108"/>
    </row>
    <row r="1961" spans="1:24" x14ac:dyDescent="0.25">
      <c r="A1961" s="23" t="s">
        <v>7340</v>
      </c>
      <c r="B1961" s="59" t="s">
        <v>7523</v>
      </c>
      <c r="C1961" s="59" t="s">
        <v>1008</v>
      </c>
      <c r="D1961" s="356" t="s">
        <v>6765</v>
      </c>
      <c r="E1961" s="356" t="s">
        <v>7331</v>
      </c>
      <c r="F1961" s="23" t="s">
        <v>7348</v>
      </c>
      <c r="G1961" s="59" t="s">
        <v>403</v>
      </c>
      <c r="H1961" s="353">
        <v>25915.759999999998</v>
      </c>
      <c r="I1961" s="59" t="s">
        <v>406</v>
      </c>
      <c r="J1961" s="59" t="s">
        <v>8002</v>
      </c>
      <c r="K1961" s="20"/>
      <c r="L1961" s="20"/>
      <c r="M1961" s="357"/>
      <c r="N1961" s="411"/>
      <c r="O1961" s="23" t="s">
        <v>10848</v>
      </c>
      <c r="P1961" s="18" t="s">
        <v>632</v>
      </c>
      <c r="Q1961" s="18" t="s">
        <v>637</v>
      </c>
      <c r="R1961" s="372" t="str">
        <f t="shared" si="54"/>
        <v/>
      </c>
      <c r="S1961" s="106"/>
      <c r="T1961" s="107"/>
      <c r="U1961" s="108"/>
      <c r="V1961" s="108"/>
      <c r="W1961" s="108"/>
      <c r="X1961" s="108"/>
    </row>
    <row r="1962" spans="1:24" x14ac:dyDescent="0.25">
      <c r="A1962" s="23" t="s">
        <v>7340</v>
      </c>
      <c r="B1962" s="59" t="s">
        <v>7523</v>
      </c>
      <c r="C1962" s="59" t="s">
        <v>1008</v>
      </c>
      <c r="D1962" s="356" t="s">
        <v>6765</v>
      </c>
      <c r="E1962" s="356" t="s">
        <v>7331</v>
      </c>
      <c r="F1962" s="23" t="s">
        <v>7349</v>
      </c>
      <c r="G1962" s="59" t="s">
        <v>403</v>
      </c>
      <c r="H1962" s="353">
        <v>110300</v>
      </c>
      <c r="I1962" s="59" t="s">
        <v>406</v>
      </c>
      <c r="J1962" s="59" t="s">
        <v>8003</v>
      </c>
      <c r="K1962" s="20"/>
      <c r="L1962" s="20"/>
      <c r="M1962" s="357"/>
      <c r="N1962" s="411"/>
      <c r="O1962" s="23" t="s">
        <v>10848</v>
      </c>
      <c r="P1962" s="18" t="s">
        <v>632</v>
      </c>
      <c r="Q1962" s="18" t="s">
        <v>637</v>
      </c>
      <c r="R1962" s="372" t="str">
        <f t="shared" si="54"/>
        <v/>
      </c>
      <c r="S1962" s="106"/>
      <c r="T1962" s="107"/>
      <c r="U1962" s="108"/>
      <c r="V1962" s="108"/>
      <c r="W1962" s="108"/>
      <c r="X1962" s="108"/>
    </row>
    <row r="1963" spans="1:24" x14ac:dyDescent="0.25">
      <c r="A1963" s="23" t="s">
        <v>7340</v>
      </c>
      <c r="B1963" s="59" t="s">
        <v>7523</v>
      </c>
      <c r="C1963" s="59" t="s">
        <v>1008</v>
      </c>
      <c r="D1963" s="356" t="s">
        <v>6765</v>
      </c>
      <c r="E1963" s="356" t="s">
        <v>7331</v>
      </c>
      <c r="F1963" s="23" t="s">
        <v>7350</v>
      </c>
      <c r="G1963" s="59" t="s">
        <v>403</v>
      </c>
      <c r="H1963" s="353">
        <v>41505.47</v>
      </c>
      <c r="I1963" s="59"/>
      <c r="J1963" s="59" t="s">
        <v>8004</v>
      </c>
      <c r="K1963" s="20"/>
      <c r="L1963" s="20">
        <v>2</v>
      </c>
      <c r="M1963" s="357">
        <f>SUM(H1963:H1964)</f>
        <v>108577.14</v>
      </c>
      <c r="N1963" s="411" t="str">
        <f>IFERROR((M1963/(VLOOKUP(B1963,'Data Pull Sheet'!$C:$H,6,FALSE))),"DC")</f>
        <v>DC</v>
      </c>
      <c r="O1963" s="23" t="s">
        <v>7</v>
      </c>
      <c r="P1963" s="18" t="s">
        <v>632</v>
      </c>
      <c r="Q1963" s="18" t="s">
        <v>637</v>
      </c>
      <c r="R1963" s="372" t="str">
        <f t="shared" si="54"/>
        <v/>
      </c>
      <c r="S1963" s="106"/>
      <c r="T1963" s="107"/>
      <c r="U1963" s="108"/>
      <c r="V1963" s="108"/>
      <c r="W1963" s="108"/>
      <c r="X1963" s="108"/>
    </row>
    <row r="1964" spans="1:24" x14ac:dyDescent="0.25">
      <c r="A1964" s="23" t="s">
        <v>7340</v>
      </c>
      <c r="B1964" s="59" t="s">
        <v>7523</v>
      </c>
      <c r="C1964" s="59" t="s">
        <v>1008</v>
      </c>
      <c r="D1964" s="356" t="s">
        <v>6765</v>
      </c>
      <c r="E1964" s="356" t="s">
        <v>7331</v>
      </c>
      <c r="F1964" s="23" t="s">
        <v>7351</v>
      </c>
      <c r="G1964" s="59" t="s">
        <v>403</v>
      </c>
      <c r="H1964" s="353">
        <v>67071.67</v>
      </c>
      <c r="I1964" s="59"/>
      <c r="J1964" s="59" t="s">
        <v>8005</v>
      </c>
      <c r="K1964" s="20"/>
      <c r="L1964" s="20"/>
      <c r="M1964" s="357"/>
      <c r="N1964" s="411"/>
      <c r="O1964" s="23" t="s">
        <v>7</v>
      </c>
      <c r="P1964" s="18" t="s">
        <v>632</v>
      </c>
      <c r="Q1964" s="18" t="s">
        <v>637</v>
      </c>
      <c r="R1964" s="372" t="str">
        <f t="shared" si="54"/>
        <v/>
      </c>
      <c r="S1964" s="106"/>
      <c r="T1964" s="107"/>
      <c r="U1964" s="108"/>
      <c r="V1964" s="108"/>
      <c r="W1964" s="108"/>
      <c r="X1964" s="108"/>
    </row>
    <row r="1965" spans="1:24" x14ac:dyDescent="0.25">
      <c r="A1965" s="23" t="s">
        <v>7340</v>
      </c>
      <c r="B1965" s="59" t="s">
        <v>7523</v>
      </c>
      <c r="C1965" s="59" t="s">
        <v>1008</v>
      </c>
      <c r="D1965" s="356" t="s">
        <v>6765</v>
      </c>
      <c r="E1965" s="356" t="s">
        <v>7331</v>
      </c>
      <c r="F1965" s="23" t="s">
        <v>7352</v>
      </c>
      <c r="G1965" s="59" t="s">
        <v>403</v>
      </c>
      <c r="H1965" s="353">
        <v>58108.92</v>
      </c>
      <c r="I1965" s="59"/>
      <c r="J1965" s="59" t="s">
        <v>7922</v>
      </c>
      <c r="K1965" s="20"/>
      <c r="L1965" s="20">
        <v>1</v>
      </c>
      <c r="M1965" s="357">
        <f>+H1965</f>
        <v>58108.92</v>
      </c>
      <c r="N1965" s="411" t="str">
        <f>IFERROR((M1965/(VLOOKUP(B1965,'Data Pull Sheet'!$C:$H,6,FALSE))),"DC")</f>
        <v>DC</v>
      </c>
      <c r="O1965" s="23" t="s">
        <v>1002</v>
      </c>
      <c r="P1965" s="18" t="s">
        <v>632</v>
      </c>
      <c r="Q1965" s="18" t="s">
        <v>637</v>
      </c>
      <c r="R1965" s="372" t="str">
        <f t="shared" si="54"/>
        <v/>
      </c>
      <c r="S1965" s="106"/>
      <c r="T1965" s="107"/>
      <c r="U1965" s="108"/>
      <c r="V1965" s="108"/>
      <c r="W1965" s="108"/>
      <c r="X1965" s="108"/>
    </row>
    <row r="1966" spans="1:24" x14ac:dyDescent="0.25">
      <c r="A1966" s="23" t="s">
        <v>3319</v>
      </c>
      <c r="B1966" s="18" t="s">
        <v>10677</v>
      </c>
      <c r="C1966" s="59" t="s">
        <v>418</v>
      </c>
      <c r="D1966" s="356">
        <v>43031</v>
      </c>
      <c r="E1966" s="356">
        <v>43091</v>
      </c>
      <c r="F1966" s="92" t="s">
        <v>10735</v>
      </c>
      <c r="G1966" s="92" t="s">
        <v>403</v>
      </c>
      <c r="H1966" s="422">
        <v>622</v>
      </c>
      <c r="I1966" s="18" t="s">
        <v>2613</v>
      </c>
      <c r="J1966" s="18" t="s">
        <v>10736</v>
      </c>
      <c r="K1966" s="20">
        <v>1</v>
      </c>
      <c r="L1966" s="20">
        <v>1</v>
      </c>
      <c r="M1966" s="357">
        <f>+H1966</f>
        <v>622</v>
      </c>
      <c r="N1966" s="411">
        <f>IFERROR((M1966/(VLOOKUP(B1966,'Data Pull Sheet'!$C:$H,6,FALSE))),"DC")</f>
        <v>4.1466666666666671E-6</v>
      </c>
      <c r="O1966" s="92" t="s">
        <v>1002</v>
      </c>
      <c r="P1966" s="92" t="s">
        <v>676</v>
      </c>
      <c r="Q1966" s="92" t="s">
        <v>637</v>
      </c>
      <c r="R1966" s="372" t="str">
        <f t="shared" si="54"/>
        <v/>
      </c>
      <c r="S1966" s="106"/>
      <c r="T1966" s="107"/>
      <c r="U1966" s="108"/>
      <c r="V1966" s="108"/>
      <c r="W1966" s="108"/>
      <c r="X1966" s="108"/>
    </row>
    <row r="1967" spans="1:24" x14ac:dyDescent="0.25">
      <c r="A1967" s="364" t="s">
        <v>7329</v>
      </c>
      <c r="B1967" s="373" t="s">
        <v>10789</v>
      </c>
      <c r="C1967" s="373" t="s">
        <v>418</v>
      </c>
      <c r="D1967" s="374" t="s">
        <v>7330</v>
      </c>
      <c r="E1967" s="374" t="s">
        <v>7331</v>
      </c>
      <c r="F1967" s="364" t="s">
        <v>7332</v>
      </c>
      <c r="G1967" s="373" t="s">
        <v>403</v>
      </c>
      <c r="H1967" s="375">
        <v>4989</v>
      </c>
      <c r="I1967" s="373"/>
      <c r="J1967" s="373" t="s">
        <v>7924</v>
      </c>
      <c r="K1967" s="376">
        <v>5</v>
      </c>
      <c r="L1967" s="376">
        <v>3</v>
      </c>
      <c r="M1967" s="377">
        <f>SUM(H1967:H1969)</f>
        <v>20639</v>
      </c>
      <c r="N1967" s="411">
        <f>IFERROR((M1967/(VLOOKUP(B1967,'Data Pull Sheet'!$C:$H,6,FALSE))),"DC")</f>
        <v>2.8467586206896552E-5</v>
      </c>
      <c r="O1967" s="364" t="s">
        <v>554</v>
      </c>
      <c r="P1967" s="378" t="s">
        <v>632</v>
      </c>
      <c r="Q1967" s="378" t="s">
        <v>637</v>
      </c>
      <c r="R1967" s="372" t="str">
        <f t="shared" si="54"/>
        <v/>
      </c>
      <c r="S1967" s="106"/>
      <c r="T1967" s="107"/>
      <c r="U1967" s="108"/>
      <c r="V1967" s="108"/>
      <c r="W1967" s="108"/>
      <c r="X1967" s="108"/>
    </row>
    <row r="1968" spans="1:24" x14ac:dyDescent="0.25">
      <c r="A1968" s="23" t="s">
        <v>7329</v>
      </c>
      <c r="B1968" s="59" t="s">
        <v>10789</v>
      </c>
      <c r="C1968" s="59" t="s">
        <v>418</v>
      </c>
      <c r="D1968" s="356" t="s">
        <v>7330</v>
      </c>
      <c r="E1968" s="356" t="s">
        <v>7331</v>
      </c>
      <c r="F1968" s="23" t="s">
        <v>7333</v>
      </c>
      <c r="G1968" s="59" t="s">
        <v>403</v>
      </c>
      <c r="H1968" s="353">
        <v>9440</v>
      </c>
      <c r="I1968" s="59"/>
      <c r="J1968" s="59" t="s">
        <v>7933</v>
      </c>
      <c r="K1968" s="20"/>
      <c r="L1968" s="20"/>
      <c r="M1968" s="357"/>
      <c r="N1968" s="411"/>
      <c r="O1968" s="23" t="s">
        <v>554</v>
      </c>
      <c r="P1968" s="18" t="s">
        <v>632</v>
      </c>
      <c r="Q1968" s="18" t="s">
        <v>637</v>
      </c>
      <c r="R1968" s="372" t="str">
        <f t="shared" si="54"/>
        <v/>
      </c>
      <c r="S1968" s="106"/>
      <c r="T1968" s="107"/>
      <c r="U1968" s="108"/>
      <c r="V1968" s="108"/>
      <c r="W1968" s="108"/>
      <c r="X1968" s="108"/>
    </row>
    <row r="1969" spans="1:24" x14ac:dyDescent="0.25">
      <c r="A1969" s="23" t="s">
        <v>7329</v>
      </c>
      <c r="B1969" s="59" t="s">
        <v>10789</v>
      </c>
      <c r="C1969" s="59" t="s">
        <v>418</v>
      </c>
      <c r="D1969" s="356" t="s">
        <v>7330</v>
      </c>
      <c r="E1969" s="356" t="s">
        <v>7331</v>
      </c>
      <c r="F1969" s="23" t="s">
        <v>7334</v>
      </c>
      <c r="G1969" s="59" t="s">
        <v>403</v>
      </c>
      <c r="H1969" s="353">
        <v>6210</v>
      </c>
      <c r="I1969" s="59"/>
      <c r="J1969" s="59" t="s">
        <v>7932</v>
      </c>
      <c r="K1969" s="20"/>
      <c r="L1969" s="20"/>
      <c r="M1969" s="357"/>
      <c r="N1969" s="411"/>
      <c r="O1969" s="23" t="s">
        <v>554</v>
      </c>
      <c r="P1969" s="18" t="s">
        <v>632</v>
      </c>
      <c r="Q1969" s="18" t="s">
        <v>637</v>
      </c>
      <c r="R1969" s="372" t="str">
        <f t="shared" si="54"/>
        <v/>
      </c>
      <c r="S1969" s="106"/>
      <c r="T1969" s="107"/>
      <c r="U1969" s="108"/>
      <c r="V1969" s="108"/>
      <c r="W1969" s="108"/>
      <c r="X1969" s="108"/>
    </row>
    <row r="1970" spans="1:24" x14ac:dyDescent="0.25">
      <c r="A1970" s="23" t="s">
        <v>7329</v>
      </c>
      <c r="B1970" s="59" t="s">
        <v>10789</v>
      </c>
      <c r="C1970" s="59" t="s">
        <v>418</v>
      </c>
      <c r="D1970" s="356" t="s">
        <v>7330</v>
      </c>
      <c r="E1970" s="356" t="s">
        <v>7331</v>
      </c>
      <c r="F1970" s="23" t="s">
        <v>7335</v>
      </c>
      <c r="G1970" s="59" t="s">
        <v>403</v>
      </c>
      <c r="H1970" s="353">
        <v>233631.6</v>
      </c>
      <c r="I1970" s="59"/>
      <c r="J1970" s="59" t="s">
        <v>7930</v>
      </c>
      <c r="K1970" s="20"/>
      <c r="L1970" s="20">
        <v>1</v>
      </c>
      <c r="M1970" s="357">
        <f>H1970</f>
        <v>233631.6</v>
      </c>
      <c r="N1970" s="411">
        <f>IFERROR((M1970/(VLOOKUP(B1970,'Data Pull Sheet'!$C:$H,6,FALSE))),"DC")</f>
        <v>3.2225048275862068E-4</v>
      </c>
      <c r="O1970" s="23" t="s">
        <v>63</v>
      </c>
      <c r="P1970" s="18" t="s">
        <v>632</v>
      </c>
      <c r="Q1970" s="18" t="s">
        <v>637</v>
      </c>
      <c r="R1970" s="372" t="str">
        <f t="shared" si="54"/>
        <v/>
      </c>
      <c r="S1970" s="106"/>
      <c r="T1970" s="107"/>
      <c r="U1970" s="108"/>
      <c r="V1970" s="108"/>
      <c r="W1970" s="108"/>
      <c r="X1970" s="108"/>
    </row>
    <row r="1971" spans="1:24" x14ac:dyDescent="0.25">
      <c r="A1971" s="23" t="s">
        <v>7329</v>
      </c>
      <c r="B1971" s="59" t="s">
        <v>10789</v>
      </c>
      <c r="C1971" s="59" t="s">
        <v>418</v>
      </c>
      <c r="D1971" s="356" t="s">
        <v>7330</v>
      </c>
      <c r="E1971" s="356" t="s">
        <v>7331</v>
      </c>
      <c r="F1971" s="23" t="s">
        <v>7336</v>
      </c>
      <c r="G1971" s="59" t="s">
        <v>417</v>
      </c>
      <c r="H1971" s="353">
        <v>283211.59999999998</v>
      </c>
      <c r="I1971" s="59" t="s">
        <v>406</v>
      </c>
      <c r="J1971" s="59" t="s">
        <v>7909</v>
      </c>
      <c r="K1971" s="20"/>
      <c r="L1971" s="20">
        <v>1</v>
      </c>
      <c r="M1971" s="357">
        <f>H1971</f>
        <v>283211.59999999998</v>
      </c>
      <c r="N1971" s="411">
        <f>IFERROR((M1971/(VLOOKUP(B1971,'Data Pull Sheet'!$C:$H,6,FALSE))),"DC")</f>
        <v>3.9063668965517236E-4</v>
      </c>
      <c r="O1971" s="23" t="s">
        <v>56</v>
      </c>
      <c r="P1971" s="18" t="s">
        <v>632</v>
      </c>
      <c r="Q1971" s="18" t="s">
        <v>633</v>
      </c>
      <c r="R1971" s="372" t="str">
        <f t="shared" si="54"/>
        <v/>
      </c>
      <c r="S1971" s="106"/>
      <c r="T1971" s="107"/>
      <c r="U1971" s="108"/>
      <c r="V1971" s="108"/>
      <c r="W1971" s="108"/>
      <c r="X1971" s="108"/>
    </row>
    <row r="1972" spans="1:24" ht="30" x14ac:dyDescent="0.25">
      <c r="A1972" s="23" t="s">
        <v>7329</v>
      </c>
      <c r="B1972" s="59" t="s">
        <v>10789</v>
      </c>
      <c r="C1972" s="59" t="s">
        <v>418</v>
      </c>
      <c r="D1972" s="356" t="s">
        <v>7330</v>
      </c>
      <c r="E1972" s="356" t="s">
        <v>7331</v>
      </c>
      <c r="F1972" s="23" t="s">
        <v>3764</v>
      </c>
      <c r="G1972" s="59" t="s">
        <v>417</v>
      </c>
      <c r="H1972" s="353">
        <v>254025.37</v>
      </c>
      <c r="I1972" s="59"/>
      <c r="J1972" s="59" t="s">
        <v>7911</v>
      </c>
      <c r="K1972" s="20"/>
      <c r="L1972" s="20">
        <v>1</v>
      </c>
      <c r="M1972" s="357">
        <f>H1972</f>
        <v>254025.37</v>
      </c>
      <c r="N1972" s="411">
        <f>IFERROR((M1972/(VLOOKUP(B1972,'Data Pull Sheet'!$C:$H,6,FALSE))),"DC")</f>
        <v>3.5037982068965518E-4</v>
      </c>
      <c r="O1972" s="23" t="s">
        <v>7</v>
      </c>
      <c r="P1972" s="18" t="s">
        <v>632</v>
      </c>
      <c r="Q1972" s="18" t="s">
        <v>633</v>
      </c>
      <c r="R1972" s="372" t="str">
        <f t="shared" si="54"/>
        <v>FF</v>
      </c>
      <c r="S1972" s="106"/>
      <c r="T1972" s="107"/>
      <c r="U1972" s="108"/>
      <c r="V1972" s="108"/>
      <c r="W1972" s="108"/>
      <c r="X1972" s="108"/>
    </row>
    <row r="1973" spans="1:24" x14ac:dyDescent="0.25">
      <c r="A1973" s="23" t="s">
        <v>7329</v>
      </c>
      <c r="B1973" s="59" t="s">
        <v>10789</v>
      </c>
      <c r="C1973" s="59" t="s">
        <v>418</v>
      </c>
      <c r="D1973" s="356" t="s">
        <v>7330</v>
      </c>
      <c r="E1973" s="356" t="s">
        <v>7331</v>
      </c>
      <c r="F1973" s="23" t="s">
        <v>7338</v>
      </c>
      <c r="G1973" s="59" t="s">
        <v>403</v>
      </c>
      <c r="H1973" s="353">
        <v>16811.41</v>
      </c>
      <c r="I1973" s="59" t="s">
        <v>406</v>
      </c>
      <c r="J1973" s="59" t="s">
        <v>7935</v>
      </c>
      <c r="K1973" s="20"/>
      <c r="L1973" s="20">
        <v>2</v>
      </c>
      <c r="M1973" s="357">
        <f>SUM(H1973:H1974)</f>
        <v>198298.06</v>
      </c>
      <c r="N1973" s="411">
        <f>IFERROR((M1973/(VLOOKUP(B1973,'Data Pull Sheet'!$C:$H,6,FALSE))),"DC")</f>
        <v>2.7351456551724136E-4</v>
      </c>
      <c r="O1973" s="23" t="s">
        <v>8986</v>
      </c>
      <c r="P1973" s="18" t="s">
        <v>632</v>
      </c>
      <c r="Q1973" s="18" t="s">
        <v>637</v>
      </c>
      <c r="R1973" s="372" t="str">
        <f t="shared" si="54"/>
        <v/>
      </c>
      <c r="S1973" s="106"/>
      <c r="T1973" s="107"/>
      <c r="U1973" s="108"/>
      <c r="V1973" s="108"/>
      <c r="W1973" s="108"/>
      <c r="X1973" s="108"/>
    </row>
    <row r="1974" spans="1:24" x14ac:dyDescent="0.25">
      <c r="A1974" s="23" t="s">
        <v>7329</v>
      </c>
      <c r="B1974" s="59" t="s">
        <v>10789</v>
      </c>
      <c r="C1974" s="59" t="s">
        <v>418</v>
      </c>
      <c r="D1974" s="356" t="s">
        <v>7330</v>
      </c>
      <c r="E1974" s="356" t="s">
        <v>7331</v>
      </c>
      <c r="F1974" s="23" t="s">
        <v>7339</v>
      </c>
      <c r="G1974" s="59" t="s">
        <v>403</v>
      </c>
      <c r="H1974" s="353">
        <v>181486.65</v>
      </c>
      <c r="I1974" s="59" t="s">
        <v>406</v>
      </c>
      <c r="J1974" s="59" t="s">
        <v>7936</v>
      </c>
      <c r="K1974" s="20"/>
      <c r="L1974" s="20"/>
      <c r="M1974" s="357"/>
      <c r="N1974" s="411"/>
      <c r="O1974" s="23" t="s">
        <v>8986</v>
      </c>
      <c r="P1974" s="18" t="s">
        <v>632</v>
      </c>
      <c r="Q1974" s="18" t="s">
        <v>637</v>
      </c>
      <c r="R1974" s="372" t="str">
        <f t="shared" si="54"/>
        <v/>
      </c>
      <c r="S1974" s="106"/>
      <c r="T1974" s="107"/>
      <c r="U1974" s="108"/>
      <c r="V1974" s="108"/>
      <c r="W1974" s="108"/>
      <c r="X1974" s="108"/>
    </row>
    <row r="1975" spans="1:24" x14ac:dyDescent="0.25">
      <c r="A1975" s="23" t="s">
        <v>7090</v>
      </c>
      <c r="B1975" s="59" t="s">
        <v>7519</v>
      </c>
      <c r="C1975" s="59" t="s">
        <v>7091</v>
      </c>
      <c r="D1975" s="356" t="s">
        <v>7325</v>
      </c>
      <c r="E1975" s="356" t="s">
        <v>7326</v>
      </c>
      <c r="F1975" s="23" t="s">
        <v>7327</v>
      </c>
      <c r="G1975" s="59" t="s">
        <v>417</v>
      </c>
      <c r="H1975" s="353">
        <v>7143.05</v>
      </c>
      <c r="I1975" s="59"/>
      <c r="J1975" s="59" t="s">
        <v>7929</v>
      </c>
      <c r="K1975" s="20">
        <v>1</v>
      </c>
      <c r="L1975" s="20">
        <v>1</v>
      </c>
      <c r="M1975" s="357">
        <f>H1975</f>
        <v>7143.05</v>
      </c>
      <c r="N1975" s="411">
        <f>IFERROR((M1975/(VLOOKUP(B1975,'Data Pull Sheet'!$C:$H,6,FALSE))),"DC")</f>
        <v>1.42861E-5</v>
      </c>
      <c r="O1975" s="23" t="s">
        <v>7328</v>
      </c>
      <c r="P1975" s="18" t="s">
        <v>676</v>
      </c>
      <c r="Q1975" s="18" t="s">
        <v>633</v>
      </c>
      <c r="R1975" s="372" t="str">
        <f t="shared" si="54"/>
        <v/>
      </c>
      <c r="S1975" s="106"/>
      <c r="T1975" s="107"/>
      <c r="U1975" s="108"/>
      <c r="V1975" s="108"/>
      <c r="W1975" s="108"/>
      <c r="X1975" s="108"/>
    </row>
    <row r="1976" spans="1:24" x14ac:dyDescent="0.25">
      <c r="A1976" s="23" t="s">
        <v>7320</v>
      </c>
      <c r="B1976" s="59" t="s">
        <v>6731</v>
      </c>
      <c r="C1976" s="59" t="s">
        <v>1632</v>
      </c>
      <c r="D1976" s="356" t="s">
        <v>7311</v>
      </c>
      <c r="E1976" s="356" t="s">
        <v>7312</v>
      </c>
      <c r="F1976" s="23" t="s">
        <v>7321</v>
      </c>
      <c r="G1976" s="59" t="s">
        <v>403</v>
      </c>
      <c r="H1976" s="353">
        <v>420547</v>
      </c>
      <c r="I1976" s="59" t="s">
        <v>442</v>
      </c>
      <c r="J1976" s="59" t="s">
        <v>7923</v>
      </c>
      <c r="K1976" s="20">
        <v>1</v>
      </c>
      <c r="L1976" s="20">
        <v>4</v>
      </c>
      <c r="M1976" s="357">
        <f>SUM(H1976:H1979)</f>
        <v>1269232</v>
      </c>
      <c r="N1976" s="411">
        <f>IFERROR((M1976/(VLOOKUP(B1976,'Data Pull Sheet'!$C:$H,6,FALSE))),"DC")</f>
        <v>2.5384639999999998E-3</v>
      </c>
      <c r="O1976" s="23" t="s">
        <v>554</v>
      </c>
      <c r="P1976" s="18" t="s">
        <v>632</v>
      </c>
      <c r="Q1976" s="18" t="s">
        <v>637</v>
      </c>
      <c r="R1976" s="372" t="str">
        <f t="shared" si="54"/>
        <v/>
      </c>
      <c r="S1976" s="106"/>
      <c r="T1976" s="107"/>
      <c r="U1976" s="108"/>
      <c r="V1976" s="108"/>
      <c r="W1976" s="108"/>
      <c r="X1976" s="108"/>
    </row>
    <row r="1977" spans="1:24" x14ac:dyDescent="0.25">
      <c r="A1977" s="23" t="s">
        <v>7320</v>
      </c>
      <c r="B1977" s="59" t="s">
        <v>6731</v>
      </c>
      <c r="C1977" s="59" t="s">
        <v>1632</v>
      </c>
      <c r="D1977" s="356" t="s">
        <v>7311</v>
      </c>
      <c r="E1977" s="356" t="s">
        <v>7312</v>
      </c>
      <c r="F1977" s="23" t="s">
        <v>7322</v>
      </c>
      <c r="G1977" s="59" t="s">
        <v>403</v>
      </c>
      <c r="H1977" s="353">
        <v>165634</v>
      </c>
      <c r="I1977" s="59" t="s">
        <v>442</v>
      </c>
      <c r="J1977" s="59" t="s">
        <v>7926</v>
      </c>
      <c r="K1977" s="20"/>
      <c r="L1977" s="20"/>
      <c r="M1977" s="357"/>
      <c r="N1977" s="411"/>
      <c r="O1977" s="23" t="s">
        <v>554</v>
      </c>
      <c r="P1977" s="18" t="s">
        <v>632</v>
      </c>
      <c r="Q1977" s="18" t="s">
        <v>637</v>
      </c>
      <c r="R1977" s="372" t="str">
        <f t="shared" si="54"/>
        <v/>
      </c>
      <c r="S1977" s="106"/>
      <c r="T1977" s="107"/>
      <c r="U1977" s="108"/>
      <c r="V1977" s="108"/>
      <c r="W1977" s="108"/>
      <c r="X1977" s="108"/>
    </row>
    <row r="1978" spans="1:24" x14ac:dyDescent="0.25">
      <c r="A1978" s="23" t="s">
        <v>7320</v>
      </c>
      <c r="B1978" s="59" t="s">
        <v>6731</v>
      </c>
      <c r="C1978" s="59" t="s">
        <v>1632</v>
      </c>
      <c r="D1978" s="356" t="s">
        <v>7311</v>
      </c>
      <c r="E1978" s="356" t="s">
        <v>7312</v>
      </c>
      <c r="F1978" s="23" t="s">
        <v>7323</v>
      </c>
      <c r="G1978" s="59" t="s">
        <v>417</v>
      </c>
      <c r="H1978" s="353">
        <v>357187</v>
      </c>
      <c r="I1978" s="59" t="s">
        <v>413</v>
      </c>
      <c r="J1978" s="59" t="s">
        <v>7927</v>
      </c>
      <c r="K1978" s="20"/>
      <c r="L1978" s="20"/>
      <c r="M1978" s="357"/>
      <c r="N1978" s="411"/>
      <c r="O1978" s="23" t="s">
        <v>554</v>
      </c>
      <c r="P1978" s="18" t="s">
        <v>632</v>
      </c>
      <c r="Q1978" s="18" t="s">
        <v>633</v>
      </c>
      <c r="R1978" s="372" t="str">
        <f t="shared" si="54"/>
        <v/>
      </c>
      <c r="S1978" s="106"/>
      <c r="T1978" s="107"/>
      <c r="U1978" s="108"/>
      <c r="V1978" s="108"/>
      <c r="W1978" s="108"/>
      <c r="X1978" s="108"/>
    </row>
    <row r="1979" spans="1:24" x14ac:dyDescent="0.25">
      <c r="A1979" s="23" t="s">
        <v>7320</v>
      </c>
      <c r="B1979" s="59" t="s">
        <v>6731</v>
      </c>
      <c r="C1979" s="59" t="s">
        <v>1632</v>
      </c>
      <c r="D1979" s="356" t="s">
        <v>7311</v>
      </c>
      <c r="E1979" s="356" t="s">
        <v>7312</v>
      </c>
      <c r="F1979" s="23" t="s">
        <v>7324</v>
      </c>
      <c r="G1979" s="59" t="s">
        <v>403</v>
      </c>
      <c r="H1979" s="353">
        <v>325864</v>
      </c>
      <c r="I1979" s="59" t="s">
        <v>413</v>
      </c>
      <c r="J1979" s="59" t="s">
        <v>7928</v>
      </c>
      <c r="K1979" s="20"/>
      <c r="L1979" s="20"/>
      <c r="M1979" s="357"/>
      <c r="N1979" s="411"/>
      <c r="O1979" s="23" t="s">
        <v>554</v>
      </c>
      <c r="P1979" s="18" t="s">
        <v>632</v>
      </c>
      <c r="Q1979" s="18" t="s">
        <v>637</v>
      </c>
      <c r="R1979" s="372" t="str">
        <f t="shared" si="54"/>
        <v/>
      </c>
      <c r="S1979" s="106"/>
      <c r="T1979" s="107"/>
      <c r="U1979" s="108"/>
      <c r="V1979" s="108"/>
      <c r="W1979" s="108"/>
      <c r="X1979" s="108"/>
    </row>
    <row r="1980" spans="1:24" ht="30" x14ac:dyDescent="0.25">
      <c r="A1980" s="23" t="s">
        <v>2654</v>
      </c>
      <c r="B1980" s="59" t="s">
        <v>10620</v>
      </c>
      <c r="C1980" s="59" t="s">
        <v>446</v>
      </c>
      <c r="D1980" s="356" t="s">
        <v>7311</v>
      </c>
      <c r="E1980" s="356" t="s">
        <v>7312</v>
      </c>
      <c r="F1980" s="23" t="s">
        <v>7318</v>
      </c>
      <c r="G1980" s="59" t="s">
        <v>417</v>
      </c>
      <c r="H1980" s="353">
        <v>338601.83</v>
      </c>
      <c r="I1980" s="59" t="s">
        <v>406</v>
      </c>
      <c r="J1980" s="59" t="s">
        <v>10623</v>
      </c>
      <c r="K1980" s="20">
        <v>1</v>
      </c>
      <c r="L1980" s="20">
        <v>1</v>
      </c>
      <c r="M1980" s="357">
        <f>H1980</f>
        <v>338601.83</v>
      </c>
      <c r="N1980" s="411">
        <f>IFERROR((M1980/(VLOOKUP(B1980,'Data Pull Sheet'!$C:$H,6,FALSE))),"DC")</f>
        <v>6.1563969090909091E-3</v>
      </c>
      <c r="O1980" s="23" t="s">
        <v>7319</v>
      </c>
      <c r="P1980" s="18" t="s">
        <v>676</v>
      </c>
      <c r="Q1980" s="18" t="s">
        <v>633</v>
      </c>
      <c r="R1980" s="372" t="str">
        <f t="shared" si="54"/>
        <v/>
      </c>
      <c r="S1980" s="106"/>
      <c r="T1980" s="107"/>
      <c r="U1980" s="108"/>
      <c r="V1980" s="108"/>
      <c r="W1980" s="108"/>
      <c r="X1980" s="108"/>
    </row>
    <row r="1981" spans="1:24" x14ac:dyDescent="0.25">
      <c r="A1981" s="23" t="s">
        <v>7310</v>
      </c>
      <c r="B1981" s="59" t="s">
        <v>7605</v>
      </c>
      <c r="C1981" s="59" t="s">
        <v>418</v>
      </c>
      <c r="D1981" s="356" t="s">
        <v>7311</v>
      </c>
      <c r="E1981" s="356" t="s">
        <v>7312</v>
      </c>
      <c r="F1981" s="23" t="s">
        <v>7313</v>
      </c>
      <c r="G1981" s="59" t="s">
        <v>403</v>
      </c>
      <c r="H1981" s="353">
        <v>15880</v>
      </c>
      <c r="I1981" s="59"/>
      <c r="J1981" s="59" t="s">
        <v>7916</v>
      </c>
      <c r="K1981" s="20">
        <v>3</v>
      </c>
      <c r="L1981" s="20">
        <v>1</v>
      </c>
      <c r="M1981" s="357">
        <f>H1981</f>
        <v>15880</v>
      </c>
      <c r="N1981" s="411">
        <f>IFERROR((M1981/(VLOOKUP(B1981,'Data Pull Sheet'!$C:$H,6,FALSE))),"DC")</f>
        <v>1.5568627450980393E-4</v>
      </c>
      <c r="O1981" s="23" t="s">
        <v>682</v>
      </c>
      <c r="P1981" s="18" t="s">
        <v>632</v>
      </c>
      <c r="Q1981" s="18" t="s">
        <v>637</v>
      </c>
      <c r="R1981" s="372" t="str">
        <f t="shared" si="54"/>
        <v/>
      </c>
      <c r="S1981" s="106"/>
      <c r="T1981" s="107"/>
      <c r="U1981" s="108"/>
      <c r="V1981" s="108"/>
      <c r="W1981" s="108"/>
      <c r="X1981" s="108"/>
    </row>
    <row r="1982" spans="1:24" x14ac:dyDescent="0.25">
      <c r="A1982" s="23" t="s">
        <v>7310</v>
      </c>
      <c r="B1982" s="59" t="s">
        <v>7605</v>
      </c>
      <c r="C1982" s="59" t="s">
        <v>418</v>
      </c>
      <c r="D1982" s="356" t="s">
        <v>7311</v>
      </c>
      <c r="E1982" s="356" t="s">
        <v>7312</v>
      </c>
      <c r="F1982" s="23" t="s">
        <v>7314</v>
      </c>
      <c r="G1982" s="59" t="s">
        <v>403</v>
      </c>
      <c r="H1982" s="353">
        <v>570118.73</v>
      </c>
      <c r="I1982" s="59"/>
      <c r="J1982" s="59" t="s">
        <v>7917</v>
      </c>
      <c r="K1982" s="20"/>
      <c r="L1982" s="20"/>
      <c r="M1982" s="357">
        <f>H1982</f>
        <v>570118.73</v>
      </c>
      <c r="N1982" s="411">
        <f>IFERROR((M1982/(VLOOKUP(B1982,'Data Pull Sheet'!$C:$H,6,FALSE))),"DC")</f>
        <v>5.5893993137254901E-3</v>
      </c>
      <c r="O1982" s="23" t="s">
        <v>597</v>
      </c>
      <c r="P1982" s="18" t="s">
        <v>632</v>
      </c>
      <c r="Q1982" s="18" t="s">
        <v>637</v>
      </c>
      <c r="R1982" s="372" t="str">
        <f t="shared" si="54"/>
        <v/>
      </c>
      <c r="S1982" s="106"/>
      <c r="T1982" s="107"/>
      <c r="U1982" s="108"/>
      <c r="V1982" s="108"/>
      <c r="W1982" s="108"/>
      <c r="X1982" s="108"/>
    </row>
    <row r="1983" spans="1:24" x14ac:dyDescent="0.25">
      <c r="A1983" s="23" t="s">
        <v>7310</v>
      </c>
      <c r="B1983" s="59" t="s">
        <v>7605</v>
      </c>
      <c r="C1983" s="59" t="s">
        <v>418</v>
      </c>
      <c r="D1983" s="356" t="s">
        <v>7311</v>
      </c>
      <c r="E1983" s="356" t="s">
        <v>7312</v>
      </c>
      <c r="F1983" s="23" t="s">
        <v>7315</v>
      </c>
      <c r="G1983" s="59" t="s">
        <v>403</v>
      </c>
      <c r="H1983" s="353">
        <v>50360</v>
      </c>
      <c r="I1983" s="59"/>
      <c r="J1983" s="59" t="s">
        <v>7918</v>
      </c>
      <c r="K1983" s="20"/>
      <c r="L1983" s="20"/>
      <c r="M1983" s="357">
        <f>SUM(H1983:H1985)</f>
        <v>150476</v>
      </c>
      <c r="N1983" s="411">
        <f>IFERROR((M1983/(VLOOKUP(B1983,'Data Pull Sheet'!$C:$H,6,FALSE))),"DC")</f>
        <v>1.4752549019607843E-3</v>
      </c>
      <c r="O1983" s="23" t="s">
        <v>79</v>
      </c>
      <c r="P1983" s="18" t="s">
        <v>632</v>
      </c>
      <c r="Q1983" s="18" t="s">
        <v>662</v>
      </c>
      <c r="R1983" s="372" t="str">
        <f t="shared" si="54"/>
        <v/>
      </c>
      <c r="S1983" s="106"/>
      <c r="T1983" s="107"/>
      <c r="U1983" s="108"/>
      <c r="V1983" s="108"/>
      <c r="W1983" s="108"/>
      <c r="X1983" s="108"/>
    </row>
    <row r="1984" spans="1:24" x14ac:dyDescent="0.25">
      <c r="A1984" s="23" t="s">
        <v>7310</v>
      </c>
      <c r="B1984" s="59" t="s">
        <v>7605</v>
      </c>
      <c r="C1984" s="59" t="s">
        <v>418</v>
      </c>
      <c r="D1984" s="356" t="s">
        <v>7311</v>
      </c>
      <c r="E1984" s="356" t="s">
        <v>7312</v>
      </c>
      <c r="F1984" s="23" t="s">
        <v>7316</v>
      </c>
      <c r="G1984" s="59" t="s">
        <v>417</v>
      </c>
      <c r="H1984" s="353">
        <v>79706</v>
      </c>
      <c r="I1984" s="59"/>
      <c r="J1984" s="59" t="s">
        <v>7919</v>
      </c>
      <c r="K1984" s="20"/>
      <c r="L1984" s="20"/>
      <c r="M1984" s="357"/>
      <c r="N1984" s="411"/>
      <c r="O1984" s="23" t="s">
        <v>79</v>
      </c>
      <c r="P1984" s="18" t="s">
        <v>632</v>
      </c>
      <c r="Q1984" s="18" t="s">
        <v>662</v>
      </c>
      <c r="R1984" s="372" t="str">
        <f t="shared" si="54"/>
        <v/>
      </c>
      <c r="S1984" s="106"/>
      <c r="T1984" s="107"/>
      <c r="U1984" s="108"/>
      <c r="V1984" s="108"/>
      <c r="W1984" s="108"/>
      <c r="X1984" s="108"/>
    </row>
    <row r="1985" spans="1:24" x14ac:dyDescent="0.25">
      <c r="A1985" s="23" t="s">
        <v>7310</v>
      </c>
      <c r="B1985" s="59" t="s">
        <v>7605</v>
      </c>
      <c r="C1985" s="59" t="s">
        <v>418</v>
      </c>
      <c r="D1985" s="356" t="s">
        <v>7311</v>
      </c>
      <c r="E1985" s="356" t="s">
        <v>7312</v>
      </c>
      <c r="F1985" s="23" t="s">
        <v>7317</v>
      </c>
      <c r="G1985" s="59" t="s">
        <v>403</v>
      </c>
      <c r="H1985" s="353">
        <v>20410</v>
      </c>
      <c r="I1985" s="59"/>
      <c r="J1985" s="59" t="s">
        <v>7920</v>
      </c>
      <c r="K1985" s="20"/>
      <c r="L1985" s="20"/>
      <c r="M1985" s="357"/>
      <c r="N1985" s="411"/>
      <c r="O1985" s="23" t="s">
        <v>79</v>
      </c>
      <c r="P1985" s="18" t="s">
        <v>632</v>
      </c>
      <c r="Q1985" s="18" t="s">
        <v>662</v>
      </c>
      <c r="R1985" s="372" t="str">
        <f t="shared" si="54"/>
        <v/>
      </c>
      <c r="S1985" s="106"/>
      <c r="T1985" s="107"/>
      <c r="U1985" s="108"/>
      <c r="V1985" s="108"/>
      <c r="W1985" s="108"/>
      <c r="X1985" s="108"/>
    </row>
    <row r="1986" spans="1:24" x14ac:dyDescent="0.25">
      <c r="A1986" s="23" t="s">
        <v>8839</v>
      </c>
      <c r="B1986" s="18" t="str">
        <f>VLOOKUP(A1986, 'Data Pull Sheet'!$B$2:$C$552,2,FALSE)</f>
        <v>GNCA</v>
      </c>
      <c r="C1986" s="59" t="s">
        <v>409</v>
      </c>
      <c r="D1986" s="356" t="s">
        <v>9144</v>
      </c>
      <c r="E1986" s="356" t="s">
        <v>9128</v>
      </c>
      <c r="F1986" s="23" t="s">
        <v>9707</v>
      </c>
      <c r="G1986" s="92" t="s">
        <v>403</v>
      </c>
      <c r="H1986" s="353">
        <v>405998.38</v>
      </c>
      <c r="I1986" s="59" t="s">
        <v>406</v>
      </c>
      <c r="J1986" s="18" t="s">
        <v>9851</v>
      </c>
      <c r="K1986" s="20">
        <v>3</v>
      </c>
      <c r="L1986" s="20">
        <v>1</v>
      </c>
      <c r="M1986" s="357">
        <f>+H1986</f>
        <v>405998.38</v>
      </c>
      <c r="N1986" s="411">
        <f>IFERROR((M1986/(VLOOKUP(B1986,'Data Pull Sheet'!$C:$H,6,FALSE))),"DC")</f>
        <v>1.01499595E-2</v>
      </c>
      <c r="O1986" s="23" t="s">
        <v>9822</v>
      </c>
      <c r="P1986" s="92" t="s">
        <v>632</v>
      </c>
      <c r="Q1986" s="92" t="s">
        <v>637</v>
      </c>
      <c r="R1986" s="372" t="str">
        <f t="shared" ref="R1986:R2049" si="55">IF(COUNTIF(F:F,F1986)&gt;=2,"FF","")</f>
        <v/>
      </c>
    </row>
    <row r="1987" spans="1:24" ht="30" x14ac:dyDescent="0.25">
      <c r="A1987" s="23" t="s">
        <v>8839</v>
      </c>
      <c r="B1987" s="18" t="str">
        <f>VLOOKUP(A1987, 'Data Pull Sheet'!$B$2:$C$552,2,FALSE)</f>
        <v>GNCA</v>
      </c>
      <c r="C1987" s="59" t="s">
        <v>409</v>
      </c>
      <c r="D1987" s="356" t="s">
        <v>9144</v>
      </c>
      <c r="E1987" s="356" t="s">
        <v>9128</v>
      </c>
      <c r="F1987" s="23" t="s">
        <v>9708</v>
      </c>
      <c r="G1987" s="92" t="s">
        <v>403</v>
      </c>
      <c r="H1987" s="353">
        <v>13860</v>
      </c>
      <c r="I1987" s="59"/>
      <c r="J1987" s="18" t="s">
        <v>9852</v>
      </c>
      <c r="K1987" s="20"/>
      <c r="L1987" s="20">
        <v>2</v>
      </c>
      <c r="M1987" s="357">
        <f>SUM(H1987:H1988)</f>
        <v>40169</v>
      </c>
      <c r="N1987" s="411">
        <f>IFERROR((M1987/(VLOOKUP(B1987,'Data Pull Sheet'!$C:$H,6,FALSE))),"DC")</f>
        <v>1.0042250000000001E-3</v>
      </c>
      <c r="O1987" s="23" t="s">
        <v>9849</v>
      </c>
      <c r="P1987" s="92" t="s">
        <v>632</v>
      </c>
      <c r="Q1987" s="92" t="s">
        <v>646</v>
      </c>
      <c r="R1987" s="372" t="str">
        <f t="shared" si="55"/>
        <v/>
      </c>
    </row>
    <row r="1988" spans="1:24" ht="30" x14ac:dyDescent="0.25">
      <c r="A1988" s="23" t="s">
        <v>8839</v>
      </c>
      <c r="B1988" s="18" t="str">
        <f>VLOOKUP(A1988, 'Data Pull Sheet'!$B$2:$C$552,2,FALSE)</f>
        <v>GNCA</v>
      </c>
      <c r="C1988" s="59" t="s">
        <v>409</v>
      </c>
      <c r="D1988" s="356" t="s">
        <v>9144</v>
      </c>
      <c r="E1988" s="356" t="s">
        <v>9128</v>
      </c>
      <c r="F1988" s="23" t="s">
        <v>9709</v>
      </c>
      <c r="G1988" s="92" t="s">
        <v>403</v>
      </c>
      <c r="H1988" s="353">
        <v>26309</v>
      </c>
      <c r="I1988" s="59"/>
      <c r="J1988" s="18" t="s">
        <v>9853</v>
      </c>
      <c r="K1988" s="20"/>
      <c r="L1988" s="20"/>
      <c r="M1988" s="357"/>
      <c r="N1988" s="411"/>
      <c r="O1988" s="23" t="s">
        <v>9849</v>
      </c>
      <c r="P1988" s="92" t="s">
        <v>632</v>
      </c>
      <c r="Q1988" s="92" t="s">
        <v>646</v>
      </c>
      <c r="R1988" s="372" t="str">
        <f t="shared" si="55"/>
        <v/>
      </c>
    </row>
    <row r="1989" spans="1:24" ht="30" x14ac:dyDescent="0.25">
      <c r="A1989" s="23" t="s">
        <v>8839</v>
      </c>
      <c r="B1989" s="18" t="str">
        <f>VLOOKUP(A1989, 'Data Pull Sheet'!$B$2:$C$552,2,FALSE)</f>
        <v>GNCA</v>
      </c>
      <c r="C1989" s="59" t="s">
        <v>409</v>
      </c>
      <c r="D1989" s="356" t="s">
        <v>9144</v>
      </c>
      <c r="E1989" s="356" t="s">
        <v>9128</v>
      </c>
      <c r="F1989" s="23" t="s">
        <v>9710</v>
      </c>
      <c r="G1989" s="92" t="s">
        <v>403</v>
      </c>
      <c r="H1989" s="353">
        <v>96294.33</v>
      </c>
      <c r="I1989" s="59"/>
      <c r="J1989" s="18" t="s">
        <v>9854</v>
      </c>
      <c r="K1989" s="20"/>
      <c r="L1989" s="20">
        <v>5</v>
      </c>
      <c r="M1989" s="357">
        <f>SUM(H1989:H1993)</f>
        <v>588502.48</v>
      </c>
      <c r="N1989" s="411">
        <f>IFERROR((M1989/(VLOOKUP(B1989,'Data Pull Sheet'!$C:$H,6,FALSE))),"DC")</f>
        <v>1.4712562E-2</v>
      </c>
      <c r="O1989" s="23" t="s">
        <v>10849</v>
      </c>
      <c r="P1989" s="92" t="s">
        <v>632</v>
      </c>
      <c r="Q1989" s="92" t="s">
        <v>646</v>
      </c>
      <c r="R1989" s="372" t="str">
        <f t="shared" si="55"/>
        <v/>
      </c>
    </row>
    <row r="1990" spans="1:24" ht="30" x14ac:dyDescent="0.25">
      <c r="A1990" s="23" t="s">
        <v>8839</v>
      </c>
      <c r="B1990" s="18" t="str">
        <f>VLOOKUP(A1990, 'Data Pull Sheet'!$B$2:$C$552,2,FALSE)</f>
        <v>GNCA</v>
      </c>
      <c r="C1990" s="59" t="s">
        <v>409</v>
      </c>
      <c r="D1990" s="356" t="s">
        <v>9144</v>
      </c>
      <c r="E1990" s="356" t="s">
        <v>9128</v>
      </c>
      <c r="F1990" s="23" t="s">
        <v>9711</v>
      </c>
      <c r="G1990" s="92" t="s">
        <v>403</v>
      </c>
      <c r="H1990" s="353">
        <v>233812.23</v>
      </c>
      <c r="I1990" s="59"/>
      <c r="J1990" s="18" t="s">
        <v>9855</v>
      </c>
      <c r="K1990" s="20"/>
      <c r="L1990" s="20"/>
      <c r="M1990" s="357"/>
      <c r="N1990" s="411"/>
      <c r="O1990" s="23" t="s">
        <v>10849</v>
      </c>
      <c r="P1990" s="92" t="s">
        <v>632</v>
      </c>
      <c r="Q1990" s="92" t="s">
        <v>646</v>
      </c>
      <c r="R1990" s="372" t="str">
        <f t="shared" si="55"/>
        <v/>
      </c>
    </row>
    <row r="1991" spans="1:24" ht="30" x14ac:dyDescent="0.25">
      <c r="A1991" s="23" t="s">
        <v>8839</v>
      </c>
      <c r="B1991" s="18" t="str">
        <f>VLOOKUP(A1991, 'Data Pull Sheet'!$B$2:$C$552,2,FALSE)</f>
        <v>GNCA</v>
      </c>
      <c r="C1991" s="59" t="s">
        <v>409</v>
      </c>
      <c r="D1991" s="356" t="s">
        <v>9144</v>
      </c>
      <c r="E1991" s="356" t="s">
        <v>9128</v>
      </c>
      <c r="F1991" s="23" t="s">
        <v>9712</v>
      </c>
      <c r="G1991" s="92" t="s">
        <v>403</v>
      </c>
      <c r="H1991" s="353">
        <v>114950.71</v>
      </c>
      <c r="I1991" s="59"/>
      <c r="J1991" s="18" t="s">
        <v>9856</v>
      </c>
      <c r="K1991" s="20"/>
      <c r="L1991" s="20"/>
      <c r="M1991" s="357"/>
      <c r="N1991" s="411"/>
      <c r="O1991" s="23" t="s">
        <v>10849</v>
      </c>
      <c r="P1991" s="92" t="s">
        <v>632</v>
      </c>
      <c r="Q1991" s="92" t="s">
        <v>646</v>
      </c>
      <c r="R1991" s="372" t="str">
        <f t="shared" si="55"/>
        <v/>
      </c>
    </row>
    <row r="1992" spans="1:24" ht="30" x14ac:dyDescent="0.25">
      <c r="A1992" s="23" t="s">
        <v>8839</v>
      </c>
      <c r="B1992" s="18" t="str">
        <f>VLOOKUP(A1992, 'Data Pull Sheet'!$B$2:$C$552,2,FALSE)</f>
        <v>GNCA</v>
      </c>
      <c r="C1992" s="59" t="s">
        <v>409</v>
      </c>
      <c r="D1992" s="356" t="s">
        <v>9144</v>
      </c>
      <c r="E1992" s="356" t="s">
        <v>9128</v>
      </c>
      <c r="F1992" s="23" t="s">
        <v>9713</v>
      </c>
      <c r="G1992" s="92" t="s">
        <v>403</v>
      </c>
      <c r="H1992" s="353">
        <v>66542.2</v>
      </c>
      <c r="I1992" s="59"/>
      <c r="J1992" s="18" t="s">
        <v>9857</v>
      </c>
      <c r="K1992" s="20"/>
      <c r="L1992" s="20"/>
      <c r="M1992" s="357"/>
      <c r="N1992" s="411"/>
      <c r="O1992" s="23" t="s">
        <v>10849</v>
      </c>
      <c r="P1992" s="92" t="s">
        <v>632</v>
      </c>
      <c r="Q1992" s="92" t="s">
        <v>646</v>
      </c>
      <c r="R1992" s="372" t="str">
        <f t="shared" si="55"/>
        <v/>
      </c>
    </row>
    <row r="1993" spans="1:24" ht="30" x14ac:dyDescent="0.25">
      <c r="A1993" s="23" t="s">
        <v>8839</v>
      </c>
      <c r="B1993" s="18" t="str">
        <f>VLOOKUP(A1993, 'Data Pull Sheet'!$B$2:$C$552,2,FALSE)</f>
        <v>GNCA</v>
      </c>
      <c r="C1993" s="59" t="s">
        <v>409</v>
      </c>
      <c r="D1993" s="356" t="s">
        <v>9144</v>
      </c>
      <c r="E1993" s="356" t="s">
        <v>9128</v>
      </c>
      <c r="F1993" s="23" t="s">
        <v>9714</v>
      </c>
      <c r="G1993" s="92" t="s">
        <v>403</v>
      </c>
      <c r="H1993" s="353">
        <v>76903.009999999995</v>
      </c>
      <c r="I1993" s="59"/>
      <c r="J1993" s="18" t="s">
        <v>9858</v>
      </c>
      <c r="K1993" s="20"/>
      <c r="L1993" s="20"/>
      <c r="M1993" s="357"/>
      <c r="N1993" s="411"/>
      <c r="O1993" s="23" t="s">
        <v>10849</v>
      </c>
      <c r="P1993" s="92" t="s">
        <v>632</v>
      </c>
      <c r="Q1993" s="92" t="s">
        <v>646</v>
      </c>
      <c r="R1993" s="372" t="str">
        <f t="shared" si="55"/>
        <v/>
      </c>
    </row>
    <row r="1994" spans="1:24" x14ac:dyDescent="0.25">
      <c r="A1994" s="23" t="s">
        <v>8876</v>
      </c>
      <c r="B1994" s="18" t="str">
        <f>VLOOKUP(A1994, 'Data Pull Sheet'!$B$2:$C$552,2,FALSE)</f>
        <v>NOVN</v>
      </c>
      <c r="C1994" s="59" t="s">
        <v>503</v>
      </c>
      <c r="D1994" s="356" t="s">
        <v>9136</v>
      </c>
      <c r="E1994" s="356" t="s">
        <v>9128</v>
      </c>
      <c r="F1994" s="23" t="s">
        <v>9715</v>
      </c>
      <c r="G1994" s="92" t="s">
        <v>403</v>
      </c>
      <c r="H1994" s="353">
        <v>24625.75</v>
      </c>
      <c r="I1994" s="59"/>
      <c r="J1994" s="18" t="s">
        <v>9859</v>
      </c>
      <c r="K1994" s="20">
        <v>2</v>
      </c>
      <c r="L1994" s="20">
        <v>1</v>
      </c>
      <c r="M1994" s="357">
        <f>+H1994</f>
        <v>24625.75</v>
      </c>
      <c r="N1994" s="411">
        <f>IFERROR((M1994/(VLOOKUP(B1994,'Data Pull Sheet'!$C:$H,6,FALSE))),"DC")</f>
        <v>3.6754850746268655E-4</v>
      </c>
      <c r="O1994" s="23" t="s">
        <v>3902</v>
      </c>
      <c r="P1994" s="92" t="s">
        <v>632</v>
      </c>
      <c r="Q1994" s="92" t="s">
        <v>637</v>
      </c>
      <c r="R1994" s="372" t="str">
        <f t="shared" si="55"/>
        <v/>
      </c>
    </row>
    <row r="1995" spans="1:24" ht="30" x14ac:dyDescent="0.25">
      <c r="A1995" s="23" t="s">
        <v>8876</v>
      </c>
      <c r="B1995" s="18" t="str">
        <f>VLOOKUP(A1995, 'Data Pull Sheet'!$B$2:$C$552,2,FALSE)</f>
        <v>NOVN</v>
      </c>
      <c r="C1995" s="59" t="s">
        <v>503</v>
      </c>
      <c r="D1995" s="356" t="s">
        <v>9136</v>
      </c>
      <c r="E1995" s="356" t="s">
        <v>9128</v>
      </c>
      <c r="F1995" s="23" t="s">
        <v>9716</v>
      </c>
      <c r="G1995" s="92" t="s">
        <v>403</v>
      </c>
      <c r="H1995" s="353">
        <v>49334.13</v>
      </c>
      <c r="I1995" s="59"/>
      <c r="J1995" s="18" t="s">
        <v>11746</v>
      </c>
      <c r="K1995" s="20"/>
      <c r="L1995" s="20">
        <v>1</v>
      </c>
      <c r="M1995" s="357">
        <f>+H1995</f>
        <v>49334.13</v>
      </c>
      <c r="N1995" s="411">
        <f>IFERROR((M1995/(VLOOKUP(B1995,'Data Pull Sheet'!$C:$H,6,FALSE))),"DC")</f>
        <v>7.3633029850746266E-4</v>
      </c>
      <c r="O1995" s="23" t="s">
        <v>9850</v>
      </c>
      <c r="P1995" s="92" t="s">
        <v>632</v>
      </c>
      <c r="Q1995" s="92" t="s">
        <v>637</v>
      </c>
      <c r="R1995" s="372" t="str">
        <f t="shared" si="55"/>
        <v/>
      </c>
    </row>
    <row r="1996" spans="1:24" ht="30" x14ac:dyDescent="0.25">
      <c r="A1996" s="23" t="s">
        <v>22</v>
      </c>
      <c r="B1996" s="18" t="str">
        <f>IF(ISNA(VLOOKUP($A1996,'Data Pull Sheet'!$B$2:$C$1795,2,0)),"",(VLOOKUP($A1996,'Data Pull Sheet'!$B$2:$C$1795,2,0)))</f>
        <v>AGN</v>
      </c>
      <c r="C1996" s="59" t="s">
        <v>424</v>
      </c>
      <c r="D1996" s="356" t="s">
        <v>7331</v>
      </c>
      <c r="E1996" s="356" t="s">
        <v>9129</v>
      </c>
      <c r="F1996" s="23" t="s">
        <v>10442</v>
      </c>
      <c r="G1996" s="23" t="s">
        <v>403</v>
      </c>
      <c r="H1996" s="353">
        <v>38551.96</v>
      </c>
      <c r="I1996" s="59"/>
      <c r="J1996" s="59" t="s">
        <v>10445</v>
      </c>
      <c r="K1996" s="20"/>
      <c r="L1996" s="20"/>
      <c r="M1996" s="357"/>
      <c r="N1996" s="411"/>
      <c r="O1996" s="23" t="s">
        <v>750</v>
      </c>
      <c r="P1996" s="92" t="s">
        <v>632</v>
      </c>
      <c r="Q1996" s="92" t="s">
        <v>646</v>
      </c>
      <c r="R1996" s="372" t="str">
        <f t="shared" si="55"/>
        <v/>
      </c>
    </row>
    <row r="1997" spans="1:24" x14ac:dyDescent="0.25">
      <c r="A1997" s="23" t="s">
        <v>8820</v>
      </c>
      <c r="B1997" s="18" t="s">
        <v>11309</v>
      </c>
      <c r="C1997" s="59" t="s">
        <v>446</v>
      </c>
      <c r="D1997" s="356" t="s">
        <v>9143</v>
      </c>
      <c r="E1997" s="356" t="s">
        <v>9183</v>
      </c>
      <c r="F1997" s="23" t="s">
        <v>9706</v>
      </c>
      <c r="G1997" s="92" t="s">
        <v>403</v>
      </c>
      <c r="H1997" s="353">
        <v>3000</v>
      </c>
      <c r="I1997" s="59"/>
      <c r="J1997" s="18" t="s">
        <v>11310</v>
      </c>
      <c r="K1997" s="20">
        <v>1</v>
      </c>
      <c r="L1997" s="20">
        <v>1</v>
      </c>
      <c r="M1997" s="357">
        <f>+H1997</f>
        <v>3000</v>
      </c>
      <c r="N1997" s="411" t="str">
        <f>IFERROR((M1997/(VLOOKUP(B1997,'Data Pull Sheet'!$C:$H,6,FALSE))),"DC")</f>
        <v>DC</v>
      </c>
      <c r="O1997" s="23" t="s">
        <v>682</v>
      </c>
      <c r="P1997" s="92" t="s">
        <v>676</v>
      </c>
      <c r="Q1997" s="92" t="s">
        <v>637</v>
      </c>
      <c r="R1997" s="372" t="str">
        <f t="shared" si="55"/>
        <v/>
      </c>
    </row>
    <row r="1998" spans="1:24" x14ac:dyDescent="0.25">
      <c r="A1998" s="23" t="s">
        <v>51</v>
      </c>
      <c r="B1998" s="59" t="s">
        <v>10528</v>
      </c>
      <c r="C1998" s="59" t="s">
        <v>542</v>
      </c>
      <c r="D1998" s="356" t="s">
        <v>9141</v>
      </c>
      <c r="E1998" s="356" t="s">
        <v>9122</v>
      </c>
      <c r="F1998" s="23" t="s">
        <v>9695</v>
      </c>
      <c r="G1998" s="92" t="s">
        <v>403</v>
      </c>
      <c r="H1998" s="353">
        <v>42826</v>
      </c>
      <c r="I1998" s="59"/>
      <c r="J1998" s="18" t="s">
        <v>10525</v>
      </c>
      <c r="K1998" s="20">
        <v>2</v>
      </c>
      <c r="L1998" s="20">
        <v>2</v>
      </c>
      <c r="M1998" s="357">
        <f>SUM(H1998:H1999)</f>
        <v>118603</v>
      </c>
      <c r="N1998" s="411">
        <f>IFERROR((M1998/(VLOOKUP(B1998,'Data Pull Sheet'!$C:$H,6,FALSE))),"DC")</f>
        <v>1.4825375E-4</v>
      </c>
      <c r="O1998" s="23" t="s">
        <v>7289</v>
      </c>
      <c r="P1998" s="92" t="s">
        <v>632</v>
      </c>
      <c r="Q1998" s="92" t="s">
        <v>646</v>
      </c>
      <c r="R1998" s="372" t="str">
        <f t="shared" si="55"/>
        <v/>
      </c>
    </row>
    <row r="1999" spans="1:24" x14ac:dyDescent="0.25">
      <c r="A1999" s="23" t="s">
        <v>51</v>
      </c>
      <c r="B1999" s="59" t="s">
        <v>10528</v>
      </c>
      <c r="C1999" s="59" t="s">
        <v>542</v>
      </c>
      <c r="D1999" s="356" t="s">
        <v>9141</v>
      </c>
      <c r="E1999" s="356" t="s">
        <v>9122</v>
      </c>
      <c r="F1999" s="23" t="s">
        <v>9696</v>
      </c>
      <c r="G1999" s="92" t="s">
        <v>403</v>
      </c>
      <c r="H1999" s="353">
        <v>75777</v>
      </c>
      <c r="I1999" s="59"/>
      <c r="J1999" s="18" t="s">
        <v>10526</v>
      </c>
      <c r="K1999" s="20"/>
      <c r="L1999" s="20"/>
      <c r="M1999" s="357"/>
      <c r="N1999" s="411"/>
      <c r="O1999" s="23" t="s">
        <v>7289</v>
      </c>
      <c r="P1999" s="92" t="s">
        <v>632</v>
      </c>
      <c r="Q1999" s="92" t="s">
        <v>9869</v>
      </c>
      <c r="R1999" s="372" t="str">
        <f t="shared" si="55"/>
        <v/>
      </c>
    </row>
    <row r="2000" spans="1:24" x14ac:dyDescent="0.25">
      <c r="A2000" s="23" t="s">
        <v>51</v>
      </c>
      <c r="B2000" s="59" t="s">
        <v>10528</v>
      </c>
      <c r="C2000" s="59" t="s">
        <v>542</v>
      </c>
      <c r="D2000" s="356" t="s">
        <v>9141</v>
      </c>
      <c r="E2000" s="356" t="s">
        <v>9122</v>
      </c>
      <c r="F2000" s="23" t="s">
        <v>9697</v>
      </c>
      <c r="G2000" s="92" t="s">
        <v>417</v>
      </c>
      <c r="H2000" s="353">
        <v>112536.1</v>
      </c>
      <c r="I2000" s="59" t="s">
        <v>442</v>
      </c>
      <c r="J2000" s="18" t="s">
        <v>10527</v>
      </c>
      <c r="K2000" s="20"/>
      <c r="L2000" s="20">
        <v>1</v>
      </c>
      <c r="M2000" s="357">
        <f>+H2000</f>
        <v>112536.1</v>
      </c>
      <c r="N2000" s="411">
        <f>IFERROR((M2000/(VLOOKUP(B2000,'Data Pull Sheet'!$C:$H,6,FALSE))),"DC")</f>
        <v>1.4067012500000001E-4</v>
      </c>
      <c r="O2000" s="23" t="s">
        <v>9846</v>
      </c>
      <c r="P2000" s="92" t="s">
        <v>632</v>
      </c>
      <c r="Q2000" s="92" t="s">
        <v>633</v>
      </c>
      <c r="R2000" s="372" t="str">
        <f t="shared" si="55"/>
        <v/>
      </c>
    </row>
    <row r="2001" spans="1:18" x14ac:dyDescent="0.25">
      <c r="A2001" s="23" t="s">
        <v>8879</v>
      </c>
      <c r="B2001" s="18" t="str">
        <f>VLOOKUP(A2001, 'Data Pull Sheet'!$B$2:$C$552,2,FALSE)</f>
        <v>OHI</v>
      </c>
      <c r="C2001" s="59" t="s">
        <v>418</v>
      </c>
      <c r="D2001" s="356" t="s">
        <v>9142</v>
      </c>
      <c r="E2001" s="356" t="s">
        <v>9122</v>
      </c>
      <c r="F2001" s="23" t="s">
        <v>9699</v>
      </c>
      <c r="G2001" s="92" t="s">
        <v>403</v>
      </c>
      <c r="H2001" s="353">
        <v>119400</v>
      </c>
      <c r="I2001" s="59"/>
      <c r="J2001" s="18" t="s">
        <v>9861</v>
      </c>
      <c r="K2001" s="20">
        <v>5</v>
      </c>
      <c r="L2001" s="20">
        <v>1</v>
      </c>
      <c r="M2001" s="357">
        <f>+H2001</f>
        <v>119400</v>
      </c>
      <c r="N2001" s="411">
        <f>IFERROR((M2001/(VLOOKUP(B2001,'Data Pull Sheet'!$C:$H,6,FALSE))),"DC")</f>
        <v>3.1839999999999999E-4</v>
      </c>
      <c r="O2001" s="23" t="s">
        <v>682</v>
      </c>
      <c r="P2001" s="92" t="s">
        <v>632</v>
      </c>
      <c r="Q2001" s="92" t="s">
        <v>637</v>
      </c>
      <c r="R2001" s="372" t="str">
        <f t="shared" si="55"/>
        <v/>
      </c>
    </row>
    <row r="2002" spans="1:18" x14ac:dyDescent="0.25">
      <c r="A2002" s="23" t="s">
        <v>8879</v>
      </c>
      <c r="B2002" s="18" t="str">
        <f>VLOOKUP(A2002, 'Data Pull Sheet'!$B$2:$C$552,2,FALSE)</f>
        <v>OHI</v>
      </c>
      <c r="C2002" s="59" t="s">
        <v>418</v>
      </c>
      <c r="D2002" s="356" t="s">
        <v>9142</v>
      </c>
      <c r="E2002" s="356" t="s">
        <v>9122</v>
      </c>
      <c r="F2002" s="23" t="s">
        <v>9700</v>
      </c>
      <c r="G2002" s="92" t="s">
        <v>403</v>
      </c>
      <c r="H2002" s="353">
        <v>141389.69</v>
      </c>
      <c r="I2002" s="59"/>
      <c r="J2002" s="18" t="s">
        <v>9867</v>
      </c>
      <c r="K2002" s="20"/>
      <c r="L2002" s="20">
        <v>1</v>
      </c>
      <c r="M2002" s="357">
        <f>+H2002</f>
        <v>141389.69</v>
      </c>
      <c r="N2002" s="411">
        <f>IFERROR((M2002/(VLOOKUP(B2002,'Data Pull Sheet'!$C:$H,6,FALSE))),"DC")</f>
        <v>3.7703917333333333E-4</v>
      </c>
      <c r="O2002" s="23" t="s">
        <v>1328</v>
      </c>
      <c r="P2002" s="92" t="s">
        <v>632</v>
      </c>
      <c r="Q2002" s="92" t="s">
        <v>637</v>
      </c>
      <c r="R2002" s="372" t="str">
        <f t="shared" si="55"/>
        <v/>
      </c>
    </row>
    <row r="2003" spans="1:18" x14ac:dyDescent="0.25">
      <c r="A2003" s="23" t="s">
        <v>8879</v>
      </c>
      <c r="B2003" s="18" t="str">
        <f>VLOOKUP(A2003, 'Data Pull Sheet'!$B$2:$C$552,2,FALSE)</f>
        <v>OHI</v>
      </c>
      <c r="C2003" s="59" t="s">
        <v>418</v>
      </c>
      <c r="D2003" s="356" t="s">
        <v>9142</v>
      </c>
      <c r="E2003" s="356" t="s">
        <v>9122</v>
      </c>
      <c r="F2003" s="23" t="s">
        <v>3675</v>
      </c>
      <c r="G2003" s="92" t="s">
        <v>417</v>
      </c>
      <c r="H2003" s="353">
        <v>49662.59</v>
      </c>
      <c r="I2003" s="59"/>
      <c r="J2003" s="18" t="s">
        <v>9870</v>
      </c>
      <c r="K2003" s="20"/>
      <c r="L2003" s="20">
        <v>1</v>
      </c>
      <c r="M2003" s="357">
        <f>+H2003</f>
        <v>49662.59</v>
      </c>
      <c r="N2003" s="411">
        <f>IFERROR((M2003/(VLOOKUP(B2003,'Data Pull Sheet'!$C:$H,6,FALSE))),"DC")</f>
        <v>1.3243357333333333E-4</v>
      </c>
      <c r="O2003" s="23" t="s">
        <v>9796</v>
      </c>
      <c r="P2003" s="92" t="s">
        <v>632</v>
      </c>
      <c r="Q2003" s="92" t="s">
        <v>633</v>
      </c>
      <c r="R2003" s="372" t="str">
        <f t="shared" si="55"/>
        <v>FF</v>
      </c>
    </row>
    <row r="2004" spans="1:18" x14ac:dyDescent="0.25">
      <c r="A2004" s="23" t="s">
        <v>8879</v>
      </c>
      <c r="B2004" s="18" t="str">
        <f>VLOOKUP(A2004, 'Data Pull Sheet'!$B$2:$C$552,2,FALSE)</f>
        <v>OHI</v>
      </c>
      <c r="C2004" s="59" t="s">
        <v>418</v>
      </c>
      <c r="D2004" s="356" t="s">
        <v>9142</v>
      </c>
      <c r="E2004" s="356" t="s">
        <v>9122</v>
      </c>
      <c r="F2004" s="23" t="s">
        <v>9701</v>
      </c>
      <c r="G2004" s="92" t="s">
        <v>403</v>
      </c>
      <c r="H2004" s="353">
        <v>55628</v>
      </c>
      <c r="I2004" s="59"/>
      <c r="J2004" s="18" t="s">
        <v>9871</v>
      </c>
      <c r="K2004" s="20"/>
      <c r="L2004" s="20">
        <v>5</v>
      </c>
      <c r="M2004" s="357">
        <f>SUM(H2004:H2008)</f>
        <v>306966</v>
      </c>
      <c r="N2004" s="411">
        <f>IFERROR((M2004/(VLOOKUP(B2004,'Data Pull Sheet'!$C:$H,6,FALSE))),"DC")</f>
        <v>8.18576E-4</v>
      </c>
      <c r="O2004" s="23" t="s">
        <v>9848</v>
      </c>
      <c r="P2004" s="92" t="s">
        <v>632</v>
      </c>
      <c r="Q2004" s="92" t="s">
        <v>646</v>
      </c>
      <c r="R2004" s="372" t="str">
        <f t="shared" si="55"/>
        <v/>
      </c>
    </row>
    <row r="2005" spans="1:18" x14ac:dyDescent="0.25">
      <c r="A2005" s="23" t="s">
        <v>8879</v>
      </c>
      <c r="B2005" s="18" t="str">
        <f>VLOOKUP(A2005, 'Data Pull Sheet'!$B$2:$C$552,2,FALSE)</f>
        <v>OHI</v>
      </c>
      <c r="C2005" s="59" t="s">
        <v>418</v>
      </c>
      <c r="D2005" s="356" t="s">
        <v>9142</v>
      </c>
      <c r="E2005" s="356" t="s">
        <v>9122</v>
      </c>
      <c r="F2005" s="23" t="s">
        <v>9702</v>
      </c>
      <c r="G2005" s="92" t="s">
        <v>403</v>
      </c>
      <c r="H2005" s="353">
        <v>46173</v>
      </c>
      <c r="I2005" s="59"/>
      <c r="J2005" s="18" t="s">
        <v>9872</v>
      </c>
      <c r="K2005" s="20"/>
      <c r="L2005" s="20"/>
      <c r="M2005" s="357"/>
      <c r="N2005" s="411"/>
      <c r="O2005" s="23" t="s">
        <v>9848</v>
      </c>
      <c r="P2005" s="92" t="s">
        <v>632</v>
      </c>
      <c r="Q2005" s="92" t="s">
        <v>646</v>
      </c>
      <c r="R2005" s="372" t="str">
        <f t="shared" si="55"/>
        <v>FF</v>
      </c>
    </row>
    <row r="2006" spans="1:18" x14ac:dyDescent="0.25">
      <c r="A2006" s="23" t="s">
        <v>8879</v>
      </c>
      <c r="B2006" s="18" t="str">
        <f>VLOOKUP(A2006, 'Data Pull Sheet'!$B$2:$C$552,2,FALSE)</f>
        <v>OHI</v>
      </c>
      <c r="C2006" s="59" t="s">
        <v>418</v>
      </c>
      <c r="D2006" s="356" t="s">
        <v>9142</v>
      </c>
      <c r="E2006" s="356" t="s">
        <v>9122</v>
      </c>
      <c r="F2006" s="23" t="s">
        <v>9703</v>
      </c>
      <c r="G2006" s="92" t="s">
        <v>403</v>
      </c>
      <c r="H2006" s="353">
        <v>57428</v>
      </c>
      <c r="I2006" s="59"/>
      <c r="J2006" s="18" t="s">
        <v>9873</v>
      </c>
      <c r="K2006" s="20"/>
      <c r="L2006" s="20"/>
      <c r="M2006" s="357"/>
      <c r="N2006" s="411"/>
      <c r="O2006" s="23" t="s">
        <v>9848</v>
      </c>
      <c r="P2006" s="92" t="s">
        <v>632</v>
      </c>
      <c r="Q2006" s="92" t="s">
        <v>646</v>
      </c>
      <c r="R2006" s="372" t="str">
        <f t="shared" si="55"/>
        <v/>
      </c>
    </row>
    <row r="2007" spans="1:18" x14ac:dyDescent="0.25">
      <c r="A2007" s="23" t="s">
        <v>8879</v>
      </c>
      <c r="B2007" s="18" t="str">
        <f>VLOOKUP(A2007, 'Data Pull Sheet'!$B$2:$C$552,2,FALSE)</f>
        <v>OHI</v>
      </c>
      <c r="C2007" s="59" t="s">
        <v>418</v>
      </c>
      <c r="D2007" s="356" t="s">
        <v>9142</v>
      </c>
      <c r="E2007" s="356" t="s">
        <v>9122</v>
      </c>
      <c r="F2007" s="23" t="s">
        <v>9704</v>
      </c>
      <c r="G2007" s="92" t="s">
        <v>403</v>
      </c>
      <c r="H2007" s="353">
        <v>97895</v>
      </c>
      <c r="I2007" s="59"/>
      <c r="J2007" s="18" t="s">
        <v>9874</v>
      </c>
      <c r="K2007" s="20"/>
      <c r="L2007" s="20"/>
      <c r="M2007" s="357"/>
      <c r="N2007" s="411"/>
      <c r="O2007" s="23" t="s">
        <v>9848</v>
      </c>
      <c r="P2007" s="92" t="s">
        <v>632</v>
      </c>
      <c r="Q2007" s="92" t="s">
        <v>646</v>
      </c>
      <c r="R2007" s="372" t="str">
        <f t="shared" si="55"/>
        <v/>
      </c>
    </row>
    <row r="2008" spans="1:18" x14ac:dyDescent="0.25">
      <c r="A2008" s="23" t="s">
        <v>8879</v>
      </c>
      <c r="B2008" s="18" t="str">
        <f>VLOOKUP(A2008, 'Data Pull Sheet'!$B$2:$C$552,2,FALSE)</f>
        <v>OHI</v>
      </c>
      <c r="C2008" s="59" t="s">
        <v>418</v>
      </c>
      <c r="D2008" s="356" t="s">
        <v>9142</v>
      </c>
      <c r="E2008" s="356" t="s">
        <v>9122</v>
      </c>
      <c r="F2008" s="23" t="s">
        <v>9705</v>
      </c>
      <c r="G2008" s="92" t="s">
        <v>403</v>
      </c>
      <c r="H2008" s="353">
        <v>49842</v>
      </c>
      <c r="I2008" s="59"/>
      <c r="J2008" s="18" t="s">
        <v>9875</v>
      </c>
      <c r="K2008" s="20"/>
      <c r="L2008" s="20"/>
      <c r="M2008" s="357"/>
      <c r="N2008" s="411"/>
      <c r="O2008" s="23" t="s">
        <v>9848</v>
      </c>
      <c r="P2008" s="92" t="s">
        <v>632</v>
      </c>
      <c r="Q2008" s="92" t="s">
        <v>646</v>
      </c>
      <c r="R2008" s="372" t="str">
        <f t="shared" si="55"/>
        <v/>
      </c>
    </row>
    <row r="2009" spans="1:18" x14ac:dyDescent="0.25">
      <c r="A2009" s="23" t="s">
        <v>8879</v>
      </c>
      <c r="B2009" s="18" t="str">
        <f>VLOOKUP(A2009, 'Data Pull Sheet'!$B$2:$C$552,2,FALSE)</f>
        <v>OHI</v>
      </c>
      <c r="C2009" s="59" t="s">
        <v>418</v>
      </c>
      <c r="D2009" s="356" t="s">
        <v>9142</v>
      </c>
      <c r="E2009" s="356" t="s">
        <v>9122</v>
      </c>
      <c r="F2009" s="23" t="s">
        <v>9702</v>
      </c>
      <c r="G2009" s="92" t="s">
        <v>403</v>
      </c>
      <c r="H2009" s="353">
        <v>46172.58</v>
      </c>
      <c r="I2009" s="59" t="s">
        <v>406</v>
      </c>
      <c r="J2009" s="18" t="s">
        <v>9876</v>
      </c>
      <c r="K2009" s="20"/>
      <c r="L2009" s="20">
        <v>1</v>
      </c>
      <c r="M2009" s="357">
        <f t="shared" ref="M2009:M2016" si="56">+H2009</f>
        <v>46172.58</v>
      </c>
      <c r="N2009" s="411">
        <f>IFERROR((M2009/(VLOOKUP(B2009,'Data Pull Sheet'!$C:$H,6,FALSE))),"DC")</f>
        <v>1.2312687999999999E-4</v>
      </c>
      <c r="O2009" s="23" t="s">
        <v>407</v>
      </c>
      <c r="P2009" s="92" t="s">
        <v>632</v>
      </c>
      <c r="Q2009" s="92" t="s">
        <v>637</v>
      </c>
      <c r="R2009" s="372" t="str">
        <f t="shared" si="55"/>
        <v>FF</v>
      </c>
    </row>
    <row r="2010" spans="1:18" ht="30" x14ac:dyDescent="0.25">
      <c r="A2010" s="23" t="s">
        <v>3355</v>
      </c>
      <c r="B2010" s="18" t="str">
        <f>VLOOKUP(A2010, 'Data Pull Sheet'!$B$2:$C$552,2,FALSE)</f>
        <v>RT</v>
      </c>
      <c r="C2010" s="59" t="s">
        <v>515</v>
      </c>
      <c r="D2010" s="356" t="s">
        <v>9140</v>
      </c>
      <c r="E2010" s="356" t="s">
        <v>9122</v>
      </c>
      <c r="F2010" s="23" t="s">
        <v>9613</v>
      </c>
      <c r="G2010" s="92" t="s">
        <v>403</v>
      </c>
      <c r="H2010" s="353">
        <v>10000</v>
      </c>
      <c r="I2010" s="59" t="s">
        <v>2613</v>
      </c>
      <c r="J2010" s="18" t="s">
        <v>3357</v>
      </c>
      <c r="K2010" s="20">
        <v>1</v>
      </c>
      <c r="L2010" s="20">
        <v>1</v>
      </c>
      <c r="M2010" s="357">
        <f t="shared" si="56"/>
        <v>10000</v>
      </c>
      <c r="N2010" s="411">
        <f>IFERROR((M2010/(VLOOKUP(B2010,'Data Pull Sheet'!$C:$H,6,FALSE))),"DC")</f>
        <v>5.0000000000000001E-4</v>
      </c>
      <c r="O2010" s="23" t="s">
        <v>9845</v>
      </c>
      <c r="P2010" s="92" t="s">
        <v>676</v>
      </c>
      <c r="Q2010" s="92" t="s">
        <v>637</v>
      </c>
      <c r="R2010" s="372" t="str">
        <f t="shared" si="55"/>
        <v>FF</v>
      </c>
    </row>
    <row r="2011" spans="1:18" x14ac:dyDescent="0.25">
      <c r="A2011" s="23" t="s">
        <v>8866</v>
      </c>
      <c r="B2011" s="18" t="str">
        <f>VLOOKUP(A2011, 'Data Pull Sheet'!$B$2:$C$552,2,FALSE)</f>
        <v>VIVO</v>
      </c>
      <c r="C2011" s="59" t="s">
        <v>8611</v>
      </c>
      <c r="D2011" s="356" t="s">
        <v>9141</v>
      </c>
      <c r="E2011" s="356" t="s">
        <v>9122</v>
      </c>
      <c r="F2011" s="23" t="s">
        <v>9698</v>
      </c>
      <c r="G2011" s="92" t="s">
        <v>403</v>
      </c>
      <c r="H2011" s="353">
        <v>3544.05</v>
      </c>
      <c r="I2011" s="59" t="s">
        <v>406</v>
      </c>
      <c r="J2011" s="18" t="s">
        <v>9860</v>
      </c>
      <c r="K2011" s="20">
        <v>1</v>
      </c>
      <c r="L2011" s="20">
        <v>1</v>
      </c>
      <c r="M2011" s="357">
        <f t="shared" si="56"/>
        <v>3544.05</v>
      </c>
      <c r="N2011" s="411">
        <f>IFERROR((M2011/(VLOOKUP(B2011,'Data Pull Sheet'!$C:$H,6,FALSE))),"DC")</f>
        <v>1.0125857142857144E-4</v>
      </c>
      <c r="O2011" s="23" t="s">
        <v>9847</v>
      </c>
      <c r="P2011" s="92" t="s">
        <v>676</v>
      </c>
      <c r="Q2011" s="92" t="s">
        <v>637</v>
      </c>
      <c r="R2011" s="372" t="str">
        <f t="shared" si="55"/>
        <v/>
      </c>
    </row>
    <row r="2012" spans="1:18" x14ac:dyDescent="0.25">
      <c r="A2012" s="23" t="s">
        <v>8785</v>
      </c>
      <c r="B2012" s="18" t="str">
        <f>VLOOKUP(A2012, 'Data Pull Sheet'!$B$2:$C$552,2,FALSE)</f>
        <v>ACOR</v>
      </c>
      <c r="C2012" s="59" t="s">
        <v>418</v>
      </c>
      <c r="D2012" s="356" t="s">
        <v>7466</v>
      </c>
      <c r="E2012" s="356" t="s">
        <v>9123</v>
      </c>
      <c r="F2012" s="23" t="s">
        <v>9694</v>
      </c>
      <c r="G2012" s="92" t="s">
        <v>403</v>
      </c>
      <c r="H2012" s="353">
        <v>778</v>
      </c>
      <c r="I2012" s="59"/>
      <c r="J2012" s="18" t="s">
        <v>9862</v>
      </c>
      <c r="K2012" s="20">
        <v>1</v>
      </c>
      <c r="L2012" s="20">
        <v>1</v>
      </c>
      <c r="M2012" s="357">
        <f t="shared" si="56"/>
        <v>778</v>
      </c>
      <c r="N2012" s="411">
        <f>IFERROR((M2012/(VLOOKUP(B2012,'Data Pull Sheet'!$C:$H,6,FALSE))),"DC")</f>
        <v>3.4577777777777778E-6</v>
      </c>
      <c r="O2012" s="23" t="s">
        <v>79</v>
      </c>
      <c r="P2012" s="92" t="s">
        <v>676</v>
      </c>
      <c r="Q2012" s="92" t="s">
        <v>637</v>
      </c>
      <c r="R2012" s="372" t="str">
        <f t="shared" si="55"/>
        <v/>
      </c>
    </row>
    <row r="2013" spans="1:18" ht="30" x14ac:dyDescent="0.25">
      <c r="A2013" s="23" t="s">
        <v>8909</v>
      </c>
      <c r="B2013" s="18" t="str">
        <f>VLOOKUP(A2013, 'Data Pull Sheet'!$B$2:$C$552,2,FALSE)</f>
        <v>TVTY</v>
      </c>
      <c r="C2013" s="59" t="s">
        <v>431</v>
      </c>
      <c r="D2013" s="356" t="s">
        <v>9133</v>
      </c>
      <c r="E2013" s="356" t="s">
        <v>9121</v>
      </c>
      <c r="F2013" s="23" t="s">
        <v>274</v>
      </c>
      <c r="G2013" s="92" t="s">
        <v>417</v>
      </c>
      <c r="H2013" s="353">
        <v>107969.93</v>
      </c>
      <c r="I2013" s="59" t="s">
        <v>406</v>
      </c>
      <c r="J2013" s="18" t="s">
        <v>9863</v>
      </c>
      <c r="K2013" s="20">
        <v>1</v>
      </c>
      <c r="L2013" s="20">
        <v>1</v>
      </c>
      <c r="M2013" s="357">
        <f t="shared" si="56"/>
        <v>107969.93</v>
      </c>
      <c r="N2013" s="411">
        <f>IFERROR((M2013/(VLOOKUP(B2013,'Data Pull Sheet'!$C:$H,6,FALSE))),"DC")</f>
        <v>8.6375943999999994E-4</v>
      </c>
      <c r="O2013" s="23" t="s">
        <v>9844</v>
      </c>
      <c r="P2013" s="92" t="s">
        <v>676</v>
      </c>
      <c r="Q2013" s="92" t="s">
        <v>633</v>
      </c>
      <c r="R2013" s="372" t="str">
        <f t="shared" si="55"/>
        <v>FF</v>
      </c>
    </row>
    <row r="2014" spans="1:18" x14ac:dyDescent="0.25">
      <c r="A2014" s="23" t="s">
        <v>8796</v>
      </c>
      <c r="B2014" s="18" t="str">
        <f>VLOOKUP(A2014, 'Data Pull Sheet'!$B$2:$C$552,2,FALSE)</f>
        <v>ALKS</v>
      </c>
      <c r="C2014" s="59" t="s">
        <v>418</v>
      </c>
      <c r="D2014" s="356" t="s">
        <v>9137</v>
      </c>
      <c r="E2014" s="356" t="s">
        <v>9182</v>
      </c>
      <c r="F2014" s="23" t="s">
        <v>9678</v>
      </c>
      <c r="G2014" s="92" t="s">
        <v>403</v>
      </c>
      <c r="H2014" s="353">
        <v>1018</v>
      </c>
      <c r="I2014" s="59"/>
      <c r="J2014" s="59" t="s">
        <v>9864</v>
      </c>
      <c r="K2014" s="20">
        <v>2</v>
      </c>
      <c r="L2014" s="20">
        <v>1</v>
      </c>
      <c r="M2014" s="357">
        <f t="shared" si="56"/>
        <v>1018</v>
      </c>
      <c r="N2014" s="411">
        <f>IFERROR((M2014/(VLOOKUP(B2014,'Data Pull Sheet'!$C:$H,6,FALSE))),"DC")</f>
        <v>3.3933333333333332E-6</v>
      </c>
      <c r="O2014" s="23" t="s">
        <v>79</v>
      </c>
      <c r="P2014" s="92" t="s">
        <v>632</v>
      </c>
      <c r="Q2014" s="92" t="s">
        <v>637</v>
      </c>
      <c r="R2014" s="372" t="str">
        <f t="shared" si="55"/>
        <v/>
      </c>
    </row>
    <row r="2015" spans="1:18" ht="30" x14ac:dyDescent="0.25">
      <c r="A2015" s="23" t="s">
        <v>8796</v>
      </c>
      <c r="B2015" s="18" t="str">
        <f>VLOOKUP(A2015, 'Data Pull Sheet'!$B$2:$C$552,2,FALSE)</f>
        <v>ALKS</v>
      </c>
      <c r="C2015" s="59" t="s">
        <v>418</v>
      </c>
      <c r="D2015" s="356" t="s">
        <v>9137</v>
      </c>
      <c r="E2015" s="356" t="s">
        <v>9182</v>
      </c>
      <c r="F2015" s="23" t="s">
        <v>9679</v>
      </c>
      <c r="G2015" s="92" t="s">
        <v>417</v>
      </c>
      <c r="H2015" s="353">
        <v>43150.26</v>
      </c>
      <c r="I2015" s="59"/>
      <c r="J2015" s="59" t="s">
        <v>9868</v>
      </c>
      <c r="K2015" s="20"/>
      <c r="L2015" s="20">
        <v>1</v>
      </c>
      <c r="M2015" s="357">
        <f t="shared" si="56"/>
        <v>43150.26</v>
      </c>
      <c r="N2015" s="411">
        <f>IFERROR((M2015/(VLOOKUP(B2015,'Data Pull Sheet'!$C:$H,6,FALSE))),"DC")</f>
        <v>1.4383420000000001E-4</v>
      </c>
      <c r="O2015" s="23" t="s">
        <v>9796</v>
      </c>
      <c r="P2015" s="92" t="s">
        <v>632</v>
      </c>
      <c r="Q2015" s="92" t="s">
        <v>633</v>
      </c>
      <c r="R2015" s="372" t="str">
        <f t="shared" si="55"/>
        <v/>
      </c>
    </row>
    <row r="2016" spans="1:18" x14ac:dyDescent="0.25">
      <c r="A2016" s="23" t="s">
        <v>8804</v>
      </c>
      <c r="B2016" s="18" t="str">
        <f>VLOOKUP(A2016, 'Data Pull Sheet'!$B$2:$C$552,2,FALSE)</f>
        <v>ARRY</v>
      </c>
      <c r="C2016" s="59" t="s">
        <v>545</v>
      </c>
      <c r="D2016" s="356" t="s">
        <v>9133</v>
      </c>
      <c r="E2016" s="356" t="s">
        <v>9182</v>
      </c>
      <c r="F2016" s="23" t="s">
        <v>9675</v>
      </c>
      <c r="G2016" s="92" t="s">
        <v>403</v>
      </c>
      <c r="H2016" s="353">
        <v>27735.48</v>
      </c>
      <c r="I2016" s="59"/>
      <c r="J2016" s="18" t="s">
        <v>9865</v>
      </c>
      <c r="K2016" s="20">
        <v>2</v>
      </c>
      <c r="L2016" s="20">
        <v>1</v>
      </c>
      <c r="M2016" s="357">
        <f t="shared" si="56"/>
        <v>27735.48</v>
      </c>
      <c r="N2016" s="411">
        <f>IFERROR((M2016/(VLOOKUP(B2016,'Data Pull Sheet'!$C:$H,6,FALSE))),"DC")</f>
        <v>3.85215E-4</v>
      </c>
      <c r="O2016" s="23" t="s">
        <v>9838</v>
      </c>
      <c r="P2016" s="92" t="s">
        <v>632</v>
      </c>
      <c r="Q2016" s="92" t="s">
        <v>637</v>
      </c>
      <c r="R2016" s="372" t="str">
        <f t="shared" si="55"/>
        <v/>
      </c>
    </row>
    <row r="2017" spans="1:18" x14ac:dyDescent="0.25">
      <c r="A2017" s="23" t="s">
        <v>8804</v>
      </c>
      <c r="B2017" s="18" t="str">
        <f>VLOOKUP(A2017, 'Data Pull Sheet'!$B$2:$C$552,2,FALSE)</f>
        <v>ARRY</v>
      </c>
      <c r="C2017" s="59" t="s">
        <v>545</v>
      </c>
      <c r="D2017" s="356" t="s">
        <v>9133</v>
      </c>
      <c r="E2017" s="356" t="s">
        <v>9182</v>
      </c>
      <c r="F2017" s="23" t="s">
        <v>9676</v>
      </c>
      <c r="G2017" s="92" t="s">
        <v>403</v>
      </c>
      <c r="H2017" s="353">
        <v>2177</v>
      </c>
      <c r="I2017" s="59"/>
      <c r="J2017" s="18" t="s">
        <v>9877</v>
      </c>
      <c r="K2017" s="20"/>
      <c r="L2017" s="20">
        <v>2</v>
      </c>
      <c r="M2017" s="357">
        <f>SUM(H2017:H2018)</f>
        <v>8995</v>
      </c>
      <c r="N2017" s="411">
        <f>IFERROR((M2017/(VLOOKUP(B2017,'Data Pull Sheet'!$C:$H,6,FALSE))),"DC")</f>
        <v>1.2493055555555556E-4</v>
      </c>
      <c r="O2017" s="23" t="s">
        <v>1204</v>
      </c>
      <c r="P2017" s="92" t="s">
        <v>632</v>
      </c>
      <c r="Q2017" s="92" t="s">
        <v>646</v>
      </c>
      <c r="R2017" s="372" t="str">
        <f t="shared" si="55"/>
        <v/>
      </c>
    </row>
    <row r="2018" spans="1:18" x14ac:dyDescent="0.25">
      <c r="A2018" s="23" t="s">
        <v>8804</v>
      </c>
      <c r="B2018" s="18" t="str">
        <f>VLOOKUP(A2018, 'Data Pull Sheet'!$B$2:$C$552,2,FALSE)</f>
        <v>ARRY</v>
      </c>
      <c r="C2018" s="59" t="s">
        <v>545</v>
      </c>
      <c r="D2018" s="356" t="s">
        <v>9133</v>
      </c>
      <c r="E2018" s="356" t="s">
        <v>9182</v>
      </c>
      <c r="F2018" s="23" t="s">
        <v>9677</v>
      </c>
      <c r="G2018" s="92" t="s">
        <v>403</v>
      </c>
      <c r="H2018" s="353">
        <v>6818</v>
      </c>
      <c r="I2018" s="59"/>
      <c r="J2018" s="18" t="s">
        <v>9878</v>
      </c>
      <c r="K2018" s="20"/>
      <c r="L2018" s="20"/>
      <c r="M2018" s="357"/>
      <c r="N2018" s="411"/>
      <c r="O2018" s="23" t="s">
        <v>1204</v>
      </c>
      <c r="P2018" s="92" t="s">
        <v>632</v>
      </c>
      <c r="Q2018" s="92" t="s">
        <v>646</v>
      </c>
      <c r="R2018" s="372" t="str">
        <f t="shared" si="55"/>
        <v/>
      </c>
    </row>
    <row r="2019" spans="1:18" x14ac:dyDescent="0.25">
      <c r="A2019" s="23" t="s">
        <v>3013</v>
      </c>
      <c r="B2019" s="18" t="s">
        <v>10640</v>
      </c>
      <c r="C2019" s="59" t="s">
        <v>409</v>
      </c>
      <c r="D2019" s="356" t="s">
        <v>9137</v>
      </c>
      <c r="E2019" s="356" t="s">
        <v>9182</v>
      </c>
      <c r="F2019" s="23" t="s">
        <v>9680</v>
      </c>
      <c r="G2019" s="92" t="s">
        <v>417</v>
      </c>
      <c r="H2019" s="353">
        <v>500</v>
      </c>
      <c r="I2019" s="59" t="s">
        <v>2613</v>
      </c>
      <c r="J2019" s="18" t="s">
        <v>10643</v>
      </c>
      <c r="K2019" s="20">
        <v>1</v>
      </c>
      <c r="L2019" s="20">
        <v>1</v>
      </c>
      <c r="M2019" s="357">
        <f>+H2019</f>
        <v>500</v>
      </c>
      <c r="N2019" s="411">
        <f>IFERROR((M2019/(VLOOKUP(B2019,'Data Pull Sheet'!$C:$H,6,FALSE))),"DC")</f>
        <v>4.5045045045045047E-6</v>
      </c>
      <c r="O2019" s="23" t="s">
        <v>10850</v>
      </c>
      <c r="P2019" s="92" t="s">
        <v>676</v>
      </c>
      <c r="Q2019" s="92" t="s">
        <v>633</v>
      </c>
      <c r="R2019" s="372" t="str">
        <f t="shared" si="55"/>
        <v/>
      </c>
    </row>
    <row r="2020" spans="1:18" x14ac:dyDescent="0.25">
      <c r="A2020" s="23" t="s">
        <v>8911</v>
      </c>
      <c r="B2020" s="18" t="str">
        <f>VLOOKUP(A2020, 'Data Pull Sheet'!$B$2:$C$552,2,FALSE)</f>
        <v>TCAP</v>
      </c>
      <c r="C2020" s="59" t="s">
        <v>3869</v>
      </c>
      <c r="D2020" s="356" t="s">
        <v>9139</v>
      </c>
      <c r="E2020" s="356" t="s">
        <v>9182</v>
      </c>
      <c r="F2020" s="23" t="s">
        <v>9684</v>
      </c>
      <c r="G2020" s="92" t="s">
        <v>403</v>
      </c>
      <c r="H2020" s="353">
        <v>35371.96</v>
      </c>
      <c r="I2020" s="59"/>
      <c r="J2020" s="18" t="s">
        <v>9866</v>
      </c>
      <c r="K2020" s="20">
        <v>5</v>
      </c>
      <c r="L2020" s="20">
        <v>1</v>
      </c>
      <c r="M2020" s="357">
        <f>+H2020</f>
        <v>35371.96</v>
      </c>
      <c r="N2020" s="411">
        <f>IFERROR((M2020/(VLOOKUP(B2020,'Data Pull Sheet'!$C:$H,6,FALSE))),"DC")</f>
        <v>1.8616821052631579E-4</v>
      </c>
      <c r="O2020" s="23" t="s">
        <v>9841</v>
      </c>
      <c r="P2020" s="92" t="s">
        <v>632</v>
      </c>
      <c r="Q2020" s="92" t="s">
        <v>637</v>
      </c>
      <c r="R2020" s="372" t="str">
        <f t="shared" si="55"/>
        <v/>
      </c>
    </row>
    <row r="2021" spans="1:18" ht="30" x14ac:dyDescent="0.25">
      <c r="A2021" s="23" t="s">
        <v>8911</v>
      </c>
      <c r="B2021" s="18" t="str">
        <f>VLOOKUP(A2021, 'Data Pull Sheet'!$B$2:$C$552,2,FALSE)</f>
        <v>TCAP</v>
      </c>
      <c r="C2021" s="59" t="s">
        <v>3869</v>
      </c>
      <c r="D2021" s="356" t="s">
        <v>9139</v>
      </c>
      <c r="E2021" s="356" t="s">
        <v>9182</v>
      </c>
      <c r="F2021" s="23" t="s">
        <v>9685</v>
      </c>
      <c r="G2021" s="92" t="s">
        <v>403</v>
      </c>
      <c r="H2021" s="353">
        <v>107833.68</v>
      </c>
      <c r="I2021" s="59"/>
      <c r="J2021" s="18" t="s">
        <v>9881</v>
      </c>
      <c r="K2021" s="20"/>
      <c r="L2021" s="20">
        <v>4</v>
      </c>
      <c r="M2021" s="357">
        <f>SUM(H2021:H2024)</f>
        <v>322297.57999999996</v>
      </c>
      <c r="N2021" s="411">
        <f>IFERROR((M2021/(VLOOKUP(B2021,'Data Pull Sheet'!$C:$H,6,FALSE))),"DC")</f>
        <v>1.6963030526315787E-3</v>
      </c>
      <c r="O2021" s="23" t="s">
        <v>11190</v>
      </c>
      <c r="P2021" s="92" t="s">
        <v>632</v>
      </c>
      <c r="Q2021" s="92" t="s">
        <v>646</v>
      </c>
      <c r="R2021" s="372" t="str">
        <f t="shared" si="55"/>
        <v/>
      </c>
    </row>
    <row r="2022" spans="1:18" ht="30" x14ac:dyDescent="0.25">
      <c r="A2022" s="23" t="s">
        <v>8911</v>
      </c>
      <c r="B2022" s="18" t="str">
        <f>VLOOKUP(A2022, 'Data Pull Sheet'!$B$2:$C$552,2,FALSE)</f>
        <v>TCAP</v>
      </c>
      <c r="C2022" s="59" t="s">
        <v>3869</v>
      </c>
      <c r="D2022" s="356" t="s">
        <v>9139</v>
      </c>
      <c r="E2022" s="356" t="s">
        <v>9182</v>
      </c>
      <c r="F2022" s="23" t="s">
        <v>9686</v>
      </c>
      <c r="G2022" s="92" t="s">
        <v>403</v>
      </c>
      <c r="H2022" s="353">
        <v>71392</v>
      </c>
      <c r="I2022" s="59"/>
      <c r="J2022" s="18" t="s">
        <v>9882</v>
      </c>
      <c r="K2022" s="20"/>
      <c r="L2022" s="20"/>
      <c r="M2022" s="357"/>
      <c r="N2022" s="411"/>
      <c r="O2022" s="23" t="s">
        <v>11190</v>
      </c>
      <c r="P2022" s="92" t="s">
        <v>632</v>
      </c>
      <c r="Q2022" s="92" t="s">
        <v>646</v>
      </c>
      <c r="R2022" s="372" t="str">
        <f t="shared" si="55"/>
        <v/>
      </c>
    </row>
    <row r="2023" spans="1:18" ht="30" x14ac:dyDescent="0.25">
      <c r="A2023" s="23" t="s">
        <v>8911</v>
      </c>
      <c r="B2023" s="18" t="str">
        <f>VLOOKUP(A2023, 'Data Pull Sheet'!$B$2:$C$552,2,FALSE)</f>
        <v>TCAP</v>
      </c>
      <c r="C2023" s="59" t="s">
        <v>3869</v>
      </c>
      <c r="D2023" s="356" t="s">
        <v>9139</v>
      </c>
      <c r="E2023" s="356" t="s">
        <v>9182</v>
      </c>
      <c r="F2023" s="23" t="s">
        <v>9687</v>
      </c>
      <c r="G2023" s="92" t="s">
        <v>403</v>
      </c>
      <c r="H2023" s="353">
        <v>35729</v>
      </c>
      <c r="I2023" s="59"/>
      <c r="J2023" s="18" t="s">
        <v>9883</v>
      </c>
      <c r="K2023" s="20"/>
      <c r="L2023" s="20"/>
      <c r="M2023" s="357"/>
      <c r="N2023" s="411"/>
      <c r="O2023" s="23" t="s">
        <v>11190</v>
      </c>
      <c r="P2023" s="92" t="s">
        <v>632</v>
      </c>
      <c r="Q2023" s="92" t="s">
        <v>646</v>
      </c>
      <c r="R2023" s="372" t="str">
        <f t="shared" si="55"/>
        <v/>
      </c>
    </row>
    <row r="2024" spans="1:18" ht="30" x14ac:dyDescent="0.25">
      <c r="A2024" s="23" t="s">
        <v>8911</v>
      </c>
      <c r="B2024" s="18" t="str">
        <f>VLOOKUP(A2024, 'Data Pull Sheet'!$B$2:$C$552,2,FALSE)</f>
        <v>TCAP</v>
      </c>
      <c r="C2024" s="59" t="s">
        <v>3869</v>
      </c>
      <c r="D2024" s="356" t="s">
        <v>9139</v>
      </c>
      <c r="E2024" s="356" t="s">
        <v>9182</v>
      </c>
      <c r="F2024" s="23" t="s">
        <v>9688</v>
      </c>
      <c r="G2024" s="92" t="s">
        <v>403</v>
      </c>
      <c r="H2024" s="353">
        <v>107342.9</v>
      </c>
      <c r="I2024" s="59"/>
      <c r="J2024" s="18" t="s">
        <v>9884</v>
      </c>
      <c r="K2024" s="20"/>
      <c r="L2024" s="20"/>
      <c r="M2024" s="357"/>
      <c r="N2024" s="411"/>
      <c r="O2024" s="23" t="s">
        <v>11190</v>
      </c>
      <c r="P2024" s="92" t="s">
        <v>632</v>
      </c>
      <c r="Q2024" s="92" t="s">
        <v>646</v>
      </c>
      <c r="R2024" s="372" t="str">
        <f t="shared" si="55"/>
        <v/>
      </c>
    </row>
    <row r="2025" spans="1:18" ht="30" x14ac:dyDescent="0.25">
      <c r="A2025" s="23" t="s">
        <v>8911</v>
      </c>
      <c r="B2025" s="18" t="str">
        <f>VLOOKUP(A2025, 'Data Pull Sheet'!$B$2:$C$552,2,FALSE)</f>
        <v>TCAP</v>
      </c>
      <c r="C2025" s="59" t="s">
        <v>3869</v>
      </c>
      <c r="D2025" s="356" t="s">
        <v>9139</v>
      </c>
      <c r="E2025" s="356" t="s">
        <v>9182</v>
      </c>
      <c r="F2025" s="23" t="s">
        <v>9689</v>
      </c>
      <c r="G2025" s="92" t="s">
        <v>417</v>
      </c>
      <c r="H2025" s="353">
        <v>743372.48</v>
      </c>
      <c r="I2025" s="59"/>
      <c r="J2025" s="18" t="s">
        <v>9885</v>
      </c>
      <c r="K2025" s="20"/>
      <c r="L2025" s="20">
        <v>1</v>
      </c>
      <c r="M2025" s="357">
        <f>+H2025</f>
        <v>743372.48</v>
      </c>
      <c r="N2025" s="411">
        <f>IFERROR((M2025/(VLOOKUP(B2025,'Data Pull Sheet'!$C:$H,6,FALSE))),"DC")</f>
        <v>3.9124867368421053E-3</v>
      </c>
      <c r="O2025" s="23" t="s">
        <v>9842</v>
      </c>
      <c r="P2025" s="92" t="s">
        <v>632</v>
      </c>
      <c r="Q2025" s="92" t="s">
        <v>633</v>
      </c>
      <c r="R2025" s="372" t="str">
        <f t="shared" si="55"/>
        <v/>
      </c>
    </row>
    <row r="2026" spans="1:18" ht="30" x14ac:dyDescent="0.25">
      <c r="A2026" s="23" t="s">
        <v>8911</v>
      </c>
      <c r="B2026" s="18" t="str">
        <f>VLOOKUP(A2026, 'Data Pull Sheet'!$B$2:$C$552,2,FALSE)</f>
        <v>TCAP</v>
      </c>
      <c r="C2026" s="59" t="s">
        <v>3869</v>
      </c>
      <c r="D2026" s="356" t="s">
        <v>9139</v>
      </c>
      <c r="E2026" s="356" t="s">
        <v>9182</v>
      </c>
      <c r="F2026" s="23" t="s">
        <v>9690</v>
      </c>
      <c r="G2026" s="92" t="s">
        <v>403</v>
      </c>
      <c r="H2026" s="353">
        <v>165318.84</v>
      </c>
      <c r="I2026" s="59"/>
      <c r="J2026" s="18" t="s">
        <v>9886</v>
      </c>
      <c r="K2026" s="20"/>
      <c r="L2026" s="20">
        <v>1</v>
      </c>
      <c r="M2026" s="357">
        <f>+H2026</f>
        <v>165318.84</v>
      </c>
      <c r="N2026" s="411">
        <f>IFERROR((M2026/(VLOOKUP(B2026,'Data Pull Sheet'!$C:$H,6,FALSE))),"DC")</f>
        <v>8.7009915789473683E-4</v>
      </c>
      <c r="O2026" s="23" t="s">
        <v>983</v>
      </c>
      <c r="P2026" s="92" t="s">
        <v>632</v>
      </c>
      <c r="Q2026" s="92" t="s">
        <v>637</v>
      </c>
      <c r="R2026" s="372" t="str">
        <f t="shared" si="55"/>
        <v/>
      </c>
    </row>
    <row r="2027" spans="1:18" ht="30" x14ac:dyDescent="0.25">
      <c r="A2027" s="23" t="s">
        <v>8911</v>
      </c>
      <c r="B2027" s="18" t="str">
        <f>VLOOKUP(A2027, 'Data Pull Sheet'!$B$2:$C$552,2,FALSE)</f>
        <v>TCAP</v>
      </c>
      <c r="C2027" s="59" t="s">
        <v>3869</v>
      </c>
      <c r="D2027" s="356" t="s">
        <v>9139</v>
      </c>
      <c r="E2027" s="356" t="s">
        <v>9182</v>
      </c>
      <c r="F2027" s="23" t="s">
        <v>9691</v>
      </c>
      <c r="G2027" s="92" t="s">
        <v>403</v>
      </c>
      <c r="H2027" s="353">
        <v>51315</v>
      </c>
      <c r="I2027" s="59"/>
      <c r="J2027" s="18" t="s">
        <v>9887</v>
      </c>
      <c r="K2027" s="20"/>
      <c r="L2027" s="20">
        <v>3</v>
      </c>
      <c r="M2027" s="357">
        <f>SUM(H2027:H2029)</f>
        <v>96491</v>
      </c>
      <c r="N2027" s="411">
        <f>IFERROR((M2027/(VLOOKUP(B2027,'Data Pull Sheet'!$C:$H,6,FALSE))),"DC")</f>
        <v>5.0784736842105264E-4</v>
      </c>
      <c r="O2027" s="23" t="s">
        <v>9843</v>
      </c>
      <c r="P2027" s="92" t="s">
        <v>632</v>
      </c>
      <c r="Q2027" s="92" t="s">
        <v>646</v>
      </c>
      <c r="R2027" s="372" t="str">
        <f t="shared" si="55"/>
        <v/>
      </c>
    </row>
    <row r="2028" spans="1:18" x14ac:dyDescent="0.25">
      <c r="A2028" s="23" t="s">
        <v>8911</v>
      </c>
      <c r="B2028" s="18" t="str">
        <f>VLOOKUP(A2028, 'Data Pull Sheet'!$B$2:$C$552,2,FALSE)</f>
        <v>TCAP</v>
      </c>
      <c r="C2028" s="59" t="s">
        <v>3869</v>
      </c>
      <c r="D2028" s="356" t="s">
        <v>9139</v>
      </c>
      <c r="E2028" s="356" t="s">
        <v>9182</v>
      </c>
      <c r="F2028" s="23" t="s">
        <v>9692</v>
      </c>
      <c r="G2028" s="92" t="s">
        <v>403</v>
      </c>
      <c r="H2028" s="353">
        <v>27826</v>
      </c>
      <c r="I2028" s="59"/>
      <c r="J2028" s="18" t="s">
        <v>9888</v>
      </c>
      <c r="K2028" s="20"/>
      <c r="L2028" s="20"/>
      <c r="M2028" s="357"/>
      <c r="N2028" s="411"/>
      <c r="O2028" s="23" t="s">
        <v>9843</v>
      </c>
      <c r="P2028" s="92" t="s">
        <v>632</v>
      </c>
      <c r="Q2028" s="92" t="s">
        <v>646</v>
      </c>
      <c r="R2028" s="372" t="str">
        <f t="shared" si="55"/>
        <v/>
      </c>
    </row>
    <row r="2029" spans="1:18" x14ac:dyDescent="0.25">
      <c r="A2029" s="23" t="s">
        <v>8911</v>
      </c>
      <c r="B2029" s="18" t="str">
        <f>VLOOKUP(A2029, 'Data Pull Sheet'!$B$2:$C$552,2,FALSE)</f>
        <v>TCAP</v>
      </c>
      <c r="C2029" s="59" t="s">
        <v>3869</v>
      </c>
      <c r="D2029" s="356" t="s">
        <v>9139</v>
      </c>
      <c r="E2029" s="356" t="s">
        <v>9182</v>
      </c>
      <c r="F2029" s="23" t="s">
        <v>9693</v>
      </c>
      <c r="G2029" s="92" t="s">
        <v>403</v>
      </c>
      <c r="H2029" s="353">
        <v>17350</v>
      </c>
      <c r="I2029" s="59"/>
      <c r="J2029" s="18" t="s">
        <v>9889</v>
      </c>
      <c r="K2029" s="20"/>
      <c r="L2029" s="20"/>
      <c r="M2029" s="357"/>
      <c r="N2029" s="411"/>
      <c r="O2029" s="23" t="s">
        <v>9843</v>
      </c>
      <c r="P2029" s="92" t="s">
        <v>632</v>
      </c>
      <c r="Q2029" s="92" t="s">
        <v>646</v>
      </c>
      <c r="R2029" s="372" t="str">
        <f t="shared" si="55"/>
        <v/>
      </c>
    </row>
    <row r="2030" spans="1:18" x14ac:dyDescent="0.25">
      <c r="A2030" s="23" t="s">
        <v>8246</v>
      </c>
      <c r="B2030" s="18" t="str">
        <f>VLOOKUP(A2030, 'Data Pull Sheet'!$B$2:$C$552,2,FALSE)</f>
        <v>RYB</v>
      </c>
      <c r="C2030" s="59" t="s">
        <v>418</v>
      </c>
      <c r="D2030" s="356" t="s">
        <v>7403</v>
      </c>
      <c r="E2030" s="356" t="s">
        <v>9181</v>
      </c>
      <c r="F2030" s="23" t="s">
        <v>10862</v>
      </c>
      <c r="G2030" s="92" t="s">
        <v>403</v>
      </c>
      <c r="H2030" s="353">
        <v>177697</v>
      </c>
      <c r="I2030" s="59"/>
      <c r="J2030" s="18" t="s">
        <v>10427</v>
      </c>
      <c r="K2030" s="20">
        <v>1</v>
      </c>
      <c r="L2030" s="20">
        <v>2</v>
      </c>
      <c r="M2030" s="357">
        <f>SUM(H2030:H2031)</f>
        <v>241753</v>
      </c>
      <c r="N2030" s="411">
        <f>IFERROR((M2030/(VLOOKUP(B2030,'Data Pull Sheet'!$C:$H,6,FALSE))),"DC")</f>
        <v>5.506902050113895E-3</v>
      </c>
      <c r="O2030" s="23" t="s">
        <v>79</v>
      </c>
      <c r="P2030" s="92" t="s">
        <v>676</v>
      </c>
      <c r="Q2030" s="92" t="s">
        <v>646</v>
      </c>
      <c r="R2030" s="372" t="str">
        <f t="shared" si="55"/>
        <v/>
      </c>
    </row>
    <row r="2031" spans="1:18" x14ac:dyDescent="0.25">
      <c r="A2031" s="23" t="s">
        <v>8246</v>
      </c>
      <c r="B2031" s="18" t="str">
        <f>VLOOKUP(A2031, 'Data Pull Sheet'!$B$2:$C$552,2,FALSE)</f>
        <v>RYB</v>
      </c>
      <c r="C2031" s="59" t="s">
        <v>418</v>
      </c>
      <c r="D2031" s="356" t="s">
        <v>7403</v>
      </c>
      <c r="E2031" s="356" t="s">
        <v>9181</v>
      </c>
      <c r="F2031" s="23" t="s">
        <v>9673</v>
      </c>
      <c r="G2031" s="92" t="s">
        <v>403</v>
      </c>
      <c r="H2031" s="353">
        <v>64056</v>
      </c>
      <c r="I2031" s="59"/>
      <c r="J2031" s="18" t="s">
        <v>10428</v>
      </c>
      <c r="K2031" s="20"/>
      <c r="L2031" s="20"/>
      <c r="M2031" s="357"/>
      <c r="N2031" s="411"/>
      <c r="O2031" s="23" t="s">
        <v>79</v>
      </c>
      <c r="P2031" s="92" t="s">
        <v>676</v>
      </c>
      <c r="Q2031" s="92" t="s">
        <v>646</v>
      </c>
      <c r="R2031" s="372" t="str">
        <f t="shared" si="55"/>
        <v/>
      </c>
    </row>
    <row r="2032" spans="1:18" x14ac:dyDescent="0.25">
      <c r="A2032" s="23" t="s">
        <v>8853</v>
      </c>
      <c r="B2032" s="18" t="str">
        <f>VLOOKUP(A2032, 'Data Pull Sheet'!$B$2:$C$552,2,FALSE)</f>
        <v>KATFF</v>
      </c>
      <c r="C2032" s="59" t="s">
        <v>424</v>
      </c>
      <c r="D2032" s="356" t="s">
        <v>9135</v>
      </c>
      <c r="E2032" s="356" t="s">
        <v>9119</v>
      </c>
      <c r="F2032" s="23" t="s">
        <v>9672</v>
      </c>
      <c r="G2032" s="92" t="s">
        <v>403</v>
      </c>
      <c r="H2032" s="353">
        <v>1556.87</v>
      </c>
      <c r="I2032" s="59"/>
      <c r="J2032" s="18" t="s">
        <v>9879</v>
      </c>
      <c r="K2032" s="20">
        <v>1</v>
      </c>
      <c r="L2032" s="20">
        <v>1</v>
      </c>
      <c r="M2032" s="357">
        <f>+H2032</f>
        <v>1556.87</v>
      </c>
      <c r="N2032" s="411">
        <f>IFERROR((M2032/(VLOOKUP(B2032,'Data Pull Sheet'!$C:$H,6,FALSE))),"DC")</f>
        <v>3.1137399999999998E-3</v>
      </c>
      <c r="O2032" s="23" t="s">
        <v>682</v>
      </c>
      <c r="P2032" s="92" t="s">
        <v>676</v>
      </c>
      <c r="Q2032" s="92" t="s">
        <v>637</v>
      </c>
      <c r="R2032" s="372" t="str">
        <f t="shared" si="55"/>
        <v/>
      </c>
    </row>
    <row r="2033" spans="1:18" x14ac:dyDescent="0.25">
      <c r="A2033" s="23" t="s">
        <v>6944</v>
      </c>
      <c r="B2033" s="18" t="str">
        <f>VLOOKUP(A2033, 'Data Pull Sheet'!$B$2:$C$552,2,FALSE)</f>
        <v>INCR</v>
      </c>
      <c r="C2033" s="59" t="s">
        <v>3869</v>
      </c>
      <c r="D2033" s="356" t="s">
        <v>9134</v>
      </c>
      <c r="E2033" s="356" t="s">
        <v>9180</v>
      </c>
      <c r="F2033" s="23" t="s">
        <v>9669</v>
      </c>
      <c r="G2033" s="92" t="s">
        <v>403</v>
      </c>
      <c r="H2033" s="353">
        <v>253129.54</v>
      </c>
      <c r="I2033" s="59" t="s">
        <v>1651</v>
      </c>
      <c r="J2033" s="18" t="s">
        <v>9880</v>
      </c>
      <c r="K2033" s="20">
        <v>2</v>
      </c>
      <c r="L2033" s="20">
        <v>1</v>
      </c>
      <c r="M2033" s="357">
        <f>+H2033</f>
        <v>253129.54</v>
      </c>
      <c r="N2033" s="411">
        <f>IFERROR((M2033/(VLOOKUP(B2033,'Data Pull Sheet'!$C:$H,6,FALSE))),"DC")</f>
        <v>4.3643024137931033E-4</v>
      </c>
      <c r="O2033" s="23" t="s">
        <v>9833</v>
      </c>
      <c r="P2033" s="92" t="s">
        <v>632</v>
      </c>
      <c r="Q2033" s="92" t="s">
        <v>637</v>
      </c>
      <c r="R2033" s="372" t="str">
        <f t="shared" si="55"/>
        <v/>
      </c>
    </row>
    <row r="2034" spans="1:18" x14ac:dyDescent="0.25">
      <c r="A2034" s="23" t="s">
        <v>6944</v>
      </c>
      <c r="B2034" s="18" t="str">
        <f>VLOOKUP(A2034, 'Data Pull Sheet'!$B$2:$C$552,2,FALSE)</f>
        <v>INCR</v>
      </c>
      <c r="C2034" s="59" t="s">
        <v>3869</v>
      </c>
      <c r="D2034" s="356" t="s">
        <v>9134</v>
      </c>
      <c r="E2034" s="356" t="s">
        <v>9180</v>
      </c>
      <c r="F2034" s="23" t="s">
        <v>9670</v>
      </c>
      <c r="G2034" s="92" t="s">
        <v>417</v>
      </c>
      <c r="H2034" s="353">
        <v>132932.42000000001</v>
      </c>
      <c r="I2034" s="59"/>
      <c r="J2034" s="18" t="s">
        <v>9892</v>
      </c>
      <c r="K2034" s="20"/>
      <c r="L2034" s="20">
        <v>2</v>
      </c>
      <c r="M2034" s="357">
        <f>SUM(H2034:H2035)</f>
        <v>247607.96000000002</v>
      </c>
      <c r="N2034" s="411">
        <f>IFERROR((M2034/(VLOOKUP(B2034,'Data Pull Sheet'!$C:$H,6,FALSE))),"DC")</f>
        <v>4.2691027586206899E-4</v>
      </c>
      <c r="O2034" s="23" t="s">
        <v>7</v>
      </c>
      <c r="P2034" s="92" t="s">
        <v>632</v>
      </c>
      <c r="Q2034" s="92" t="s">
        <v>640</v>
      </c>
      <c r="R2034" s="372" t="str">
        <f t="shared" si="55"/>
        <v/>
      </c>
    </row>
    <row r="2035" spans="1:18" x14ac:dyDescent="0.25">
      <c r="A2035" s="23" t="s">
        <v>6944</v>
      </c>
      <c r="B2035" s="18" t="str">
        <f>VLOOKUP(A2035, 'Data Pull Sheet'!$B$2:$C$552,2,FALSE)</f>
        <v>INCR</v>
      </c>
      <c r="C2035" s="59" t="s">
        <v>3869</v>
      </c>
      <c r="D2035" s="356" t="s">
        <v>9134</v>
      </c>
      <c r="E2035" s="356" t="s">
        <v>9180</v>
      </c>
      <c r="F2035" s="23" t="s">
        <v>1646</v>
      </c>
      <c r="G2035" s="92" t="s">
        <v>417</v>
      </c>
      <c r="H2035" s="353">
        <v>114675.54</v>
      </c>
      <c r="I2035" s="59"/>
      <c r="J2035" s="18" t="s">
        <v>9893</v>
      </c>
      <c r="K2035" s="20"/>
      <c r="L2035" s="20"/>
      <c r="M2035" s="357"/>
      <c r="N2035" s="411"/>
      <c r="O2035" s="23" t="s">
        <v>7</v>
      </c>
      <c r="P2035" s="92" t="s">
        <v>632</v>
      </c>
      <c r="Q2035" s="92" t="s">
        <v>640</v>
      </c>
      <c r="R2035" s="372" t="str">
        <f t="shared" si="55"/>
        <v>FF</v>
      </c>
    </row>
    <row r="2036" spans="1:18" ht="45" x14ac:dyDescent="0.25">
      <c r="A2036" s="23" t="s">
        <v>8882</v>
      </c>
      <c r="B2036" s="18" t="str">
        <f>VLOOKUP(A2036, 'Data Pull Sheet'!$B$2:$C$552,2,FALSE)</f>
        <v>OSIS</v>
      </c>
      <c r="C2036" s="59" t="s">
        <v>446</v>
      </c>
      <c r="D2036" s="356" t="s">
        <v>9132</v>
      </c>
      <c r="E2036" s="356" t="s">
        <v>9118</v>
      </c>
      <c r="F2036" s="23" t="s">
        <v>9661</v>
      </c>
      <c r="G2036" s="92" t="s">
        <v>417</v>
      </c>
      <c r="H2036" s="353">
        <v>258610.39</v>
      </c>
      <c r="I2036" s="59"/>
      <c r="J2036" s="18" t="s">
        <v>9894</v>
      </c>
      <c r="K2036" s="20">
        <v>5</v>
      </c>
      <c r="L2036" s="20">
        <v>1</v>
      </c>
      <c r="M2036" s="357">
        <f>+H2036</f>
        <v>258610.39</v>
      </c>
      <c r="N2036" s="411">
        <f>IFERROR((M2036/(VLOOKUP(B2036,'Data Pull Sheet'!$C:$H,6,FALSE))),"DC")</f>
        <v>1.567335696969697E-3</v>
      </c>
      <c r="O2036" s="23" t="s">
        <v>7</v>
      </c>
      <c r="P2036" s="92" t="s">
        <v>632</v>
      </c>
      <c r="Q2036" s="92" t="s">
        <v>633</v>
      </c>
      <c r="R2036" s="372" t="str">
        <f t="shared" si="55"/>
        <v/>
      </c>
    </row>
    <row r="2037" spans="1:18" x14ac:dyDescent="0.25">
      <c r="A2037" s="23" t="s">
        <v>8882</v>
      </c>
      <c r="B2037" s="18" t="str">
        <f>VLOOKUP(A2037, 'Data Pull Sheet'!$B$2:$C$552,2,FALSE)</f>
        <v>OSIS</v>
      </c>
      <c r="C2037" s="59" t="s">
        <v>446</v>
      </c>
      <c r="D2037" s="356" t="s">
        <v>9132</v>
      </c>
      <c r="E2037" s="356" t="s">
        <v>9118</v>
      </c>
      <c r="F2037" s="23" t="s">
        <v>9662</v>
      </c>
      <c r="G2037" s="92" t="s">
        <v>417</v>
      </c>
      <c r="H2037" s="353">
        <v>159603</v>
      </c>
      <c r="I2037" s="59" t="s">
        <v>406</v>
      </c>
      <c r="J2037" s="18" t="s">
        <v>9890</v>
      </c>
      <c r="K2037" s="20"/>
      <c r="L2037" s="20">
        <v>1</v>
      </c>
      <c r="M2037" s="357">
        <f>+H2037</f>
        <v>159603</v>
      </c>
      <c r="N2037" s="411">
        <f>IFERROR((M2037/(VLOOKUP(B2037,'Data Pull Sheet'!$C:$H,6,FALSE))),"DC")</f>
        <v>9.672909090909091E-4</v>
      </c>
      <c r="O2037" s="23" t="s">
        <v>4021</v>
      </c>
      <c r="P2037" s="92" t="s">
        <v>632</v>
      </c>
      <c r="Q2037" s="92" t="s">
        <v>633</v>
      </c>
      <c r="R2037" s="372" t="str">
        <f t="shared" si="55"/>
        <v/>
      </c>
    </row>
    <row r="2038" spans="1:18" x14ac:dyDescent="0.25">
      <c r="A2038" s="23" t="s">
        <v>8882</v>
      </c>
      <c r="B2038" s="18" t="str">
        <f>VLOOKUP(A2038, 'Data Pull Sheet'!$B$2:$C$552,2,FALSE)</f>
        <v>OSIS</v>
      </c>
      <c r="C2038" s="59" t="s">
        <v>446</v>
      </c>
      <c r="D2038" s="356" t="s">
        <v>9132</v>
      </c>
      <c r="E2038" s="356" t="s">
        <v>9118</v>
      </c>
      <c r="F2038" s="23" t="s">
        <v>39</v>
      </c>
      <c r="G2038" s="92" t="s">
        <v>417</v>
      </c>
      <c r="H2038" s="353">
        <v>1877083.73</v>
      </c>
      <c r="I2038" s="59" t="s">
        <v>413</v>
      </c>
      <c r="J2038" s="18" t="s">
        <v>9895</v>
      </c>
      <c r="K2038" s="20"/>
      <c r="L2038" s="20">
        <v>1</v>
      </c>
      <c r="M2038" s="357">
        <f>+H2038</f>
        <v>1877083.73</v>
      </c>
      <c r="N2038" s="411">
        <f>IFERROR((M2038/(VLOOKUP(B2038,'Data Pull Sheet'!$C:$H,6,FALSE))),"DC")</f>
        <v>1.1376265030303031E-2</v>
      </c>
      <c r="O2038" s="23" t="s">
        <v>10813</v>
      </c>
      <c r="P2038" s="92" t="s">
        <v>632</v>
      </c>
      <c r="Q2038" s="92" t="s">
        <v>633</v>
      </c>
      <c r="R2038" s="372" t="str">
        <f t="shared" si="55"/>
        <v>FF</v>
      </c>
    </row>
    <row r="2039" spans="1:18" x14ac:dyDescent="0.25">
      <c r="A2039" s="23" t="s">
        <v>8882</v>
      </c>
      <c r="B2039" s="18" t="str">
        <f>VLOOKUP(A2039, 'Data Pull Sheet'!$B$2:$C$552,2,FALSE)</f>
        <v>OSIS</v>
      </c>
      <c r="C2039" s="59" t="s">
        <v>446</v>
      </c>
      <c r="D2039" s="356" t="s">
        <v>9132</v>
      </c>
      <c r="E2039" s="356" t="s">
        <v>9118</v>
      </c>
      <c r="F2039" s="23" t="s">
        <v>9663</v>
      </c>
      <c r="G2039" s="92" t="s">
        <v>403</v>
      </c>
      <c r="H2039" s="353">
        <v>25308.080000000002</v>
      </c>
      <c r="I2039" s="59"/>
      <c r="J2039" s="18" t="s">
        <v>9896</v>
      </c>
      <c r="K2039" s="20"/>
      <c r="L2039" s="20">
        <v>1</v>
      </c>
      <c r="M2039" s="357">
        <f>+H2039</f>
        <v>25308.080000000002</v>
      </c>
      <c r="N2039" s="411">
        <f>IFERROR((M2039/(VLOOKUP(B2039,'Data Pull Sheet'!$C:$H,6,FALSE))),"DC")</f>
        <v>1.5338230303030303E-4</v>
      </c>
      <c r="O2039" s="23" t="s">
        <v>682</v>
      </c>
      <c r="P2039" s="92" t="s">
        <v>632</v>
      </c>
      <c r="Q2039" s="92" t="s">
        <v>637</v>
      </c>
      <c r="R2039" s="372" t="str">
        <f t="shared" si="55"/>
        <v/>
      </c>
    </row>
    <row r="2040" spans="1:18" x14ac:dyDescent="0.25">
      <c r="A2040" s="23" t="s">
        <v>8882</v>
      </c>
      <c r="B2040" s="18" t="str">
        <f>VLOOKUP(A2040, 'Data Pull Sheet'!$B$2:$C$552,2,FALSE)</f>
        <v>OSIS</v>
      </c>
      <c r="C2040" s="59" t="s">
        <v>446</v>
      </c>
      <c r="D2040" s="356" t="s">
        <v>9132</v>
      </c>
      <c r="E2040" s="356" t="s">
        <v>9118</v>
      </c>
      <c r="F2040" s="23" t="s">
        <v>9664</v>
      </c>
      <c r="G2040" s="92" t="s">
        <v>403</v>
      </c>
      <c r="H2040" s="353">
        <v>17593</v>
      </c>
      <c r="I2040" s="59"/>
      <c r="J2040" s="18" t="s">
        <v>9897</v>
      </c>
      <c r="K2040" s="20"/>
      <c r="L2040" s="20">
        <v>2</v>
      </c>
      <c r="M2040" s="357">
        <f>SUM(H2040:H2041)</f>
        <v>36775</v>
      </c>
      <c r="N2040" s="411">
        <f>IFERROR((M2040/(VLOOKUP(B2040,'Data Pull Sheet'!$C:$H,6,FALSE))),"DC")</f>
        <v>2.2287878787878788E-4</v>
      </c>
      <c r="O2040" s="23" t="s">
        <v>9836</v>
      </c>
      <c r="P2040" s="92" t="s">
        <v>632</v>
      </c>
      <c r="Q2040" s="92" t="s">
        <v>646</v>
      </c>
      <c r="R2040" s="372" t="str">
        <f t="shared" si="55"/>
        <v/>
      </c>
    </row>
    <row r="2041" spans="1:18" x14ac:dyDescent="0.25">
      <c r="A2041" s="23" t="s">
        <v>8882</v>
      </c>
      <c r="B2041" s="18" t="str">
        <f>VLOOKUP(A2041, 'Data Pull Sheet'!$B$2:$C$552,2,FALSE)</f>
        <v>OSIS</v>
      </c>
      <c r="C2041" s="59" t="s">
        <v>446</v>
      </c>
      <c r="D2041" s="356" t="s">
        <v>9132</v>
      </c>
      <c r="E2041" s="356" t="s">
        <v>9118</v>
      </c>
      <c r="F2041" s="23" t="s">
        <v>9665</v>
      </c>
      <c r="G2041" s="92" t="s">
        <v>403</v>
      </c>
      <c r="H2041" s="353">
        <v>19182</v>
      </c>
      <c r="I2041" s="59"/>
      <c r="J2041" s="18" t="s">
        <v>9898</v>
      </c>
      <c r="K2041" s="20"/>
      <c r="L2041" s="20"/>
      <c r="M2041" s="357"/>
      <c r="N2041" s="411"/>
      <c r="O2041" s="23" t="s">
        <v>9836</v>
      </c>
      <c r="P2041" s="92" t="s">
        <v>632</v>
      </c>
      <c r="Q2041" s="92" t="s">
        <v>646</v>
      </c>
      <c r="R2041" s="372" t="str">
        <f t="shared" si="55"/>
        <v/>
      </c>
    </row>
    <row r="2042" spans="1:18" x14ac:dyDescent="0.25">
      <c r="A2042" s="23" t="s">
        <v>8892</v>
      </c>
      <c r="B2042" s="18" t="str">
        <f>VLOOKUP(A2042, 'Data Pull Sheet'!$B$2:$C$552,2,FALSE)</f>
        <v>QD</v>
      </c>
      <c r="C2042" s="59" t="s">
        <v>418</v>
      </c>
      <c r="D2042" s="356" t="s">
        <v>7371</v>
      </c>
      <c r="E2042" s="356" t="s">
        <v>9179</v>
      </c>
      <c r="F2042" s="23" t="s">
        <v>9655</v>
      </c>
      <c r="G2042" s="92" t="s">
        <v>403</v>
      </c>
      <c r="H2042" s="353">
        <v>1716693.58</v>
      </c>
      <c r="I2042" s="59"/>
      <c r="J2042" s="18" t="s">
        <v>9902</v>
      </c>
      <c r="K2042" s="20">
        <v>6</v>
      </c>
      <c r="L2042" s="20">
        <v>1</v>
      </c>
      <c r="M2042" s="357">
        <f>+H2042</f>
        <v>1716693.58</v>
      </c>
      <c r="N2042" s="411">
        <f>IFERROR((M2042/(VLOOKUP(B2042,'Data Pull Sheet'!$C:$H,6,FALSE))),"DC")</f>
        <v>2.7467097280000001E-3</v>
      </c>
      <c r="O2042" s="23" t="s">
        <v>682</v>
      </c>
      <c r="P2042" s="92" t="s">
        <v>632</v>
      </c>
      <c r="Q2042" s="92" t="s">
        <v>637</v>
      </c>
      <c r="R2042" s="372" t="str">
        <f t="shared" si="55"/>
        <v/>
      </c>
    </row>
    <row r="2043" spans="1:18" x14ac:dyDescent="0.25">
      <c r="A2043" s="23" t="s">
        <v>8892</v>
      </c>
      <c r="B2043" s="18" t="str">
        <f>VLOOKUP(A2043, 'Data Pull Sheet'!$B$2:$C$552,2,FALSE)</f>
        <v>QD</v>
      </c>
      <c r="C2043" s="59" t="s">
        <v>418</v>
      </c>
      <c r="D2043" s="356" t="s">
        <v>7371</v>
      </c>
      <c r="E2043" s="356" t="s">
        <v>9179</v>
      </c>
      <c r="F2043" s="23" t="s">
        <v>10425</v>
      </c>
      <c r="G2043" s="92" t="s">
        <v>403</v>
      </c>
      <c r="H2043" s="353">
        <v>257700</v>
      </c>
      <c r="I2043" s="59"/>
      <c r="J2043" s="18" t="s">
        <v>10426</v>
      </c>
      <c r="K2043" s="20"/>
      <c r="L2043" s="20">
        <v>2</v>
      </c>
      <c r="M2043" s="357">
        <f>+H2043</f>
        <v>257700</v>
      </c>
      <c r="N2043" s="411">
        <f>IFERROR((M2043/(VLOOKUP(B2043,'Data Pull Sheet'!$C:$H,6,FALSE))),"DC")</f>
        <v>4.1231999999999998E-4</v>
      </c>
      <c r="O2043" s="23" t="s">
        <v>9833</v>
      </c>
      <c r="P2043" s="92" t="s">
        <v>632</v>
      </c>
      <c r="Q2043" s="92" t="s">
        <v>637</v>
      </c>
      <c r="R2043" s="372" t="str">
        <f t="shared" si="55"/>
        <v/>
      </c>
    </row>
    <row r="2044" spans="1:18" x14ac:dyDescent="0.25">
      <c r="A2044" s="23" t="s">
        <v>8892</v>
      </c>
      <c r="B2044" s="18" t="str">
        <f>VLOOKUP(A2044, 'Data Pull Sheet'!$B$2:$C$552,2,FALSE)</f>
        <v>QD</v>
      </c>
      <c r="C2044" s="59" t="s">
        <v>418</v>
      </c>
      <c r="D2044" s="356" t="s">
        <v>7371</v>
      </c>
      <c r="E2044" s="356" t="s">
        <v>9179</v>
      </c>
      <c r="F2044" s="23" t="s">
        <v>9656</v>
      </c>
      <c r="G2044" s="92" t="s">
        <v>403</v>
      </c>
      <c r="H2044" s="353">
        <v>362749.52</v>
      </c>
      <c r="I2044" s="59"/>
      <c r="J2044" s="18" t="s">
        <v>9899</v>
      </c>
      <c r="K2044" s="20"/>
      <c r="L2044" s="20">
        <v>1</v>
      </c>
      <c r="M2044" s="357">
        <f>+H2044</f>
        <v>362749.52</v>
      </c>
      <c r="N2044" s="411">
        <f>IFERROR((M2044/(VLOOKUP(B2044,'Data Pull Sheet'!$C:$H,6,FALSE))),"DC")</f>
        <v>5.8039923200000005E-4</v>
      </c>
      <c r="O2044" s="23" t="s">
        <v>34</v>
      </c>
      <c r="P2044" s="92" t="s">
        <v>632</v>
      </c>
      <c r="Q2044" s="92" t="s">
        <v>637</v>
      </c>
      <c r="R2044" s="372" t="str">
        <f t="shared" si="55"/>
        <v/>
      </c>
    </row>
    <row r="2045" spans="1:18" x14ac:dyDescent="0.25">
      <c r="A2045" s="23" t="s">
        <v>8892</v>
      </c>
      <c r="B2045" s="18" t="str">
        <f>VLOOKUP(A2045, 'Data Pull Sheet'!$B$2:$C$552,2,FALSE)</f>
        <v>QD</v>
      </c>
      <c r="C2045" s="59" t="s">
        <v>418</v>
      </c>
      <c r="D2045" s="356" t="s">
        <v>7371</v>
      </c>
      <c r="E2045" s="356" t="s">
        <v>9179</v>
      </c>
      <c r="F2045" s="23" t="s">
        <v>9657</v>
      </c>
      <c r="G2045" s="92" t="s">
        <v>417</v>
      </c>
      <c r="H2045" s="353">
        <v>7156722.0199999996</v>
      </c>
      <c r="I2045" s="59" t="s">
        <v>406</v>
      </c>
      <c r="J2045" s="18" t="s">
        <v>9900</v>
      </c>
      <c r="K2045" s="20"/>
      <c r="L2045" s="20">
        <v>1</v>
      </c>
      <c r="M2045" s="357">
        <f>+H2045</f>
        <v>7156722.0199999996</v>
      </c>
      <c r="N2045" s="411">
        <f>IFERROR((M2045/(VLOOKUP(B2045,'Data Pull Sheet'!$C:$H,6,FALSE))),"DC")</f>
        <v>1.1450755231999999E-2</v>
      </c>
      <c r="O2045" s="23" t="s">
        <v>407</v>
      </c>
      <c r="P2045" s="92" t="s">
        <v>632</v>
      </c>
      <c r="Q2045" s="92" t="s">
        <v>633</v>
      </c>
      <c r="R2045" s="372" t="str">
        <f t="shared" si="55"/>
        <v/>
      </c>
    </row>
    <row r="2046" spans="1:18" x14ac:dyDescent="0.25">
      <c r="A2046" s="23" t="s">
        <v>8892</v>
      </c>
      <c r="B2046" s="18" t="str">
        <f>VLOOKUP(A2046, 'Data Pull Sheet'!$B$2:$C$552,2,FALSE)</f>
        <v>QD</v>
      </c>
      <c r="C2046" s="59" t="s">
        <v>418</v>
      </c>
      <c r="D2046" s="356" t="s">
        <v>7371</v>
      </c>
      <c r="E2046" s="356" t="s">
        <v>9179</v>
      </c>
      <c r="F2046" s="23" t="s">
        <v>9658</v>
      </c>
      <c r="G2046" s="92" t="s">
        <v>403</v>
      </c>
      <c r="H2046" s="353">
        <v>79059.34</v>
      </c>
      <c r="I2046" s="59"/>
      <c r="J2046" s="18" t="s">
        <v>9908</v>
      </c>
      <c r="K2046" s="20"/>
      <c r="L2046" s="20">
        <v>1</v>
      </c>
      <c r="M2046" s="357">
        <f>+H2046</f>
        <v>79059.34</v>
      </c>
      <c r="N2046" s="411">
        <f>IFERROR((M2046/(VLOOKUP(B2046,'Data Pull Sheet'!$C:$H,6,FALSE))),"DC")</f>
        <v>1.2649494399999999E-4</v>
      </c>
      <c r="O2046" s="23" t="s">
        <v>9834</v>
      </c>
      <c r="P2046" s="92" t="s">
        <v>632</v>
      </c>
      <c r="Q2046" s="92" t="s">
        <v>637</v>
      </c>
      <c r="R2046" s="372" t="str">
        <f t="shared" si="55"/>
        <v/>
      </c>
    </row>
    <row r="2047" spans="1:18" x14ac:dyDescent="0.25">
      <c r="A2047" s="23" t="s">
        <v>8892</v>
      </c>
      <c r="B2047" s="18" t="str">
        <f>VLOOKUP(A2047, 'Data Pull Sheet'!$B$2:$C$552,2,FALSE)</f>
        <v>QD</v>
      </c>
      <c r="C2047" s="59" t="s">
        <v>418</v>
      </c>
      <c r="D2047" s="356" t="s">
        <v>7371</v>
      </c>
      <c r="E2047" s="356" t="s">
        <v>9179</v>
      </c>
      <c r="F2047" s="23" t="s">
        <v>9659</v>
      </c>
      <c r="G2047" s="92" t="s">
        <v>403</v>
      </c>
      <c r="H2047" s="353">
        <v>15752804.76</v>
      </c>
      <c r="I2047" s="59"/>
      <c r="J2047" s="18" t="s">
        <v>9909</v>
      </c>
      <c r="K2047" s="20"/>
      <c r="L2047" s="20">
        <v>2</v>
      </c>
      <c r="M2047" s="357">
        <f>SUM(H2047:H2048)</f>
        <v>15981787.310000001</v>
      </c>
      <c r="N2047" s="411">
        <f>IFERROR((M2047/(VLOOKUP(B2047,'Data Pull Sheet'!$C:$H,6,FALSE))),"DC")</f>
        <v>2.5570859696000002E-2</v>
      </c>
      <c r="O2047" s="23" t="s">
        <v>9835</v>
      </c>
      <c r="P2047" s="92" t="s">
        <v>632</v>
      </c>
      <c r="Q2047" s="92" t="s">
        <v>646</v>
      </c>
      <c r="R2047" s="372" t="str">
        <f t="shared" si="55"/>
        <v/>
      </c>
    </row>
    <row r="2048" spans="1:18" x14ac:dyDescent="0.25">
      <c r="A2048" s="23" t="s">
        <v>8892</v>
      </c>
      <c r="B2048" s="18" t="str">
        <f>VLOOKUP(A2048, 'Data Pull Sheet'!$B$2:$C$552,2,FALSE)</f>
        <v>QD</v>
      </c>
      <c r="C2048" s="59" t="s">
        <v>418</v>
      </c>
      <c r="D2048" s="356" t="s">
        <v>7371</v>
      </c>
      <c r="E2048" s="356" t="s">
        <v>9179</v>
      </c>
      <c r="F2048" s="23" t="s">
        <v>9660</v>
      </c>
      <c r="G2048" s="92" t="s">
        <v>403</v>
      </c>
      <c r="H2048" s="353">
        <v>228982.55</v>
      </c>
      <c r="I2048" s="59"/>
      <c r="J2048" s="18" t="s">
        <v>9910</v>
      </c>
      <c r="K2048" s="20"/>
      <c r="L2048" s="20"/>
      <c r="M2048" s="357"/>
      <c r="N2048" s="411"/>
      <c r="O2048" s="23" t="s">
        <v>9835</v>
      </c>
      <c r="P2048" s="92" t="s">
        <v>632</v>
      </c>
      <c r="Q2048" s="92" t="s">
        <v>646</v>
      </c>
      <c r="R2048" s="372" t="str">
        <f t="shared" si="55"/>
        <v/>
      </c>
    </row>
    <row r="2049" spans="1:18" x14ac:dyDescent="0.25">
      <c r="A2049" s="23" t="s">
        <v>8802</v>
      </c>
      <c r="B2049" s="18" t="str">
        <f>VLOOKUP(A2049, 'Data Pull Sheet'!$B$2:$C$552,2,FALSE)</f>
        <v>AQMS</v>
      </c>
      <c r="C2049" s="59" t="s">
        <v>457</v>
      </c>
      <c r="D2049" s="356" t="s">
        <v>7366</v>
      </c>
      <c r="E2049" s="356" t="s">
        <v>9114</v>
      </c>
      <c r="F2049" s="23" t="s">
        <v>9649</v>
      </c>
      <c r="G2049" s="92" t="s">
        <v>403</v>
      </c>
      <c r="H2049" s="353">
        <v>192550</v>
      </c>
      <c r="I2049" s="59"/>
      <c r="J2049" s="18" t="s">
        <v>9903</v>
      </c>
      <c r="K2049" s="20">
        <v>5</v>
      </c>
      <c r="L2049" s="20">
        <v>1</v>
      </c>
      <c r="M2049" s="357">
        <f>+H2049</f>
        <v>192550</v>
      </c>
      <c r="N2049" s="411">
        <f>IFERROR((M2049/(VLOOKUP(B2049,'Data Pull Sheet'!$C:$H,6,FALSE))),"DC")</f>
        <v>2.7507142857142856E-3</v>
      </c>
      <c r="O2049" s="23" t="s">
        <v>682</v>
      </c>
      <c r="P2049" s="92" t="s">
        <v>632</v>
      </c>
      <c r="Q2049" s="92" t="s">
        <v>637</v>
      </c>
      <c r="R2049" s="372" t="str">
        <f t="shared" si="55"/>
        <v/>
      </c>
    </row>
    <row r="2050" spans="1:18" x14ac:dyDescent="0.25">
      <c r="A2050" s="23" t="s">
        <v>8802</v>
      </c>
      <c r="B2050" s="18" t="str">
        <f>VLOOKUP(A2050, 'Data Pull Sheet'!$B$2:$C$552,2,FALSE)</f>
        <v>AQMS</v>
      </c>
      <c r="C2050" s="59" t="s">
        <v>457</v>
      </c>
      <c r="D2050" s="356" t="s">
        <v>7366</v>
      </c>
      <c r="E2050" s="356" t="s">
        <v>9114</v>
      </c>
      <c r="F2050" s="23" t="s">
        <v>9650</v>
      </c>
      <c r="G2050" s="92" t="s">
        <v>403</v>
      </c>
      <c r="H2050" s="353">
        <v>137320.17000000001</v>
      </c>
      <c r="I2050" s="59" t="s">
        <v>406</v>
      </c>
      <c r="J2050" s="18" t="s">
        <v>9891</v>
      </c>
      <c r="K2050" s="20"/>
      <c r="L2050" s="20">
        <v>1</v>
      </c>
      <c r="M2050" s="357">
        <f>+H2050</f>
        <v>137320.17000000001</v>
      </c>
      <c r="N2050" s="411">
        <f>IFERROR((M2050/(VLOOKUP(B2050,'Data Pull Sheet'!$C:$H,6,FALSE))),"DC")</f>
        <v>1.9617167142857144E-3</v>
      </c>
      <c r="O2050" s="23" t="s">
        <v>407</v>
      </c>
      <c r="P2050" s="92" t="s">
        <v>632</v>
      </c>
      <c r="Q2050" s="92" t="s">
        <v>637</v>
      </c>
      <c r="R2050" s="372" t="str">
        <f t="shared" ref="R2050:R2113" si="57">IF(COUNTIF(F:F,F2050)&gt;=2,"FF","")</f>
        <v/>
      </c>
    </row>
    <row r="2051" spans="1:18" x14ac:dyDescent="0.25">
      <c r="A2051" s="23" t="s">
        <v>8802</v>
      </c>
      <c r="B2051" s="18" t="str">
        <f>VLOOKUP(A2051, 'Data Pull Sheet'!$B$2:$C$552,2,FALSE)</f>
        <v>AQMS</v>
      </c>
      <c r="C2051" s="59" t="s">
        <v>457</v>
      </c>
      <c r="D2051" s="356" t="s">
        <v>7366</v>
      </c>
      <c r="E2051" s="356" t="s">
        <v>9114</v>
      </c>
      <c r="F2051" s="23" t="s">
        <v>9651</v>
      </c>
      <c r="G2051" s="92" t="s">
        <v>403</v>
      </c>
      <c r="H2051" s="353">
        <v>118293</v>
      </c>
      <c r="I2051" s="59"/>
      <c r="J2051" s="18" t="s">
        <v>9905</v>
      </c>
      <c r="K2051" s="20"/>
      <c r="L2051" s="20">
        <v>1</v>
      </c>
      <c r="M2051" s="357">
        <f>+H2051</f>
        <v>118293</v>
      </c>
      <c r="N2051" s="411">
        <f>IFERROR((M2051/(VLOOKUP(B2051,'Data Pull Sheet'!$C:$H,6,FALSE))),"DC")</f>
        <v>1.6899E-3</v>
      </c>
      <c r="O2051" s="23" t="s">
        <v>79</v>
      </c>
      <c r="P2051" s="92" t="s">
        <v>632</v>
      </c>
      <c r="Q2051" s="92" t="s">
        <v>637</v>
      </c>
      <c r="R2051" s="372" t="str">
        <f t="shared" si="57"/>
        <v/>
      </c>
    </row>
    <row r="2052" spans="1:18" x14ac:dyDescent="0.25">
      <c r="A2052" s="23" t="s">
        <v>8802</v>
      </c>
      <c r="B2052" s="18" t="str">
        <f>VLOOKUP(A2052, 'Data Pull Sheet'!$B$2:$C$552,2,FALSE)</f>
        <v>AQMS</v>
      </c>
      <c r="C2052" s="59" t="s">
        <v>457</v>
      </c>
      <c r="D2052" s="356" t="s">
        <v>7366</v>
      </c>
      <c r="E2052" s="356" t="s">
        <v>9114</v>
      </c>
      <c r="F2052" s="23" t="s">
        <v>9652</v>
      </c>
      <c r="G2052" s="92" t="s">
        <v>403</v>
      </c>
      <c r="H2052" s="353">
        <v>485136.56</v>
      </c>
      <c r="I2052" s="59"/>
      <c r="J2052" s="18" t="s">
        <v>9901</v>
      </c>
      <c r="K2052" s="20"/>
      <c r="L2052" s="20">
        <v>1</v>
      </c>
      <c r="M2052" s="357">
        <f>+H2052</f>
        <v>485136.56</v>
      </c>
      <c r="N2052" s="411">
        <f>IFERROR((M2052/(VLOOKUP(B2052,'Data Pull Sheet'!$C:$H,6,FALSE))),"DC")</f>
        <v>6.9305222857142853E-3</v>
      </c>
      <c r="O2052" s="23" t="s">
        <v>9831</v>
      </c>
      <c r="P2052" s="92" t="s">
        <v>632</v>
      </c>
      <c r="Q2052" s="92" t="s">
        <v>637</v>
      </c>
      <c r="R2052" s="372" t="str">
        <f t="shared" si="57"/>
        <v/>
      </c>
    </row>
    <row r="2053" spans="1:18" x14ac:dyDescent="0.25">
      <c r="A2053" s="23" t="s">
        <v>8802</v>
      </c>
      <c r="B2053" s="18" t="str">
        <f>VLOOKUP(A2053, 'Data Pull Sheet'!$B$2:$C$552,2,FALSE)</f>
        <v>AQMS</v>
      </c>
      <c r="C2053" s="59" t="s">
        <v>457</v>
      </c>
      <c r="D2053" s="356" t="s">
        <v>7366</v>
      </c>
      <c r="E2053" s="356" t="s">
        <v>9114</v>
      </c>
      <c r="F2053" s="23" t="s">
        <v>9653</v>
      </c>
      <c r="G2053" s="92" t="s">
        <v>417</v>
      </c>
      <c r="H2053" s="353">
        <v>251305</v>
      </c>
      <c r="I2053" s="59"/>
      <c r="J2053" s="18" t="s">
        <v>9911</v>
      </c>
      <c r="K2053" s="20"/>
      <c r="L2053" s="20">
        <v>3</v>
      </c>
      <c r="M2053" s="357">
        <f>SUM(H2053:H2055)</f>
        <v>741295</v>
      </c>
      <c r="N2053" s="411">
        <f>IFERROR((M2053/(VLOOKUP(B2053,'Data Pull Sheet'!$C:$H,6,FALSE))),"DC")</f>
        <v>1.0589928571428571E-2</v>
      </c>
      <c r="O2053" s="23" t="s">
        <v>9832</v>
      </c>
      <c r="P2053" s="92" t="s">
        <v>632</v>
      </c>
      <c r="Q2053" s="92" t="s">
        <v>662</v>
      </c>
      <c r="R2053" s="372" t="str">
        <f t="shared" si="57"/>
        <v/>
      </c>
    </row>
    <row r="2054" spans="1:18" x14ac:dyDescent="0.25">
      <c r="A2054" s="23" t="s">
        <v>8802</v>
      </c>
      <c r="B2054" s="18" t="str">
        <f>VLOOKUP(A2054, 'Data Pull Sheet'!$B$2:$C$552,2,FALSE)</f>
        <v>AQMS</v>
      </c>
      <c r="C2054" s="59" t="s">
        <v>457</v>
      </c>
      <c r="D2054" s="356" t="s">
        <v>7366</v>
      </c>
      <c r="E2054" s="356" t="s">
        <v>9114</v>
      </c>
      <c r="F2054" s="23" t="s">
        <v>9654</v>
      </c>
      <c r="G2054" s="92" t="s">
        <v>403</v>
      </c>
      <c r="H2054" s="353">
        <v>138528</v>
      </c>
      <c r="I2054" s="59" t="s">
        <v>442</v>
      </c>
      <c r="J2054" s="18" t="s">
        <v>9912</v>
      </c>
      <c r="K2054" s="20"/>
      <c r="L2054" s="20"/>
      <c r="M2054" s="357"/>
      <c r="N2054" s="411"/>
      <c r="O2054" s="23" t="s">
        <v>9832</v>
      </c>
      <c r="P2054" s="92" t="s">
        <v>632</v>
      </c>
      <c r="Q2054" s="92" t="s">
        <v>662</v>
      </c>
      <c r="R2054" s="372" t="str">
        <f t="shared" si="57"/>
        <v/>
      </c>
    </row>
    <row r="2055" spans="1:18" x14ac:dyDescent="0.25">
      <c r="A2055" s="23" t="s">
        <v>8802</v>
      </c>
      <c r="B2055" s="18" t="str">
        <f>VLOOKUP(A2055, 'Data Pull Sheet'!$B$2:$C$552,2,FALSE)</f>
        <v>AQMS</v>
      </c>
      <c r="C2055" s="59" t="s">
        <v>457</v>
      </c>
      <c r="D2055" s="356" t="s">
        <v>7366</v>
      </c>
      <c r="E2055" s="356" t="s">
        <v>9114</v>
      </c>
      <c r="F2055" s="23" t="s">
        <v>295</v>
      </c>
      <c r="G2055" s="92" t="s">
        <v>417</v>
      </c>
      <c r="H2055" s="353">
        <v>351462</v>
      </c>
      <c r="I2055" s="59" t="s">
        <v>442</v>
      </c>
      <c r="J2055" s="18" t="s">
        <v>9913</v>
      </c>
      <c r="K2055" s="20"/>
      <c r="L2055" s="20"/>
      <c r="M2055" s="357"/>
      <c r="N2055" s="411"/>
      <c r="O2055" s="23" t="s">
        <v>9832</v>
      </c>
      <c r="P2055" s="92" t="s">
        <v>632</v>
      </c>
      <c r="Q2055" s="92" t="s">
        <v>662</v>
      </c>
      <c r="R2055" s="372" t="str">
        <f t="shared" si="57"/>
        <v>FF</v>
      </c>
    </row>
    <row r="2056" spans="1:18" x14ac:dyDescent="0.25">
      <c r="A2056" s="23" t="s">
        <v>8857</v>
      </c>
      <c r="B2056" s="18" t="str">
        <f>VLOOKUP(A2056, 'Data Pull Sheet'!$B$2:$C$552,2,FALSE)</f>
        <v>TAX</v>
      </c>
      <c r="C2056" s="59" t="s">
        <v>1008</v>
      </c>
      <c r="D2056" s="356" t="s">
        <v>7366</v>
      </c>
      <c r="E2056" s="356" t="s">
        <v>9114</v>
      </c>
      <c r="F2056" s="23" t="s">
        <v>9646</v>
      </c>
      <c r="G2056" s="92" t="s">
        <v>403</v>
      </c>
      <c r="H2056" s="353">
        <v>208.32</v>
      </c>
      <c r="I2056" s="59" t="s">
        <v>406</v>
      </c>
      <c r="J2056" s="18" t="s">
        <v>9904</v>
      </c>
      <c r="K2056" s="20">
        <v>3</v>
      </c>
      <c r="L2056" s="20">
        <v>1</v>
      </c>
      <c r="M2056" s="357">
        <f>+H2056</f>
        <v>208.32</v>
      </c>
      <c r="N2056" s="411">
        <f>IFERROR((M2056/(VLOOKUP(B2056,'Data Pull Sheet'!$C:$H,6,FALSE))),"DC")</f>
        <v>1.8938181818181818E-5</v>
      </c>
      <c r="O2056" s="23" t="s">
        <v>2410</v>
      </c>
      <c r="P2056" s="92" t="s">
        <v>632</v>
      </c>
      <c r="Q2056" s="92" t="s">
        <v>637</v>
      </c>
      <c r="R2056" s="372" t="str">
        <f t="shared" si="57"/>
        <v/>
      </c>
    </row>
    <row r="2057" spans="1:18" x14ac:dyDescent="0.25">
      <c r="A2057" s="23" t="s">
        <v>8857</v>
      </c>
      <c r="B2057" s="18" t="str">
        <f>VLOOKUP(A2057, 'Data Pull Sheet'!$B$2:$C$552,2,FALSE)</f>
        <v>TAX</v>
      </c>
      <c r="C2057" s="59" t="s">
        <v>1008</v>
      </c>
      <c r="D2057" s="356" t="s">
        <v>7366</v>
      </c>
      <c r="E2057" s="356" t="s">
        <v>9114</v>
      </c>
      <c r="F2057" s="23" t="s">
        <v>9647</v>
      </c>
      <c r="G2057" s="92" t="s">
        <v>403</v>
      </c>
      <c r="H2057" s="353">
        <v>122.5</v>
      </c>
      <c r="I2057" s="59"/>
      <c r="J2057" s="18" t="s">
        <v>9914</v>
      </c>
      <c r="K2057" s="20"/>
      <c r="L2057" s="20">
        <v>2</v>
      </c>
      <c r="M2057" s="357">
        <f>SUM(H2057:H2058)</f>
        <v>997.5</v>
      </c>
      <c r="N2057" s="411">
        <f>IFERROR((M2057/(VLOOKUP(B2057,'Data Pull Sheet'!$C:$H,6,FALSE))),"DC")</f>
        <v>9.0681818181818176E-5</v>
      </c>
      <c r="O2057" s="23" t="s">
        <v>682</v>
      </c>
      <c r="P2057" s="92" t="s">
        <v>632</v>
      </c>
      <c r="Q2057" s="92" t="s">
        <v>662</v>
      </c>
      <c r="R2057" s="372" t="str">
        <f t="shared" si="57"/>
        <v/>
      </c>
    </row>
    <row r="2058" spans="1:18" x14ac:dyDescent="0.25">
      <c r="A2058" s="23" t="s">
        <v>8857</v>
      </c>
      <c r="B2058" s="18" t="str">
        <f>VLOOKUP(A2058, 'Data Pull Sheet'!$B$2:$C$552,2,FALSE)</f>
        <v>TAX</v>
      </c>
      <c r="C2058" s="59" t="s">
        <v>1008</v>
      </c>
      <c r="D2058" s="356" t="s">
        <v>7366</v>
      </c>
      <c r="E2058" s="356" t="s">
        <v>9114</v>
      </c>
      <c r="F2058" s="23" t="s">
        <v>9648</v>
      </c>
      <c r="G2058" s="92" t="s">
        <v>417</v>
      </c>
      <c r="H2058" s="353">
        <v>875</v>
      </c>
      <c r="I2058" s="59"/>
      <c r="J2058" s="18" t="s">
        <v>9915</v>
      </c>
      <c r="K2058" s="20"/>
      <c r="L2058" s="20"/>
      <c r="M2058" s="357"/>
      <c r="N2058" s="411"/>
      <c r="O2058" s="23" t="s">
        <v>682</v>
      </c>
      <c r="P2058" s="92" t="s">
        <v>632</v>
      </c>
      <c r="Q2058" s="92" t="s">
        <v>662</v>
      </c>
      <c r="R2058" s="372" t="str">
        <f t="shared" si="57"/>
        <v/>
      </c>
    </row>
    <row r="2059" spans="1:18" ht="30" x14ac:dyDescent="0.25">
      <c r="A2059" s="23" t="s">
        <v>8857</v>
      </c>
      <c r="B2059" s="18" t="str">
        <f>VLOOKUP(A2059, 'Data Pull Sheet'!$B$2:$C$552,2,FALSE)</f>
        <v>TAX</v>
      </c>
      <c r="C2059" s="59" t="s">
        <v>1008</v>
      </c>
      <c r="D2059" s="356" t="s">
        <v>7366</v>
      </c>
      <c r="E2059" s="356" t="s">
        <v>9114</v>
      </c>
      <c r="F2059" s="23" t="s">
        <v>2932</v>
      </c>
      <c r="G2059" s="92" t="s">
        <v>417</v>
      </c>
      <c r="H2059" s="353">
        <v>30560.47</v>
      </c>
      <c r="I2059" s="59"/>
      <c r="J2059" s="18" t="s">
        <v>9906</v>
      </c>
      <c r="K2059" s="20"/>
      <c r="L2059" s="20">
        <v>1</v>
      </c>
      <c r="M2059" s="357">
        <f>+H2059</f>
        <v>30560.47</v>
      </c>
      <c r="N2059" s="411">
        <f>IFERROR((M2059/(VLOOKUP(B2059,'Data Pull Sheet'!$C:$H,6,FALSE))),"DC")</f>
        <v>2.7782245454545454E-3</v>
      </c>
      <c r="O2059" s="23" t="s">
        <v>34</v>
      </c>
      <c r="P2059" s="92" t="s">
        <v>632</v>
      </c>
      <c r="Q2059" s="92" t="s">
        <v>633</v>
      </c>
      <c r="R2059" s="372" t="str">
        <f t="shared" si="57"/>
        <v>FF</v>
      </c>
    </row>
    <row r="2060" spans="1:18" x14ac:dyDescent="0.25">
      <c r="A2060" s="23" t="s">
        <v>8824</v>
      </c>
      <c r="B2060" s="18" t="str">
        <f>VLOOKUP(A2060, 'Data Pull Sheet'!$B$2:$C$552,2,FALSE)</f>
        <v>CS</v>
      </c>
      <c r="C2060" s="59" t="s">
        <v>418</v>
      </c>
      <c r="D2060" s="356" t="s">
        <v>7331</v>
      </c>
      <c r="E2060" s="356" t="s">
        <v>9099</v>
      </c>
      <c r="F2060" s="23" t="s">
        <v>2121</v>
      </c>
      <c r="G2060" s="92" t="s">
        <v>417</v>
      </c>
      <c r="H2060" s="353">
        <v>152135.34</v>
      </c>
      <c r="I2060" s="59" t="s">
        <v>406</v>
      </c>
      <c r="J2060" s="18" t="s">
        <v>9907</v>
      </c>
      <c r="K2060" s="20">
        <v>2</v>
      </c>
      <c r="L2060" s="20">
        <v>1</v>
      </c>
      <c r="M2060" s="357">
        <f>+H2060</f>
        <v>152135.34</v>
      </c>
      <c r="N2060" s="411">
        <f>IFERROR((M2060/(VLOOKUP(B2060,'Data Pull Sheet'!$C:$H,6,FALSE))),"DC")</f>
        <v>3.3807853333333335E-4</v>
      </c>
      <c r="O2060" s="23" t="s">
        <v>63</v>
      </c>
      <c r="P2060" s="92" t="s">
        <v>632</v>
      </c>
      <c r="Q2060" s="92" t="s">
        <v>633</v>
      </c>
      <c r="R2060" s="372" t="str">
        <f t="shared" si="57"/>
        <v>FF</v>
      </c>
    </row>
    <row r="2061" spans="1:18" x14ac:dyDescent="0.25">
      <c r="A2061" s="23" t="s">
        <v>8824</v>
      </c>
      <c r="B2061" s="18" t="str">
        <f>VLOOKUP(A2061, 'Data Pull Sheet'!$B$2:$C$552,2,FALSE)</f>
        <v>CS</v>
      </c>
      <c r="C2061" s="59" t="s">
        <v>418</v>
      </c>
      <c r="D2061" s="356" t="s">
        <v>7331</v>
      </c>
      <c r="E2061" s="356" t="s">
        <v>9099</v>
      </c>
      <c r="F2061" s="23" t="s">
        <v>118</v>
      </c>
      <c r="G2061" s="92" t="s">
        <v>417</v>
      </c>
      <c r="H2061" s="353">
        <v>410903</v>
      </c>
      <c r="I2061" s="59" t="s">
        <v>442</v>
      </c>
      <c r="J2061" s="18" t="s">
        <v>9917</v>
      </c>
      <c r="K2061" s="20"/>
      <c r="L2061" s="20">
        <v>5</v>
      </c>
      <c r="M2061" s="357">
        <f>SUM(H2061:H2065)</f>
        <v>1282547</v>
      </c>
      <c r="N2061" s="411">
        <f>IFERROR((M2061/(VLOOKUP(B2061,'Data Pull Sheet'!$C:$H,6,FALSE))),"DC")</f>
        <v>2.8501044444444444E-3</v>
      </c>
      <c r="O2061" s="23" t="s">
        <v>9830</v>
      </c>
      <c r="P2061" s="92" t="s">
        <v>632</v>
      </c>
      <c r="Q2061" s="92" t="s">
        <v>640</v>
      </c>
      <c r="R2061" s="372" t="str">
        <f t="shared" si="57"/>
        <v>FF</v>
      </c>
    </row>
    <row r="2062" spans="1:18" x14ac:dyDescent="0.25">
      <c r="A2062" s="23" t="s">
        <v>8824</v>
      </c>
      <c r="B2062" s="18" t="str">
        <f>VLOOKUP(A2062, 'Data Pull Sheet'!$B$2:$C$552,2,FALSE)</f>
        <v>CS</v>
      </c>
      <c r="C2062" s="59" t="s">
        <v>418</v>
      </c>
      <c r="D2062" s="356" t="s">
        <v>7331</v>
      </c>
      <c r="E2062" s="356" t="s">
        <v>9099</v>
      </c>
      <c r="F2062" s="23" t="s">
        <v>359</v>
      </c>
      <c r="G2062" s="92" t="s">
        <v>417</v>
      </c>
      <c r="H2062" s="353">
        <v>133730</v>
      </c>
      <c r="I2062" s="59" t="s">
        <v>442</v>
      </c>
      <c r="J2062" s="18" t="s">
        <v>9918</v>
      </c>
      <c r="K2062" s="20"/>
      <c r="L2062" s="20"/>
      <c r="M2062" s="357"/>
      <c r="N2062" s="411"/>
      <c r="O2062" s="23" t="s">
        <v>9830</v>
      </c>
      <c r="P2062" s="92" t="s">
        <v>632</v>
      </c>
      <c r="Q2062" s="92" t="s">
        <v>640</v>
      </c>
      <c r="R2062" s="372" t="str">
        <f t="shared" si="57"/>
        <v>FF</v>
      </c>
    </row>
    <row r="2063" spans="1:18" x14ac:dyDescent="0.25">
      <c r="A2063" s="23" t="s">
        <v>8824</v>
      </c>
      <c r="B2063" s="18" t="str">
        <f>VLOOKUP(A2063, 'Data Pull Sheet'!$B$2:$C$552,2,FALSE)</f>
        <v>CS</v>
      </c>
      <c r="C2063" s="59" t="s">
        <v>418</v>
      </c>
      <c r="D2063" s="356" t="s">
        <v>7331</v>
      </c>
      <c r="E2063" s="356" t="s">
        <v>9099</v>
      </c>
      <c r="F2063" s="23" t="s">
        <v>4022</v>
      </c>
      <c r="G2063" s="92" t="s">
        <v>417</v>
      </c>
      <c r="H2063" s="353">
        <v>85281</v>
      </c>
      <c r="I2063" s="59" t="s">
        <v>442</v>
      </c>
      <c r="J2063" s="18" t="s">
        <v>9919</v>
      </c>
      <c r="K2063" s="20"/>
      <c r="L2063" s="20"/>
      <c r="M2063" s="357"/>
      <c r="N2063" s="411"/>
      <c r="O2063" s="23" t="s">
        <v>9830</v>
      </c>
      <c r="P2063" s="92" t="s">
        <v>632</v>
      </c>
      <c r="Q2063" s="92" t="s">
        <v>640</v>
      </c>
      <c r="R2063" s="372" t="str">
        <f t="shared" si="57"/>
        <v>FF</v>
      </c>
    </row>
    <row r="2064" spans="1:18" x14ac:dyDescent="0.25">
      <c r="A2064" s="23" t="s">
        <v>8824</v>
      </c>
      <c r="B2064" s="18" t="str">
        <f>VLOOKUP(A2064, 'Data Pull Sheet'!$B$2:$C$552,2,FALSE)</f>
        <v>CS</v>
      </c>
      <c r="C2064" s="59" t="s">
        <v>418</v>
      </c>
      <c r="D2064" s="356" t="s">
        <v>7331</v>
      </c>
      <c r="E2064" s="356" t="s">
        <v>9099</v>
      </c>
      <c r="F2064" s="23" t="s">
        <v>1782</v>
      </c>
      <c r="G2064" s="92" t="s">
        <v>417</v>
      </c>
      <c r="H2064" s="353">
        <v>528979</v>
      </c>
      <c r="I2064" s="59" t="s">
        <v>442</v>
      </c>
      <c r="J2064" s="18" t="s">
        <v>9920</v>
      </c>
      <c r="K2064" s="20"/>
      <c r="L2064" s="20"/>
      <c r="M2064" s="357"/>
      <c r="N2064" s="411"/>
      <c r="O2064" s="23" t="s">
        <v>9830</v>
      </c>
      <c r="P2064" s="92" t="s">
        <v>632</v>
      </c>
      <c r="Q2064" s="92" t="s">
        <v>640</v>
      </c>
      <c r="R2064" s="372" t="str">
        <f t="shared" si="57"/>
        <v>FF</v>
      </c>
    </row>
    <row r="2065" spans="1:18" ht="30" x14ac:dyDescent="0.25">
      <c r="A2065" s="23" t="s">
        <v>8824</v>
      </c>
      <c r="B2065" s="18" t="str">
        <f>VLOOKUP(A2065, 'Data Pull Sheet'!$B$2:$C$552,2,FALSE)</f>
        <v>CS</v>
      </c>
      <c r="C2065" s="59" t="s">
        <v>418</v>
      </c>
      <c r="D2065" s="356" t="s">
        <v>7331</v>
      </c>
      <c r="E2065" s="356" t="s">
        <v>9099</v>
      </c>
      <c r="F2065" s="23" t="s">
        <v>1055</v>
      </c>
      <c r="G2065" s="92" t="s">
        <v>417</v>
      </c>
      <c r="H2065" s="353">
        <v>123654</v>
      </c>
      <c r="I2065" s="59" t="s">
        <v>442</v>
      </c>
      <c r="J2065" s="18" t="s">
        <v>9916</v>
      </c>
      <c r="K2065" s="20"/>
      <c r="L2065" s="20"/>
      <c r="M2065" s="357"/>
      <c r="N2065" s="411"/>
      <c r="O2065" s="23" t="s">
        <v>9830</v>
      </c>
      <c r="P2065" s="92" t="s">
        <v>632</v>
      </c>
      <c r="Q2065" s="92" t="s">
        <v>640</v>
      </c>
      <c r="R2065" s="372" t="str">
        <f t="shared" si="57"/>
        <v>FF</v>
      </c>
    </row>
    <row r="2066" spans="1:18" x14ac:dyDescent="0.25">
      <c r="A2066" s="23" t="s">
        <v>8886</v>
      </c>
      <c r="B2066" s="18" t="s">
        <v>10651</v>
      </c>
      <c r="C2066" s="59" t="s">
        <v>424</v>
      </c>
      <c r="D2066" s="356" t="s">
        <v>9131</v>
      </c>
      <c r="E2066" s="356" t="s">
        <v>9099</v>
      </c>
      <c r="F2066" s="23" t="s">
        <v>9642</v>
      </c>
      <c r="G2066" s="92" t="s">
        <v>403</v>
      </c>
      <c r="H2066" s="353">
        <v>2606.73</v>
      </c>
      <c r="I2066" s="59"/>
      <c r="J2066" s="18" t="s">
        <v>10653</v>
      </c>
      <c r="K2066" s="20">
        <v>3</v>
      </c>
      <c r="L2066" s="20">
        <v>1</v>
      </c>
      <c r="M2066" s="357">
        <f>+H2066</f>
        <v>2606.73</v>
      </c>
      <c r="N2066" s="411">
        <f>IFERROR((M2066/(VLOOKUP(B2066,'Data Pull Sheet'!$C:$H,6,FALSE))),"DC")</f>
        <v>1.303365E-6</v>
      </c>
      <c r="O2066" s="23" t="s">
        <v>682</v>
      </c>
      <c r="P2066" s="92" t="s">
        <v>632</v>
      </c>
      <c r="Q2066" s="92" t="s">
        <v>637</v>
      </c>
      <c r="R2066" s="372" t="str">
        <f t="shared" si="57"/>
        <v/>
      </c>
    </row>
    <row r="2067" spans="1:18" ht="30" x14ac:dyDescent="0.25">
      <c r="A2067" s="23" t="s">
        <v>8886</v>
      </c>
      <c r="B2067" s="18" t="s">
        <v>10651</v>
      </c>
      <c r="C2067" s="59" t="s">
        <v>424</v>
      </c>
      <c r="D2067" s="356" t="s">
        <v>9131</v>
      </c>
      <c r="E2067" s="356" t="s">
        <v>9099</v>
      </c>
      <c r="F2067" s="23" t="s">
        <v>9643</v>
      </c>
      <c r="G2067" s="92" t="s">
        <v>403</v>
      </c>
      <c r="H2067" s="353">
        <v>1171.72</v>
      </c>
      <c r="I2067" s="59"/>
      <c r="J2067" s="18" t="s">
        <v>10654</v>
      </c>
      <c r="K2067" s="20"/>
      <c r="L2067" s="20">
        <v>1</v>
      </c>
      <c r="M2067" s="357">
        <f>+H2067</f>
        <v>1171.72</v>
      </c>
      <c r="N2067" s="411">
        <f>IFERROR((M2067/(VLOOKUP(B2067,'Data Pull Sheet'!$C:$H,6,FALSE))),"DC")</f>
        <v>5.8586000000000003E-7</v>
      </c>
      <c r="O2067" s="23" t="s">
        <v>687</v>
      </c>
      <c r="P2067" s="92" t="s">
        <v>632</v>
      </c>
      <c r="Q2067" s="92" t="s">
        <v>637</v>
      </c>
      <c r="R2067" s="372" t="str">
        <f t="shared" si="57"/>
        <v/>
      </c>
    </row>
    <row r="2068" spans="1:18" x14ac:dyDescent="0.25">
      <c r="A2068" s="23" t="s">
        <v>8886</v>
      </c>
      <c r="B2068" s="18" t="s">
        <v>10651</v>
      </c>
      <c r="C2068" s="59" t="s">
        <v>424</v>
      </c>
      <c r="D2068" s="356" t="s">
        <v>9131</v>
      </c>
      <c r="E2068" s="356" t="s">
        <v>9099</v>
      </c>
      <c r="F2068" s="23" t="s">
        <v>373</v>
      </c>
      <c r="G2068" s="92" t="s">
        <v>417</v>
      </c>
      <c r="H2068" s="353">
        <v>6488425</v>
      </c>
      <c r="I2068" s="59" t="s">
        <v>413</v>
      </c>
      <c r="J2068" s="18" t="s">
        <v>10655</v>
      </c>
      <c r="K2068" s="20"/>
      <c r="L2068" s="20">
        <v>1</v>
      </c>
      <c r="M2068" s="357">
        <f>+H2068</f>
        <v>6488425</v>
      </c>
      <c r="N2068" s="411">
        <f>IFERROR((M2068/(VLOOKUP(B2068,'Data Pull Sheet'!$C:$H,6,FALSE))),"DC")</f>
        <v>3.2442125E-3</v>
      </c>
      <c r="O2068" s="23" t="s">
        <v>2897</v>
      </c>
      <c r="P2068" s="92" t="s">
        <v>632</v>
      </c>
      <c r="Q2068" s="92" t="s">
        <v>633</v>
      </c>
      <c r="R2068" s="372" t="str">
        <f t="shared" si="57"/>
        <v>FF</v>
      </c>
    </row>
    <row r="2069" spans="1:18" x14ac:dyDescent="0.25">
      <c r="A2069" s="23" t="s">
        <v>8816</v>
      </c>
      <c r="B2069" s="18" t="str">
        <f>VLOOKUP(A2069, 'Data Pull Sheet'!$B$2:$C$552,2,FALSE)</f>
        <v>CPTA</v>
      </c>
      <c r="C2069" s="59" t="s">
        <v>450</v>
      </c>
      <c r="D2069" s="356" t="s">
        <v>9130</v>
      </c>
      <c r="E2069" s="356" t="s">
        <v>9107</v>
      </c>
      <c r="F2069" s="23" t="s">
        <v>9637</v>
      </c>
      <c r="G2069" s="92" t="s">
        <v>403</v>
      </c>
      <c r="H2069" s="353">
        <v>7778.63</v>
      </c>
      <c r="I2069" s="59"/>
      <c r="J2069" s="18" t="s">
        <v>9927</v>
      </c>
      <c r="K2069" s="20">
        <v>3</v>
      </c>
      <c r="L2069" s="20">
        <v>1</v>
      </c>
      <c r="M2069" s="357">
        <f>+H2069</f>
        <v>7778.63</v>
      </c>
      <c r="N2069" s="411">
        <f>IFERROR((M2069/(VLOOKUP(B2069,'Data Pull Sheet'!$C:$H,6,FALSE))),"DC")</f>
        <v>1.9446575000000001E-4</v>
      </c>
      <c r="O2069" s="23" t="s">
        <v>597</v>
      </c>
      <c r="P2069" s="92" t="s">
        <v>632</v>
      </c>
      <c r="Q2069" s="92" t="s">
        <v>637</v>
      </c>
      <c r="R2069" s="372" t="str">
        <f t="shared" si="57"/>
        <v/>
      </c>
    </row>
    <row r="2070" spans="1:18" x14ac:dyDescent="0.25">
      <c r="A2070" s="23" t="s">
        <v>8816</v>
      </c>
      <c r="B2070" s="18" t="str">
        <f>VLOOKUP(A2070, 'Data Pull Sheet'!$B$2:$C$552,2,FALSE)</f>
        <v>CPTA</v>
      </c>
      <c r="C2070" s="59" t="s">
        <v>450</v>
      </c>
      <c r="D2070" s="356" t="s">
        <v>9130</v>
      </c>
      <c r="E2070" s="356" t="s">
        <v>9107</v>
      </c>
      <c r="F2070" s="23" t="s">
        <v>9638</v>
      </c>
      <c r="G2070" s="92" t="s">
        <v>403</v>
      </c>
      <c r="H2070" s="353">
        <v>40475.449999999997</v>
      </c>
      <c r="I2070" s="59"/>
      <c r="J2070" s="18" t="s">
        <v>9928</v>
      </c>
      <c r="K2070" s="20"/>
      <c r="L2070" s="20">
        <v>3</v>
      </c>
      <c r="M2070" s="357">
        <f>SUM(H2070:H2072)</f>
        <v>70213.789999999994</v>
      </c>
      <c r="N2070" s="411">
        <f>IFERROR((M2070/(VLOOKUP(B2070,'Data Pull Sheet'!$C:$H,6,FALSE))),"DC")</f>
        <v>1.7553447499999999E-3</v>
      </c>
      <c r="O2070" s="23" t="s">
        <v>1081</v>
      </c>
      <c r="P2070" s="92" t="s">
        <v>632</v>
      </c>
      <c r="Q2070" s="92" t="s">
        <v>646</v>
      </c>
      <c r="R2070" s="372" t="str">
        <f t="shared" si="57"/>
        <v/>
      </c>
    </row>
    <row r="2071" spans="1:18" x14ac:dyDescent="0.25">
      <c r="A2071" s="23" t="s">
        <v>8816</v>
      </c>
      <c r="B2071" s="18" t="str">
        <f>VLOOKUP(A2071, 'Data Pull Sheet'!$B$2:$C$552,2,FALSE)</f>
        <v>CPTA</v>
      </c>
      <c r="C2071" s="59" t="s">
        <v>450</v>
      </c>
      <c r="D2071" s="356" t="s">
        <v>9130</v>
      </c>
      <c r="E2071" s="356" t="s">
        <v>9107</v>
      </c>
      <c r="F2071" s="23" t="s">
        <v>9639</v>
      </c>
      <c r="G2071" s="92" t="s">
        <v>403</v>
      </c>
      <c r="H2071" s="353">
        <v>19502.310000000001</v>
      </c>
      <c r="I2071" s="59"/>
      <c r="J2071" s="18" t="s">
        <v>9929</v>
      </c>
      <c r="K2071" s="20"/>
      <c r="L2071" s="20"/>
      <c r="M2071" s="357"/>
      <c r="N2071" s="411"/>
      <c r="O2071" s="23" t="s">
        <v>1081</v>
      </c>
      <c r="P2071" s="92" t="s">
        <v>632</v>
      </c>
      <c r="Q2071" s="92" t="s">
        <v>646</v>
      </c>
      <c r="R2071" s="372" t="str">
        <f t="shared" si="57"/>
        <v/>
      </c>
    </row>
    <row r="2072" spans="1:18" x14ac:dyDescent="0.25">
      <c r="A2072" s="23" t="s">
        <v>8816</v>
      </c>
      <c r="B2072" s="18" t="str">
        <f>VLOOKUP(A2072, 'Data Pull Sheet'!$B$2:$C$552,2,FALSE)</f>
        <v>CPTA</v>
      </c>
      <c r="C2072" s="59" t="s">
        <v>450</v>
      </c>
      <c r="D2072" s="356" t="s">
        <v>9130</v>
      </c>
      <c r="E2072" s="356" t="s">
        <v>9107</v>
      </c>
      <c r="F2072" s="23" t="s">
        <v>9640</v>
      </c>
      <c r="G2072" s="92" t="s">
        <v>403</v>
      </c>
      <c r="H2072" s="353">
        <v>10236.030000000001</v>
      </c>
      <c r="I2072" s="59"/>
      <c r="J2072" s="18" t="s">
        <v>9930</v>
      </c>
      <c r="K2072" s="20"/>
      <c r="L2072" s="20"/>
      <c r="M2072" s="357"/>
      <c r="N2072" s="411"/>
      <c r="O2072" s="23" t="s">
        <v>1081</v>
      </c>
      <c r="P2072" s="92" t="s">
        <v>632</v>
      </c>
      <c r="Q2072" s="92" t="s">
        <v>646</v>
      </c>
      <c r="R2072" s="372" t="str">
        <f t="shared" si="57"/>
        <v/>
      </c>
    </row>
    <row r="2073" spans="1:18" x14ac:dyDescent="0.25">
      <c r="A2073" s="23" t="s">
        <v>8816</v>
      </c>
      <c r="B2073" s="18" t="str">
        <f>VLOOKUP(A2073, 'Data Pull Sheet'!$B$2:$C$552,2,FALSE)</f>
        <v>CPTA</v>
      </c>
      <c r="C2073" s="59" t="s">
        <v>450</v>
      </c>
      <c r="D2073" s="356" t="s">
        <v>9130</v>
      </c>
      <c r="E2073" s="356" t="s">
        <v>9107</v>
      </c>
      <c r="F2073" s="23" t="s">
        <v>9641</v>
      </c>
      <c r="G2073" s="92" t="s">
        <v>403</v>
      </c>
      <c r="H2073" s="353">
        <v>119116</v>
      </c>
      <c r="I2073" s="59"/>
      <c r="J2073" s="18" t="s">
        <v>9923</v>
      </c>
      <c r="K2073" s="20"/>
      <c r="L2073" s="20">
        <v>1</v>
      </c>
      <c r="M2073" s="357">
        <f t="shared" ref="M2073:M2078" si="58">+H2073</f>
        <v>119116</v>
      </c>
      <c r="N2073" s="411">
        <f>IFERROR((M2073/(VLOOKUP(B2073,'Data Pull Sheet'!$C:$H,6,FALSE))),"DC")</f>
        <v>2.9778999999999999E-3</v>
      </c>
      <c r="O2073" s="23" t="s">
        <v>9829</v>
      </c>
      <c r="P2073" s="92" t="s">
        <v>632</v>
      </c>
      <c r="Q2073" s="92" t="s">
        <v>637</v>
      </c>
      <c r="R2073" s="372" t="str">
        <f t="shared" si="57"/>
        <v/>
      </c>
    </row>
    <row r="2074" spans="1:18" x14ac:dyDescent="0.25">
      <c r="A2074" s="23" t="s">
        <v>8854</v>
      </c>
      <c r="B2074" s="18" t="str">
        <f>VLOOKUP(A2074, 'Data Pull Sheet'!$B$2:$C$552,2,FALSE)</f>
        <v>KBSTY</v>
      </c>
      <c r="C2074" s="59" t="s">
        <v>418</v>
      </c>
      <c r="D2074" s="356" t="s">
        <v>7326</v>
      </c>
      <c r="E2074" s="356" t="s">
        <v>9107</v>
      </c>
      <c r="F2074" s="23" t="s">
        <v>9636</v>
      </c>
      <c r="G2074" s="92" t="s">
        <v>403</v>
      </c>
      <c r="H2074" s="353">
        <v>494</v>
      </c>
      <c r="I2074" s="59"/>
      <c r="J2074" s="18" t="s">
        <v>9931</v>
      </c>
      <c r="K2074" s="20">
        <v>1</v>
      </c>
      <c r="L2074" s="20">
        <v>1</v>
      </c>
      <c r="M2074" s="357">
        <f t="shared" si="58"/>
        <v>494</v>
      </c>
      <c r="N2074" s="411" t="str">
        <f>IFERROR((M2074/(VLOOKUP(B2074,'Data Pull Sheet'!$C:$H,6,FALSE))),"DC")</f>
        <v>DC</v>
      </c>
      <c r="O2074" s="23" t="s">
        <v>9828</v>
      </c>
      <c r="P2074" s="92" t="s">
        <v>676</v>
      </c>
      <c r="Q2074" s="92" t="s">
        <v>637</v>
      </c>
      <c r="R2074" s="372" t="str">
        <f t="shared" si="57"/>
        <v/>
      </c>
    </row>
    <row r="2075" spans="1:18" x14ac:dyDescent="0.25">
      <c r="A2075" s="23" t="s">
        <v>8786</v>
      </c>
      <c r="B2075" s="18" t="str">
        <f>VLOOKUP(A2075, 'Data Pull Sheet'!$B$2:$C$552,2,FALSE)</f>
        <v>AYI</v>
      </c>
      <c r="C2075" s="59" t="s">
        <v>592</v>
      </c>
      <c r="D2075" s="356" t="s">
        <v>9129</v>
      </c>
      <c r="E2075" s="356" t="s">
        <v>9104</v>
      </c>
      <c r="F2075" s="23" t="s">
        <v>175</v>
      </c>
      <c r="G2075" s="92" t="s">
        <v>417</v>
      </c>
      <c r="H2075" s="353">
        <v>1376602</v>
      </c>
      <c r="I2075" s="59" t="s">
        <v>406</v>
      </c>
      <c r="J2075" s="18" t="s">
        <v>9932</v>
      </c>
      <c r="K2075" s="20">
        <v>4</v>
      </c>
      <c r="L2075" s="20">
        <v>1</v>
      </c>
      <c r="M2075" s="357">
        <f t="shared" si="58"/>
        <v>1376602</v>
      </c>
      <c r="N2075" s="411">
        <f>IFERROR((M2075/(VLOOKUP(B2075,'Data Pull Sheet'!$C:$H,6,FALSE))),"DC")</f>
        <v>7.3418773333333337E-4</v>
      </c>
      <c r="O2075" s="23" t="s">
        <v>1662</v>
      </c>
      <c r="P2075" s="92" t="s">
        <v>632</v>
      </c>
      <c r="Q2075" s="92" t="s">
        <v>633</v>
      </c>
      <c r="R2075" s="372" t="str">
        <f t="shared" si="57"/>
        <v>FF</v>
      </c>
    </row>
    <row r="2076" spans="1:18" x14ac:dyDescent="0.25">
      <c r="A2076" s="23" t="s">
        <v>8786</v>
      </c>
      <c r="B2076" s="18" t="str">
        <f>VLOOKUP(A2076, 'Data Pull Sheet'!$B$2:$C$552,2,FALSE)</f>
        <v>AYI</v>
      </c>
      <c r="C2076" s="59" t="s">
        <v>592</v>
      </c>
      <c r="D2076" s="356" t="s">
        <v>9129</v>
      </c>
      <c r="E2076" s="356" t="s">
        <v>9104</v>
      </c>
      <c r="F2076" s="23" t="s">
        <v>249</v>
      </c>
      <c r="G2076" s="92" t="s">
        <v>417</v>
      </c>
      <c r="H2076" s="353">
        <v>1894661.44</v>
      </c>
      <c r="I2076" s="59" t="s">
        <v>406</v>
      </c>
      <c r="J2076" s="18" t="s">
        <v>9935</v>
      </c>
      <c r="K2076" s="20"/>
      <c r="L2076" s="20">
        <v>1</v>
      </c>
      <c r="M2076" s="357">
        <f t="shared" si="58"/>
        <v>1894661.44</v>
      </c>
      <c r="N2076" s="411">
        <f>IFERROR((M2076/(VLOOKUP(B2076,'Data Pull Sheet'!$C:$H,6,FALSE))),"DC")</f>
        <v>1.0104861013333333E-3</v>
      </c>
      <c r="O2076" s="23" t="s">
        <v>10842</v>
      </c>
      <c r="P2076" s="92" t="s">
        <v>632</v>
      </c>
      <c r="Q2076" s="92" t="s">
        <v>633</v>
      </c>
      <c r="R2076" s="372" t="str">
        <f t="shared" si="57"/>
        <v>FF</v>
      </c>
    </row>
    <row r="2077" spans="1:18" ht="30" x14ac:dyDescent="0.25">
      <c r="A2077" s="23" t="s">
        <v>8786</v>
      </c>
      <c r="B2077" s="18" t="str">
        <f>VLOOKUP(A2077, 'Data Pull Sheet'!$B$2:$C$552,2,FALSE)</f>
        <v>AYI</v>
      </c>
      <c r="C2077" s="59" t="s">
        <v>592</v>
      </c>
      <c r="D2077" s="356" t="s">
        <v>9129</v>
      </c>
      <c r="E2077" s="356" t="s">
        <v>9104</v>
      </c>
      <c r="F2077" s="23" t="s">
        <v>9633</v>
      </c>
      <c r="G2077" s="92" t="s">
        <v>403</v>
      </c>
      <c r="H2077" s="353">
        <v>17136.900000000001</v>
      </c>
      <c r="I2077" s="59"/>
      <c r="J2077" s="18" t="s">
        <v>9921</v>
      </c>
      <c r="K2077" s="20"/>
      <c r="L2077" s="20">
        <v>1</v>
      </c>
      <c r="M2077" s="357">
        <f t="shared" si="58"/>
        <v>17136.900000000001</v>
      </c>
      <c r="N2077" s="411">
        <f>IFERROR((M2077/(VLOOKUP(B2077,'Data Pull Sheet'!$C:$H,6,FALSE))),"DC")</f>
        <v>9.1396800000000002E-6</v>
      </c>
      <c r="O2077" s="23" t="s">
        <v>9825</v>
      </c>
      <c r="P2077" s="92" t="s">
        <v>632</v>
      </c>
      <c r="Q2077" s="92" t="s">
        <v>637</v>
      </c>
      <c r="R2077" s="372" t="str">
        <f t="shared" si="57"/>
        <v/>
      </c>
    </row>
    <row r="2078" spans="1:18" x14ac:dyDescent="0.25">
      <c r="A2078" s="23" t="s">
        <v>8786</v>
      </c>
      <c r="B2078" s="18" t="str">
        <f>VLOOKUP(A2078, 'Data Pull Sheet'!$B$2:$C$552,2,FALSE)</f>
        <v>AYI</v>
      </c>
      <c r="C2078" s="59" t="s">
        <v>592</v>
      </c>
      <c r="D2078" s="356" t="s">
        <v>9129</v>
      </c>
      <c r="E2078" s="356" t="s">
        <v>9104</v>
      </c>
      <c r="F2078" s="23" t="s">
        <v>9634</v>
      </c>
      <c r="G2078" s="92" t="s">
        <v>403</v>
      </c>
      <c r="H2078" s="353">
        <v>45356.34</v>
      </c>
      <c r="I2078" s="59" t="s">
        <v>406</v>
      </c>
      <c r="J2078" s="18" t="s">
        <v>9936</v>
      </c>
      <c r="K2078" s="20"/>
      <c r="L2078" s="20">
        <v>1</v>
      </c>
      <c r="M2078" s="357">
        <f t="shared" si="58"/>
        <v>45356.34</v>
      </c>
      <c r="N2078" s="411">
        <f>IFERROR((M2078/(VLOOKUP(B2078,'Data Pull Sheet'!$C:$H,6,FALSE))),"DC")</f>
        <v>2.4190047999999998E-5</v>
      </c>
      <c r="O2078" s="23" t="s">
        <v>9826</v>
      </c>
      <c r="P2078" s="92" t="s">
        <v>632</v>
      </c>
      <c r="Q2078" s="92" t="s">
        <v>637</v>
      </c>
      <c r="R2078" s="372" t="str">
        <f t="shared" si="57"/>
        <v/>
      </c>
    </row>
    <row r="2079" spans="1:18" x14ac:dyDescent="0.25">
      <c r="A2079" s="23" t="s">
        <v>8829</v>
      </c>
      <c r="B2079" s="18" t="str">
        <f>VLOOKUP(A2079, 'Data Pull Sheet'!$B$2:$C$552,2,FALSE)</f>
        <v>EKSO</v>
      </c>
      <c r="C2079" s="59" t="s">
        <v>457</v>
      </c>
      <c r="D2079" s="356" t="s">
        <v>9128</v>
      </c>
      <c r="E2079" s="356" t="s">
        <v>9104</v>
      </c>
      <c r="F2079" s="23" t="s">
        <v>9630</v>
      </c>
      <c r="G2079" s="92" t="s">
        <v>403</v>
      </c>
      <c r="H2079" s="353">
        <v>25811.16</v>
      </c>
      <c r="I2079" s="59"/>
      <c r="J2079" s="18" t="s">
        <v>9937</v>
      </c>
      <c r="K2079" s="20">
        <v>2</v>
      </c>
      <c r="L2079" s="20">
        <v>2</v>
      </c>
      <c r="M2079" s="357">
        <f>SUM(H2079:H2080)</f>
        <v>74150.759999999995</v>
      </c>
      <c r="N2079" s="411">
        <f>IFERROR((M2079/(VLOOKUP(B2079,'Data Pull Sheet'!$C:$H,6,FALSE))),"DC")</f>
        <v>7.4150759999999996E-3</v>
      </c>
      <c r="O2079" s="23" t="s">
        <v>3037</v>
      </c>
      <c r="P2079" s="92" t="s">
        <v>632</v>
      </c>
      <c r="Q2079" s="92" t="s">
        <v>646</v>
      </c>
      <c r="R2079" s="372" t="str">
        <f t="shared" si="57"/>
        <v/>
      </c>
    </row>
    <row r="2080" spans="1:18" x14ac:dyDescent="0.25">
      <c r="A2080" s="23" t="s">
        <v>8829</v>
      </c>
      <c r="B2080" s="18" t="str">
        <f>VLOOKUP(A2080, 'Data Pull Sheet'!$B$2:$C$552,2,FALSE)</f>
        <v>EKSO</v>
      </c>
      <c r="C2080" s="59" t="s">
        <v>457</v>
      </c>
      <c r="D2080" s="356" t="s">
        <v>9128</v>
      </c>
      <c r="E2080" s="356" t="s">
        <v>9104</v>
      </c>
      <c r="F2080" s="23" t="s">
        <v>9631</v>
      </c>
      <c r="G2080" s="92" t="s">
        <v>403</v>
      </c>
      <c r="H2080" s="353">
        <v>48339.6</v>
      </c>
      <c r="I2080" s="59"/>
      <c r="J2080" s="18" t="s">
        <v>9926</v>
      </c>
      <c r="K2080" s="20"/>
      <c r="L2080" s="20"/>
      <c r="M2080" s="357"/>
      <c r="N2080" s="411"/>
      <c r="O2080" s="23" t="s">
        <v>3037</v>
      </c>
      <c r="P2080" s="92" t="s">
        <v>632</v>
      </c>
      <c r="Q2080" s="92" t="s">
        <v>646</v>
      </c>
      <c r="R2080" s="372" t="str">
        <f t="shared" si="57"/>
        <v/>
      </c>
    </row>
    <row r="2081" spans="1:18" x14ac:dyDescent="0.25">
      <c r="A2081" s="23" t="s">
        <v>8829</v>
      </c>
      <c r="B2081" s="18" t="str">
        <f>VLOOKUP(A2081, 'Data Pull Sheet'!$B$2:$C$552,2,FALSE)</f>
        <v>EKSO</v>
      </c>
      <c r="C2081" s="59" t="s">
        <v>457</v>
      </c>
      <c r="D2081" s="356" t="s">
        <v>9128</v>
      </c>
      <c r="E2081" s="356" t="s">
        <v>9104</v>
      </c>
      <c r="F2081" s="23" t="s">
        <v>9632</v>
      </c>
      <c r="G2081" s="92" t="s">
        <v>403</v>
      </c>
      <c r="H2081" s="353">
        <v>280377.03999999998</v>
      </c>
      <c r="I2081" s="59"/>
      <c r="J2081" s="18" t="s">
        <v>9938</v>
      </c>
      <c r="K2081" s="20"/>
      <c r="L2081" s="20">
        <v>1</v>
      </c>
      <c r="M2081" s="357">
        <f>+H2081</f>
        <v>280377.03999999998</v>
      </c>
      <c r="N2081" s="411">
        <f>IFERROR((M2081/(VLOOKUP(B2081,'Data Pull Sheet'!$C:$H,6,FALSE))),"DC")</f>
        <v>2.8037703999999997E-2</v>
      </c>
      <c r="O2081" s="23" t="s">
        <v>986</v>
      </c>
      <c r="P2081" s="92" t="s">
        <v>632</v>
      </c>
      <c r="Q2081" s="92" t="s">
        <v>637</v>
      </c>
      <c r="R2081" s="372" t="str">
        <f t="shared" si="57"/>
        <v/>
      </c>
    </row>
    <row r="2082" spans="1:18" x14ac:dyDescent="0.25">
      <c r="A2082" s="23" t="s">
        <v>8803</v>
      </c>
      <c r="B2082" s="18" t="str">
        <f>VLOOKUP(A2082, 'Data Pull Sheet'!$B$2:$C$552,2,FALSE)</f>
        <v>ARDM</v>
      </c>
      <c r="C2082" s="59" t="s">
        <v>457</v>
      </c>
      <c r="D2082" s="356" t="s">
        <v>9126</v>
      </c>
      <c r="E2082" s="356" t="s">
        <v>9100</v>
      </c>
      <c r="F2082" s="23" t="s">
        <v>9625</v>
      </c>
      <c r="G2082" s="92" t="s">
        <v>403</v>
      </c>
      <c r="H2082" s="353">
        <v>34736</v>
      </c>
      <c r="I2082" s="59"/>
      <c r="J2082" s="18" t="s">
        <v>9933</v>
      </c>
      <c r="K2082" s="20">
        <v>2</v>
      </c>
      <c r="L2082" s="20">
        <v>1</v>
      </c>
      <c r="M2082" s="357">
        <f>+H2082</f>
        <v>34736</v>
      </c>
      <c r="N2082" s="411">
        <f>IFERROR((M2082/(VLOOKUP(B2082,'Data Pull Sheet'!$C:$H,6,FALSE))),"DC")</f>
        <v>4.6314666666666671E-3</v>
      </c>
      <c r="O2082" s="23" t="s">
        <v>63</v>
      </c>
      <c r="P2082" s="92" t="s">
        <v>632</v>
      </c>
      <c r="Q2082" s="92" t="s">
        <v>637</v>
      </c>
      <c r="R2082" s="372" t="str">
        <f t="shared" si="57"/>
        <v/>
      </c>
    </row>
    <row r="2083" spans="1:18" x14ac:dyDescent="0.25">
      <c r="A2083" s="23" t="s">
        <v>8803</v>
      </c>
      <c r="B2083" s="18" t="str">
        <f>VLOOKUP(A2083, 'Data Pull Sheet'!$B$2:$C$552,2,FALSE)</f>
        <v>ARDM</v>
      </c>
      <c r="C2083" s="59" t="s">
        <v>457</v>
      </c>
      <c r="D2083" s="356" t="s">
        <v>9126</v>
      </c>
      <c r="E2083" s="356" t="s">
        <v>9100</v>
      </c>
      <c r="F2083" s="23" t="s">
        <v>9626</v>
      </c>
      <c r="G2083" s="92" t="s">
        <v>403</v>
      </c>
      <c r="H2083" s="353">
        <v>10218</v>
      </c>
      <c r="I2083" s="59"/>
      <c r="J2083" s="18" t="s">
        <v>9939</v>
      </c>
      <c r="K2083" s="20"/>
      <c r="L2083" s="20">
        <v>2</v>
      </c>
      <c r="M2083" s="357">
        <f>SUM(H2083:H2084)</f>
        <v>14721</v>
      </c>
      <c r="N2083" s="411">
        <f>IFERROR((M2083/(VLOOKUP(B2083,'Data Pull Sheet'!$C:$H,6,FALSE))),"DC")</f>
        <v>1.9627999999999998E-3</v>
      </c>
      <c r="O2083" s="23" t="s">
        <v>79</v>
      </c>
      <c r="P2083" s="92" t="s">
        <v>632</v>
      </c>
      <c r="Q2083" s="92" t="s">
        <v>646</v>
      </c>
      <c r="R2083" s="372" t="str">
        <f t="shared" si="57"/>
        <v/>
      </c>
    </row>
    <row r="2084" spans="1:18" x14ac:dyDescent="0.25">
      <c r="A2084" s="23" t="s">
        <v>8803</v>
      </c>
      <c r="B2084" s="18" t="str">
        <f>VLOOKUP(A2084, 'Data Pull Sheet'!$B$2:$C$552,2,FALSE)</f>
        <v>ARDM</v>
      </c>
      <c r="C2084" s="59" t="s">
        <v>457</v>
      </c>
      <c r="D2084" s="356" t="s">
        <v>9126</v>
      </c>
      <c r="E2084" s="356" t="s">
        <v>9100</v>
      </c>
      <c r="F2084" s="23" t="s">
        <v>9627</v>
      </c>
      <c r="G2084" s="92" t="s">
        <v>403</v>
      </c>
      <c r="H2084" s="353">
        <v>4503</v>
      </c>
      <c r="I2084" s="59"/>
      <c r="J2084" s="18" t="s">
        <v>9940</v>
      </c>
      <c r="K2084" s="20"/>
      <c r="L2084" s="20"/>
      <c r="M2084" s="357"/>
      <c r="N2084" s="411"/>
      <c r="O2084" s="23" t="s">
        <v>79</v>
      </c>
      <c r="P2084" s="92" t="s">
        <v>632</v>
      </c>
      <c r="Q2084" s="92" t="s">
        <v>646</v>
      </c>
      <c r="R2084" s="372" t="str">
        <f t="shared" si="57"/>
        <v/>
      </c>
    </row>
    <row r="2085" spans="1:18" x14ac:dyDescent="0.25">
      <c r="A2085" s="23" t="s">
        <v>8806</v>
      </c>
      <c r="B2085" s="18" t="str">
        <f>VLOOKUP(A2085, 'Data Pull Sheet'!$B$2:$C$552,2,FALSE)</f>
        <v>AZZ</v>
      </c>
      <c r="C2085" s="59" t="s">
        <v>1815</v>
      </c>
      <c r="D2085" s="356" t="s">
        <v>9126</v>
      </c>
      <c r="E2085" s="356" t="s">
        <v>9100</v>
      </c>
      <c r="F2085" s="23" t="s">
        <v>9623</v>
      </c>
      <c r="G2085" s="92" t="s">
        <v>403</v>
      </c>
      <c r="H2085" s="353">
        <v>39570</v>
      </c>
      <c r="I2085" s="59"/>
      <c r="J2085" s="18" t="s">
        <v>9934</v>
      </c>
      <c r="K2085" s="20">
        <v>3</v>
      </c>
      <c r="L2085" s="20">
        <v>1</v>
      </c>
      <c r="M2085" s="357">
        <f>+H2085</f>
        <v>39570</v>
      </c>
      <c r="N2085" s="411">
        <f>IFERROR((M2085/(VLOOKUP(B2085,'Data Pull Sheet'!$C:$H,6,FALSE))),"DC")</f>
        <v>7.9140000000000005E-4</v>
      </c>
      <c r="O2085" s="23" t="s">
        <v>7269</v>
      </c>
      <c r="P2085" s="92" t="s">
        <v>632</v>
      </c>
      <c r="Q2085" s="92" t="s">
        <v>637</v>
      </c>
      <c r="R2085" s="372" t="str">
        <f t="shared" si="57"/>
        <v/>
      </c>
    </row>
    <row r="2086" spans="1:18" x14ac:dyDescent="0.25">
      <c r="A2086" s="23" t="s">
        <v>8806</v>
      </c>
      <c r="B2086" s="18" t="str">
        <f>VLOOKUP(A2086, 'Data Pull Sheet'!$B$2:$C$552,2,FALSE)</f>
        <v>AZZ</v>
      </c>
      <c r="C2086" s="59" t="s">
        <v>1815</v>
      </c>
      <c r="D2086" s="356" t="s">
        <v>9126</v>
      </c>
      <c r="E2086" s="356" t="s">
        <v>9100</v>
      </c>
      <c r="F2086" s="23" t="s">
        <v>3402</v>
      </c>
      <c r="G2086" s="92" t="s">
        <v>417</v>
      </c>
      <c r="H2086" s="353">
        <v>145074.79999999999</v>
      </c>
      <c r="I2086" s="59"/>
      <c r="J2086" s="18" t="s">
        <v>9942</v>
      </c>
      <c r="K2086" s="20"/>
      <c r="L2086" s="20">
        <v>1</v>
      </c>
      <c r="M2086" s="357">
        <f>+H2086</f>
        <v>145074.79999999999</v>
      </c>
      <c r="N2086" s="411">
        <f>IFERROR((M2086/(VLOOKUP(B2086,'Data Pull Sheet'!$C:$H,6,FALSE))),"DC")</f>
        <v>2.9014959999999999E-3</v>
      </c>
      <c r="O2086" s="23" t="s">
        <v>9824</v>
      </c>
      <c r="P2086" s="92" t="s">
        <v>632</v>
      </c>
      <c r="Q2086" s="92" t="s">
        <v>633</v>
      </c>
      <c r="R2086" s="372" t="str">
        <f t="shared" si="57"/>
        <v>FF</v>
      </c>
    </row>
    <row r="2087" spans="1:18" ht="30" x14ac:dyDescent="0.25">
      <c r="A2087" s="23" t="s">
        <v>8806</v>
      </c>
      <c r="B2087" s="18" t="str">
        <f>VLOOKUP(A2087, 'Data Pull Sheet'!$B$2:$C$552,2,FALSE)</f>
        <v>AZZ</v>
      </c>
      <c r="C2087" s="59" t="s">
        <v>1815</v>
      </c>
      <c r="D2087" s="356" t="s">
        <v>9126</v>
      </c>
      <c r="E2087" s="356" t="s">
        <v>9100</v>
      </c>
      <c r="F2087" s="23" t="s">
        <v>9624</v>
      </c>
      <c r="G2087" s="92" t="s">
        <v>417</v>
      </c>
      <c r="H2087" s="353">
        <v>181958.51</v>
      </c>
      <c r="I2087" s="59"/>
      <c r="J2087" s="18" t="s">
        <v>9922</v>
      </c>
      <c r="K2087" s="20"/>
      <c r="L2087" s="20">
        <v>1</v>
      </c>
      <c r="M2087" s="357">
        <f>+H2087</f>
        <v>181958.51</v>
      </c>
      <c r="N2087" s="411">
        <f>IFERROR((M2087/(VLOOKUP(B2087,'Data Pull Sheet'!$C:$H,6,FALSE))),"DC")</f>
        <v>3.6391702000000002E-3</v>
      </c>
      <c r="O2087" s="23" t="s">
        <v>10947</v>
      </c>
      <c r="P2087" s="92" t="s">
        <v>632</v>
      </c>
      <c r="Q2087" s="92" t="s">
        <v>633</v>
      </c>
      <c r="R2087" s="372" t="str">
        <f t="shared" si="57"/>
        <v/>
      </c>
    </row>
    <row r="2088" spans="1:18" x14ac:dyDescent="0.25">
      <c r="A2088" s="23" t="s">
        <v>61</v>
      </c>
      <c r="B2088" s="18" t="s">
        <v>10537</v>
      </c>
      <c r="C2088" s="59" t="s">
        <v>457</v>
      </c>
      <c r="D2088" s="356" t="s">
        <v>9125</v>
      </c>
      <c r="E2088" s="356" t="s">
        <v>9100</v>
      </c>
      <c r="F2088" s="23" t="s">
        <v>9614</v>
      </c>
      <c r="G2088" s="92" t="s">
        <v>403</v>
      </c>
      <c r="H2088" s="353">
        <v>77223.19</v>
      </c>
      <c r="I2088" s="59"/>
      <c r="J2088" s="18" t="s">
        <v>10567</v>
      </c>
      <c r="K2088" s="20">
        <v>7</v>
      </c>
      <c r="L2088" s="20">
        <v>1</v>
      </c>
      <c r="M2088" s="357">
        <f>+H2088</f>
        <v>77223.19</v>
      </c>
      <c r="N2088" s="411">
        <f>IFERROR((M2088/(VLOOKUP(B2088,'Data Pull Sheet'!$C:$H,6,FALSE))),"DC")</f>
        <v>1.93057975E-3</v>
      </c>
      <c r="O2088" s="23" t="s">
        <v>6997</v>
      </c>
      <c r="P2088" s="92" t="s">
        <v>632</v>
      </c>
      <c r="Q2088" s="92" t="s">
        <v>637</v>
      </c>
      <c r="R2088" s="372" t="str">
        <f t="shared" si="57"/>
        <v/>
      </c>
    </row>
    <row r="2089" spans="1:18" x14ac:dyDescent="0.25">
      <c r="A2089" s="23" t="s">
        <v>61</v>
      </c>
      <c r="B2089" s="18" t="s">
        <v>10537</v>
      </c>
      <c r="C2089" s="59" t="s">
        <v>457</v>
      </c>
      <c r="D2089" s="356" t="s">
        <v>9125</v>
      </c>
      <c r="E2089" s="356" t="s">
        <v>9100</v>
      </c>
      <c r="F2089" s="23" t="s">
        <v>9615</v>
      </c>
      <c r="G2089" s="92" t="s">
        <v>403</v>
      </c>
      <c r="H2089" s="353">
        <v>705207.96</v>
      </c>
      <c r="I2089" s="59"/>
      <c r="J2089" s="18" t="s">
        <v>10568</v>
      </c>
      <c r="K2089" s="20"/>
      <c r="L2089" s="20">
        <v>2</v>
      </c>
      <c r="M2089" s="357">
        <f>SUM(H2089:H2090)</f>
        <v>1067421.96</v>
      </c>
      <c r="N2089" s="411">
        <f>IFERROR((M2089/(VLOOKUP(B2089,'Data Pull Sheet'!$C:$H,6,FALSE))),"DC")</f>
        <v>2.6685548999999999E-2</v>
      </c>
      <c r="O2089" s="23" t="s">
        <v>554</v>
      </c>
      <c r="P2089" s="92" t="s">
        <v>632</v>
      </c>
      <c r="Q2089" s="92" t="s">
        <v>646</v>
      </c>
      <c r="R2089" s="372" t="str">
        <f t="shared" si="57"/>
        <v/>
      </c>
    </row>
    <row r="2090" spans="1:18" x14ac:dyDescent="0.25">
      <c r="A2090" s="23" t="s">
        <v>61</v>
      </c>
      <c r="B2090" s="18" t="s">
        <v>10537</v>
      </c>
      <c r="C2090" s="59" t="s">
        <v>457</v>
      </c>
      <c r="D2090" s="356" t="s">
        <v>9125</v>
      </c>
      <c r="E2090" s="356" t="s">
        <v>9100</v>
      </c>
      <c r="F2090" s="23" t="s">
        <v>9616</v>
      </c>
      <c r="G2090" s="92" t="s">
        <v>403</v>
      </c>
      <c r="H2090" s="353">
        <v>362214</v>
      </c>
      <c r="I2090" s="59"/>
      <c r="J2090" s="18" t="s">
        <v>10569</v>
      </c>
      <c r="K2090" s="20"/>
      <c r="L2090" s="20"/>
      <c r="M2090" s="357"/>
      <c r="N2090" s="411"/>
      <c r="O2090" s="23" t="s">
        <v>554</v>
      </c>
      <c r="P2090" s="92" t="s">
        <v>632</v>
      </c>
      <c r="Q2090" s="92" t="s">
        <v>646</v>
      </c>
      <c r="R2090" s="372" t="str">
        <f t="shared" si="57"/>
        <v/>
      </c>
    </row>
    <row r="2091" spans="1:18" x14ac:dyDescent="0.25">
      <c r="A2091" s="23" t="s">
        <v>61</v>
      </c>
      <c r="B2091" s="18" t="s">
        <v>10537</v>
      </c>
      <c r="C2091" s="59" t="s">
        <v>457</v>
      </c>
      <c r="D2091" s="356" t="s">
        <v>9125</v>
      </c>
      <c r="E2091" s="356" t="s">
        <v>9100</v>
      </c>
      <c r="F2091" s="23" t="s">
        <v>9617</v>
      </c>
      <c r="G2091" s="92" t="s">
        <v>403</v>
      </c>
      <c r="H2091" s="353">
        <v>198902.91</v>
      </c>
      <c r="I2091" s="59" t="s">
        <v>406</v>
      </c>
      <c r="J2091" s="18" t="s">
        <v>10570</v>
      </c>
      <c r="K2091" s="20"/>
      <c r="L2091" s="20">
        <v>1</v>
      </c>
      <c r="M2091" s="357">
        <f>+H2091</f>
        <v>198902.91</v>
      </c>
      <c r="N2091" s="411">
        <f>IFERROR((M2091/(VLOOKUP(B2091,'Data Pull Sheet'!$C:$H,6,FALSE))),"DC")</f>
        <v>4.9725727500000002E-3</v>
      </c>
      <c r="O2091" s="23" t="s">
        <v>63</v>
      </c>
      <c r="P2091" s="92" t="s">
        <v>632</v>
      </c>
      <c r="Q2091" s="92" t="s">
        <v>637</v>
      </c>
      <c r="R2091" s="372" t="str">
        <f t="shared" si="57"/>
        <v/>
      </c>
    </row>
    <row r="2092" spans="1:18" x14ac:dyDescent="0.25">
      <c r="A2092" s="23" t="s">
        <v>61</v>
      </c>
      <c r="B2092" s="18" t="s">
        <v>10537</v>
      </c>
      <c r="C2092" s="59" t="s">
        <v>457</v>
      </c>
      <c r="D2092" s="356" t="s">
        <v>9125</v>
      </c>
      <c r="E2092" s="356" t="s">
        <v>9100</v>
      </c>
      <c r="F2092" s="23" t="s">
        <v>9618</v>
      </c>
      <c r="G2092" s="92" t="s">
        <v>403</v>
      </c>
      <c r="H2092" s="353">
        <v>155065.43</v>
      </c>
      <c r="I2092" s="59" t="s">
        <v>406</v>
      </c>
      <c r="J2092" s="18" t="s">
        <v>10571</v>
      </c>
      <c r="K2092" s="20"/>
      <c r="L2092" s="20">
        <v>2</v>
      </c>
      <c r="M2092" s="357">
        <f>SUM(H2092:H2093)</f>
        <v>276485.49</v>
      </c>
      <c r="N2092" s="411">
        <f>IFERROR((M2092/(VLOOKUP(B2092,'Data Pull Sheet'!$C:$H,6,FALSE))),"DC")</f>
        <v>6.9121372499999995E-3</v>
      </c>
      <c r="O2092" s="23" t="s">
        <v>4392</v>
      </c>
      <c r="P2092" s="92" t="s">
        <v>632</v>
      </c>
      <c r="Q2092" s="92" t="s">
        <v>646</v>
      </c>
      <c r="R2092" s="372" t="str">
        <f t="shared" si="57"/>
        <v/>
      </c>
    </row>
    <row r="2093" spans="1:18" x14ac:dyDescent="0.25">
      <c r="A2093" s="23" t="s">
        <v>61</v>
      </c>
      <c r="B2093" s="18" t="s">
        <v>10537</v>
      </c>
      <c r="C2093" s="59" t="s">
        <v>457</v>
      </c>
      <c r="D2093" s="356" t="s">
        <v>9125</v>
      </c>
      <c r="E2093" s="356" t="s">
        <v>9100</v>
      </c>
      <c r="F2093" s="23" t="s">
        <v>9619</v>
      </c>
      <c r="G2093" s="92" t="s">
        <v>403</v>
      </c>
      <c r="H2093" s="353">
        <v>121420.06</v>
      </c>
      <c r="I2093" s="59" t="s">
        <v>406</v>
      </c>
      <c r="J2093" s="18" t="s">
        <v>10572</v>
      </c>
      <c r="K2093" s="20"/>
      <c r="L2093" s="20"/>
      <c r="M2093" s="357"/>
      <c r="N2093" s="411"/>
      <c r="O2093" s="23" t="s">
        <v>4392</v>
      </c>
      <c r="P2093" s="92" t="s">
        <v>632</v>
      </c>
      <c r="Q2093" s="92" t="s">
        <v>646</v>
      </c>
      <c r="R2093" s="372" t="str">
        <f t="shared" si="57"/>
        <v/>
      </c>
    </row>
    <row r="2094" spans="1:18" x14ac:dyDescent="0.25">
      <c r="A2094" s="23" t="s">
        <v>61</v>
      </c>
      <c r="B2094" s="18" t="s">
        <v>10537</v>
      </c>
      <c r="C2094" s="59" t="s">
        <v>457</v>
      </c>
      <c r="D2094" s="356" t="s">
        <v>9125</v>
      </c>
      <c r="E2094" s="356" t="s">
        <v>9100</v>
      </c>
      <c r="F2094" s="23" t="s">
        <v>9620</v>
      </c>
      <c r="G2094" s="92" t="s">
        <v>403</v>
      </c>
      <c r="H2094" s="353">
        <v>329301.17</v>
      </c>
      <c r="I2094" s="59"/>
      <c r="J2094" s="18" t="s">
        <v>10573</v>
      </c>
      <c r="K2094" s="20"/>
      <c r="L2094" s="20">
        <v>1</v>
      </c>
      <c r="M2094" s="357">
        <f>+H2094</f>
        <v>329301.17</v>
      </c>
      <c r="N2094" s="411">
        <f>IFERROR((M2094/(VLOOKUP(B2094,'Data Pull Sheet'!$C:$H,6,FALSE))),"DC")</f>
        <v>8.2325292500000005E-3</v>
      </c>
      <c r="O2094" s="23" t="s">
        <v>597</v>
      </c>
      <c r="P2094" s="92" t="s">
        <v>632</v>
      </c>
      <c r="Q2094" s="92" t="s">
        <v>637</v>
      </c>
      <c r="R2094" s="372" t="str">
        <f t="shared" si="57"/>
        <v/>
      </c>
    </row>
    <row r="2095" spans="1:18" x14ac:dyDescent="0.25">
      <c r="A2095" s="23" t="s">
        <v>61</v>
      </c>
      <c r="B2095" s="18" t="s">
        <v>10537</v>
      </c>
      <c r="C2095" s="59" t="s">
        <v>457</v>
      </c>
      <c r="D2095" s="356" t="s">
        <v>9125</v>
      </c>
      <c r="E2095" s="356" t="s">
        <v>9100</v>
      </c>
      <c r="F2095" s="23" t="s">
        <v>9621</v>
      </c>
      <c r="G2095" s="92" t="s">
        <v>403</v>
      </c>
      <c r="H2095" s="353">
        <v>93169.82</v>
      </c>
      <c r="I2095" s="59"/>
      <c r="J2095" s="18" t="s">
        <v>10574</v>
      </c>
      <c r="K2095" s="20"/>
      <c r="L2095" s="20">
        <v>1</v>
      </c>
      <c r="M2095" s="357">
        <f>+H2095</f>
        <v>93169.82</v>
      </c>
      <c r="N2095" s="411">
        <f>IFERROR((M2095/(VLOOKUP(B2095,'Data Pull Sheet'!$C:$H,6,FALSE))),"DC")</f>
        <v>2.3292455000000004E-3</v>
      </c>
      <c r="O2095" s="23" t="s">
        <v>7</v>
      </c>
      <c r="P2095" s="92" t="s">
        <v>632</v>
      </c>
      <c r="Q2095" s="92" t="s">
        <v>637</v>
      </c>
      <c r="R2095" s="372" t="str">
        <f t="shared" si="57"/>
        <v/>
      </c>
    </row>
    <row r="2096" spans="1:18" x14ac:dyDescent="0.25">
      <c r="A2096" s="23" t="s">
        <v>61</v>
      </c>
      <c r="B2096" s="18" t="s">
        <v>10537</v>
      </c>
      <c r="C2096" s="59" t="s">
        <v>457</v>
      </c>
      <c r="D2096" s="356" t="s">
        <v>9125</v>
      </c>
      <c r="E2096" s="356" t="s">
        <v>9100</v>
      </c>
      <c r="F2096" s="23" t="s">
        <v>9622</v>
      </c>
      <c r="G2096" s="92" t="s">
        <v>403</v>
      </c>
      <c r="H2096" s="353">
        <v>203063.36</v>
      </c>
      <c r="I2096" s="59"/>
      <c r="J2096" s="18" t="s">
        <v>10575</v>
      </c>
      <c r="K2096" s="20"/>
      <c r="L2096" s="20">
        <v>1</v>
      </c>
      <c r="M2096" s="357">
        <f>+H2096</f>
        <v>203063.36</v>
      </c>
      <c r="N2096" s="411">
        <f>IFERROR((M2096/(VLOOKUP(B2096,'Data Pull Sheet'!$C:$H,6,FALSE))),"DC")</f>
        <v>5.0765839999999994E-3</v>
      </c>
      <c r="O2096" s="23" t="s">
        <v>9823</v>
      </c>
      <c r="P2096" s="92" t="s">
        <v>632</v>
      </c>
      <c r="Q2096" s="92" t="s">
        <v>637</v>
      </c>
      <c r="R2096" s="372" t="str">
        <f t="shared" si="57"/>
        <v/>
      </c>
    </row>
    <row r="2097" spans="1:18" x14ac:dyDescent="0.25">
      <c r="A2097" s="23" t="s">
        <v>8849</v>
      </c>
      <c r="B2097" s="18" t="str">
        <f>VLOOKUP(A2097, 'Data Pull Sheet'!$B$2:$C$552,2,FALSE)</f>
        <v>INTC</v>
      </c>
      <c r="C2097" s="59" t="s">
        <v>457</v>
      </c>
      <c r="D2097" s="356" t="s">
        <v>9127</v>
      </c>
      <c r="E2097" s="356" t="s">
        <v>9100</v>
      </c>
      <c r="F2097" s="23" t="s">
        <v>233</v>
      </c>
      <c r="G2097" s="92" t="s">
        <v>417</v>
      </c>
      <c r="H2097" s="353">
        <v>67658</v>
      </c>
      <c r="I2097" s="59"/>
      <c r="J2097" s="18" t="s">
        <v>9946</v>
      </c>
      <c r="K2097" s="20">
        <v>2</v>
      </c>
      <c r="L2097" s="20">
        <v>1</v>
      </c>
      <c r="M2097" s="357">
        <f>+H2097</f>
        <v>67658</v>
      </c>
      <c r="N2097" s="411">
        <f>IFERROR((M2097/(VLOOKUP(B2097,'Data Pull Sheet'!$C:$H,6,FALSE))),"DC")</f>
        <v>4.9748529411764704E-5</v>
      </c>
      <c r="O2097" s="23" t="s">
        <v>1</v>
      </c>
      <c r="P2097" s="92" t="s">
        <v>632</v>
      </c>
      <c r="Q2097" s="92" t="s">
        <v>633</v>
      </c>
      <c r="R2097" s="372" t="str">
        <f t="shared" si="57"/>
        <v>FF</v>
      </c>
    </row>
    <row r="2098" spans="1:18" x14ac:dyDescent="0.25">
      <c r="A2098" s="23" t="s">
        <v>8849</v>
      </c>
      <c r="B2098" s="18" t="str">
        <f>VLOOKUP(A2098, 'Data Pull Sheet'!$B$2:$C$552,2,FALSE)</f>
        <v>INTC</v>
      </c>
      <c r="C2098" s="59" t="s">
        <v>457</v>
      </c>
      <c r="D2098" s="356" t="s">
        <v>9127</v>
      </c>
      <c r="E2098" s="356" t="s">
        <v>9100</v>
      </c>
      <c r="F2098" s="23" t="s">
        <v>9628</v>
      </c>
      <c r="G2098" s="92" t="s">
        <v>403</v>
      </c>
      <c r="H2098" s="359">
        <f>M2098/2</f>
        <v>616</v>
      </c>
      <c r="I2098" s="59"/>
      <c r="J2098" s="18" t="s">
        <v>9941</v>
      </c>
      <c r="K2098" s="20"/>
      <c r="L2098" s="20">
        <v>2</v>
      </c>
      <c r="M2098" s="357">
        <v>1232</v>
      </c>
      <c r="N2098" s="411">
        <f>IFERROR((M2098/(VLOOKUP(B2098,'Data Pull Sheet'!$C:$H,6,FALSE))),"DC")</f>
        <v>9.0588235294117644E-7</v>
      </c>
      <c r="O2098" s="23" t="s">
        <v>554</v>
      </c>
      <c r="P2098" s="92" t="s">
        <v>632</v>
      </c>
      <c r="Q2098" s="92" t="s">
        <v>646</v>
      </c>
      <c r="R2098" s="372" t="str">
        <f t="shared" si="57"/>
        <v/>
      </c>
    </row>
    <row r="2099" spans="1:18" x14ac:dyDescent="0.25">
      <c r="A2099" s="23" t="s">
        <v>8849</v>
      </c>
      <c r="B2099" s="18" t="str">
        <f>VLOOKUP(A2099, 'Data Pull Sheet'!$B$2:$C$552,2,FALSE)</f>
        <v>INTC</v>
      </c>
      <c r="C2099" s="59" t="s">
        <v>457</v>
      </c>
      <c r="D2099" s="356" t="s">
        <v>9127</v>
      </c>
      <c r="E2099" s="356" t="s">
        <v>9100</v>
      </c>
      <c r="F2099" s="23" t="s">
        <v>9629</v>
      </c>
      <c r="G2099" s="92" t="s">
        <v>403</v>
      </c>
      <c r="H2099" s="359">
        <f>M2098/2</f>
        <v>616</v>
      </c>
      <c r="I2099" s="59"/>
      <c r="J2099" s="18" t="s">
        <v>9947</v>
      </c>
      <c r="K2099" s="20"/>
      <c r="L2099" s="20"/>
      <c r="M2099" s="357"/>
      <c r="N2099" s="411"/>
      <c r="O2099" s="23" t="s">
        <v>554</v>
      </c>
      <c r="P2099" s="92" t="s">
        <v>632</v>
      </c>
      <c r="Q2099" s="92" t="s">
        <v>646</v>
      </c>
      <c r="R2099" s="372" t="str">
        <f t="shared" si="57"/>
        <v/>
      </c>
    </row>
    <row r="2100" spans="1:18" ht="30" x14ac:dyDescent="0.25">
      <c r="A2100" s="23" t="s">
        <v>3355</v>
      </c>
      <c r="B2100" s="18" t="str">
        <f>VLOOKUP(A2100, 'Data Pull Sheet'!$B$2:$C$552,2,FALSE)</f>
        <v>RT</v>
      </c>
      <c r="C2100" s="59" t="s">
        <v>515</v>
      </c>
      <c r="D2100" s="356" t="s">
        <v>9110</v>
      </c>
      <c r="E2100" s="356" t="s">
        <v>9100</v>
      </c>
      <c r="F2100" s="23" t="s">
        <v>9613</v>
      </c>
      <c r="G2100" s="92" t="s">
        <v>403</v>
      </c>
      <c r="H2100" s="353">
        <v>10000</v>
      </c>
      <c r="I2100" s="59" t="s">
        <v>2613</v>
      </c>
      <c r="J2100" s="18" t="s">
        <v>3357</v>
      </c>
      <c r="K2100" s="20">
        <v>1</v>
      </c>
      <c r="L2100" s="20">
        <v>1</v>
      </c>
      <c r="M2100" s="357">
        <f>+H2100</f>
        <v>10000</v>
      </c>
      <c r="N2100" s="411">
        <f>IFERROR((M2100/(VLOOKUP(B2100,'Data Pull Sheet'!$C:$H,6,FALSE))),"DC")</f>
        <v>5.0000000000000001E-4</v>
      </c>
      <c r="O2100" s="23" t="s">
        <v>1515</v>
      </c>
      <c r="P2100" s="92" t="s">
        <v>676</v>
      </c>
      <c r="Q2100" s="92" t="s">
        <v>637</v>
      </c>
      <c r="R2100" s="372" t="str">
        <f t="shared" si="57"/>
        <v>FF</v>
      </c>
    </row>
    <row r="2101" spans="1:18" x14ac:dyDescent="0.25">
      <c r="A2101" s="23" t="s">
        <v>8800</v>
      </c>
      <c r="B2101" s="18" t="str">
        <f>VLOOKUP(A2101, 'Data Pull Sheet'!$B$2:$C$552,2,FALSE)</f>
        <v>AMC</v>
      </c>
      <c r="C2101" s="59" t="s">
        <v>418</v>
      </c>
      <c r="D2101" s="356" t="s">
        <v>9124</v>
      </c>
      <c r="E2101" s="356" t="s">
        <v>9178</v>
      </c>
      <c r="F2101" s="23" t="s">
        <v>9610</v>
      </c>
      <c r="G2101" s="92" t="s">
        <v>403</v>
      </c>
      <c r="H2101" s="353">
        <v>3154.06</v>
      </c>
      <c r="I2101" s="59"/>
      <c r="J2101" s="18" t="s">
        <v>9949</v>
      </c>
      <c r="K2101" s="20">
        <v>4</v>
      </c>
      <c r="L2101" s="20">
        <v>1</v>
      </c>
      <c r="M2101" s="357">
        <f>+H2101</f>
        <v>3154.06</v>
      </c>
      <c r="N2101" s="411">
        <f>IFERROR((M2101/(VLOOKUP(B2101,'Data Pull Sheet'!$C:$H,6,FALSE))),"DC")</f>
        <v>5.3915555555555554E-6</v>
      </c>
      <c r="O2101" s="23" t="s">
        <v>682</v>
      </c>
      <c r="P2101" s="92" t="s">
        <v>632</v>
      </c>
      <c r="Q2101" s="92" t="s">
        <v>637</v>
      </c>
      <c r="R2101" s="372" t="str">
        <f t="shared" si="57"/>
        <v/>
      </c>
    </row>
    <row r="2102" spans="1:18" x14ac:dyDescent="0.25">
      <c r="A2102" s="23" t="s">
        <v>8800</v>
      </c>
      <c r="B2102" s="18" t="str">
        <f>VLOOKUP(A2102, 'Data Pull Sheet'!$B$2:$C$552,2,FALSE)</f>
        <v>AMC</v>
      </c>
      <c r="C2102" s="59" t="s">
        <v>418</v>
      </c>
      <c r="D2102" s="356" t="s">
        <v>9124</v>
      </c>
      <c r="E2102" s="356" t="s">
        <v>9178</v>
      </c>
      <c r="F2102" s="23" t="s">
        <v>9611</v>
      </c>
      <c r="G2102" s="92" t="s">
        <v>403</v>
      </c>
      <c r="H2102" s="353">
        <v>1596.31</v>
      </c>
      <c r="I2102" s="59"/>
      <c r="J2102" s="18" t="s">
        <v>9951</v>
      </c>
      <c r="K2102" s="20"/>
      <c r="L2102" s="20">
        <v>1</v>
      </c>
      <c r="M2102" s="357">
        <f>+H2102</f>
        <v>1596.31</v>
      </c>
      <c r="N2102" s="411">
        <f>IFERROR((M2102/(VLOOKUP(B2102,'Data Pull Sheet'!$C:$H,6,FALSE))),"DC")</f>
        <v>2.7287350427350426E-6</v>
      </c>
      <c r="O2102" s="23" t="s">
        <v>597</v>
      </c>
      <c r="P2102" s="92" t="s">
        <v>632</v>
      </c>
      <c r="Q2102" s="92" t="s">
        <v>637</v>
      </c>
      <c r="R2102" s="372" t="str">
        <f t="shared" si="57"/>
        <v/>
      </c>
    </row>
    <row r="2103" spans="1:18" ht="30" x14ac:dyDescent="0.25">
      <c r="A2103" s="23" t="s">
        <v>8800</v>
      </c>
      <c r="B2103" s="18" t="str">
        <f>VLOOKUP(A2103, 'Data Pull Sheet'!$B$2:$C$552,2,FALSE)</f>
        <v>AMC</v>
      </c>
      <c r="C2103" s="59" t="s">
        <v>418</v>
      </c>
      <c r="D2103" s="356" t="s">
        <v>9124</v>
      </c>
      <c r="E2103" s="356" t="s">
        <v>9178</v>
      </c>
      <c r="F2103" s="23" t="s">
        <v>9612</v>
      </c>
      <c r="G2103" s="92" t="s">
        <v>417</v>
      </c>
      <c r="H2103" s="353">
        <v>60664.44</v>
      </c>
      <c r="I2103" s="59"/>
      <c r="J2103" s="18" t="s">
        <v>9943</v>
      </c>
      <c r="K2103" s="20"/>
      <c r="L2103" s="20">
        <v>1</v>
      </c>
      <c r="M2103" s="357">
        <f>+H2103</f>
        <v>60664.44</v>
      </c>
      <c r="N2103" s="411">
        <f>IFERROR((M2103/(VLOOKUP(B2103,'Data Pull Sheet'!$C:$H,6,FALSE))),"DC")</f>
        <v>1.0369989743589744E-4</v>
      </c>
      <c r="O2103" s="23" t="s">
        <v>1813</v>
      </c>
      <c r="P2103" s="92" t="s">
        <v>632</v>
      </c>
      <c r="Q2103" s="92" t="s">
        <v>633</v>
      </c>
      <c r="R2103" s="372" t="str">
        <f t="shared" si="57"/>
        <v/>
      </c>
    </row>
    <row r="2104" spans="1:18" ht="30" x14ac:dyDescent="0.25">
      <c r="A2104" s="23" t="s">
        <v>8800</v>
      </c>
      <c r="B2104" s="18" t="s">
        <v>8476</v>
      </c>
      <c r="C2104" s="59" t="s">
        <v>418</v>
      </c>
      <c r="D2104" s="356">
        <v>43112</v>
      </c>
      <c r="E2104" s="356">
        <v>43172</v>
      </c>
      <c r="F2104" s="23" t="s">
        <v>195</v>
      </c>
      <c r="G2104" s="92" t="s">
        <v>417</v>
      </c>
      <c r="H2104" s="353">
        <v>203102.23</v>
      </c>
      <c r="I2104" s="59"/>
      <c r="J2104" s="18" t="s">
        <v>10395</v>
      </c>
      <c r="K2104" s="20"/>
      <c r="L2104" s="20">
        <v>1</v>
      </c>
      <c r="M2104" s="357">
        <f>+H2104</f>
        <v>203102.23</v>
      </c>
      <c r="N2104" s="411">
        <f>IFERROR((M2104/(VLOOKUP(B2104,'Data Pull Sheet'!$C:$H,6,FALSE))),"DC")</f>
        <v>3.4718329914529918E-4</v>
      </c>
      <c r="O2104" s="23" t="s">
        <v>199</v>
      </c>
      <c r="P2104" s="92" t="s">
        <v>632</v>
      </c>
      <c r="Q2104" s="92" t="s">
        <v>633</v>
      </c>
      <c r="R2104" s="372" t="str">
        <f t="shared" si="57"/>
        <v>FF</v>
      </c>
    </row>
    <row r="2105" spans="1:18" x14ac:dyDescent="0.25">
      <c r="A2105" s="23" t="s">
        <v>8790</v>
      </c>
      <c r="B2105" s="18" t="str">
        <f>VLOOKUP(A2105, 'Data Pull Sheet'!$B$2:$C$552,2,FALSE)</f>
        <v>AMD</v>
      </c>
      <c r="C2105" s="59" t="s">
        <v>457</v>
      </c>
      <c r="D2105" s="356" t="s">
        <v>9122</v>
      </c>
      <c r="E2105" s="356" t="s">
        <v>9088</v>
      </c>
      <c r="F2105" s="23" t="s">
        <v>9595</v>
      </c>
      <c r="G2105" s="92" t="s">
        <v>403</v>
      </c>
      <c r="H2105" s="353">
        <v>13637</v>
      </c>
      <c r="I2105" s="59"/>
      <c r="J2105" s="18" t="s">
        <v>9953</v>
      </c>
      <c r="K2105" s="20">
        <v>3</v>
      </c>
      <c r="L2105" s="20">
        <v>3</v>
      </c>
      <c r="M2105" s="357">
        <f>SUM(H2105:H2107)</f>
        <v>73314</v>
      </c>
      <c r="N2105" s="411">
        <f>IFERROR((M2105/(VLOOKUP(B2105,'Data Pull Sheet'!$C:$H,6,FALSE))),"DC")</f>
        <v>1.4662799999999999E-3</v>
      </c>
      <c r="O2105" s="23" t="s">
        <v>79</v>
      </c>
      <c r="P2105" s="92" t="s">
        <v>632</v>
      </c>
      <c r="Q2105" s="92" t="s">
        <v>646</v>
      </c>
      <c r="R2105" s="372" t="str">
        <f t="shared" si="57"/>
        <v/>
      </c>
    </row>
    <row r="2106" spans="1:18" x14ac:dyDescent="0.25">
      <c r="A2106" s="23" t="s">
        <v>8790</v>
      </c>
      <c r="B2106" s="18" t="str">
        <f>VLOOKUP(A2106, 'Data Pull Sheet'!$B$2:$C$552,2,FALSE)</f>
        <v>AMD</v>
      </c>
      <c r="C2106" s="59" t="s">
        <v>457</v>
      </c>
      <c r="D2106" s="356" t="s">
        <v>9122</v>
      </c>
      <c r="E2106" s="356" t="s">
        <v>9088</v>
      </c>
      <c r="F2106" s="23" t="s">
        <v>9596</v>
      </c>
      <c r="G2106" s="92" t="s">
        <v>403</v>
      </c>
      <c r="H2106" s="353">
        <v>16938</v>
      </c>
      <c r="I2106" s="59"/>
      <c r="J2106" s="18" t="s">
        <v>9954</v>
      </c>
      <c r="K2106" s="20"/>
      <c r="L2106" s="20"/>
      <c r="M2106" s="357"/>
      <c r="N2106" s="411"/>
      <c r="O2106" s="23" t="s">
        <v>79</v>
      </c>
      <c r="P2106" s="92" t="s">
        <v>632</v>
      </c>
      <c r="Q2106" s="92" t="s">
        <v>646</v>
      </c>
      <c r="R2106" s="372" t="str">
        <f t="shared" si="57"/>
        <v/>
      </c>
    </row>
    <row r="2107" spans="1:18" x14ac:dyDescent="0.25">
      <c r="A2107" s="23" t="s">
        <v>8790</v>
      </c>
      <c r="B2107" s="18" t="str">
        <f>VLOOKUP(A2107, 'Data Pull Sheet'!$B$2:$C$552,2,FALSE)</f>
        <v>AMD</v>
      </c>
      <c r="C2107" s="59" t="s">
        <v>457</v>
      </c>
      <c r="D2107" s="356" t="s">
        <v>9122</v>
      </c>
      <c r="E2107" s="356" t="s">
        <v>9088</v>
      </c>
      <c r="F2107" s="23" t="s">
        <v>9597</v>
      </c>
      <c r="G2107" s="92" t="s">
        <v>403</v>
      </c>
      <c r="H2107" s="353">
        <v>42739</v>
      </c>
      <c r="I2107" s="59"/>
      <c r="J2107" s="18" t="s">
        <v>9955</v>
      </c>
      <c r="K2107" s="20"/>
      <c r="L2107" s="20"/>
      <c r="M2107" s="357"/>
      <c r="N2107" s="411"/>
      <c r="O2107" s="23" t="s">
        <v>79</v>
      </c>
      <c r="P2107" s="92" t="s">
        <v>632</v>
      </c>
      <c r="Q2107" s="92" t="s">
        <v>646</v>
      </c>
      <c r="R2107" s="372" t="str">
        <f t="shared" si="57"/>
        <v/>
      </c>
    </row>
    <row r="2108" spans="1:18" x14ac:dyDescent="0.25">
      <c r="A2108" s="23" t="s">
        <v>8790</v>
      </c>
      <c r="B2108" s="18" t="str">
        <f>VLOOKUP(A2108, 'Data Pull Sheet'!$B$2:$C$552,2,FALSE)</f>
        <v>AMD</v>
      </c>
      <c r="C2108" s="59" t="s">
        <v>457</v>
      </c>
      <c r="D2108" s="356" t="s">
        <v>9122</v>
      </c>
      <c r="E2108" s="356" t="s">
        <v>9088</v>
      </c>
      <c r="F2108" s="23" t="s">
        <v>9598</v>
      </c>
      <c r="G2108" s="92" t="s">
        <v>403</v>
      </c>
      <c r="H2108" s="353">
        <v>117588.65</v>
      </c>
      <c r="I2108" s="59"/>
      <c r="J2108" s="18" t="s">
        <v>9956</v>
      </c>
      <c r="K2108" s="20"/>
      <c r="L2108" s="20">
        <v>2</v>
      </c>
      <c r="M2108" s="357">
        <f>SUM(H2108:H2109)</f>
        <v>177526.65</v>
      </c>
      <c r="N2108" s="411">
        <f>IFERROR((M2108/(VLOOKUP(B2108,'Data Pull Sheet'!$C:$H,6,FALSE))),"DC")</f>
        <v>3.5505329999999998E-3</v>
      </c>
      <c r="O2108" s="23" t="s">
        <v>682</v>
      </c>
      <c r="P2108" s="92" t="s">
        <v>632</v>
      </c>
      <c r="Q2108" s="92" t="s">
        <v>646</v>
      </c>
      <c r="R2108" s="372" t="str">
        <f t="shared" si="57"/>
        <v/>
      </c>
    </row>
    <row r="2109" spans="1:18" x14ac:dyDescent="0.25">
      <c r="A2109" s="23" t="s">
        <v>8790</v>
      </c>
      <c r="B2109" s="18" t="str">
        <f>VLOOKUP(A2109, 'Data Pull Sheet'!$B$2:$C$552,2,FALSE)</f>
        <v>AMD</v>
      </c>
      <c r="C2109" s="59" t="s">
        <v>457</v>
      </c>
      <c r="D2109" s="356" t="s">
        <v>9122</v>
      </c>
      <c r="E2109" s="356" t="s">
        <v>9088</v>
      </c>
      <c r="F2109" s="23" t="s">
        <v>9599</v>
      </c>
      <c r="G2109" s="92" t="s">
        <v>403</v>
      </c>
      <c r="H2109" s="353">
        <v>59938</v>
      </c>
      <c r="I2109" s="59"/>
      <c r="J2109" s="18" t="s">
        <v>9948</v>
      </c>
      <c r="K2109" s="20"/>
      <c r="L2109" s="20"/>
      <c r="M2109" s="357"/>
      <c r="N2109" s="411"/>
      <c r="O2109" s="23" t="s">
        <v>682</v>
      </c>
      <c r="P2109" s="92" t="s">
        <v>632</v>
      </c>
      <c r="Q2109" s="92" t="s">
        <v>646</v>
      </c>
      <c r="R2109" s="372" t="str">
        <f t="shared" si="57"/>
        <v/>
      </c>
    </row>
    <row r="2110" spans="1:18" x14ac:dyDescent="0.25">
      <c r="A2110" s="23" t="s">
        <v>8790</v>
      </c>
      <c r="B2110" s="18" t="str">
        <f>VLOOKUP(A2110, 'Data Pull Sheet'!$B$2:$C$552,2,FALSE)</f>
        <v>AMD</v>
      </c>
      <c r="C2110" s="59" t="s">
        <v>457</v>
      </c>
      <c r="D2110" s="356" t="s">
        <v>9122</v>
      </c>
      <c r="E2110" s="356" t="s">
        <v>9088</v>
      </c>
      <c r="F2110" s="23" t="s">
        <v>9600</v>
      </c>
      <c r="G2110" s="92" t="s">
        <v>403</v>
      </c>
      <c r="H2110" s="353">
        <v>117303.58</v>
      </c>
      <c r="I2110" s="59" t="s">
        <v>406</v>
      </c>
      <c r="J2110" s="18" t="s">
        <v>9944</v>
      </c>
      <c r="K2110" s="20"/>
      <c r="L2110" s="20">
        <v>1</v>
      </c>
      <c r="M2110" s="357">
        <f>+H2110</f>
        <v>117303.58</v>
      </c>
      <c r="N2110" s="411">
        <f>IFERROR((M2110/(VLOOKUP(B2110,'Data Pull Sheet'!$C:$H,6,FALSE))),"DC")</f>
        <v>2.3460716000000001E-3</v>
      </c>
      <c r="O2110" s="23" t="s">
        <v>63</v>
      </c>
      <c r="P2110" s="92" t="s">
        <v>632</v>
      </c>
      <c r="Q2110" s="92" t="s">
        <v>637</v>
      </c>
      <c r="R2110" s="372" t="str">
        <f t="shared" si="57"/>
        <v/>
      </c>
    </row>
    <row r="2111" spans="1:18" x14ac:dyDescent="0.25">
      <c r="A2111" s="23" t="s">
        <v>8906</v>
      </c>
      <c r="B2111" s="18" t="str">
        <f>VLOOKUP(A2111, 'Data Pull Sheet'!$B$2:$C$552,2,FALSE)</f>
        <v>TSRO</v>
      </c>
      <c r="C2111" s="59" t="s">
        <v>409</v>
      </c>
      <c r="D2111" s="356" t="s">
        <v>9123</v>
      </c>
      <c r="E2111" s="356" t="s">
        <v>9088</v>
      </c>
      <c r="F2111" s="23" t="s">
        <v>9601</v>
      </c>
      <c r="G2111" s="92" t="s">
        <v>403</v>
      </c>
      <c r="H2111" s="353">
        <v>118031</v>
      </c>
      <c r="I2111" s="59"/>
      <c r="J2111" s="18" t="s">
        <v>10417</v>
      </c>
      <c r="K2111" s="20">
        <v>6</v>
      </c>
      <c r="L2111" s="20">
        <v>2</v>
      </c>
      <c r="M2111" s="357">
        <f>SUM(H2111:H2112)</f>
        <v>229642.77000000002</v>
      </c>
      <c r="N2111" s="411">
        <f>IFERROR((M2111/(VLOOKUP(B2111,'Data Pull Sheet'!$C:$H,6,FALSE))),"DC")</f>
        <v>1.7664828461538462E-3</v>
      </c>
      <c r="O2111" s="23" t="s">
        <v>682</v>
      </c>
      <c r="P2111" s="92" t="s">
        <v>632</v>
      </c>
      <c r="Q2111" s="18" t="s">
        <v>637</v>
      </c>
      <c r="R2111" s="372" t="str">
        <f t="shared" si="57"/>
        <v/>
      </c>
    </row>
    <row r="2112" spans="1:18" x14ac:dyDescent="0.25">
      <c r="A2112" s="23" t="s">
        <v>8906</v>
      </c>
      <c r="B2112" s="18" t="str">
        <f>VLOOKUP(A2112, 'Data Pull Sheet'!$B$2:$C$552,2,FALSE)</f>
        <v>TSRO</v>
      </c>
      <c r="C2112" s="59" t="s">
        <v>409</v>
      </c>
      <c r="D2112" s="356" t="s">
        <v>9123</v>
      </c>
      <c r="E2112" s="356" t="s">
        <v>9088</v>
      </c>
      <c r="F2112" s="23" t="s">
        <v>9602</v>
      </c>
      <c r="G2112" s="92" t="s">
        <v>403</v>
      </c>
      <c r="H2112" s="353">
        <v>111611.77</v>
      </c>
      <c r="I2112" s="59"/>
      <c r="J2112" s="18" t="s">
        <v>10418</v>
      </c>
      <c r="K2112" s="20"/>
      <c r="L2112" s="20"/>
      <c r="M2112" s="357"/>
      <c r="N2112" s="411"/>
      <c r="O2112" s="23" t="s">
        <v>682</v>
      </c>
      <c r="P2112" s="92" t="s">
        <v>632</v>
      </c>
      <c r="Q2112" s="18" t="s">
        <v>637</v>
      </c>
      <c r="R2112" s="372" t="str">
        <f t="shared" si="57"/>
        <v/>
      </c>
    </row>
    <row r="2113" spans="1:18" ht="30" x14ac:dyDescent="0.25">
      <c r="A2113" s="23" t="s">
        <v>8906</v>
      </c>
      <c r="B2113" s="18" t="str">
        <f>VLOOKUP(A2113, 'Data Pull Sheet'!$B$2:$C$552,2,FALSE)</f>
        <v>TSRO</v>
      </c>
      <c r="C2113" s="59" t="s">
        <v>409</v>
      </c>
      <c r="D2113" s="356" t="s">
        <v>9123</v>
      </c>
      <c r="E2113" s="356" t="s">
        <v>9088</v>
      </c>
      <c r="F2113" s="23" t="s">
        <v>165</v>
      </c>
      <c r="G2113" s="92" t="s">
        <v>417</v>
      </c>
      <c r="H2113" s="353">
        <v>248948.29</v>
      </c>
      <c r="I2113" s="59" t="s">
        <v>406</v>
      </c>
      <c r="J2113" s="18" t="s">
        <v>10419</v>
      </c>
      <c r="K2113" s="20"/>
      <c r="L2113" s="20">
        <v>1</v>
      </c>
      <c r="M2113" s="357">
        <f>+H2113</f>
        <v>248948.29</v>
      </c>
      <c r="N2113" s="411">
        <f>IFERROR((M2113/(VLOOKUP(B2113,'Data Pull Sheet'!$C:$H,6,FALSE))),"DC")</f>
        <v>1.9149868461538462E-3</v>
      </c>
      <c r="O2113" s="23" t="s">
        <v>714</v>
      </c>
      <c r="P2113" s="92" t="s">
        <v>632</v>
      </c>
      <c r="Q2113" s="18" t="s">
        <v>633</v>
      </c>
      <c r="R2113" s="372" t="str">
        <f t="shared" si="57"/>
        <v>FF</v>
      </c>
    </row>
    <row r="2114" spans="1:18" x14ac:dyDescent="0.25">
      <c r="A2114" s="23" t="s">
        <v>8906</v>
      </c>
      <c r="B2114" s="18" t="str">
        <f>VLOOKUP(A2114, 'Data Pull Sheet'!$B$2:$C$552,2,FALSE)</f>
        <v>TSRO</v>
      </c>
      <c r="C2114" s="59" t="s">
        <v>409</v>
      </c>
      <c r="D2114" s="356" t="s">
        <v>9123</v>
      </c>
      <c r="E2114" s="356" t="s">
        <v>9088</v>
      </c>
      <c r="F2114" s="23" t="s">
        <v>9603</v>
      </c>
      <c r="G2114" s="92" t="s">
        <v>403</v>
      </c>
      <c r="H2114" s="353">
        <v>18771</v>
      </c>
      <c r="I2114" s="59"/>
      <c r="J2114" s="18" t="s">
        <v>10420</v>
      </c>
      <c r="K2114" s="20"/>
      <c r="L2114" s="20">
        <v>2</v>
      </c>
      <c r="M2114" s="357">
        <f>SUM(H2114:H2115)</f>
        <v>53760</v>
      </c>
      <c r="N2114" s="411">
        <f>IFERROR((M2114/(VLOOKUP(B2114,'Data Pull Sheet'!$C:$H,6,FALSE))),"DC")</f>
        <v>4.1353846153846155E-4</v>
      </c>
      <c r="O2114" s="23" t="s">
        <v>9821</v>
      </c>
      <c r="P2114" s="92" t="s">
        <v>632</v>
      </c>
      <c r="Q2114" s="18" t="s">
        <v>637</v>
      </c>
      <c r="R2114" s="372" t="str">
        <f t="shared" ref="R2114:R2177" si="59">IF(COUNTIF(F:F,F2114)&gt;=2,"FF","")</f>
        <v/>
      </c>
    </row>
    <row r="2115" spans="1:18" x14ac:dyDescent="0.25">
      <c r="A2115" s="23" t="s">
        <v>8906</v>
      </c>
      <c r="B2115" s="18" t="str">
        <f>VLOOKUP(A2115, 'Data Pull Sheet'!$B$2:$C$552,2,FALSE)</f>
        <v>TSRO</v>
      </c>
      <c r="C2115" s="59" t="s">
        <v>409</v>
      </c>
      <c r="D2115" s="356" t="s">
        <v>9123</v>
      </c>
      <c r="E2115" s="356" t="s">
        <v>9088</v>
      </c>
      <c r="F2115" s="23" t="s">
        <v>9604</v>
      </c>
      <c r="G2115" s="92" t="s">
        <v>403</v>
      </c>
      <c r="H2115" s="353">
        <v>34989</v>
      </c>
      <c r="I2115" s="59"/>
      <c r="J2115" s="18" t="s">
        <v>10421</v>
      </c>
      <c r="K2115" s="20"/>
      <c r="L2115" s="20"/>
      <c r="M2115" s="357"/>
      <c r="N2115" s="411"/>
      <c r="O2115" s="23" t="s">
        <v>9821</v>
      </c>
      <c r="P2115" s="92" t="s">
        <v>632</v>
      </c>
      <c r="Q2115" s="18" t="s">
        <v>637</v>
      </c>
      <c r="R2115" s="372" t="str">
        <f t="shared" si="59"/>
        <v/>
      </c>
    </row>
    <row r="2116" spans="1:18" x14ac:dyDescent="0.25">
      <c r="A2116" s="23" t="s">
        <v>8906</v>
      </c>
      <c r="B2116" s="18" t="str">
        <f>VLOOKUP(A2116, 'Data Pull Sheet'!$B$2:$C$552,2,FALSE)</f>
        <v>TSRO</v>
      </c>
      <c r="C2116" s="59" t="s">
        <v>409</v>
      </c>
      <c r="D2116" s="356" t="s">
        <v>9123</v>
      </c>
      <c r="E2116" s="356" t="s">
        <v>9088</v>
      </c>
      <c r="F2116" s="23" t="s">
        <v>9605</v>
      </c>
      <c r="G2116" s="92" t="s">
        <v>403</v>
      </c>
      <c r="H2116" s="353">
        <v>204885.23</v>
      </c>
      <c r="I2116" s="59" t="s">
        <v>406</v>
      </c>
      <c r="J2116" s="18" t="s">
        <v>10422</v>
      </c>
      <c r="K2116" s="20"/>
      <c r="L2116" s="20">
        <v>1</v>
      </c>
      <c r="M2116" s="357">
        <f t="shared" ref="M2116:M2123" si="60">+H2116</f>
        <v>204885.23</v>
      </c>
      <c r="N2116" s="411">
        <f>IFERROR((M2116/(VLOOKUP(B2116,'Data Pull Sheet'!$C:$H,6,FALSE))),"DC")</f>
        <v>1.5760402307692309E-3</v>
      </c>
      <c r="O2116" s="23" t="s">
        <v>9822</v>
      </c>
      <c r="P2116" s="92" t="s">
        <v>632</v>
      </c>
      <c r="Q2116" s="18" t="s">
        <v>637</v>
      </c>
      <c r="R2116" s="372" t="str">
        <f t="shared" si="59"/>
        <v/>
      </c>
    </row>
    <row r="2117" spans="1:18" ht="30" x14ac:dyDescent="0.25">
      <c r="A2117" s="23" t="s">
        <v>8906</v>
      </c>
      <c r="B2117" s="18" t="str">
        <f>VLOOKUP(A2117, 'Data Pull Sheet'!$B$2:$C$552,2,FALSE)</f>
        <v>TSRO</v>
      </c>
      <c r="C2117" s="59" t="s">
        <v>409</v>
      </c>
      <c r="D2117" s="356" t="s">
        <v>9123</v>
      </c>
      <c r="E2117" s="356" t="s">
        <v>9088</v>
      </c>
      <c r="F2117" s="23" t="s">
        <v>9606</v>
      </c>
      <c r="G2117" s="92" t="s">
        <v>403</v>
      </c>
      <c r="H2117" s="353">
        <v>280611.3</v>
      </c>
      <c r="I2117" s="59" t="s">
        <v>406</v>
      </c>
      <c r="J2117" s="18" t="s">
        <v>10423</v>
      </c>
      <c r="K2117" s="20"/>
      <c r="L2117" s="20">
        <v>1</v>
      </c>
      <c r="M2117" s="357">
        <f t="shared" si="60"/>
        <v>280611.3</v>
      </c>
      <c r="N2117" s="411">
        <f>IFERROR((M2117/(VLOOKUP(B2117,'Data Pull Sheet'!$C:$H,6,FALSE))),"DC")</f>
        <v>2.1585484615384612E-3</v>
      </c>
      <c r="O2117" s="23" t="s">
        <v>10851</v>
      </c>
      <c r="P2117" s="92" t="s">
        <v>632</v>
      </c>
      <c r="Q2117" s="18" t="s">
        <v>637</v>
      </c>
      <c r="R2117" s="372" t="str">
        <f t="shared" si="59"/>
        <v/>
      </c>
    </row>
    <row r="2118" spans="1:18" ht="30" x14ac:dyDescent="0.25">
      <c r="A2118" s="23" t="s">
        <v>8906</v>
      </c>
      <c r="B2118" s="18" t="str">
        <f>VLOOKUP(A2118, 'Data Pull Sheet'!$B$2:$C$552,2,FALSE)</f>
        <v>TSRO</v>
      </c>
      <c r="C2118" s="59" t="s">
        <v>409</v>
      </c>
      <c r="D2118" s="356" t="s">
        <v>9123</v>
      </c>
      <c r="E2118" s="356" t="s">
        <v>9088</v>
      </c>
      <c r="F2118" s="23" t="s">
        <v>9607</v>
      </c>
      <c r="G2118" s="92" t="s">
        <v>417</v>
      </c>
      <c r="H2118" s="353">
        <v>92863.24</v>
      </c>
      <c r="I2118" s="59"/>
      <c r="J2118" s="18" t="s">
        <v>10424</v>
      </c>
      <c r="K2118" s="20"/>
      <c r="L2118" s="20">
        <v>1</v>
      </c>
      <c r="M2118" s="357">
        <f t="shared" si="60"/>
        <v>92863.24</v>
      </c>
      <c r="N2118" s="411">
        <f>IFERROR((M2118/(VLOOKUP(B2118,'Data Pull Sheet'!$C:$H,6,FALSE))),"DC")</f>
        <v>7.1433261538461548E-4</v>
      </c>
      <c r="O2118" s="23" t="s">
        <v>3752</v>
      </c>
      <c r="P2118" s="92" t="s">
        <v>632</v>
      </c>
      <c r="Q2118" s="18" t="s">
        <v>633</v>
      </c>
      <c r="R2118" s="372" t="str">
        <f t="shared" si="59"/>
        <v/>
      </c>
    </row>
    <row r="2119" spans="1:18" x14ac:dyDescent="0.25">
      <c r="A2119" s="23" t="s">
        <v>8926</v>
      </c>
      <c r="B2119" s="18" t="str">
        <f>VLOOKUP(A2119, 'Data Pull Sheet'!$B$2:$C$552,2,FALSE)</f>
        <v>YELP</v>
      </c>
      <c r="C2119" s="59" t="s">
        <v>457</v>
      </c>
      <c r="D2119" s="356" t="s">
        <v>9120</v>
      </c>
      <c r="E2119" s="356" t="s">
        <v>9088</v>
      </c>
      <c r="F2119" s="23" t="s">
        <v>9608</v>
      </c>
      <c r="G2119" s="92" t="s">
        <v>403</v>
      </c>
      <c r="H2119" s="353">
        <v>21616</v>
      </c>
      <c r="I2119" s="59"/>
      <c r="J2119" s="18" t="s">
        <v>9957</v>
      </c>
      <c r="K2119" s="20">
        <v>2</v>
      </c>
      <c r="L2119" s="20">
        <v>1</v>
      </c>
      <c r="M2119" s="357">
        <f t="shared" si="60"/>
        <v>21616</v>
      </c>
      <c r="N2119" s="411">
        <f>IFERROR((M2119/(VLOOKUP(B2119,'Data Pull Sheet'!$C:$H,6,FALSE))),"DC")</f>
        <v>1.4410666666666666E-4</v>
      </c>
      <c r="O2119" s="23" t="s">
        <v>682</v>
      </c>
      <c r="P2119" s="92" t="s">
        <v>632</v>
      </c>
      <c r="Q2119" s="92" t="s">
        <v>637</v>
      </c>
      <c r="R2119" s="372" t="str">
        <f t="shared" si="59"/>
        <v/>
      </c>
    </row>
    <row r="2120" spans="1:18" x14ac:dyDescent="0.25">
      <c r="A2120" s="23" t="s">
        <v>8926</v>
      </c>
      <c r="B2120" s="18" t="str">
        <f>VLOOKUP(A2120, 'Data Pull Sheet'!$B$2:$C$552,2,FALSE)</f>
        <v>YELP</v>
      </c>
      <c r="C2120" s="59" t="s">
        <v>457</v>
      </c>
      <c r="D2120" s="356" t="s">
        <v>9120</v>
      </c>
      <c r="E2120" s="356" t="s">
        <v>9088</v>
      </c>
      <c r="F2120" s="23" t="s">
        <v>9609</v>
      </c>
      <c r="G2120" s="92" t="s">
        <v>403</v>
      </c>
      <c r="H2120" s="353">
        <v>93006.7</v>
      </c>
      <c r="I2120" s="59"/>
      <c r="J2120" s="18" t="s">
        <v>9950</v>
      </c>
      <c r="K2120" s="20"/>
      <c r="L2120" s="20">
        <v>1</v>
      </c>
      <c r="M2120" s="357">
        <f t="shared" si="60"/>
        <v>93006.7</v>
      </c>
      <c r="N2120" s="411">
        <f>IFERROR((M2120/(VLOOKUP(B2120,'Data Pull Sheet'!$C:$H,6,FALSE))),"DC")</f>
        <v>6.2004466666666668E-4</v>
      </c>
      <c r="O2120" s="23" t="s">
        <v>2410</v>
      </c>
      <c r="P2120" s="92" t="s">
        <v>632</v>
      </c>
      <c r="Q2120" s="92" t="s">
        <v>637</v>
      </c>
      <c r="R2120" s="372" t="str">
        <f t="shared" si="59"/>
        <v/>
      </c>
    </row>
    <row r="2121" spans="1:18" x14ac:dyDescent="0.25">
      <c r="A2121" s="23" t="s">
        <v>8792</v>
      </c>
      <c r="B2121" s="18" t="str">
        <f>VLOOKUP(A2121, 'Data Pull Sheet'!$B$2:$C$552,2,FALSE)</f>
        <v>HIVE</v>
      </c>
      <c r="C2121" s="59" t="s">
        <v>457</v>
      </c>
      <c r="D2121" s="356" t="s">
        <v>9121</v>
      </c>
      <c r="E2121" s="356" t="s">
        <v>9096</v>
      </c>
      <c r="F2121" s="23" t="s">
        <v>9592</v>
      </c>
      <c r="G2121" s="92" t="s">
        <v>403</v>
      </c>
      <c r="H2121" s="353">
        <v>80197</v>
      </c>
      <c r="I2121" s="59"/>
      <c r="J2121" s="18" t="s">
        <v>9958</v>
      </c>
      <c r="K2121" s="20">
        <v>3</v>
      </c>
      <c r="L2121" s="20">
        <v>1</v>
      </c>
      <c r="M2121" s="357">
        <f t="shared" si="60"/>
        <v>80197</v>
      </c>
      <c r="N2121" s="411">
        <f>IFERROR((M2121/(VLOOKUP(B2121,'Data Pull Sheet'!$C:$H,6,FALSE))),"DC")</f>
        <v>8.0196999999999994E-3</v>
      </c>
      <c r="O2121" s="23" t="s">
        <v>79</v>
      </c>
      <c r="P2121" s="92" t="s">
        <v>632</v>
      </c>
      <c r="Q2121" s="92" t="s">
        <v>637</v>
      </c>
      <c r="R2121" s="372" t="str">
        <f t="shared" si="59"/>
        <v/>
      </c>
    </row>
    <row r="2122" spans="1:18" x14ac:dyDescent="0.25">
      <c r="A2122" s="23" t="s">
        <v>8792</v>
      </c>
      <c r="B2122" s="18" t="str">
        <f>VLOOKUP(A2122, 'Data Pull Sheet'!$B$2:$C$552,2,FALSE)</f>
        <v>HIVE</v>
      </c>
      <c r="C2122" s="59" t="s">
        <v>457</v>
      </c>
      <c r="D2122" s="356" t="s">
        <v>9121</v>
      </c>
      <c r="E2122" s="356" t="s">
        <v>9096</v>
      </c>
      <c r="F2122" s="23" t="s">
        <v>9593</v>
      </c>
      <c r="G2122" s="92" t="s">
        <v>403</v>
      </c>
      <c r="H2122" s="353">
        <v>1574.24</v>
      </c>
      <c r="I2122" s="59"/>
      <c r="J2122" s="18" t="s">
        <v>9952</v>
      </c>
      <c r="K2122" s="20"/>
      <c r="L2122" s="20">
        <v>1</v>
      </c>
      <c r="M2122" s="357">
        <f t="shared" si="60"/>
        <v>1574.24</v>
      </c>
      <c r="N2122" s="411">
        <f>IFERROR((M2122/(VLOOKUP(B2122,'Data Pull Sheet'!$C:$H,6,FALSE))),"DC")</f>
        <v>1.57424E-4</v>
      </c>
      <c r="O2122" s="23" t="s">
        <v>682</v>
      </c>
      <c r="P2122" s="92" t="s">
        <v>632</v>
      </c>
      <c r="Q2122" s="92" t="s">
        <v>637</v>
      </c>
      <c r="R2122" s="372" t="str">
        <f t="shared" si="59"/>
        <v/>
      </c>
    </row>
    <row r="2123" spans="1:18" x14ac:dyDescent="0.25">
      <c r="A2123" s="23" t="s">
        <v>8792</v>
      </c>
      <c r="B2123" s="18" t="str">
        <f>VLOOKUP(A2123, 'Data Pull Sheet'!$B$2:$C$552,2,FALSE)</f>
        <v>HIVE</v>
      </c>
      <c r="C2123" s="59" t="s">
        <v>457</v>
      </c>
      <c r="D2123" s="356" t="s">
        <v>9121</v>
      </c>
      <c r="E2123" s="356" t="s">
        <v>9096</v>
      </c>
      <c r="F2123" s="23" t="s">
        <v>9594</v>
      </c>
      <c r="G2123" s="92" t="s">
        <v>403</v>
      </c>
      <c r="H2123" s="353">
        <v>1746.74</v>
      </c>
      <c r="I2123" s="59"/>
      <c r="J2123" s="18" t="s">
        <v>9945</v>
      </c>
      <c r="K2123" s="20"/>
      <c r="L2123" s="20">
        <v>1</v>
      </c>
      <c r="M2123" s="357">
        <f t="shared" si="60"/>
        <v>1746.74</v>
      </c>
      <c r="N2123" s="411">
        <f>IFERROR((M2123/(VLOOKUP(B2123,'Data Pull Sheet'!$C:$H,6,FALSE))),"DC")</f>
        <v>1.7467399999999999E-4</v>
      </c>
      <c r="O2123" s="23" t="s">
        <v>63</v>
      </c>
      <c r="P2123" s="92" t="s">
        <v>632</v>
      </c>
      <c r="Q2123" s="92" t="s">
        <v>637</v>
      </c>
      <c r="R2123" s="372" t="str">
        <f t="shared" si="59"/>
        <v/>
      </c>
    </row>
    <row r="2124" spans="1:18" x14ac:dyDescent="0.25">
      <c r="A2124" s="23" t="s">
        <v>8245</v>
      </c>
      <c r="B2124" s="18" t="str">
        <f>VLOOKUP(A2124, 'Data Pull Sheet'!$B$2:$C$552,2,FALSE)</f>
        <v>XNET</v>
      </c>
      <c r="C2124" s="59" t="s">
        <v>418</v>
      </c>
      <c r="D2124" s="356" t="s">
        <v>9120</v>
      </c>
      <c r="E2124" s="356" t="s">
        <v>9096</v>
      </c>
      <c r="F2124" s="23" t="s">
        <v>9587</v>
      </c>
      <c r="G2124" s="92" t="s">
        <v>403</v>
      </c>
      <c r="H2124" s="353">
        <v>76186.02</v>
      </c>
      <c r="I2124" s="59"/>
      <c r="J2124" s="18" t="s">
        <v>9963</v>
      </c>
      <c r="K2124" s="20">
        <v>3</v>
      </c>
      <c r="L2124" s="20">
        <v>2</v>
      </c>
      <c r="M2124" s="357">
        <f>SUM(H2124:H2125)</f>
        <v>119818.3</v>
      </c>
      <c r="N2124" s="411">
        <f>IFERROR((M2124/(VLOOKUP(B2124,'Data Pull Sheet'!$C:$H,6,FALSE))),"DC")</f>
        <v>9.9848583333333346E-4</v>
      </c>
      <c r="O2124" s="23" t="s">
        <v>682</v>
      </c>
      <c r="P2124" s="92" t="s">
        <v>632</v>
      </c>
      <c r="Q2124" s="92" t="s">
        <v>646</v>
      </c>
      <c r="R2124" s="372" t="str">
        <f t="shared" si="59"/>
        <v/>
      </c>
    </row>
    <row r="2125" spans="1:18" x14ac:dyDescent="0.25">
      <c r="A2125" s="23" t="s">
        <v>8245</v>
      </c>
      <c r="B2125" s="18" t="str">
        <f>VLOOKUP(A2125, 'Data Pull Sheet'!$B$2:$C$552,2,FALSE)</f>
        <v>XNET</v>
      </c>
      <c r="C2125" s="59" t="s">
        <v>418</v>
      </c>
      <c r="D2125" s="356" t="s">
        <v>9120</v>
      </c>
      <c r="E2125" s="356" t="s">
        <v>9096</v>
      </c>
      <c r="F2125" s="23" t="s">
        <v>9588</v>
      </c>
      <c r="G2125" s="92" t="s">
        <v>403</v>
      </c>
      <c r="H2125" s="353">
        <v>43632.28</v>
      </c>
      <c r="I2125" s="59"/>
      <c r="J2125" s="18" t="s">
        <v>9964</v>
      </c>
      <c r="K2125" s="20"/>
      <c r="L2125" s="20"/>
      <c r="M2125" s="357"/>
      <c r="N2125" s="411"/>
      <c r="O2125" s="23" t="s">
        <v>682</v>
      </c>
      <c r="P2125" s="92" t="s">
        <v>632</v>
      </c>
      <c r="Q2125" s="92" t="s">
        <v>646</v>
      </c>
      <c r="R2125" s="372" t="str">
        <f t="shared" si="59"/>
        <v/>
      </c>
    </row>
    <row r="2126" spans="1:18" x14ac:dyDescent="0.25">
      <c r="A2126" s="23" t="s">
        <v>8245</v>
      </c>
      <c r="B2126" s="18" t="str">
        <f>VLOOKUP(A2126, 'Data Pull Sheet'!$B$2:$C$552,2,FALSE)</f>
        <v>XNET</v>
      </c>
      <c r="C2126" s="59" t="s">
        <v>418</v>
      </c>
      <c r="D2126" s="356" t="s">
        <v>9120</v>
      </c>
      <c r="E2126" s="356" t="s">
        <v>9096</v>
      </c>
      <c r="F2126" s="23" t="s">
        <v>9589</v>
      </c>
      <c r="G2126" s="92" t="s">
        <v>403</v>
      </c>
      <c r="H2126" s="353">
        <v>158109</v>
      </c>
      <c r="I2126" s="59"/>
      <c r="J2126" s="18" t="s">
        <v>9966</v>
      </c>
      <c r="K2126" s="20"/>
      <c r="L2126" s="20">
        <v>2</v>
      </c>
      <c r="M2126" s="357">
        <f>SUM(H2126:H2127)</f>
        <v>327690</v>
      </c>
      <c r="N2126" s="411">
        <f>IFERROR((M2126/(VLOOKUP(B2126,'Data Pull Sheet'!$C:$H,6,FALSE))),"DC")</f>
        <v>2.7307500000000001E-3</v>
      </c>
      <c r="O2126" s="23" t="s">
        <v>79</v>
      </c>
      <c r="P2126" s="92" t="s">
        <v>632</v>
      </c>
      <c r="Q2126" s="92" t="s">
        <v>646</v>
      </c>
      <c r="R2126" s="372" t="str">
        <f t="shared" si="59"/>
        <v/>
      </c>
    </row>
    <row r="2127" spans="1:18" x14ac:dyDescent="0.25">
      <c r="A2127" s="23" t="s">
        <v>8245</v>
      </c>
      <c r="B2127" s="18" t="str">
        <f>VLOOKUP(A2127, 'Data Pull Sheet'!$B$2:$C$552,2,FALSE)</f>
        <v>XNET</v>
      </c>
      <c r="C2127" s="59" t="s">
        <v>418</v>
      </c>
      <c r="D2127" s="356" t="s">
        <v>9120</v>
      </c>
      <c r="E2127" s="356" t="s">
        <v>9096</v>
      </c>
      <c r="F2127" s="23" t="s">
        <v>9590</v>
      </c>
      <c r="G2127" s="92" t="s">
        <v>403</v>
      </c>
      <c r="H2127" s="353">
        <v>169581</v>
      </c>
      <c r="I2127" s="59"/>
      <c r="J2127" s="18" t="s">
        <v>9967</v>
      </c>
      <c r="K2127" s="20"/>
      <c r="L2127" s="20"/>
      <c r="M2127" s="357"/>
      <c r="N2127" s="411"/>
      <c r="O2127" s="23" t="s">
        <v>79</v>
      </c>
      <c r="P2127" s="92" t="s">
        <v>632</v>
      </c>
      <c r="Q2127" s="92" t="s">
        <v>646</v>
      </c>
      <c r="R2127" s="372" t="str">
        <f t="shared" si="59"/>
        <v/>
      </c>
    </row>
    <row r="2128" spans="1:18" x14ac:dyDescent="0.25">
      <c r="A2128" s="23" t="s">
        <v>8245</v>
      </c>
      <c r="B2128" s="18" t="str">
        <f>VLOOKUP(A2128, 'Data Pull Sheet'!$B$2:$C$552,2,FALSE)</f>
        <v>XNET</v>
      </c>
      <c r="C2128" s="59" t="s">
        <v>418</v>
      </c>
      <c r="D2128" s="356" t="s">
        <v>9120</v>
      </c>
      <c r="E2128" s="356" t="s">
        <v>9096</v>
      </c>
      <c r="F2128" s="23" t="s">
        <v>9591</v>
      </c>
      <c r="G2128" s="92" t="s">
        <v>403</v>
      </c>
      <c r="H2128" s="353">
        <v>216469.26</v>
      </c>
      <c r="I2128" s="59"/>
      <c r="J2128" s="18" t="s">
        <v>9968</v>
      </c>
      <c r="K2128" s="20"/>
      <c r="L2128" s="20">
        <v>1</v>
      </c>
      <c r="M2128" s="357">
        <f>+H2128</f>
        <v>216469.26</v>
      </c>
      <c r="N2128" s="411">
        <f>IFERROR((M2128/(VLOOKUP(B2128,'Data Pull Sheet'!$C:$H,6,FALSE))),"DC")</f>
        <v>1.8039105000000001E-3</v>
      </c>
      <c r="O2128" s="23" t="s">
        <v>63</v>
      </c>
      <c r="P2128" s="92" t="s">
        <v>632</v>
      </c>
      <c r="Q2128" s="92" t="s">
        <v>637</v>
      </c>
      <c r="R2128" s="372" t="str">
        <f t="shared" si="59"/>
        <v/>
      </c>
    </row>
    <row r="2129" spans="1:18" x14ac:dyDescent="0.25">
      <c r="A2129" s="23" t="s">
        <v>8807</v>
      </c>
      <c r="B2129" s="18" t="str">
        <f>VLOOKUP(A2129, 'Data Pull Sheet'!$B$2:$C$552,2,FALSE)</f>
        <v>BLDP</v>
      </c>
      <c r="C2129" s="59" t="s">
        <v>418</v>
      </c>
      <c r="D2129" s="356" t="s">
        <v>9113</v>
      </c>
      <c r="E2129" s="356" t="s">
        <v>9094</v>
      </c>
      <c r="F2129" s="23" t="s">
        <v>9582</v>
      </c>
      <c r="G2129" s="92" t="s">
        <v>403</v>
      </c>
      <c r="H2129" s="353">
        <v>11574.88</v>
      </c>
      <c r="I2129" s="59"/>
      <c r="J2129" s="18" t="s">
        <v>10413</v>
      </c>
      <c r="K2129" s="20">
        <v>3</v>
      </c>
      <c r="L2129" s="20">
        <v>1</v>
      </c>
      <c r="M2129" s="357">
        <f>+H2129</f>
        <v>11574.88</v>
      </c>
      <c r="N2129" s="411" t="str">
        <f>IFERROR((M2129/(VLOOKUP(B2129,'Data Pull Sheet'!$C:$H,6,FALSE))),"DC")</f>
        <v>DC</v>
      </c>
      <c r="O2129" s="23" t="s">
        <v>682</v>
      </c>
      <c r="P2129" s="92" t="s">
        <v>632</v>
      </c>
      <c r="Q2129" s="18" t="s">
        <v>637</v>
      </c>
      <c r="R2129" s="372" t="str">
        <f t="shared" si="59"/>
        <v/>
      </c>
    </row>
    <row r="2130" spans="1:18" x14ac:dyDescent="0.25">
      <c r="A2130" s="23" t="s">
        <v>8807</v>
      </c>
      <c r="B2130" s="18" t="str">
        <f>VLOOKUP(A2130, 'Data Pull Sheet'!$B$2:$C$552,2,FALSE)</f>
        <v>BLDP</v>
      </c>
      <c r="C2130" s="59" t="s">
        <v>418</v>
      </c>
      <c r="D2130" s="356" t="s">
        <v>9113</v>
      </c>
      <c r="E2130" s="356" t="s">
        <v>9094</v>
      </c>
      <c r="F2130" s="23" t="s">
        <v>9583</v>
      </c>
      <c r="G2130" s="92" t="s">
        <v>403</v>
      </c>
      <c r="H2130" s="353">
        <v>45692.28</v>
      </c>
      <c r="I2130" s="59"/>
      <c r="J2130" s="18" t="s">
        <v>10414</v>
      </c>
      <c r="K2130" s="20"/>
      <c r="L2130" s="20">
        <v>2</v>
      </c>
      <c r="M2130" s="357">
        <f>SUM(H2130:H2131)</f>
        <v>83006.81</v>
      </c>
      <c r="N2130" s="411" t="str">
        <f>IFERROR((M2130/(VLOOKUP(B2130,'Data Pull Sheet'!$C:$H,6,FALSE))),"DC")</f>
        <v>DC</v>
      </c>
      <c r="O2130" s="23" t="s">
        <v>597</v>
      </c>
      <c r="P2130" s="92" t="s">
        <v>632</v>
      </c>
      <c r="Q2130" s="18" t="s">
        <v>637</v>
      </c>
      <c r="R2130" s="372" t="str">
        <f t="shared" si="59"/>
        <v/>
      </c>
    </row>
    <row r="2131" spans="1:18" x14ac:dyDescent="0.25">
      <c r="A2131" s="23" t="s">
        <v>8807</v>
      </c>
      <c r="B2131" s="18" t="str">
        <f>VLOOKUP(A2131, 'Data Pull Sheet'!$B$2:$C$552,2,FALSE)</f>
        <v>BLDP</v>
      </c>
      <c r="C2131" s="59" t="s">
        <v>418</v>
      </c>
      <c r="D2131" s="356" t="s">
        <v>9113</v>
      </c>
      <c r="E2131" s="356" t="s">
        <v>9094</v>
      </c>
      <c r="F2131" s="23" t="s">
        <v>9584</v>
      </c>
      <c r="G2131" s="92" t="s">
        <v>403</v>
      </c>
      <c r="H2131" s="353">
        <v>37314.53</v>
      </c>
      <c r="I2131" s="59"/>
      <c r="J2131" s="18" t="s">
        <v>10415</v>
      </c>
      <c r="K2131" s="20"/>
      <c r="L2131" s="20"/>
      <c r="M2131" s="357"/>
      <c r="N2131" s="411"/>
      <c r="O2131" s="23" t="s">
        <v>597</v>
      </c>
      <c r="P2131" s="92" t="s">
        <v>632</v>
      </c>
      <c r="Q2131" s="18" t="s">
        <v>637</v>
      </c>
      <c r="R2131" s="372" t="str">
        <f t="shared" si="59"/>
        <v/>
      </c>
    </row>
    <row r="2132" spans="1:18" x14ac:dyDescent="0.25">
      <c r="A2132" s="23" t="s">
        <v>8807</v>
      </c>
      <c r="B2132" s="18" t="str">
        <f>VLOOKUP(A2132, 'Data Pull Sheet'!$B$2:$C$552,2,FALSE)</f>
        <v>BLDP</v>
      </c>
      <c r="C2132" s="59" t="s">
        <v>418</v>
      </c>
      <c r="D2132" s="356" t="s">
        <v>9113</v>
      </c>
      <c r="E2132" s="356" t="s">
        <v>9094</v>
      </c>
      <c r="F2132" s="23" t="s">
        <v>9585</v>
      </c>
      <c r="G2132" s="92" t="s">
        <v>403</v>
      </c>
      <c r="H2132" s="353">
        <v>121564</v>
      </c>
      <c r="I2132" s="59"/>
      <c r="J2132" s="18" t="s">
        <v>10416</v>
      </c>
      <c r="K2132" s="20"/>
      <c r="L2132" s="20">
        <v>1</v>
      </c>
      <c r="M2132" s="357">
        <f>+H2132</f>
        <v>121564</v>
      </c>
      <c r="N2132" s="411" t="str">
        <f>IFERROR((M2132/(VLOOKUP(B2132,'Data Pull Sheet'!$C:$H,6,FALSE))),"DC")</f>
        <v>DC</v>
      </c>
      <c r="O2132" s="23" t="s">
        <v>1204</v>
      </c>
      <c r="P2132" s="92" t="s">
        <v>632</v>
      </c>
      <c r="Q2132" s="18" t="s">
        <v>637</v>
      </c>
      <c r="R2132" s="372" t="str">
        <f t="shared" si="59"/>
        <v/>
      </c>
    </row>
    <row r="2133" spans="1:18" ht="30" x14ac:dyDescent="0.25">
      <c r="A2133" s="23" t="s">
        <v>107</v>
      </c>
      <c r="B2133" s="18" t="str">
        <f>VLOOKUP(A2133, 'Data Pull Sheet'!$B$2:$C$552,2,FALSE)</f>
        <v>CBI</v>
      </c>
      <c r="C2133" s="59" t="s">
        <v>421</v>
      </c>
      <c r="D2133" s="356" t="s">
        <v>9119</v>
      </c>
      <c r="E2133" s="356" t="s">
        <v>9176</v>
      </c>
      <c r="F2133" s="23" t="s">
        <v>9580</v>
      </c>
      <c r="G2133" s="92" t="s">
        <v>417</v>
      </c>
      <c r="H2133" s="353">
        <v>2700</v>
      </c>
      <c r="I2133" s="59" t="s">
        <v>2613</v>
      </c>
      <c r="J2133" s="18" t="s">
        <v>9969</v>
      </c>
      <c r="K2133" s="20">
        <v>1</v>
      </c>
      <c r="L2133" s="20">
        <v>2</v>
      </c>
      <c r="M2133" s="357">
        <f>SUM(H2133:H2134)</f>
        <v>3700</v>
      </c>
      <c r="N2133" s="411">
        <f>IFERROR((M2133/(VLOOKUP(B2133,'Data Pull Sheet'!$C:$H,6,FALSE))),"DC")</f>
        <v>4.3529411764705884E-6</v>
      </c>
      <c r="O2133" s="23" t="s">
        <v>11191</v>
      </c>
      <c r="P2133" s="92" t="s">
        <v>676</v>
      </c>
      <c r="Q2133" s="92" t="s">
        <v>662</v>
      </c>
      <c r="R2133" s="372" t="str">
        <f t="shared" si="59"/>
        <v/>
      </c>
    </row>
    <row r="2134" spans="1:18" ht="30" x14ac:dyDescent="0.25">
      <c r="A2134" s="23" t="s">
        <v>107</v>
      </c>
      <c r="B2134" s="18" t="str">
        <f>VLOOKUP(A2134, 'Data Pull Sheet'!$B$2:$C$552,2,FALSE)</f>
        <v>CBI</v>
      </c>
      <c r="C2134" s="59" t="s">
        <v>421</v>
      </c>
      <c r="D2134" s="356" t="s">
        <v>9119</v>
      </c>
      <c r="E2134" s="356" t="s">
        <v>9176</v>
      </c>
      <c r="F2134" s="23" t="s">
        <v>9581</v>
      </c>
      <c r="G2134" s="92" t="s">
        <v>403</v>
      </c>
      <c r="H2134" s="353">
        <v>1000</v>
      </c>
      <c r="I2134" s="59" t="s">
        <v>2613</v>
      </c>
      <c r="J2134" s="18" t="s">
        <v>9965</v>
      </c>
      <c r="K2134" s="20"/>
      <c r="L2134" s="20"/>
      <c r="M2134" s="357"/>
      <c r="N2134" s="411"/>
      <c r="O2134" s="23" t="s">
        <v>11191</v>
      </c>
      <c r="P2134" s="92" t="s">
        <v>676</v>
      </c>
      <c r="Q2134" s="92" t="s">
        <v>662</v>
      </c>
      <c r="R2134" s="372" t="str">
        <f t="shared" si="59"/>
        <v/>
      </c>
    </row>
    <row r="2135" spans="1:18" ht="30" x14ac:dyDescent="0.25">
      <c r="A2135" s="23" t="s">
        <v>8867</v>
      </c>
      <c r="B2135" s="18" t="str">
        <f>VLOOKUP(A2135, 'Data Pull Sheet'!$B$2:$C$552,2,FALSE)</f>
        <v>MET</v>
      </c>
      <c r="C2135" s="59" t="s">
        <v>1008</v>
      </c>
      <c r="D2135" s="356" t="s">
        <v>9118</v>
      </c>
      <c r="E2135" s="356" t="s">
        <v>9087</v>
      </c>
      <c r="F2135" s="23" t="s">
        <v>223</v>
      </c>
      <c r="G2135" s="92" t="s">
        <v>417</v>
      </c>
      <c r="H2135" s="353">
        <v>1659520.47</v>
      </c>
      <c r="I2135" s="59" t="s">
        <v>406</v>
      </c>
      <c r="J2135" s="18" t="s">
        <v>9970</v>
      </c>
      <c r="K2135" s="20">
        <v>6</v>
      </c>
      <c r="L2135" s="20">
        <v>1</v>
      </c>
      <c r="M2135" s="357">
        <f t="shared" ref="M2135:M2147" si="61">+H2135</f>
        <v>1659520.47</v>
      </c>
      <c r="N2135" s="411">
        <f>IFERROR((M2135/(VLOOKUP(B2135,'Data Pull Sheet'!$C:$H,6,FALSE))),"DC")</f>
        <v>5.3532918387096768E-4</v>
      </c>
      <c r="O2135" s="23" t="s">
        <v>9819</v>
      </c>
      <c r="P2135" s="92" t="s">
        <v>632</v>
      </c>
      <c r="Q2135" s="92" t="s">
        <v>633</v>
      </c>
      <c r="R2135" s="372" t="str">
        <f t="shared" si="59"/>
        <v>FF</v>
      </c>
    </row>
    <row r="2136" spans="1:18" x14ac:dyDescent="0.25">
      <c r="A2136" s="23" t="s">
        <v>8867</v>
      </c>
      <c r="B2136" s="18" t="str">
        <f>VLOOKUP(A2136, 'Data Pull Sheet'!$B$2:$C$552,2,FALSE)</f>
        <v>MET</v>
      </c>
      <c r="C2136" s="59" t="s">
        <v>1008</v>
      </c>
      <c r="D2136" s="356" t="s">
        <v>9118</v>
      </c>
      <c r="E2136" s="356" t="s">
        <v>9087</v>
      </c>
      <c r="F2136" s="23" t="s">
        <v>9577</v>
      </c>
      <c r="G2136" s="92" t="s">
        <v>403</v>
      </c>
      <c r="H2136" s="353">
        <v>6870</v>
      </c>
      <c r="I2136" s="59"/>
      <c r="J2136" s="18" t="s">
        <v>9971</v>
      </c>
      <c r="K2136" s="20"/>
      <c r="L2136" s="20">
        <v>1</v>
      </c>
      <c r="M2136" s="357">
        <f t="shared" si="61"/>
        <v>6870</v>
      </c>
      <c r="N2136" s="411">
        <f>IFERROR((M2136/(VLOOKUP(B2136,'Data Pull Sheet'!$C:$H,6,FALSE))),"DC")</f>
        <v>2.2161290322580644E-6</v>
      </c>
      <c r="O2136" s="23" t="s">
        <v>849</v>
      </c>
      <c r="P2136" s="92" t="s">
        <v>632</v>
      </c>
      <c r="Q2136" s="92" t="s">
        <v>637</v>
      </c>
      <c r="R2136" s="372" t="str">
        <f t="shared" si="59"/>
        <v/>
      </c>
    </row>
    <row r="2137" spans="1:18" ht="30" x14ac:dyDescent="0.25">
      <c r="A2137" s="23" t="s">
        <v>8867</v>
      </c>
      <c r="B2137" s="18" t="str">
        <f>VLOOKUP(A2137, 'Data Pull Sheet'!$B$2:$C$552,2,FALSE)</f>
        <v>MET</v>
      </c>
      <c r="C2137" s="59" t="s">
        <v>1008</v>
      </c>
      <c r="D2137" s="356" t="s">
        <v>9118</v>
      </c>
      <c r="E2137" s="356" t="s">
        <v>9087</v>
      </c>
      <c r="F2137" s="23" t="s">
        <v>9578</v>
      </c>
      <c r="G2137" s="92" t="s">
        <v>417</v>
      </c>
      <c r="H2137" s="353">
        <v>85009</v>
      </c>
      <c r="I2137" s="59" t="s">
        <v>442</v>
      </c>
      <c r="J2137" s="18" t="s">
        <v>9972</v>
      </c>
      <c r="K2137" s="20"/>
      <c r="L2137" s="20">
        <v>1</v>
      </c>
      <c r="M2137" s="357">
        <f t="shared" si="61"/>
        <v>85009</v>
      </c>
      <c r="N2137" s="411">
        <f>IFERROR((M2137/(VLOOKUP(B2137,'Data Pull Sheet'!$C:$H,6,FALSE))),"DC")</f>
        <v>2.742225806451613E-5</v>
      </c>
      <c r="O2137" s="23" t="s">
        <v>109</v>
      </c>
      <c r="P2137" s="92" t="s">
        <v>632</v>
      </c>
      <c r="Q2137" s="92" t="s">
        <v>633</v>
      </c>
      <c r="R2137" s="372" t="str">
        <f t="shared" si="59"/>
        <v/>
      </c>
    </row>
    <row r="2138" spans="1:18" x14ac:dyDescent="0.25">
      <c r="A2138" s="23" t="s">
        <v>8867</v>
      </c>
      <c r="B2138" s="18" t="str">
        <f>VLOOKUP(A2138, 'Data Pull Sheet'!$B$2:$C$552,2,FALSE)</f>
        <v>MET</v>
      </c>
      <c r="C2138" s="59" t="s">
        <v>1008</v>
      </c>
      <c r="D2138" s="356" t="s">
        <v>9118</v>
      </c>
      <c r="E2138" s="356" t="s">
        <v>9087</v>
      </c>
      <c r="F2138" s="23" t="s">
        <v>9579</v>
      </c>
      <c r="G2138" s="92" t="s">
        <v>403</v>
      </c>
      <c r="H2138" s="353">
        <v>6557.99</v>
      </c>
      <c r="I2138" s="59"/>
      <c r="J2138" s="18" t="s">
        <v>9959</v>
      </c>
      <c r="K2138" s="20"/>
      <c r="L2138" s="20">
        <v>1</v>
      </c>
      <c r="M2138" s="357">
        <f t="shared" si="61"/>
        <v>6557.99</v>
      </c>
      <c r="N2138" s="411">
        <f>IFERROR((M2138/(VLOOKUP(B2138,'Data Pull Sheet'!$C:$H,6,FALSE))),"DC")</f>
        <v>2.1154806451612902E-6</v>
      </c>
      <c r="O2138" s="23" t="s">
        <v>597</v>
      </c>
      <c r="P2138" s="92" t="s">
        <v>632</v>
      </c>
      <c r="Q2138" s="92" t="s">
        <v>637</v>
      </c>
      <c r="R2138" s="372" t="str">
        <f t="shared" si="59"/>
        <v/>
      </c>
    </row>
    <row r="2139" spans="1:18" x14ac:dyDescent="0.25">
      <c r="A2139" s="23" t="s">
        <v>8867</v>
      </c>
      <c r="B2139" s="18" t="str">
        <f>VLOOKUP(A2139, 'Data Pull Sheet'!$B$2:$C$552,2,FALSE)</f>
        <v>MET</v>
      </c>
      <c r="C2139" s="59" t="s">
        <v>1008</v>
      </c>
      <c r="D2139" s="356" t="s">
        <v>9118</v>
      </c>
      <c r="E2139" s="356" t="s">
        <v>9087</v>
      </c>
      <c r="F2139" s="23" t="s">
        <v>218</v>
      </c>
      <c r="G2139" s="92" t="s">
        <v>417</v>
      </c>
      <c r="H2139" s="353">
        <v>9099753.6699999999</v>
      </c>
      <c r="I2139" s="59"/>
      <c r="J2139" s="18" t="s">
        <v>9973</v>
      </c>
      <c r="K2139" s="20"/>
      <c r="L2139" s="20">
        <v>1</v>
      </c>
      <c r="M2139" s="357">
        <f t="shared" si="61"/>
        <v>9099753.6699999999</v>
      </c>
      <c r="N2139" s="411">
        <f>IFERROR((M2139/(VLOOKUP(B2139,'Data Pull Sheet'!$C:$H,6,FALSE))),"DC")</f>
        <v>2.9354044096774191E-3</v>
      </c>
      <c r="O2139" s="23" t="s">
        <v>161</v>
      </c>
      <c r="P2139" s="92" t="s">
        <v>632</v>
      </c>
      <c r="Q2139" s="92" t="s">
        <v>633</v>
      </c>
      <c r="R2139" s="372" t="str">
        <f t="shared" si="59"/>
        <v>FF</v>
      </c>
    </row>
    <row r="2140" spans="1:18" x14ac:dyDescent="0.25">
      <c r="A2140" s="23" t="s">
        <v>8867</v>
      </c>
      <c r="B2140" s="18" t="str">
        <f>VLOOKUP(A2140, 'Data Pull Sheet'!$B$2:$C$552,2,FALSE)</f>
        <v>MET</v>
      </c>
      <c r="C2140" s="59" t="s">
        <v>1008</v>
      </c>
      <c r="D2140" s="356" t="s">
        <v>9118</v>
      </c>
      <c r="E2140" s="356" t="s">
        <v>9087</v>
      </c>
      <c r="F2140" s="23" t="s">
        <v>1334</v>
      </c>
      <c r="G2140" s="92" t="s">
        <v>417</v>
      </c>
      <c r="H2140" s="353">
        <v>266683</v>
      </c>
      <c r="I2140" s="59" t="s">
        <v>413</v>
      </c>
      <c r="J2140" s="18" t="s">
        <v>9960</v>
      </c>
      <c r="K2140" s="20"/>
      <c r="L2140" s="20">
        <v>1</v>
      </c>
      <c r="M2140" s="357">
        <f t="shared" si="61"/>
        <v>266683</v>
      </c>
      <c r="N2140" s="411">
        <f>IFERROR((M2140/(VLOOKUP(B2140,'Data Pull Sheet'!$C:$H,6,FALSE))),"DC")</f>
        <v>8.6026774193548387E-5</v>
      </c>
      <c r="O2140" s="23" t="s">
        <v>79</v>
      </c>
      <c r="P2140" s="92" t="s">
        <v>632</v>
      </c>
      <c r="Q2140" s="92" t="s">
        <v>633</v>
      </c>
      <c r="R2140" s="372" t="str">
        <f t="shared" si="59"/>
        <v>FF</v>
      </c>
    </row>
    <row r="2141" spans="1:18" x14ac:dyDescent="0.25">
      <c r="A2141" s="23" t="s">
        <v>8789</v>
      </c>
      <c r="B2141" s="18" t="str">
        <f>VLOOKUP(A2141, 'Data Pull Sheet'!$B$2:$C$552,2,FALSE)</f>
        <v>AAP</v>
      </c>
      <c r="C2141" s="59" t="s">
        <v>437</v>
      </c>
      <c r="D2141" s="356" t="s">
        <v>9117</v>
      </c>
      <c r="E2141" s="356" t="s">
        <v>9091</v>
      </c>
      <c r="F2141" s="23" t="s">
        <v>9571</v>
      </c>
      <c r="G2141" s="92" t="s">
        <v>403</v>
      </c>
      <c r="H2141" s="353">
        <v>58244</v>
      </c>
      <c r="I2141" s="59"/>
      <c r="J2141" s="18" t="s">
        <v>9974</v>
      </c>
      <c r="K2141" s="20">
        <v>6</v>
      </c>
      <c r="L2141" s="20">
        <v>1</v>
      </c>
      <c r="M2141" s="357">
        <f t="shared" si="61"/>
        <v>58244</v>
      </c>
      <c r="N2141" s="411">
        <f>IFERROR((M2141/(VLOOKUP(B2141,'Data Pull Sheet'!$C:$H,6,FALSE))),"DC")</f>
        <v>5.2949090909090908E-5</v>
      </c>
      <c r="O2141" s="23" t="s">
        <v>9813</v>
      </c>
      <c r="P2141" s="92" t="s">
        <v>632</v>
      </c>
      <c r="Q2141" s="92" t="s">
        <v>637</v>
      </c>
      <c r="R2141" s="372" t="str">
        <f t="shared" si="59"/>
        <v/>
      </c>
    </row>
    <row r="2142" spans="1:18" ht="30" x14ac:dyDescent="0.25">
      <c r="A2142" s="23" t="s">
        <v>8789</v>
      </c>
      <c r="B2142" s="18" t="str">
        <f>VLOOKUP(A2142, 'Data Pull Sheet'!$B$2:$C$552,2,FALSE)</f>
        <v>AAP</v>
      </c>
      <c r="C2142" s="59" t="s">
        <v>437</v>
      </c>
      <c r="D2142" s="356" t="s">
        <v>9117</v>
      </c>
      <c r="E2142" s="356" t="s">
        <v>9091</v>
      </c>
      <c r="F2142" s="23" t="s">
        <v>1782</v>
      </c>
      <c r="G2142" s="92" t="s">
        <v>417</v>
      </c>
      <c r="H2142" s="353">
        <v>564100.92000000004</v>
      </c>
      <c r="I2142" s="59"/>
      <c r="J2142" s="18" t="s">
        <v>9962</v>
      </c>
      <c r="K2142" s="20"/>
      <c r="L2142" s="20">
        <v>1</v>
      </c>
      <c r="M2142" s="357">
        <f t="shared" si="61"/>
        <v>564100.92000000004</v>
      </c>
      <c r="N2142" s="411">
        <f>IFERROR((M2142/(VLOOKUP(B2142,'Data Pull Sheet'!$C:$H,6,FALSE))),"DC")</f>
        <v>5.1281901818181822E-4</v>
      </c>
      <c r="O2142" s="23" t="s">
        <v>2259</v>
      </c>
      <c r="P2142" s="92" t="s">
        <v>632</v>
      </c>
      <c r="Q2142" s="92" t="s">
        <v>633</v>
      </c>
      <c r="R2142" s="372" t="str">
        <f t="shared" si="59"/>
        <v>FF</v>
      </c>
    </row>
    <row r="2143" spans="1:18" ht="30" x14ac:dyDescent="0.25">
      <c r="A2143" s="23" t="s">
        <v>8789</v>
      </c>
      <c r="B2143" s="18" t="str">
        <f>VLOOKUP(A2143, 'Data Pull Sheet'!$B$2:$C$552,2,FALSE)</f>
        <v>AAP</v>
      </c>
      <c r="C2143" s="59" t="s">
        <v>437</v>
      </c>
      <c r="D2143" s="356" t="s">
        <v>9117</v>
      </c>
      <c r="E2143" s="356" t="s">
        <v>9091</v>
      </c>
      <c r="F2143" s="23" t="s">
        <v>308</v>
      </c>
      <c r="G2143" s="92" t="s">
        <v>417</v>
      </c>
      <c r="H2143" s="353">
        <v>466073.85</v>
      </c>
      <c r="I2143" s="59" t="s">
        <v>406</v>
      </c>
      <c r="J2143" s="18" t="s">
        <v>9977</v>
      </c>
      <c r="K2143" s="20"/>
      <c r="L2143" s="20">
        <v>1</v>
      </c>
      <c r="M2143" s="357">
        <f t="shared" si="61"/>
        <v>466073.85</v>
      </c>
      <c r="N2143" s="411">
        <f>IFERROR((M2143/(VLOOKUP(B2143,'Data Pull Sheet'!$C:$H,6,FALSE))),"DC")</f>
        <v>4.237035E-4</v>
      </c>
      <c r="O2143" s="23" t="s">
        <v>9814</v>
      </c>
      <c r="P2143" s="92" t="s">
        <v>632</v>
      </c>
      <c r="Q2143" s="92" t="s">
        <v>633</v>
      </c>
      <c r="R2143" s="372" t="str">
        <f t="shared" si="59"/>
        <v>FF</v>
      </c>
    </row>
    <row r="2144" spans="1:18" ht="30" x14ac:dyDescent="0.25">
      <c r="A2144" s="23" t="s">
        <v>8789</v>
      </c>
      <c r="B2144" s="18" t="str">
        <f>VLOOKUP(A2144, 'Data Pull Sheet'!$B$2:$C$552,2,FALSE)</f>
        <v>AAP</v>
      </c>
      <c r="C2144" s="59" t="s">
        <v>437</v>
      </c>
      <c r="D2144" s="356" t="s">
        <v>9117</v>
      </c>
      <c r="E2144" s="356" t="s">
        <v>9091</v>
      </c>
      <c r="F2144" s="23" t="s">
        <v>249</v>
      </c>
      <c r="G2144" s="92" t="s">
        <v>417</v>
      </c>
      <c r="H2144" s="353">
        <v>2183026.4900000002</v>
      </c>
      <c r="I2144" s="59" t="s">
        <v>406</v>
      </c>
      <c r="J2144" s="18" t="s">
        <v>9961</v>
      </c>
      <c r="K2144" s="20"/>
      <c r="L2144" s="20">
        <v>1</v>
      </c>
      <c r="M2144" s="357">
        <f t="shared" si="61"/>
        <v>2183026.4900000002</v>
      </c>
      <c r="N2144" s="411">
        <f>IFERROR((M2144/(VLOOKUP(B2144,'Data Pull Sheet'!$C:$H,6,FALSE))),"DC")</f>
        <v>1.9845695363636365E-3</v>
      </c>
      <c r="O2144" s="23" t="s">
        <v>10843</v>
      </c>
      <c r="P2144" s="92" t="s">
        <v>632</v>
      </c>
      <c r="Q2144" s="92" t="s">
        <v>633</v>
      </c>
      <c r="R2144" s="372" t="str">
        <f t="shared" si="59"/>
        <v>FF</v>
      </c>
    </row>
    <row r="2145" spans="1:18" x14ac:dyDescent="0.25">
      <c r="A2145" s="23" t="s">
        <v>8789</v>
      </c>
      <c r="B2145" s="18" t="str">
        <f>VLOOKUP(A2145, 'Data Pull Sheet'!$B$2:$C$552,2,FALSE)</f>
        <v>AAP</v>
      </c>
      <c r="C2145" s="59" t="s">
        <v>437</v>
      </c>
      <c r="D2145" s="356" t="s">
        <v>9117</v>
      </c>
      <c r="E2145" s="356" t="s">
        <v>9091</v>
      </c>
      <c r="F2145" s="23" t="s">
        <v>9572</v>
      </c>
      <c r="G2145" s="92" t="s">
        <v>403</v>
      </c>
      <c r="H2145" s="353">
        <v>165172.4</v>
      </c>
      <c r="I2145" s="59" t="s">
        <v>406</v>
      </c>
      <c r="J2145" s="18" t="s">
        <v>9976</v>
      </c>
      <c r="K2145" s="20"/>
      <c r="L2145" s="20">
        <v>1</v>
      </c>
      <c r="M2145" s="357">
        <f t="shared" si="61"/>
        <v>165172.4</v>
      </c>
      <c r="N2145" s="411">
        <f>IFERROR((M2145/(VLOOKUP(B2145,'Data Pull Sheet'!$C:$H,6,FALSE))),"DC")</f>
        <v>1.5015672727272726E-4</v>
      </c>
      <c r="O2145" s="23" t="s">
        <v>6792</v>
      </c>
      <c r="P2145" s="92" t="s">
        <v>632</v>
      </c>
      <c r="Q2145" s="92" t="s">
        <v>637</v>
      </c>
      <c r="R2145" s="372" t="str">
        <f t="shared" si="59"/>
        <v/>
      </c>
    </row>
    <row r="2146" spans="1:18" x14ac:dyDescent="0.25">
      <c r="A2146" s="23" t="s">
        <v>8789</v>
      </c>
      <c r="B2146" s="18" t="str">
        <f>VLOOKUP(A2146, 'Data Pull Sheet'!$B$2:$C$552,2,FALSE)</f>
        <v>AAP</v>
      </c>
      <c r="C2146" s="59" t="s">
        <v>437</v>
      </c>
      <c r="D2146" s="356" t="s">
        <v>9117</v>
      </c>
      <c r="E2146" s="356" t="s">
        <v>9091</v>
      </c>
      <c r="F2146" s="23" t="s">
        <v>377</v>
      </c>
      <c r="G2146" s="92" t="s">
        <v>417</v>
      </c>
      <c r="H2146" s="353">
        <v>193738.2</v>
      </c>
      <c r="I2146" s="59" t="s">
        <v>476</v>
      </c>
      <c r="J2146" s="18" t="s">
        <v>9978</v>
      </c>
      <c r="K2146" s="20"/>
      <c r="L2146" s="20">
        <v>1</v>
      </c>
      <c r="M2146" s="357">
        <f t="shared" si="61"/>
        <v>193738.2</v>
      </c>
      <c r="N2146" s="411">
        <f>IFERROR((M2146/(VLOOKUP(B2146,'Data Pull Sheet'!$C:$H,6,FALSE))),"DC")</f>
        <v>1.7612563636363639E-4</v>
      </c>
      <c r="O2146" s="23" t="s">
        <v>9815</v>
      </c>
      <c r="P2146" s="92" t="s">
        <v>632</v>
      </c>
      <c r="Q2146" s="92" t="s">
        <v>633</v>
      </c>
      <c r="R2146" s="372" t="str">
        <f t="shared" si="59"/>
        <v>FF</v>
      </c>
    </row>
    <row r="2147" spans="1:18" x14ac:dyDescent="0.25">
      <c r="A2147" s="23" t="s">
        <v>8810</v>
      </c>
      <c r="B2147" s="18" t="str">
        <f>VLOOKUP(A2147, 'Data Pull Sheet'!$B$2:$C$552,2,FALSE)</f>
        <v>BLCM</v>
      </c>
      <c r="C2147" s="59" t="s">
        <v>421</v>
      </c>
      <c r="D2147" s="356" t="s">
        <v>9117</v>
      </c>
      <c r="E2147" s="356" t="s">
        <v>9091</v>
      </c>
      <c r="F2147" s="23" t="s">
        <v>9565</v>
      </c>
      <c r="G2147" s="92" t="s">
        <v>403</v>
      </c>
      <c r="H2147" s="353">
        <v>57604.78</v>
      </c>
      <c r="I2147" s="59"/>
      <c r="J2147" s="18" t="s">
        <v>9975</v>
      </c>
      <c r="K2147" s="20">
        <v>3</v>
      </c>
      <c r="L2147" s="20">
        <v>1</v>
      </c>
      <c r="M2147" s="357">
        <f t="shared" si="61"/>
        <v>57604.78</v>
      </c>
      <c r="N2147" s="411">
        <f>IFERROR((M2147/(VLOOKUP(B2147,'Data Pull Sheet'!$C:$H,6,FALSE))),"DC")</f>
        <v>1.645850857142857E-3</v>
      </c>
      <c r="O2147" s="23" t="s">
        <v>7269</v>
      </c>
      <c r="P2147" s="92" t="s">
        <v>632</v>
      </c>
      <c r="Q2147" s="92" t="s">
        <v>637</v>
      </c>
      <c r="R2147" s="372" t="str">
        <f t="shared" si="59"/>
        <v/>
      </c>
    </row>
    <row r="2148" spans="1:18" x14ac:dyDescent="0.25">
      <c r="A2148" s="23" t="s">
        <v>8810</v>
      </c>
      <c r="B2148" s="18" t="str">
        <f>VLOOKUP(A2148, 'Data Pull Sheet'!$B$2:$C$552,2,FALSE)</f>
        <v>BLCM</v>
      </c>
      <c r="C2148" s="59" t="s">
        <v>421</v>
      </c>
      <c r="D2148" s="356" t="s">
        <v>9117</v>
      </c>
      <c r="E2148" s="356" t="s">
        <v>9091</v>
      </c>
      <c r="F2148" s="23" t="s">
        <v>9566</v>
      </c>
      <c r="G2148" s="92" t="s">
        <v>403</v>
      </c>
      <c r="H2148" s="353">
        <v>255820</v>
      </c>
      <c r="I2148" s="59"/>
      <c r="J2148" s="18" t="s">
        <v>9979</v>
      </c>
      <c r="K2148" s="20"/>
      <c r="L2148" s="20">
        <v>4</v>
      </c>
      <c r="M2148" s="357">
        <f>SUM(H2148:H2151)</f>
        <v>420806</v>
      </c>
      <c r="N2148" s="411">
        <f>IFERROR((M2148/(VLOOKUP(B2148,'Data Pull Sheet'!$C:$H,6,FALSE))),"DC")</f>
        <v>1.2023028571428571E-2</v>
      </c>
      <c r="O2148" s="23" t="s">
        <v>9811</v>
      </c>
      <c r="P2148" s="92" t="s">
        <v>632</v>
      </c>
      <c r="Q2148" s="92" t="s">
        <v>646</v>
      </c>
      <c r="R2148" s="372" t="str">
        <f t="shared" si="59"/>
        <v/>
      </c>
    </row>
    <row r="2149" spans="1:18" x14ac:dyDescent="0.25">
      <c r="A2149" s="23" t="s">
        <v>8810</v>
      </c>
      <c r="B2149" s="18" t="str">
        <f>VLOOKUP(A2149, 'Data Pull Sheet'!$B$2:$C$552,2,FALSE)</f>
        <v>BLCM</v>
      </c>
      <c r="C2149" s="59" t="s">
        <v>421</v>
      </c>
      <c r="D2149" s="356" t="s">
        <v>9117</v>
      </c>
      <c r="E2149" s="356" t="s">
        <v>9091</v>
      </c>
      <c r="F2149" s="23" t="s">
        <v>9567</v>
      </c>
      <c r="G2149" s="92" t="s">
        <v>403</v>
      </c>
      <c r="H2149" s="353">
        <v>36708</v>
      </c>
      <c r="I2149" s="59"/>
      <c r="J2149" s="18" t="s">
        <v>9980</v>
      </c>
      <c r="K2149" s="20"/>
      <c r="L2149" s="20"/>
      <c r="M2149" s="357"/>
      <c r="N2149" s="411"/>
      <c r="O2149" s="23" t="s">
        <v>9811</v>
      </c>
      <c r="P2149" s="92" t="s">
        <v>632</v>
      </c>
      <c r="Q2149" s="92" t="s">
        <v>646</v>
      </c>
      <c r="R2149" s="372" t="str">
        <f t="shared" si="59"/>
        <v/>
      </c>
    </row>
    <row r="2150" spans="1:18" x14ac:dyDescent="0.25">
      <c r="A2150" s="23" t="s">
        <v>8810</v>
      </c>
      <c r="B2150" s="18" t="str">
        <f>VLOOKUP(A2150, 'Data Pull Sheet'!$B$2:$C$552,2,FALSE)</f>
        <v>BLCM</v>
      </c>
      <c r="C2150" s="59" t="s">
        <v>421</v>
      </c>
      <c r="D2150" s="356" t="s">
        <v>9117</v>
      </c>
      <c r="E2150" s="356" t="s">
        <v>9091</v>
      </c>
      <c r="F2150" s="23" t="s">
        <v>9568</v>
      </c>
      <c r="G2150" s="92" t="s">
        <v>403</v>
      </c>
      <c r="H2150" s="353">
        <v>95023</v>
      </c>
      <c r="I2150" s="59"/>
      <c r="J2150" s="18" t="s">
        <v>9981</v>
      </c>
      <c r="K2150" s="20"/>
      <c r="L2150" s="20"/>
      <c r="M2150" s="357"/>
      <c r="N2150" s="411"/>
      <c r="O2150" s="23" t="s">
        <v>9811</v>
      </c>
      <c r="P2150" s="92" t="s">
        <v>632</v>
      </c>
      <c r="Q2150" s="92" t="s">
        <v>646</v>
      </c>
      <c r="R2150" s="372" t="str">
        <f t="shared" si="59"/>
        <v/>
      </c>
    </row>
    <row r="2151" spans="1:18" x14ac:dyDescent="0.25">
      <c r="A2151" s="23" t="s">
        <v>8810</v>
      </c>
      <c r="B2151" s="18" t="str">
        <f>VLOOKUP(A2151, 'Data Pull Sheet'!$B$2:$C$552,2,FALSE)</f>
        <v>BLCM</v>
      </c>
      <c r="C2151" s="59" t="s">
        <v>421</v>
      </c>
      <c r="D2151" s="356" t="s">
        <v>9117</v>
      </c>
      <c r="E2151" s="356" t="s">
        <v>9091</v>
      </c>
      <c r="F2151" s="23" t="s">
        <v>9569</v>
      </c>
      <c r="G2151" s="92" t="s">
        <v>403</v>
      </c>
      <c r="H2151" s="353">
        <v>33255</v>
      </c>
      <c r="I2151" s="59"/>
      <c r="J2151" s="18" t="s">
        <v>9982</v>
      </c>
      <c r="K2151" s="20"/>
      <c r="L2151" s="20"/>
      <c r="M2151" s="357"/>
      <c r="N2151" s="411"/>
      <c r="O2151" s="23" t="s">
        <v>9811</v>
      </c>
      <c r="P2151" s="92" t="s">
        <v>632</v>
      </c>
      <c r="Q2151" s="92" t="s">
        <v>646</v>
      </c>
      <c r="R2151" s="372" t="str">
        <f t="shared" si="59"/>
        <v/>
      </c>
    </row>
    <row r="2152" spans="1:18" ht="30" x14ac:dyDescent="0.25">
      <c r="A2152" s="23" t="s">
        <v>8810</v>
      </c>
      <c r="B2152" s="18" t="str">
        <f>VLOOKUP(A2152, 'Data Pull Sheet'!$B$2:$C$552,2,FALSE)</f>
        <v>BLCM</v>
      </c>
      <c r="C2152" s="59" t="s">
        <v>421</v>
      </c>
      <c r="D2152" s="356" t="s">
        <v>9117</v>
      </c>
      <c r="E2152" s="356" t="s">
        <v>9091</v>
      </c>
      <c r="F2152" s="23" t="s">
        <v>9570</v>
      </c>
      <c r="G2152" s="92" t="s">
        <v>403</v>
      </c>
      <c r="H2152" s="353">
        <v>95452.17</v>
      </c>
      <c r="I2152" s="59"/>
      <c r="J2152" s="18" t="s">
        <v>9983</v>
      </c>
      <c r="K2152" s="20"/>
      <c r="L2152" s="20">
        <v>1</v>
      </c>
      <c r="M2152" s="357">
        <f t="shared" ref="M2152:M2159" si="62">+H2152</f>
        <v>95452.17</v>
      </c>
      <c r="N2152" s="411">
        <f>IFERROR((M2152/(VLOOKUP(B2152,'Data Pull Sheet'!$C:$H,6,FALSE))),"DC")</f>
        <v>2.7272048571428571E-3</v>
      </c>
      <c r="O2152" s="23" t="s">
        <v>9812</v>
      </c>
      <c r="P2152" s="92" t="s">
        <v>632</v>
      </c>
      <c r="Q2152" s="92" t="s">
        <v>637</v>
      </c>
      <c r="R2152" s="372" t="str">
        <f t="shared" si="59"/>
        <v/>
      </c>
    </row>
    <row r="2153" spans="1:18" x14ac:dyDescent="0.25">
      <c r="A2153" s="23" t="s">
        <v>8852</v>
      </c>
      <c r="B2153" s="18" t="str">
        <f>VLOOKUP(A2153, 'Data Pull Sheet'!$B$2:$C$552,2,FALSE)</f>
        <v>JNJ</v>
      </c>
      <c r="C2153" s="59" t="s">
        <v>424</v>
      </c>
      <c r="D2153" s="356" t="s">
        <v>9113</v>
      </c>
      <c r="E2153" s="356" t="s">
        <v>9091</v>
      </c>
      <c r="F2153" s="23" t="s">
        <v>9574</v>
      </c>
      <c r="G2153" s="92" t="s">
        <v>403</v>
      </c>
      <c r="H2153" s="353">
        <v>63627.69</v>
      </c>
      <c r="I2153" s="59"/>
      <c r="J2153" s="18" t="s">
        <v>9984</v>
      </c>
      <c r="K2153" s="20">
        <v>3</v>
      </c>
      <c r="L2153" s="20">
        <v>1</v>
      </c>
      <c r="M2153" s="357">
        <f t="shared" si="62"/>
        <v>63627.69</v>
      </c>
      <c r="N2153" s="411">
        <f>IFERROR((M2153/(VLOOKUP(B2153,'Data Pull Sheet'!$C:$H,6,FALSE))),"DC")</f>
        <v>2.6511537500000001E-5</v>
      </c>
      <c r="O2153" s="23" t="s">
        <v>63</v>
      </c>
      <c r="P2153" s="92" t="s">
        <v>632</v>
      </c>
      <c r="Q2153" s="92" t="s">
        <v>637</v>
      </c>
      <c r="R2153" s="372" t="str">
        <f t="shared" si="59"/>
        <v/>
      </c>
    </row>
    <row r="2154" spans="1:18" x14ac:dyDescent="0.25">
      <c r="A2154" s="23" t="s">
        <v>8852</v>
      </c>
      <c r="B2154" s="18" t="str">
        <f>VLOOKUP(A2154, 'Data Pull Sheet'!$B$2:$C$552,2,FALSE)</f>
        <v>JNJ</v>
      </c>
      <c r="C2154" s="59" t="s">
        <v>424</v>
      </c>
      <c r="D2154" s="356" t="s">
        <v>9113</v>
      </c>
      <c r="E2154" s="356" t="s">
        <v>9091</v>
      </c>
      <c r="F2154" s="23" t="s">
        <v>9575</v>
      </c>
      <c r="G2154" s="92" t="s">
        <v>403</v>
      </c>
      <c r="H2154" s="353">
        <v>6527</v>
      </c>
      <c r="I2154" s="59"/>
      <c r="J2154" s="18" t="s">
        <v>9985</v>
      </c>
      <c r="K2154" s="20"/>
      <c r="L2154" s="20">
        <v>1</v>
      </c>
      <c r="M2154" s="357">
        <f t="shared" si="62"/>
        <v>6527</v>
      </c>
      <c r="N2154" s="411">
        <f>IFERROR((M2154/(VLOOKUP(B2154,'Data Pull Sheet'!$C:$H,6,FALSE))),"DC")</f>
        <v>2.7195833333333335E-6</v>
      </c>
      <c r="O2154" s="23" t="s">
        <v>9818</v>
      </c>
      <c r="P2154" s="92" t="s">
        <v>632</v>
      </c>
      <c r="Q2154" s="92" t="s">
        <v>637</v>
      </c>
      <c r="R2154" s="372" t="str">
        <f t="shared" si="59"/>
        <v/>
      </c>
    </row>
    <row r="2155" spans="1:18" ht="45" x14ac:dyDescent="0.25">
      <c r="A2155" s="23" t="s">
        <v>8852</v>
      </c>
      <c r="B2155" s="18" t="str">
        <f>VLOOKUP(A2155, 'Data Pull Sheet'!$B$2:$C$552,2,FALSE)</f>
        <v>JNJ</v>
      </c>
      <c r="C2155" s="59" t="s">
        <v>424</v>
      </c>
      <c r="D2155" s="356" t="s">
        <v>9113</v>
      </c>
      <c r="E2155" s="356" t="s">
        <v>9091</v>
      </c>
      <c r="F2155" s="23" t="s">
        <v>9576</v>
      </c>
      <c r="G2155" s="92" t="s">
        <v>417</v>
      </c>
      <c r="H2155" s="353">
        <v>477414.5</v>
      </c>
      <c r="I2155" s="59"/>
      <c r="J2155" s="18" t="s">
        <v>9986</v>
      </c>
      <c r="K2155" s="20"/>
      <c r="L2155" s="20">
        <v>1</v>
      </c>
      <c r="M2155" s="357">
        <f t="shared" si="62"/>
        <v>477414.5</v>
      </c>
      <c r="N2155" s="411">
        <f>IFERROR((M2155/(VLOOKUP(B2155,'Data Pull Sheet'!$C:$H,6,FALSE))),"DC")</f>
        <v>1.9892270833333334E-4</v>
      </c>
      <c r="O2155" s="23" t="s">
        <v>1988</v>
      </c>
      <c r="P2155" s="92" t="s">
        <v>632</v>
      </c>
      <c r="Q2155" s="92" t="s">
        <v>633</v>
      </c>
      <c r="R2155" s="372" t="str">
        <f t="shared" si="59"/>
        <v/>
      </c>
    </row>
    <row r="2156" spans="1:18" ht="30" x14ac:dyDescent="0.25">
      <c r="A2156" s="23" t="s">
        <v>8780</v>
      </c>
      <c r="B2156" s="18" t="str">
        <f>VLOOKUP(A2156, 'Data Pull Sheet'!$B$2:$C$552,2,FALSE)</f>
        <v>SMCI</v>
      </c>
      <c r="C2156" s="59" t="s">
        <v>457</v>
      </c>
      <c r="D2156" s="356" t="s">
        <v>9113</v>
      </c>
      <c r="E2156" s="356" t="s">
        <v>9091</v>
      </c>
      <c r="F2156" s="23" t="s">
        <v>189</v>
      </c>
      <c r="G2156" s="92" t="s">
        <v>417</v>
      </c>
      <c r="H2156" s="353">
        <v>180622.34</v>
      </c>
      <c r="I2156" s="59"/>
      <c r="J2156" s="18" t="s">
        <v>9987</v>
      </c>
      <c r="K2156" s="20">
        <v>4</v>
      </c>
      <c r="L2156" s="20">
        <v>1</v>
      </c>
      <c r="M2156" s="357">
        <f t="shared" si="62"/>
        <v>180622.34</v>
      </c>
      <c r="N2156" s="411">
        <f>IFERROR((M2156/(VLOOKUP(B2156,'Data Pull Sheet'!$C:$H,6,FALSE))),"DC")</f>
        <v>1.5706290434782607E-3</v>
      </c>
      <c r="O2156" s="23" t="s">
        <v>7</v>
      </c>
      <c r="P2156" s="92" t="s">
        <v>632</v>
      </c>
      <c r="Q2156" s="92" t="s">
        <v>633</v>
      </c>
      <c r="R2156" s="372" t="str">
        <f t="shared" si="59"/>
        <v>FF</v>
      </c>
    </row>
    <row r="2157" spans="1:18" x14ac:dyDescent="0.25">
      <c r="A2157" s="23" t="s">
        <v>8780</v>
      </c>
      <c r="B2157" s="18" t="str">
        <f>VLOOKUP(A2157, 'Data Pull Sheet'!$B$2:$C$552,2,FALSE)</f>
        <v>SMCI</v>
      </c>
      <c r="C2157" s="59" t="s">
        <v>457</v>
      </c>
      <c r="D2157" s="356" t="s">
        <v>9113</v>
      </c>
      <c r="E2157" s="356" t="s">
        <v>9091</v>
      </c>
      <c r="F2157" s="23" t="s">
        <v>9333</v>
      </c>
      <c r="G2157" s="92" t="s">
        <v>417</v>
      </c>
      <c r="H2157" s="353">
        <v>55606.39</v>
      </c>
      <c r="I2157" s="59" t="s">
        <v>406</v>
      </c>
      <c r="J2157" s="18" t="s">
        <v>9988</v>
      </c>
      <c r="K2157" s="20"/>
      <c r="L2157" s="20">
        <v>1</v>
      </c>
      <c r="M2157" s="357">
        <f t="shared" si="62"/>
        <v>55606.39</v>
      </c>
      <c r="N2157" s="411">
        <f>IFERROR((M2157/(VLOOKUP(B2157,'Data Pull Sheet'!$C:$H,6,FALSE))),"DC")</f>
        <v>4.8353382608695651E-4</v>
      </c>
      <c r="O2157" s="23" t="s">
        <v>9816</v>
      </c>
      <c r="P2157" s="92" t="s">
        <v>632</v>
      </c>
      <c r="Q2157" s="92" t="s">
        <v>633</v>
      </c>
      <c r="R2157" s="372" t="str">
        <f t="shared" si="59"/>
        <v>FF</v>
      </c>
    </row>
    <row r="2158" spans="1:18" x14ac:dyDescent="0.25">
      <c r="A2158" s="23" t="s">
        <v>8780</v>
      </c>
      <c r="B2158" s="18" t="str">
        <f>VLOOKUP(A2158, 'Data Pull Sheet'!$B$2:$C$552,2,FALSE)</f>
        <v>SMCI</v>
      </c>
      <c r="C2158" s="59" t="s">
        <v>457</v>
      </c>
      <c r="D2158" s="356" t="s">
        <v>9113</v>
      </c>
      <c r="E2158" s="356" t="s">
        <v>9091</v>
      </c>
      <c r="F2158" s="23" t="s">
        <v>9573</v>
      </c>
      <c r="G2158" s="92" t="s">
        <v>403</v>
      </c>
      <c r="H2158" s="353">
        <v>7159.6</v>
      </c>
      <c r="I2158" s="59"/>
      <c r="J2158" s="18" t="s">
        <v>9990</v>
      </c>
      <c r="K2158" s="20"/>
      <c r="L2158" s="20">
        <v>1</v>
      </c>
      <c r="M2158" s="357">
        <f t="shared" si="62"/>
        <v>7159.6</v>
      </c>
      <c r="N2158" s="411">
        <f>IFERROR((M2158/(VLOOKUP(B2158,'Data Pull Sheet'!$C:$H,6,FALSE))),"DC")</f>
        <v>6.2257391304347835E-5</v>
      </c>
      <c r="O2158" s="23" t="s">
        <v>682</v>
      </c>
      <c r="P2158" s="92" t="s">
        <v>632</v>
      </c>
      <c r="Q2158" s="92" t="s">
        <v>637</v>
      </c>
      <c r="R2158" s="372" t="str">
        <f t="shared" si="59"/>
        <v/>
      </c>
    </row>
    <row r="2159" spans="1:18" x14ac:dyDescent="0.25">
      <c r="A2159" s="23" t="s">
        <v>8780</v>
      </c>
      <c r="B2159" s="18" t="str">
        <f>VLOOKUP(A2159, 'Data Pull Sheet'!$B$2:$C$552,2,FALSE)</f>
        <v>SMCI</v>
      </c>
      <c r="C2159" s="59" t="s">
        <v>457</v>
      </c>
      <c r="D2159" s="356" t="s">
        <v>9113</v>
      </c>
      <c r="E2159" s="356" t="s">
        <v>9091</v>
      </c>
      <c r="F2159" s="23" t="s">
        <v>280</v>
      </c>
      <c r="G2159" s="92" t="s">
        <v>417</v>
      </c>
      <c r="H2159" s="353">
        <v>172826</v>
      </c>
      <c r="I2159" s="59" t="s">
        <v>406</v>
      </c>
      <c r="J2159" s="18" t="s">
        <v>9991</v>
      </c>
      <c r="K2159" s="20"/>
      <c r="L2159" s="20">
        <v>1</v>
      </c>
      <c r="M2159" s="357">
        <f t="shared" si="62"/>
        <v>172826</v>
      </c>
      <c r="N2159" s="411">
        <f>IFERROR((M2159/(VLOOKUP(B2159,'Data Pull Sheet'!$C:$H,6,FALSE))),"DC")</f>
        <v>1.5028347826086957E-3</v>
      </c>
      <c r="O2159" s="23" t="s">
        <v>9817</v>
      </c>
      <c r="P2159" s="92" t="s">
        <v>632</v>
      </c>
      <c r="Q2159" s="92" t="s">
        <v>633</v>
      </c>
      <c r="R2159" s="372" t="str">
        <f t="shared" si="59"/>
        <v>FF</v>
      </c>
    </row>
    <row r="2160" spans="1:18" x14ac:dyDescent="0.25">
      <c r="A2160" s="23" t="s">
        <v>8812</v>
      </c>
      <c r="B2160" s="18" t="str">
        <f>VLOOKUP(A2160, 'Data Pull Sheet'!$B$2:$C$552,2,FALSE)</f>
        <v>BMY</v>
      </c>
      <c r="C2160" s="59" t="s">
        <v>418</v>
      </c>
      <c r="D2160" s="356" t="s">
        <v>9110</v>
      </c>
      <c r="E2160" s="356" t="s">
        <v>9175</v>
      </c>
      <c r="F2160" s="23" t="s">
        <v>175</v>
      </c>
      <c r="G2160" s="92" t="s">
        <v>417</v>
      </c>
      <c r="H2160" s="353">
        <v>646585.74</v>
      </c>
      <c r="I2160" s="59" t="s">
        <v>406</v>
      </c>
      <c r="J2160" s="18" t="s">
        <v>9992</v>
      </c>
      <c r="K2160" s="20">
        <v>6</v>
      </c>
      <c r="L2160" s="20">
        <v>2</v>
      </c>
      <c r="M2160" s="357">
        <f>SUM(H2160:H2161)</f>
        <v>2628758.17</v>
      </c>
      <c r="N2160" s="411">
        <f>IFERROR((M2160/(VLOOKUP(B2160,'Data Pull Sheet'!$C:$H,6,FALSE))),"DC")</f>
        <v>2.6287581699999997E-4</v>
      </c>
      <c r="O2160" s="23" t="s">
        <v>9806</v>
      </c>
      <c r="P2160" s="92" t="s">
        <v>632</v>
      </c>
      <c r="Q2160" s="92" t="s">
        <v>640</v>
      </c>
      <c r="R2160" s="372" t="str">
        <f t="shared" si="59"/>
        <v>FF</v>
      </c>
    </row>
    <row r="2161" spans="1:18" x14ac:dyDescent="0.25">
      <c r="A2161" s="23" t="s">
        <v>8812</v>
      </c>
      <c r="B2161" s="18" t="str">
        <f>VLOOKUP(A2161, 'Data Pull Sheet'!$B$2:$C$552,2,FALSE)</f>
        <v>BMY</v>
      </c>
      <c r="C2161" s="59" t="s">
        <v>418</v>
      </c>
      <c r="D2161" s="356" t="s">
        <v>9110</v>
      </c>
      <c r="E2161" s="356" t="s">
        <v>9175</v>
      </c>
      <c r="F2161" s="23" t="s">
        <v>9533</v>
      </c>
      <c r="G2161" s="92" t="s">
        <v>417</v>
      </c>
      <c r="H2161" s="353">
        <v>1982172.43</v>
      </c>
      <c r="I2161" s="59" t="s">
        <v>406</v>
      </c>
      <c r="J2161" s="18" t="s">
        <v>9993</v>
      </c>
      <c r="K2161" s="20"/>
      <c r="L2161" s="20"/>
      <c r="M2161" s="357"/>
      <c r="N2161" s="411"/>
      <c r="O2161" s="23" t="s">
        <v>9806</v>
      </c>
      <c r="P2161" s="92" t="s">
        <v>632</v>
      </c>
      <c r="Q2161" s="92" t="s">
        <v>640</v>
      </c>
      <c r="R2161" s="372" t="str">
        <f t="shared" si="59"/>
        <v>FF</v>
      </c>
    </row>
    <row r="2162" spans="1:18" x14ac:dyDescent="0.25">
      <c r="A2162" s="23" t="s">
        <v>8812</v>
      </c>
      <c r="B2162" s="18" t="str">
        <f>VLOOKUP(A2162, 'Data Pull Sheet'!$B$2:$C$552,2,FALSE)</f>
        <v>BMY</v>
      </c>
      <c r="C2162" s="59" t="s">
        <v>418</v>
      </c>
      <c r="D2162" s="356" t="s">
        <v>9110</v>
      </c>
      <c r="E2162" s="356" t="s">
        <v>9175</v>
      </c>
      <c r="F2162" s="23" t="s">
        <v>10861</v>
      </c>
      <c r="G2162" s="92" t="s">
        <v>417</v>
      </c>
      <c r="H2162" s="353">
        <v>260518.02</v>
      </c>
      <c r="I2162" s="59"/>
      <c r="J2162" s="18" t="s">
        <v>9989</v>
      </c>
      <c r="K2162" s="20"/>
      <c r="L2162" s="20">
        <v>1</v>
      </c>
      <c r="M2162" s="357">
        <f>+H2162</f>
        <v>260518.02</v>
      </c>
      <c r="N2162" s="411">
        <f>IFERROR((M2162/(VLOOKUP(B2162,'Data Pull Sheet'!$C:$H,6,FALSE))),"DC")</f>
        <v>2.6051801999999999E-5</v>
      </c>
      <c r="O2162" s="23" t="s">
        <v>682</v>
      </c>
      <c r="P2162" s="92" t="s">
        <v>632</v>
      </c>
      <c r="Q2162" s="92" t="s">
        <v>633</v>
      </c>
      <c r="R2162" s="372" t="str">
        <f t="shared" si="59"/>
        <v>FF</v>
      </c>
    </row>
    <row r="2163" spans="1:18" ht="30" x14ac:dyDescent="0.25">
      <c r="A2163" s="23" t="s">
        <v>8812</v>
      </c>
      <c r="B2163" s="18" t="str">
        <f>VLOOKUP(A2163, 'Data Pull Sheet'!$B$2:$C$552,2,FALSE)</f>
        <v>BMY</v>
      </c>
      <c r="C2163" s="59" t="s">
        <v>418</v>
      </c>
      <c r="D2163" s="356" t="s">
        <v>9110</v>
      </c>
      <c r="E2163" s="356" t="s">
        <v>9175</v>
      </c>
      <c r="F2163" s="23" t="s">
        <v>10865</v>
      </c>
      <c r="G2163" s="92" t="s">
        <v>417</v>
      </c>
      <c r="H2163" s="353">
        <v>742299</v>
      </c>
      <c r="I2163" s="59" t="s">
        <v>413</v>
      </c>
      <c r="J2163" s="18" t="s">
        <v>9994</v>
      </c>
      <c r="K2163" s="20"/>
      <c r="L2163" s="20">
        <v>1</v>
      </c>
      <c r="M2163" s="357">
        <f>+H2163</f>
        <v>742299</v>
      </c>
      <c r="N2163" s="411">
        <f>IFERROR((M2163/(VLOOKUP(B2163,'Data Pull Sheet'!$C:$H,6,FALSE))),"DC")</f>
        <v>7.4229900000000006E-5</v>
      </c>
      <c r="O2163" s="23" t="s">
        <v>196</v>
      </c>
      <c r="P2163" s="92" t="s">
        <v>632</v>
      </c>
      <c r="Q2163" s="92" t="s">
        <v>633</v>
      </c>
      <c r="R2163" s="372" t="str">
        <f t="shared" si="59"/>
        <v>FF</v>
      </c>
    </row>
    <row r="2164" spans="1:18" x14ac:dyDescent="0.25">
      <c r="A2164" s="23" t="s">
        <v>8812</v>
      </c>
      <c r="B2164" s="18" t="str">
        <f>VLOOKUP(A2164, 'Data Pull Sheet'!$B$2:$C$552,2,FALSE)</f>
        <v>BMY</v>
      </c>
      <c r="C2164" s="59" t="s">
        <v>418</v>
      </c>
      <c r="D2164" s="356" t="s">
        <v>9110</v>
      </c>
      <c r="E2164" s="356" t="s">
        <v>9175</v>
      </c>
      <c r="F2164" s="23" t="s">
        <v>274</v>
      </c>
      <c r="G2164" s="92" t="s">
        <v>417</v>
      </c>
      <c r="H2164" s="353">
        <v>615179.54</v>
      </c>
      <c r="I2164" s="59" t="s">
        <v>406</v>
      </c>
      <c r="J2164" s="18" t="s">
        <v>9995</v>
      </c>
      <c r="K2164" s="20"/>
      <c r="L2164" s="20">
        <v>1</v>
      </c>
      <c r="M2164" s="357">
        <f>+H2164</f>
        <v>615179.54</v>
      </c>
      <c r="N2164" s="411">
        <f>IFERROR((M2164/(VLOOKUP(B2164,'Data Pull Sheet'!$C:$H,6,FALSE))),"DC")</f>
        <v>6.1517953999999997E-5</v>
      </c>
      <c r="O2164" s="23" t="s">
        <v>9739</v>
      </c>
      <c r="P2164" s="92" t="s">
        <v>632</v>
      </c>
      <c r="Q2164" s="92" t="s">
        <v>633</v>
      </c>
      <c r="R2164" s="372" t="str">
        <f t="shared" si="59"/>
        <v>FF</v>
      </c>
    </row>
    <row r="2165" spans="1:18" x14ac:dyDescent="0.25">
      <c r="A2165" s="23" t="s">
        <v>8812</v>
      </c>
      <c r="B2165" s="18" t="str">
        <f>VLOOKUP(A2165, 'Data Pull Sheet'!$B$2:$C$552,2,FALSE)</f>
        <v>BMY</v>
      </c>
      <c r="C2165" s="59" t="s">
        <v>418</v>
      </c>
      <c r="D2165" s="356" t="s">
        <v>9110</v>
      </c>
      <c r="E2165" s="356" t="s">
        <v>9175</v>
      </c>
      <c r="F2165" s="23" t="s">
        <v>32</v>
      </c>
      <c r="G2165" s="92" t="s">
        <v>417</v>
      </c>
      <c r="H2165" s="353">
        <v>1748367.94</v>
      </c>
      <c r="I2165" s="59" t="s">
        <v>413</v>
      </c>
      <c r="J2165" s="18" t="s">
        <v>9996</v>
      </c>
      <c r="K2165" s="20"/>
      <c r="L2165" s="20">
        <v>2</v>
      </c>
      <c r="M2165" s="357">
        <f>SUM(H2165:H2166)</f>
        <v>3040692.48</v>
      </c>
      <c r="N2165" s="411">
        <f>IFERROR((M2165/(VLOOKUP(B2165,'Data Pull Sheet'!$C:$H,6,FALSE))),"DC")</f>
        <v>3.04069248E-4</v>
      </c>
      <c r="O2165" s="23" t="s">
        <v>1</v>
      </c>
      <c r="P2165" s="92" t="s">
        <v>632</v>
      </c>
      <c r="Q2165" s="92" t="s">
        <v>640</v>
      </c>
      <c r="R2165" s="372" t="str">
        <f t="shared" si="59"/>
        <v>FF</v>
      </c>
    </row>
    <row r="2166" spans="1:18" x14ac:dyDescent="0.25">
      <c r="A2166" s="23" t="s">
        <v>8812</v>
      </c>
      <c r="B2166" s="18" t="str">
        <f>VLOOKUP(A2166, 'Data Pull Sheet'!$B$2:$C$552,2,FALSE)</f>
        <v>BMY</v>
      </c>
      <c r="C2166" s="59" t="s">
        <v>418</v>
      </c>
      <c r="D2166" s="356" t="s">
        <v>9110</v>
      </c>
      <c r="E2166" s="356" t="s">
        <v>9175</v>
      </c>
      <c r="F2166" s="23" t="s">
        <v>233</v>
      </c>
      <c r="G2166" s="92" t="s">
        <v>417</v>
      </c>
      <c r="H2166" s="353">
        <v>1292324.54</v>
      </c>
      <c r="I2166" s="59" t="s">
        <v>413</v>
      </c>
      <c r="J2166" s="18" t="s">
        <v>9997</v>
      </c>
      <c r="K2166" s="20"/>
      <c r="L2166" s="20"/>
      <c r="M2166" s="357"/>
      <c r="N2166" s="411"/>
      <c r="O2166" s="23" t="s">
        <v>1</v>
      </c>
      <c r="P2166" s="92" t="s">
        <v>632</v>
      </c>
      <c r="Q2166" s="92" t="s">
        <v>640</v>
      </c>
      <c r="R2166" s="372" t="str">
        <f t="shared" si="59"/>
        <v>FF</v>
      </c>
    </row>
    <row r="2167" spans="1:18" x14ac:dyDescent="0.25">
      <c r="A2167" s="23" t="s">
        <v>8812</v>
      </c>
      <c r="B2167" s="18" t="str">
        <f>VLOOKUP(A2167, 'Data Pull Sheet'!$B$2:$C$552,2,FALSE)</f>
        <v>BMY</v>
      </c>
      <c r="C2167" s="59" t="s">
        <v>418</v>
      </c>
      <c r="D2167" s="356" t="s">
        <v>9110</v>
      </c>
      <c r="E2167" s="356" t="s">
        <v>9175</v>
      </c>
      <c r="F2167" s="23" t="s">
        <v>9534</v>
      </c>
      <c r="G2167" s="92" t="s">
        <v>403</v>
      </c>
      <c r="H2167" s="353">
        <v>9708</v>
      </c>
      <c r="I2167" s="59"/>
      <c r="J2167" s="18" t="s">
        <v>9998</v>
      </c>
      <c r="K2167" s="20"/>
      <c r="L2167" s="20">
        <v>2</v>
      </c>
      <c r="M2167" s="357">
        <f>SUM(H2167:H2168)</f>
        <v>13195</v>
      </c>
      <c r="N2167" s="411">
        <f>IFERROR((M2167/(VLOOKUP(B2167,'Data Pull Sheet'!$C:$H,6,FALSE))),"DC")</f>
        <v>1.3195E-6</v>
      </c>
      <c r="O2167" s="23" t="s">
        <v>1204</v>
      </c>
      <c r="P2167" s="92" t="s">
        <v>632</v>
      </c>
      <c r="Q2167" s="92" t="s">
        <v>646</v>
      </c>
      <c r="R2167" s="372" t="str">
        <f t="shared" si="59"/>
        <v/>
      </c>
    </row>
    <row r="2168" spans="1:18" x14ac:dyDescent="0.25">
      <c r="A2168" s="23" t="s">
        <v>8812</v>
      </c>
      <c r="B2168" s="18" t="str">
        <f>VLOOKUP(A2168, 'Data Pull Sheet'!$B$2:$C$552,2,FALSE)</f>
        <v>BMY</v>
      </c>
      <c r="C2168" s="59" t="s">
        <v>418</v>
      </c>
      <c r="D2168" s="356" t="s">
        <v>9110</v>
      </c>
      <c r="E2168" s="356" t="s">
        <v>9175</v>
      </c>
      <c r="F2168" s="23" t="s">
        <v>9535</v>
      </c>
      <c r="G2168" s="92" t="s">
        <v>403</v>
      </c>
      <c r="H2168" s="353">
        <v>3487</v>
      </c>
      <c r="I2168" s="59"/>
      <c r="J2168" s="18" t="s">
        <v>9999</v>
      </c>
      <c r="K2168" s="20"/>
      <c r="L2168" s="20"/>
      <c r="M2168" s="357"/>
      <c r="N2168" s="411"/>
      <c r="O2168" s="23" t="s">
        <v>1204</v>
      </c>
      <c r="P2168" s="92" t="s">
        <v>632</v>
      </c>
      <c r="Q2168" s="92" t="s">
        <v>646</v>
      </c>
      <c r="R2168" s="372" t="str">
        <f t="shared" si="59"/>
        <v/>
      </c>
    </row>
    <row r="2169" spans="1:18" ht="30" x14ac:dyDescent="0.25">
      <c r="A2169" s="23" t="s">
        <v>8859</v>
      </c>
      <c r="B2169" s="18" t="str">
        <f>VLOOKUP(A2169, 'Data Pull Sheet'!$B$2:$C$552,2,FALSE)</f>
        <v>LJMIX</v>
      </c>
      <c r="C2169" s="59" t="s">
        <v>465</v>
      </c>
      <c r="D2169" s="356" t="s">
        <v>9116</v>
      </c>
      <c r="E2169" s="356" t="s">
        <v>9175</v>
      </c>
      <c r="F2169" s="23" t="s">
        <v>9549</v>
      </c>
      <c r="G2169" s="92" t="s">
        <v>417</v>
      </c>
      <c r="H2169" s="353">
        <v>825472.79</v>
      </c>
      <c r="I2169" s="59"/>
      <c r="J2169" s="18" t="s">
        <v>10379</v>
      </c>
      <c r="K2169" s="20">
        <v>7</v>
      </c>
      <c r="L2169" s="20">
        <v>1</v>
      </c>
      <c r="M2169" s="357">
        <f>+H2169</f>
        <v>825472.79</v>
      </c>
      <c r="N2169" s="411">
        <f>IFERROR((M2169/(VLOOKUP(B2169,'Data Pull Sheet'!$C:$H,6,FALSE))),"DC")</f>
        <v>1.4481978771929826E-3</v>
      </c>
      <c r="O2169" s="23" t="s">
        <v>9807</v>
      </c>
      <c r="P2169" s="92" t="s">
        <v>632</v>
      </c>
      <c r="Q2169" s="18" t="s">
        <v>633</v>
      </c>
      <c r="R2169" s="372" t="str">
        <f t="shared" si="59"/>
        <v/>
      </c>
    </row>
    <row r="2170" spans="1:18" x14ac:dyDescent="0.25">
      <c r="A2170" s="23" t="s">
        <v>8859</v>
      </c>
      <c r="B2170" s="18" t="str">
        <f>VLOOKUP(A2170, 'Data Pull Sheet'!$B$2:$C$552,2,FALSE)</f>
        <v>LJMIX</v>
      </c>
      <c r="C2170" s="59" t="s">
        <v>465</v>
      </c>
      <c r="D2170" s="356" t="s">
        <v>9116</v>
      </c>
      <c r="E2170" s="356" t="s">
        <v>9175</v>
      </c>
      <c r="F2170" s="23" t="s">
        <v>9550</v>
      </c>
      <c r="G2170" s="92" t="s">
        <v>403</v>
      </c>
      <c r="H2170" s="353">
        <v>188351.59</v>
      </c>
      <c r="I2170" s="59"/>
      <c r="J2170" s="18" t="s">
        <v>10380</v>
      </c>
      <c r="K2170" s="20"/>
      <c r="L2170" s="20">
        <v>1</v>
      </c>
      <c r="M2170" s="357">
        <f>+H2170</f>
        <v>188351.59</v>
      </c>
      <c r="N2170" s="411">
        <f>IFERROR((M2170/(VLOOKUP(B2170,'Data Pull Sheet'!$C:$H,6,FALSE))),"DC")</f>
        <v>3.3044138596491227E-4</v>
      </c>
      <c r="O2170" s="23" t="s">
        <v>9808</v>
      </c>
      <c r="P2170" s="92" t="s">
        <v>632</v>
      </c>
      <c r="Q2170" s="18" t="s">
        <v>637</v>
      </c>
      <c r="R2170" s="372" t="str">
        <f t="shared" si="59"/>
        <v/>
      </c>
    </row>
    <row r="2171" spans="1:18" ht="30" x14ac:dyDescent="0.25">
      <c r="A2171" s="23" t="s">
        <v>8859</v>
      </c>
      <c r="B2171" s="18" t="str">
        <f>VLOOKUP(A2171, 'Data Pull Sheet'!$B$2:$C$552,2,FALSE)</f>
        <v>LJMIX</v>
      </c>
      <c r="C2171" s="59" t="s">
        <v>465</v>
      </c>
      <c r="D2171" s="356" t="s">
        <v>9116</v>
      </c>
      <c r="E2171" s="356" t="s">
        <v>9175</v>
      </c>
      <c r="F2171" s="23" t="s">
        <v>9551</v>
      </c>
      <c r="G2171" s="92" t="s">
        <v>417</v>
      </c>
      <c r="H2171" s="353">
        <v>211477.68</v>
      </c>
      <c r="I2171" s="59"/>
      <c r="J2171" s="18" t="s">
        <v>10381</v>
      </c>
      <c r="K2171" s="20"/>
      <c r="L2171" s="20">
        <v>1</v>
      </c>
      <c r="M2171" s="357">
        <f>+H2171</f>
        <v>211477.68</v>
      </c>
      <c r="N2171" s="411">
        <f>IFERROR((M2171/(VLOOKUP(B2171,'Data Pull Sheet'!$C:$H,6,FALSE))),"DC")</f>
        <v>3.7101347368421051E-4</v>
      </c>
      <c r="O2171" s="23" t="s">
        <v>9809</v>
      </c>
      <c r="P2171" s="92" t="s">
        <v>632</v>
      </c>
      <c r="Q2171" s="18" t="s">
        <v>633</v>
      </c>
      <c r="R2171" s="372" t="str">
        <f t="shared" si="59"/>
        <v/>
      </c>
    </row>
    <row r="2172" spans="1:18" ht="30" x14ac:dyDescent="0.25">
      <c r="A2172" s="23" t="s">
        <v>8859</v>
      </c>
      <c r="B2172" s="18" t="str">
        <f>VLOOKUP(A2172, 'Data Pull Sheet'!$B$2:$C$552,2,FALSE)</f>
        <v>LJMIX</v>
      </c>
      <c r="C2172" s="59" t="s">
        <v>465</v>
      </c>
      <c r="D2172" s="356" t="s">
        <v>9116</v>
      </c>
      <c r="E2172" s="356" t="s">
        <v>9175</v>
      </c>
      <c r="F2172" s="23" t="s">
        <v>9552</v>
      </c>
      <c r="G2172" s="92" t="s">
        <v>417</v>
      </c>
      <c r="H2172" s="353">
        <v>997525.06</v>
      </c>
      <c r="I2172" s="59" t="s">
        <v>406</v>
      </c>
      <c r="J2172" s="18" t="s">
        <v>10382</v>
      </c>
      <c r="K2172" s="20"/>
      <c r="L2172" s="20">
        <v>2</v>
      </c>
      <c r="M2172" s="357">
        <f>SUM(H2172:H2173)</f>
        <v>6923381.5099999998</v>
      </c>
      <c r="N2172" s="411">
        <f>IFERROR((M2172/(VLOOKUP(B2172,'Data Pull Sheet'!$C:$H,6,FALSE))),"DC")</f>
        <v>1.2146283350877193E-2</v>
      </c>
      <c r="O2172" s="23" t="s">
        <v>9792</v>
      </c>
      <c r="P2172" s="92" t="s">
        <v>632</v>
      </c>
      <c r="Q2172" s="18" t="s">
        <v>633</v>
      </c>
      <c r="R2172" s="372" t="str">
        <f t="shared" si="59"/>
        <v/>
      </c>
    </row>
    <row r="2173" spans="1:18" ht="30" x14ac:dyDescent="0.25">
      <c r="A2173" s="23" t="s">
        <v>8859</v>
      </c>
      <c r="B2173" s="18" t="str">
        <f>VLOOKUP(A2173, 'Data Pull Sheet'!$B$2:$C$552,2,FALSE)</f>
        <v>LJMIX</v>
      </c>
      <c r="C2173" s="59" t="s">
        <v>465</v>
      </c>
      <c r="D2173" s="356" t="s">
        <v>9116</v>
      </c>
      <c r="E2173" s="356" t="s">
        <v>9175</v>
      </c>
      <c r="F2173" s="23" t="s">
        <v>9553</v>
      </c>
      <c r="G2173" s="92" t="s">
        <v>417</v>
      </c>
      <c r="H2173" s="353">
        <v>5925856.4500000002</v>
      </c>
      <c r="I2173" s="59" t="s">
        <v>406</v>
      </c>
      <c r="J2173" s="18" t="s">
        <v>10383</v>
      </c>
      <c r="K2173" s="20"/>
      <c r="L2173" s="20"/>
      <c r="M2173" s="357"/>
      <c r="N2173" s="411"/>
      <c r="O2173" s="23" t="s">
        <v>9792</v>
      </c>
      <c r="P2173" s="92" t="s">
        <v>632</v>
      </c>
      <c r="Q2173" s="18" t="s">
        <v>633</v>
      </c>
      <c r="R2173" s="372" t="str">
        <f t="shared" si="59"/>
        <v/>
      </c>
    </row>
    <row r="2174" spans="1:18" ht="30" x14ac:dyDescent="0.25">
      <c r="A2174" s="23" t="s">
        <v>8859</v>
      </c>
      <c r="B2174" s="18" t="str">
        <f>VLOOKUP(A2174, 'Data Pull Sheet'!$B$2:$C$552,2,FALSE)</f>
        <v>LJMIX</v>
      </c>
      <c r="C2174" s="59" t="s">
        <v>465</v>
      </c>
      <c r="D2174" s="356" t="s">
        <v>9116</v>
      </c>
      <c r="E2174" s="356" t="s">
        <v>9175</v>
      </c>
      <c r="F2174" s="23" t="s">
        <v>9554</v>
      </c>
      <c r="G2174" s="92" t="s">
        <v>403</v>
      </c>
      <c r="H2174" s="353">
        <v>107815.98</v>
      </c>
      <c r="I2174" s="59"/>
      <c r="J2174" s="18" t="s">
        <v>10384</v>
      </c>
      <c r="K2174" s="20"/>
      <c r="L2174" s="20">
        <v>4</v>
      </c>
      <c r="M2174" s="357">
        <f>SUM(H2174:H2177)</f>
        <v>552372.42999999993</v>
      </c>
      <c r="N2174" s="411">
        <f>IFERROR((M2174/(VLOOKUP(B2174,'Data Pull Sheet'!$C:$H,6,FALSE))),"DC")</f>
        <v>9.6907443859649116E-4</v>
      </c>
      <c r="O2174" s="23" t="s">
        <v>9810</v>
      </c>
      <c r="P2174" s="92" t="s">
        <v>632</v>
      </c>
      <c r="Q2174" s="18" t="s">
        <v>637</v>
      </c>
      <c r="R2174" s="372" t="str">
        <f t="shared" si="59"/>
        <v/>
      </c>
    </row>
    <row r="2175" spans="1:18" ht="30" x14ac:dyDescent="0.25">
      <c r="A2175" s="23" t="s">
        <v>8859</v>
      </c>
      <c r="B2175" s="18" t="str">
        <f>VLOOKUP(A2175, 'Data Pull Sheet'!$B$2:$C$552,2,FALSE)</f>
        <v>LJMIX</v>
      </c>
      <c r="C2175" s="59" t="s">
        <v>465</v>
      </c>
      <c r="D2175" s="356" t="s">
        <v>9116</v>
      </c>
      <c r="E2175" s="356" t="s">
        <v>9175</v>
      </c>
      <c r="F2175" s="23" t="s">
        <v>9555</v>
      </c>
      <c r="G2175" s="92" t="s">
        <v>403</v>
      </c>
      <c r="H2175" s="353">
        <v>169320.82</v>
      </c>
      <c r="I2175" s="59"/>
      <c r="J2175" s="18" t="s">
        <v>10385</v>
      </c>
      <c r="K2175" s="20"/>
      <c r="L2175" s="20"/>
      <c r="M2175" s="357"/>
      <c r="N2175" s="411"/>
      <c r="O2175" s="23" t="s">
        <v>9810</v>
      </c>
      <c r="P2175" s="92" t="s">
        <v>632</v>
      </c>
      <c r="Q2175" s="18" t="s">
        <v>637</v>
      </c>
      <c r="R2175" s="372" t="str">
        <f t="shared" si="59"/>
        <v/>
      </c>
    </row>
    <row r="2176" spans="1:18" ht="30" x14ac:dyDescent="0.25">
      <c r="A2176" s="23" t="s">
        <v>8859</v>
      </c>
      <c r="B2176" s="18" t="str">
        <f>VLOOKUP(A2176, 'Data Pull Sheet'!$B$2:$C$552,2,FALSE)</f>
        <v>LJMIX</v>
      </c>
      <c r="C2176" s="59" t="s">
        <v>465</v>
      </c>
      <c r="D2176" s="356" t="s">
        <v>9116</v>
      </c>
      <c r="E2176" s="356" t="s">
        <v>9175</v>
      </c>
      <c r="F2176" s="23" t="s">
        <v>9556</v>
      </c>
      <c r="G2176" s="92" t="s">
        <v>403</v>
      </c>
      <c r="H2176" s="353">
        <v>162475.57</v>
      </c>
      <c r="I2176" s="59"/>
      <c r="J2176" s="18" t="s">
        <v>10386</v>
      </c>
      <c r="K2176" s="20"/>
      <c r="L2176" s="20"/>
      <c r="M2176" s="357"/>
      <c r="N2176" s="411"/>
      <c r="O2176" s="23" t="s">
        <v>9810</v>
      </c>
      <c r="P2176" s="92" t="s">
        <v>632</v>
      </c>
      <c r="Q2176" s="18" t="s">
        <v>637</v>
      </c>
      <c r="R2176" s="372" t="str">
        <f t="shared" si="59"/>
        <v/>
      </c>
    </row>
    <row r="2177" spans="1:18" ht="30" x14ac:dyDescent="0.25">
      <c r="A2177" s="23" t="s">
        <v>8859</v>
      </c>
      <c r="B2177" s="18" t="str">
        <f>VLOOKUP(A2177, 'Data Pull Sheet'!$B$2:$C$552,2,FALSE)</f>
        <v>LJMIX</v>
      </c>
      <c r="C2177" s="59" t="s">
        <v>465</v>
      </c>
      <c r="D2177" s="356" t="s">
        <v>9116</v>
      </c>
      <c r="E2177" s="356" t="s">
        <v>9175</v>
      </c>
      <c r="F2177" s="23" t="s">
        <v>9557</v>
      </c>
      <c r="G2177" s="92" t="s">
        <v>417</v>
      </c>
      <c r="H2177" s="353">
        <v>112760.06</v>
      </c>
      <c r="I2177" s="59"/>
      <c r="J2177" s="18" t="s">
        <v>10387</v>
      </c>
      <c r="K2177" s="20"/>
      <c r="L2177" s="20"/>
      <c r="M2177" s="357"/>
      <c r="N2177" s="411"/>
      <c r="O2177" s="23" t="s">
        <v>9810</v>
      </c>
      <c r="P2177" s="92" t="s">
        <v>632</v>
      </c>
      <c r="Q2177" s="18" t="s">
        <v>633</v>
      </c>
      <c r="R2177" s="372" t="str">
        <f t="shared" si="59"/>
        <v/>
      </c>
    </row>
    <row r="2178" spans="1:18" x14ac:dyDescent="0.25">
      <c r="A2178" s="23" t="s">
        <v>8859</v>
      </c>
      <c r="B2178" s="18" t="str">
        <f>VLOOKUP(A2178, 'Data Pull Sheet'!$B$2:$C$552,2,FALSE)</f>
        <v>LJMIX</v>
      </c>
      <c r="C2178" s="59" t="s">
        <v>465</v>
      </c>
      <c r="D2178" s="356" t="s">
        <v>9116</v>
      </c>
      <c r="E2178" s="356" t="s">
        <v>9175</v>
      </c>
      <c r="F2178" s="23" t="s">
        <v>9558</v>
      </c>
      <c r="G2178" s="92" t="s">
        <v>403</v>
      </c>
      <c r="H2178" s="353">
        <v>419423.67</v>
      </c>
      <c r="I2178" s="59"/>
      <c r="J2178" s="18" t="s">
        <v>10388</v>
      </c>
      <c r="K2178" s="20"/>
      <c r="L2178" s="20">
        <v>3</v>
      </c>
      <c r="M2178" s="357">
        <f>SUM(H2178:H2180)</f>
        <v>1700284.92</v>
      </c>
      <c r="N2178" s="411">
        <f>IFERROR((M2178/(VLOOKUP(B2178,'Data Pull Sheet'!$C:$H,6,FALSE))),"DC")</f>
        <v>2.9829559999999997E-3</v>
      </c>
      <c r="O2178" s="23" t="s">
        <v>7</v>
      </c>
      <c r="P2178" s="92" t="s">
        <v>632</v>
      </c>
      <c r="Q2178" s="18" t="s">
        <v>637</v>
      </c>
      <c r="R2178" s="372" t="str">
        <f t="shared" ref="R2178:R2241" si="63">IF(COUNTIF(F:F,F2178)&gt;=2,"FF","")</f>
        <v/>
      </c>
    </row>
    <row r="2179" spans="1:18" x14ac:dyDescent="0.25">
      <c r="A2179" s="23" t="s">
        <v>8859</v>
      </c>
      <c r="B2179" s="18" t="str">
        <f>VLOOKUP(A2179, 'Data Pull Sheet'!$B$2:$C$552,2,FALSE)</f>
        <v>LJMIX</v>
      </c>
      <c r="C2179" s="59" t="s">
        <v>465</v>
      </c>
      <c r="D2179" s="356" t="s">
        <v>9116</v>
      </c>
      <c r="E2179" s="356" t="s">
        <v>9175</v>
      </c>
      <c r="F2179" s="23" t="s">
        <v>9559</v>
      </c>
      <c r="G2179" s="92" t="s">
        <v>403</v>
      </c>
      <c r="H2179" s="353">
        <v>1194565.2</v>
      </c>
      <c r="I2179" s="59"/>
      <c r="J2179" s="18" t="s">
        <v>10389</v>
      </c>
      <c r="K2179" s="20"/>
      <c r="L2179" s="20"/>
      <c r="M2179" s="357"/>
      <c r="N2179" s="411"/>
      <c r="O2179" s="23" t="s">
        <v>7</v>
      </c>
      <c r="P2179" s="92" t="s">
        <v>632</v>
      </c>
      <c r="Q2179" s="18" t="s">
        <v>637</v>
      </c>
      <c r="R2179" s="372" t="str">
        <f t="shared" si="63"/>
        <v/>
      </c>
    </row>
    <row r="2180" spans="1:18" x14ac:dyDescent="0.25">
      <c r="A2180" s="23" t="s">
        <v>8859</v>
      </c>
      <c r="B2180" s="18" t="str">
        <f>VLOOKUP(A2180, 'Data Pull Sheet'!$B$2:$C$552,2,FALSE)</f>
        <v>LJMIX</v>
      </c>
      <c r="C2180" s="59" t="s">
        <v>465</v>
      </c>
      <c r="D2180" s="356" t="s">
        <v>9116</v>
      </c>
      <c r="E2180" s="356" t="s">
        <v>9175</v>
      </c>
      <c r="F2180" s="23" t="s">
        <v>9560</v>
      </c>
      <c r="G2180" s="92" t="s">
        <v>403</v>
      </c>
      <c r="H2180" s="353">
        <v>86296.05</v>
      </c>
      <c r="I2180" s="59"/>
      <c r="J2180" s="18" t="s">
        <v>10390</v>
      </c>
      <c r="K2180" s="20"/>
      <c r="L2180" s="20"/>
      <c r="M2180" s="357"/>
      <c r="N2180" s="411"/>
      <c r="O2180" s="23" t="s">
        <v>7</v>
      </c>
      <c r="P2180" s="92" t="s">
        <v>632</v>
      </c>
      <c r="Q2180" s="18" t="s">
        <v>637</v>
      </c>
      <c r="R2180" s="372" t="str">
        <f t="shared" si="63"/>
        <v/>
      </c>
    </row>
    <row r="2181" spans="1:18" ht="30" x14ac:dyDescent="0.25">
      <c r="A2181" s="23" t="s">
        <v>8859</v>
      </c>
      <c r="B2181" s="18" t="str">
        <f>VLOOKUP(A2181, 'Data Pull Sheet'!$B$2:$C$552,2,FALSE)</f>
        <v>LJMIX</v>
      </c>
      <c r="C2181" s="59" t="s">
        <v>465</v>
      </c>
      <c r="D2181" s="356" t="s">
        <v>9116</v>
      </c>
      <c r="E2181" s="356" t="s">
        <v>9175</v>
      </c>
      <c r="F2181" s="23" t="s">
        <v>9561</v>
      </c>
      <c r="G2181" s="92" t="s">
        <v>403</v>
      </c>
      <c r="H2181" s="353">
        <v>908059.23</v>
      </c>
      <c r="I2181" s="59" t="s">
        <v>406</v>
      </c>
      <c r="J2181" s="18" t="s">
        <v>10391</v>
      </c>
      <c r="K2181" s="20"/>
      <c r="L2181" s="20">
        <v>4</v>
      </c>
      <c r="M2181" s="357">
        <f>SUM(H2181:H2184)</f>
        <v>8270159.6000000006</v>
      </c>
      <c r="N2181" s="411">
        <f>IFERROR((M2181/(VLOOKUP(B2181,'Data Pull Sheet'!$C:$H,6,FALSE))),"DC")</f>
        <v>1.4509051929824563E-2</v>
      </c>
      <c r="O2181" s="23" t="s">
        <v>11192</v>
      </c>
      <c r="P2181" s="92" t="s">
        <v>632</v>
      </c>
      <c r="Q2181" s="18" t="s">
        <v>637</v>
      </c>
      <c r="R2181" s="372" t="str">
        <f t="shared" si="63"/>
        <v/>
      </c>
    </row>
    <row r="2182" spans="1:18" ht="30" x14ac:dyDescent="0.25">
      <c r="A2182" s="23" t="s">
        <v>8859</v>
      </c>
      <c r="B2182" s="18" t="str">
        <f>VLOOKUP(A2182, 'Data Pull Sheet'!$B$2:$C$552,2,FALSE)</f>
        <v>LJMIX</v>
      </c>
      <c r="C2182" s="59" t="s">
        <v>465</v>
      </c>
      <c r="D2182" s="356" t="s">
        <v>9116</v>
      </c>
      <c r="E2182" s="356" t="s">
        <v>9175</v>
      </c>
      <c r="F2182" s="23" t="s">
        <v>9562</v>
      </c>
      <c r="G2182" s="92" t="s">
        <v>403</v>
      </c>
      <c r="H2182" s="353">
        <v>2977014.8</v>
      </c>
      <c r="I2182" s="59" t="s">
        <v>406</v>
      </c>
      <c r="J2182" s="18" t="s">
        <v>10392</v>
      </c>
      <c r="K2182" s="20"/>
      <c r="L2182" s="20"/>
      <c r="M2182" s="357"/>
      <c r="N2182" s="411"/>
      <c r="O2182" s="23" t="s">
        <v>11192</v>
      </c>
      <c r="P2182" s="92" t="s">
        <v>632</v>
      </c>
      <c r="Q2182" s="18" t="s">
        <v>637</v>
      </c>
      <c r="R2182" s="372" t="str">
        <f t="shared" si="63"/>
        <v/>
      </c>
    </row>
    <row r="2183" spans="1:18" ht="30" x14ac:dyDescent="0.25">
      <c r="A2183" s="23" t="s">
        <v>8859</v>
      </c>
      <c r="B2183" s="18" t="str">
        <f>VLOOKUP(A2183, 'Data Pull Sheet'!$B$2:$C$552,2,FALSE)</f>
        <v>LJMIX</v>
      </c>
      <c r="C2183" s="59" t="s">
        <v>465</v>
      </c>
      <c r="D2183" s="356" t="s">
        <v>9116</v>
      </c>
      <c r="E2183" s="356" t="s">
        <v>9175</v>
      </c>
      <c r="F2183" s="23" t="s">
        <v>9563</v>
      </c>
      <c r="G2183" s="92" t="s">
        <v>417</v>
      </c>
      <c r="H2183" s="353">
        <v>2491414.37</v>
      </c>
      <c r="I2183" s="59" t="s">
        <v>406</v>
      </c>
      <c r="J2183" s="18" t="s">
        <v>10393</v>
      </c>
      <c r="K2183" s="20"/>
      <c r="L2183" s="20"/>
      <c r="M2183" s="357"/>
      <c r="N2183" s="411"/>
      <c r="O2183" s="23" t="s">
        <v>11192</v>
      </c>
      <c r="P2183" s="92" t="s">
        <v>632</v>
      </c>
      <c r="Q2183" s="18" t="s">
        <v>633</v>
      </c>
      <c r="R2183" s="372" t="str">
        <f t="shared" si="63"/>
        <v/>
      </c>
    </row>
    <row r="2184" spans="1:18" ht="30" x14ac:dyDescent="0.25">
      <c r="A2184" s="23" t="s">
        <v>8859</v>
      </c>
      <c r="B2184" s="18" t="str">
        <f>VLOOKUP(A2184, 'Data Pull Sheet'!$B$2:$C$552,2,FALSE)</f>
        <v>LJMIX</v>
      </c>
      <c r="C2184" s="59" t="s">
        <v>465</v>
      </c>
      <c r="D2184" s="356" t="s">
        <v>9116</v>
      </c>
      <c r="E2184" s="356" t="s">
        <v>9175</v>
      </c>
      <c r="F2184" s="23" t="s">
        <v>9564</v>
      </c>
      <c r="G2184" s="92" t="s">
        <v>417</v>
      </c>
      <c r="H2184" s="353">
        <v>1893671.2</v>
      </c>
      <c r="I2184" s="59" t="s">
        <v>406</v>
      </c>
      <c r="J2184" s="18" t="s">
        <v>10394</v>
      </c>
      <c r="K2184" s="20"/>
      <c r="L2184" s="20"/>
      <c r="M2184" s="357"/>
      <c r="N2184" s="411"/>
      <c r="O2184" s="23" t="s">
        <v>11192</v>
      </c>
      <c r="P2184" s="92" t="s">
        <v>632</v>
      </c>
      <c r="Q2184" s="18" t="s">
        <v>633</v>
      </c>
      <c r="R2184" s="372" t="str">
        <f t="shared" si="63"/>
        <v/>
      </c>
    </row>
    <row r="2185" spans="1:18" x14ac:dyDescent="0.25">
      <c r="A2185" s="23" t="s">
        <v>8776</v>
      </c>
      <c r="B2185" s="18" t="str">
        <f>VLOOKUP(A2185, 'Data Pull Sheet'!$B$2:$C$552,2,FALSE)</f>
        <v>SGYP</v>
      </c>
      <c r="C2185" s="59" t="s">
        <v>1008</v>
      </c>
      <c r="D2185" s="356" t="s">
        <v>9113</v>
      </c>
      <c r="E2185" s="356" t="s">
        <v>9175</v>
      </c>
      <c r="F2185" s="23" t="s">
        <v>9536</v>
      </c>
      <c r="G2185" s="92" t="s">
        <v>403</v>
      </c>
      <c r="H2185" s="353">
        <v>206128.75</v>
      </c>
      <c r="I2185" s="59" t="s">
        <v>413</v>
      </c>
      <c r="J2185" s="18" t="s">
        <v>10000</v>
      </c>
      <c r="K2185" s="20">
        <v>6</v>
      </c>
      <c r="L2185" s="20">
        <v>3</v>
      </c>
      <c r="M2185" s="357">
        <f>SUM(H2185:H2187)</f>
        <v>314163.75</v>
      </c>
      <c r="N2185" s="411">
        <f>IFERROR((M2185/(VLOOKUP(B2185,'Data Pull Sheet'!$C:$H,6,FALSE))),"DC")</f>
        <v>4.4880535714285717E-3</v>
      </c>
      <c r="O2185" s="23" t="s">
        <v>4855</v>
      </c>
      <c r="P2185" s="92" t="s">
        <v>632</v>
      </c>
      <c r="Q2185" s="92" t="s">
        <v>646</v>
      </c>
      <c r="R2185" s="372" t="str">
        <f t="shared" si="63"/>
        <v/>
      </c>
    </row>
    <row r="2186" spans="1:18" x14ac:dyDescent="0.25">
      <c r="A2186" s="23" t="s">
        <v>8776</v>
      </c>
      <c r="B2186" s="18" t="str">
        <f>VLOOKUP(A2186, 'Data Pull Sheet'!$B$2:$C$552,2,FALSE)</f>
        <v>SGYP</v>
      </c>
      <c r="C2186" s="59" t="s">
        <v>1008</v>
      </c>
      <c r="D2186" s="356" t="s">
        <v>9113</v>
      </c>
      <c r="E2186" s="356" t="s">
        <v>9175</v>
      </c>
      <c r="F2186" s="23" t="s">
        <v>9537</v>
      </c>
      <c r="G2186" s="92" t="s">
        <v>403</v>
      </c>
      <c r="H2186" s="353">
        <v>20720</v>
      </c>
      <c r="I2186" s="59" t="s">
        <v>413</v>
      </c>
      <c r="J2186" s="18" t="s">
        <v>10002</v>
      </c>
      <c r="K2186" s="20"/>
      <c r="L2186" s="20"/>
      <c r="M2186" s="357"/>
      <c r="N2186" s="411"/>
      <c r="O2186" s="23" t="s">
        <v>4855</v>
      </c>
      <c r="P2186" s="92" t="s">
        <v>632</v>
      </c>
      <c r="Q2186" s="92" t="s">
        <v>646</v>
      </c>
      <c r="R2186" s="372" t="str">
        <f t="shared" si="63"/>
        <v/>
      </c>
    </row>
    <row r="2187" spans="1:18" x14ac:dyDescent="0.25">
      <c r="A2187" s="23" t="s">
        <v>8776</v>
      </c>
      <c r="B2187" s="18" t="str">
        <f>VLOOKUP(A2187, 'Data Pull Sheet'!$B$2:$C$552,2,FALSE)</f>
        <v>SGYP</v>
      </c>
      <c r="C2187" s="59" t="s">
        <v>1008</v>
      </c>
      <c r="D2187" s="356" t="s">
        <v>9113</v>
      </c>
      <c r="E2187" s="356" t="s">
        <v>9175</v>
      </c>
      <c r="F2187" s="23" t="s">
        <v>9538</v>
      </c>
      <c r="G2187" s="92" t="s">
        <v>403</v>
      </c>
      <c r="H2187" s="353">
        <v>87315</v>
      </c>
      <c r="I2187" s="59" t="s">
        <v>413</v>
      </c>
      <c r="J2187" s="18" t="s">
        <v>10004</v>
      </c>
      <c r="K2187" s="20"/>
      <c r="L2187" s="20"/>
      <c r="M2187" s="357"/>
      <c r="N2187" s="411"/>
      <c r="O2187" s="23" t="s">
        <v>4855</v>
      </c>
      <c r="P2187" s="92" t="s">
        <v>632</v>
      </c>
      <c r="Q2187" s="92" t="s">
        <v>646</v>
      </c>
      <c r="R2187" s="372" t="str">
        <f t="shared" si="63"/>
        <v/>
      </c>
    </row>
    <row r="2188" spans="1:18" x14ac:dyDescent="0.25">
      <c r="A2188" s="23" t="s">
        <v>8776</v>
      </c>
      <c r="B2188" s="18" t="str">
        <f>VLOOKUP(A2188, 'Data Pull Sheet'!$B$2:$C$552,2,FALSE)</f>
        <v>SGYP</v>
      </c>
      <c r="C2188" s="59" t="s">
        <v>1008</v>
      </c>
      <c r="D2188" s="356" t="s">
        <v>9113</v>
      </c>
      <c r="E2188" s="356" t="s">
        <v>9175</v>
      </c>
      <c r="F2188" s="23" t="s">
        <v>9539</v>
      </c>
      <c r="G2188" s="92" t="s">
        <v>403</v>
      </c>
      <c r="H2188" s="353">
        <v>95500</v>
      </c>
      <c r="I2188" s="59"/>
      <c r="J2188" s="18" t="s">
        <v>10005</v>
      </c>
      <c r="K2188" s="20"/>
      <c r="L2188" s="20">
        <v>2</v>
      </c>
      <c r="M2188" s="357">
        <f>SUM(H2188:H2189)</f>
        <v>143123.73000000001</v>
      </c>
      <c r="N2188" s="411">
        <f>IFERROR((M2188/(VLOOKUP(B2188,'Data Pull Sheet'!$C:$H,6,FALSE))),"DC")</f>
        <v>2.0446247142857144E-3</v>
      </c>
      <c r="O2188" s="23" t="s">
        <v>192</v>
      </c>
      <c r="P2188" s="92" t="s">
        <v>632</v>
      </c>
      <c r="Q2188" s="92" t="s">
        <v>646</v>
      </c>
      <c r="R2188" s="372" t="str">
        <f t="shared" si="63"/>
        <v/>
      </c>
    </row>
    <row r="2189" spans="1:18" x14ac:dyDescent="0.25">
      <c r="A2189" s="23" t="s">
        <v>8776</v>
      </c>
      <c r="B2189" s="18" t="str">
        <f>VLOOKUP(A2189, 'Data Pull Sheet'!$B$2:$C$552,2,FALSE)</f>
        <v>SGYP</v>
      </c>
      <c r="C2189" s="59" t="s">
        <v>1008</v>
      </c>
      <c r="D2189" s="356" t="s">
        <v>9113</v>
      </c>
      <c r="E2189" s="356" t="s">
        <v>9175</v>
      </c>
      <c r="F2189" s="23" t="s">
        <v>9540</v>
      </c>
      <c r="G2189" s="92" t="s">
        <v>403</v>
      </c>
      <c r="H2189" s="353">
        <v>47623.73</v>
      </c>
      <c r="I2189" s="59"/>
      <c r="J2189" s="18" t="s">
        <v>10006</v>
      </c>
      <c r="K2189" s="20"/>
      <c r="L2189" s="20"/>
      <c r="M2189" s="357"/>
      <c r="N2189" s="411"/>
      <c r="O2189" s="23" t="s">
        <v>192</v>
      </c>
      <c r="P2189" s="92" t="s">
        <v>632</v>
      </c>
      <c r="Q2189" s="92" t="s">
        <v>646</v>
      </c>
      <c r="R2189" s="372" t="str">
        <f t="shared" si="63"/>
        <v/>
      </c>
    </row>
    <row r="2190" spans="1:18" x14ac:dyDescent="0.25">
      <c r="A2190" s="23" t="s">
        <v>8776</v>
      </c>
      <c r="B2190" s="18" t="str">
        <f>VLOOKUP(A2190, 'Data Pull Sheet'!$B$2:$C$552,2,FALSE)</f>
        <v>SGYP</v>
      </c>
      <c r="C2190" s="59" t="s">
        <v>1008</v>
      </c>
      <c r="D2190" s="356" t="s">
        <v>9113</v>
      </c>
      <c r="E2190" s="356" t="s">
        <v>9175</v>
      </c>
      <c r="F2190" s="23" t="s">
        <v>9541</v>
      </c>
      <c r="G2190" s="92" t="s">
        <v>403</v>
      </c>
      <c r="H2190" s="353">
        <v>63408.65</v>
      </c>
      <c r="I2190" s="59" t="s">
        <v>406</v>
      </c>
      <c r="J2190" s="18" t="s">
        <v>10007</v>
      </c>
      <c r="K2190" s="20"/>
      <c r="L2190" s="20">
        <v>1</v>
      </c>
      <c r="M2190" s="357">
        <f>+H2190</f>
        <v>63408.65</v>
      </c>
      <c r="N2190" s="411">
        <f>IFERROR((M2190/(VLOOKUP(B2190,'Data Pull Sheet'!$C:$H,6,FALSE))),"DC")</f>
        <v>9.0583785714285717E-4</v>
      </c>
      <c r="O2190" s="23" t="s">
        <v>4392</v>
      </c>
      <c r="P2190" s="92" t="s">
        <v>632</v>
      </c>
      <c r="Q2190" s="92" t="s">
        <v>637</v>
      </c>
      <c r="R2190" s="372" t="str">
        <f t="shared" si="63"/>
        <v/>
      </c>
    </row>
    <row r="2191" spans="1:18" x14ac:dyDescent="0.25">
      <c r="A2191" s="23" t="s">
        <v>8776</v>
      </c>
      <c r="B2191" s="18" t="str">
        <f>VLOOKUP(A2191, 'Data Pull Sheet'!$B$2:$C$552,2,FALSE)</f>
        <v>SGYP</v>
      </c>
      <c r="C2191" s="59" t="s">
        <v>1008</v>
      </c>
      <c r="D2191" s="356" t="s">
        <v>9113</v>
      </c>
      <c r="E2191" s="356" t="s">
        <v>9175</v>
      </c>
      <c r="F2191" s="23" t="s">
        <v>9542</v>
      </c>
      <c r="G2191" s="92" t="s">
        <v>403</v>
      </c>
      <c r="H2191" s="353">
        <v>164992.47</v>
      </c>
      <c r="I2191" s="59" t="s">
        <v>406</v>
      </c>
      <c r="J2191" s="18" t="s">
        <v>10001</v>
      </c>
      <c r="K2191" s="20"/>
      <c r="L2191" s="20">
        <v>4</v>
      </c>
      <c r="M2191" s="357">
        <f>SUM(H2191:H2194)</f>
        <v>293163.48</v>
      </c>
      <c r="N2191" s="411">
        <f>IFERROR((M2191/(VLOOKUP(B2191,'Data Pull Sheet'!$C:$H,6,FALSE))),"DC")</f>
        <v>4.188049714285714E-3</v>
      </c>
      <c r="O2191" s="23" t="s">
        <v>4153</v>
      </c>
      <c r="P2191" s="92" t="s">
        <v>632</v>
      </c>
      <c r="Q2191" s="92" t="s">
        <v>646</v>
      </c>
      <c r="R2191" s="372" t="str">
        <f t="shared" si="63"/>
        <v/>
      </c>
    </row>
    <row r="2192" spans="1:18" x14ac:dyDescent="0.25">
      <c r="A2192" s="23" t="s">
        <v>8776</v>
      </c>
      <c r="B2192" s="18" t="str">
        <f>VLOOKUP(A2192, 'Data Pull Sheet'!$B$2:$C$552,2,FALSE)</f>
        <v>SGYP</v>
      </c>
      <c r="C2192" s="59" t="s">
        <v>1008</v>
      </c>
      <c r="D2192" s="356" t="s">
        <v>9113</v>
      </c>
      <c r="E2192" s="356" t="s">
        <v>9175</v>
      </c>
      <c r="F2192" s="23" t="s">
        <v>9543</v>
      </c>
      <c r="G2192" s="92" t="s">
        <v>403</v>
      </c>
      <c r="H2192" s="353">
        <v>49470.53</v>
      </c>
      <c r="I2192" s="59" t="s">
        <v>406</v>
      </c>
      <c r="J2192" s="18" t="s">
        <v>10008</v>
      </c>
      <c r="K2192" s="20"/>
      <c r="L2192" s="20"/>
      <c r="M2192" s="357"/>
      <c r="N2192" s="411"/>
      <c r="O2192" s="23" t="s">
        <v>4153</v>
      </c>
      <c r="P2192" s="92" t="s">
        <v>632</v>
      </c>
      <c r="Q2192" s="92" t="s">
        <v>646</v>
      </c>
      <c r="R2192" s="372" t="str">
        <f t="shared" si="63"/>
        <v/>
      </c>
    </row>
    <row r="2193" spans="1:18" x14ac:dyDescent="0.25">
      <c r="A2193" s="23" t="s">
        <v>8776</v>
      </c>
      <c r="B2193" s="18" t="str">
        <f>VLOOKUP(A2193, 'Data Pull Sheet'!$B$2:$C$552,2,FALSE)</f>
        <v>SGYP</v>
      </c>
      <c r="C2193" s="59" t="s">
        <v>1008</v>
      </c>
      <c r="D2193" s="356" t="s">
        <v>9113</v>
      </c>
      <c r="E2193" s="356" t="s">
        <v>9175</v>
      </c>
      <c r="F2193" s="23" t="s">
        <v>9544</v>
      </c>
      <c r="G2193" s="92" t="s">
        <v>403</v>
      </c>
      <c r="H2193" s="353">
        <v>64397.22</v>
      </c>
      <c r="I2193" s="59" t="s">
        <v>406</v>
      </c>
      <c r="J2193" s="18" t="s">
        <v>10009</v>
      </c>
      <c r="K2193" s="20"/>
      <c r="L2193" s="20"/>
      <c r="M2193" s="357"/>
      <c r="N2193" s="411"/>
      <c r="O2193" s="23" t="s">
        <v>4153</v>
      </c>
      <c r="P2193" s="92" t="s">
        <v>632</v>
      </c>
      <c r="Q2193" s="92" t="s">
        <v>646</v>
      </c>
      <c r="R2193" s="372" t="str">
        <f t="shared" si="63"/>
        <v/>
      </c>
    </row>
    <row r="2194" spans="1:18" x14ac:dyDescent="0.25">
      <c r="A2194" s="23" t="s">
        <v>8776</v>
      </c>
      <c r="B2194" s="18" t="str">
        <f>VLOOKUP(A2194, 'Data Pull Sheet'!$B$2:$C$552,2,FALSE)</f>
        <v>SGYP</v>
      </c>
      <c r="C2194" s="59" t="s">
        <v>1008</v>
      </c>
      <c r="D2194" s="356" t="s">
        <v>9113</v>
      </c>
      <c r="E2194" s="356" t="s">
        <v>9175</v>
      </c>
      <c r="F2194" s="23" t="s">
        <v>9545</v>
      </c>
      <c r="G2194" s="92" t="s">
        <v>403</v>
      </c>
      <c r="H2194" s="353">
        <v>14303.26</v>
      </c>
      <c r="I2194" s="59" t="s">
        <v>406</v>
      </c>
      <c r="J2194" s="18" t="s">
        <v>10010</v>
      </c>
      <c r="K2194" s="20"/>
      <c r="L2194" s="20"/>
      <c r="M2194" s="357"/>
      <c r="N2194" s="411"/>
      <c r="O2194" s="23" t="s">
        <v>4153</v>
      </c>
      <c r="P2194" s="92" t="s">
        <v>632</v>
      </c>
      <c r="Q2194" s="92" t="s">
        <v>646</v>
      </c>
      <c r="R2194" s="372" t="str">
        <f t="shared" si="63"/>
        <v/>
      </c>
    </row>
    <row r="2195" spans="1:18" x14ac:dyDescent="0.25">
      <c r="A2195" s="23" t="s">
        <v>8776</v>
      </c>
      <c r="B2195" s="18" t="str">
        <f>VLOOKUP(A2195, 'Data Pull Sheet'!$B$2:$C$552,2,FALSE)</f>
        <v>SGYP</v>
      </c>
      <c r="C2195" s="59" t="s">
        <v>1008</v>
      </c>
      <c r="D2195" s="356" t="s">
        <v>9113</v>
      </c>
      <c r="E2195" s="356" t="s">
        <v>9175</v>
      </c>
      <c r="F2195" s="23" t="s">
        <v>9546</v>
      </c>
      <c r="G2195" s="92" t="s">
        <v>403</v>
      </c>
      <c r="H2195" s="353">
        <v>17366</v>
      </c>
      <c r="I2195" s="59"/>
      <c r="J2195" s="18" t="s">
        <v>10011</v>
      </c>
      <c r="K2195" s="20"/>
      <c r="L2195" s="20">
        <v>1</v>
      </c>
      <c r="M2195" s="357">
        <f>+H2195</f>
        <v>17366</v>
      </c>
      <c r="N2195" s="411">
        <f>IFERROR((M2195/(VLOOKUP(B2195,'Data Pull Sheet'!$C:$H,6,FALSE))),"DC")</f>
        <v>2.4808571428571428E-4</v>
      </c>
      <c r="O2195" s="23" t="s">
        <v>79</v>
      </c>
      <c r="P2195" s="92" t="s">
        <v>632</v>
      </c>
      <c r="Q2195" s="92" t="s">
        <v>637</v>
      </c>
      <c r="R2195" s="372" t="str">
        <f t="shared" si="63"/>
        <v/>
      </c>
    </row>
    <row r="2196" spans="1:18" x14ac:dyDescent="0.25">
      <c r="A2196" s="23" t="s">
        <v>8776</v>
      </c>
      <c r="B2196" s="18" t="str">
        <f>VLOOKUP(A2196, 'Data Pull Sheet'!$B$2:$C$552,2,FALSE)</f>
        <v>SGYP</v>
      </c>
      <c r="C2196" s="59" t="s">
        <v>1008</v>
      </c>
      <c r="D2196" s="356" t="s">
        <v>9113</v>
      </c>
      <c r="E2196" s="356" t="s">
        <v>9175</v>
      </c>
      <c r="F2196" s="23" t="s">
        <v>9547</v>
      </c>
      <c r="G2196" s="92" t="s">
        <v>417</v>
      </c>
      <c r="H2196" s="353">
        <v>404918.51</v>
      </c>
      <c r="I2196" s="59" t="s">
        <v>406</v>
      </c>
      <c r="J2196" s="18" t="s">
        <v>10012</v>
      </c>
      <c r="K2196" s="20"/>
      <c r="L2196" s="20">
        <v>2</v>
      </c>
      <c r="M2196" s="357">
        <f>SUM(H2196:H2197)</f>
        <v>475449.04000000004</v>
      </c>
      <c r="N2196" s="411">
        <f>IFERROR((M2196/(VLOOKUP(B2196,'Data Pull Sheet'!$C:$H,6,FALSE))),"DC")</f>
        <v>6.7921291428571437E-3</v>
      </c>
      <c r="O2196" s="23" t="s">
        <v>407</v>
      </c>
      <c r="P2196" s="92" t="s">
        <v>632</v>
      </c>
      <c r="Q2196" s="92" t="s">
        <v>662</v>
      </c>
      <c r="R2196" s="372" t="str">
        <f t="shared" si="63"/>
        <v/>
      </c>
    </row>
    <row r="2197" spans="1:18" x14ac:dyDescent="0.25">
      <c r="A2197" s="23" t="s">
        <v>8776</v>
      </c>
      <c r="B2197" s="18" t="str">
        <f>VLOOKUP(A2197, 'Data Pull Sheet'!$B$2:$C$552,2,FALSE)</f>
        <v>SGYP</v>
      </c>
      <c r="C2197" s="59" t="s">
        <v>1008</v>
      </c>
      <c r="D2197" s="356" t="s">
        <v>9113</v>
      </c>
      <c r="E2197" s="356" t="s">
        <v>9175</v>
      </c>
      <c r="F2197" s="23" t="s">
        <v>9548</v>
      </c>
      <c r="G2197" s="92" t="s">
        <v>403</v>
      </c>
      <c r="H2197" s="353">
        <v>70530.53</v>
      </c>
      <c r="I2197" s="59" t="s">
        <v>406</v>
      </c>
      <c r="J2197" s="18" t="s">
        <v>10013</v>
      </c>
      <c r="K2197" s="20"/>
      <c r="L2197" s="20"/>
      <c r="M2197" s="357"/>
      <c r="N2197" s="411"/>
      <c r="O2197" s="23" t="s">
        <v>407</v>
      </c>
      <c r="P2197" s="92" t="s">
        <v>632</v>
      </c>
      <c r="Q2197" s="92" t="s">
        <v>662</v>
      </c>
      <c r="R2197" s="372" t="str">
        <f t="shared" si="63"/>
        <v/>
      </c>
    </row>
    <row r="2198" spans="1:18" ht="30" x14ac:dyDescent="0.25">
      <c r="A2198" s="23" t="s">
        <v>8877</v>
      </c>
      <c r="B2198" s="18" t="str">
        <f>VLOOKUP(A2198, 'Data Pull Sheet'!$B$2:$C$552,2,FALSE)</f>
        <v>NQ</v>
      </c>
      <c r="C2198" s="59" t="s">
        <v>414</v>
      </c>
      <c r="D2198" s="356" t="s">
        <v>9115</v>
      </c>
      <c r="E2198" s="356" t="s">
        <v>9174</v>
      </c>
      <c r="F2198" s="23" t="s">
        <v>9528</v>
      </c>
      <c r="G2198" s="92" t="s">
        <v>403</v>
      </c>
      <c r="H2198" s="353">
        <v>53320.7</v>
      </c>
      <c r="I2198" s="59"/>
      <c r="J2198" s="18" t="s">
        <v>10014</v>
      </c>
      <c r="K2198" s="20">
        <v>3</v>
      </c>
      <c r="L2198" s="20">
        <v>2</v>
      </c>
      <c r="M2198" s="357">
        <f>SUM(H2198:H2199)</f>
        <v>91478.11</v>
      </c>
      <c r="N2198" s="411">
        <f>IFERROR((M2198/(VLOOKUP(B2198,'Data Pull Sheet'!$C:$H,6,FALSE))),"DC")</f>
        <v>1.6632383636363637E-3</v>
      </c>
      <c r="O2198" s="23" t="s">
        <v>9803</v>
      </c>
      <c r="P2198" s="92" t="s">
        <v>632</v>
      </c>
      <c r="Q2198" s="92" t="s">
        <v>646</v>
      </c>
      <c r="R2198" s="372" t="str">
        <f t="shared" si="63"/>
        <v/>
      </c>
    </row>
    <row r="2199" spans="1:18" ht="30" x14ac:dyDescent="0.25">
      <c r="A2199" s="23" t="s">
        <v>8877</v>
      </c>
      <c r="B2199" s="18" t="str">
        <f>VLOOKUP(A2199, 'Data Pull Sheet'!$B$2:$C$552,2,FALSE)</f>
        <v>NQ</v>
      </c>
      <c r="C2199" s="59" t="s">
        <v>414</v>
      </c>
      <c r="D2199" s="356" t="s">
        <v>9115</v>
      </c>
      <c r="E2199" s="356" t="s">
        <v>9174</v>
      </c>
      <c r="F2199" s="23" t="s">
        <v>9529</v>
      </c>
      <c r="G2199" s="92" t="s">
        <v>403</v>
      </c>
      <c r="H2199" s="353">
        <v>38157.410000000003</v>
      </c>
      <c r="I2199" s="59"/>
      <c r="J2199" s="18" t="s">
        <v>10015</v>
      </c>
      <c r="K2199" s="20"/>
      <c r="L2199" s="20"/>
      <c r="M2199" s="357"/>
      <c r="N2199" s="411"/>
      <c r="O2199" s="23" t="s">
        <v>9803</v>
      </c>
      <c r="P2199" s="92" t="s">
        <v>632</v>
      </c>
      <c r="Q2199" s="92" t="s">
        <v>646</v>
      </c>
      <c r="R2199" s="372" t="str">
        <f t="shared" si="63"/>
        <v/>
      </c>
    </row>
    <row r="2200" spans="1:18" x14ac:dyDescent="0.25">
      <c r="A2200" s="23" t="s">
        <v>8877</v>
      </c>
      <c r="B2200" s="18" t="str">
        <f>VLOOKUP(A2200, 'Data Pull Sheet'!$B$2:$C$552,2,FALSE)</f>
        <v>NQ</v>
      </c>
      <c r="C2200" s="59" t="s">
        <v>414</v>
      </c>
      <c r="D2200" s="356" t="s">
        <v>9115</v>
      </c>
      <c r="E2200" s="356" t="s">
        <v>9174</v>
      </c>
      <c r="F2200" s="23" t="s">
        <v>9530</v>
      </c>
      <c r="G2200" s="92" t="s">
        <v>403</v>
      </c>
      <c r="H2200" s="353">
        <v>4134.93</v>
      </c>
      <c r="I2200" s="59"/>
      <c r="J2200" s="18" t="s">
        <v>10016</v>
      </c>
      <c r="K2200" s="20"/>
      <c r="L2200" s="20">
        <v>2</v>
      </c>
      <c r="M2200" s="357">
        <f>SUM(H2200:H2201)</f>
        <v>7176.75</v>
      </c>
      <c r="N2200" s="411">
        <f>IFERROR((M2200/(VLOOKUP(B2200,'Data Pull Sheet'!$C:$H,6,FALSE))),"DC")</f>
        <v>1.3048636363636364E-4</v>
      </c>
      <c r="O2200" s="23" t="s">
        <v>9804</v>
      </c>
      <c r="P2200" s="92" t="s">
        <v>632</v>
      </c>
      <c r="Q2200" s="92" t="s">
        <v>646</v>
      </c>
      <c r="R2200" s="372" t="str">
        <f t="shared" si="63"/>
        <v/>
      </c>
    </row>
    <row r="2201" spans="1:18" x14ac:dyDescent="0.25">
      <c r="A2201" s="23" t="s">
        <v>8877</v>
      </c>
      <c r="B2201" s="18" t="str">
        <f>VLOOKUP(A2201, 'Data Pull Sheet'!$B$2:$C$552,2,FALSE)</f>
        <v>NQ</v>
      </c>
      <c r="C2201" s="59" t="s">
        <v>414</v>
      </c>
      <c r="D2201" s="356" t="s">
        <v>9115</v>
      </c>
      <c r="E2201" s="356" t="s">
        <v>9174</v>
      </c>
      <c r="F2201" s="23" t="s">
        <v>9531</v>
      </c>
      <c r="G2201" s="92" t="s">
        <v>403</v>
      </c>
      <c r="H2201" s="353">
        <v>3041.82</v>
      </c>
      <c r="I2201" s="59"/>
      <c r="J2201" s="18" t="s">
        <v>10017</v>
      </c>
      <c r="K2201" s="20"/>
      <c r="L2201" s="20"/>
      <c r="M2201" s="357"/>
      <c r="N2201" s="411"/>
      <c r="O2201" s="23" t="s">
        <v>9804</v>
      </c>
      <c r="P2201" s="92" t="s">
        <v>632</v>
      </c>
      <c r="Q2201" s="92" t="s">
        <v>646</v>
      </c>
      <c r="R2201" s="372" t="str">
        <f t="shared" si="63"/>
        <v/>
      </c>
    </row>
    <row r="2202" spans="1:18" x14ac:dyDescent="0.25">
      <c r="A2202" s="23" t="s">
        <v>8877</v>
      </c>
      <c r="B2202" s="18" t="str">
        <f>VLOOKUP(A2202, 'Data Pull Sheet'!$B$2:$C$552,2,FALSE)</f>
        <v>NQ</v>
      </c>
      <c r="C2202" s="59" t="s">
        <v>414</v>
      </c>
      <c r="D2202" s="356" t="s">
        <v>9115</v>
      </c>
      <c r="E2202" s="356" t="s">
        <v>9174</v>
      </c>
      <c r="F2202" s="23" t="s">
        <v>9532</v>
      </c>
      <c r="G2202" s="92" t="s">
        <v>403</v>
      </c>
      <c r="H2202" s="353">
        <v>537288.82999999996</v>
      </c>
      <c r="I2202" s="59"/>
      <c r="J2202" s="18" t="s">
        <v>10018</v>
      </c>
      <c r="K2202" s="20"/>
      <c r="L2202" s="20">
        <v>1</v>
      </c>
      <c r="M2202" s="357">
        <f>+H2202</f>
        <v>537288.82999999996</v>
      </c>
      <c r="N2202" s="411">
        <f>IFERROR((M2202/(VLOOKUP(B2202,'Data Pull Sheet'!$C:$H,6,FALSE))),"DC")</f>
        <v>9.7688878181818178E-3</v>
      </c>
      <c r="O2202" s="23" t="s">
        <v>9805</v>
      </c>
      <c r="P2202" s="92" t="s">
        <v>632</v>
      </c>
      <c r="Q2202" s="92" t="s">
        <v>637</v>
      </c>
      <c r="R2202" s="372" t="str">
        <f t="shared" si="63"/>
        <v/>
      </c>
    </row>
    <row r="2203" spans="1:18" x14ac:dyDescent="0.25">
      <c r="A2203" s="23" t="s">
        <v>8244</v>
      </c>
      <c r="B2203" s="18" t="str">
        <f>VLOOKUP(A2203, 'Data Pull Sheet'!$B$2:$C$552,2,FALSE)</f>
        <v>OBLN</v>
      </c>
      <c r="C2203" s="59" t="s">
        <v>557</v>
      </c>
      <c r="D2203" s="356" t="s">
        <v>9112</v>
      </c>
      <c r="E2203" s="356" t="s">
        <v>9173</v>
      </c>
      <c r="F2203" s="23" t="s">
        <v>9515</v>
      </c>
      <c r="G2203" s="92" t="s">
        <v>417</v>
      </c>
      <c r="H2203" s="353">
        <v>83304.759999999995</v>
      </c>
      <c r="I2203" s="59"/>
      <c r="J2203" s="18" t="s">
        <v>10020</v>
      </c>
      <c r="K2203" s="20">
        <v>2</v>
      </c>
      <c r="L2203" s="20">
        <v>1</v>
      </c>
      <c r="M2203" s="357">
        <f>+H2203</f>
        <v>83304.759999999995</v>
      </c>
      <c r="N2203" s="411">
        <f>IFERROR((M2203/(VLOOKUP(B2203,'Data Pull Sheet'!$C:$H,6,FALSE))),"DC")</f>
        <v>4.9002799999999999E-3</v>
      </c>
      <c r="O2203" s="23" t="s">
        <v>597</v>
      </c>
      <c r="P2203" s="92" t="s">
        <v>632</v>
      </c>
      <c r="Q2203" s="92" t="s">
        <v>633</v>
      </c>
      <c r="R2203" s="372" t="str">
        <f t="shared" si="63"/>
        <v/>
      </c>
    </row>
    <row r="2204" spans="1:18" ht="45" x14ac:dyDescent="0.25">
      <c r="A2204" s="23" t="s">
        <v>8244</v>
      </c>
      <c r="B2204" s="18" t="str">
        <f>VLOOKUP(A2204, 'Data Pull Sheet'!$B$2:$C$552,2,FALSE)</f>
        <v>OBLN</v>
      </c>
      <c r="C2204" s="59" t="s">
        <v>557</v>
      </c>
      <c r="D2204" s="356" t="s">
        <v>9112</v>
      </c>
      <c r="E2204" s="356" t="s">
        <v>9173</v>
      </c>
      <c r="F2204" s="23" t="s">
        <v>1993</v>
      </c>
      <c r="G2204" s="92" t="s">
        <v>417</v>
      </c>
      <c r="H2204" s="353">
        <v>83828.59</v>
      </c>
      <c r="I2204" s="59"/>
      <c r="J2204" s="18" t="s">
        <v>10022</v>
      </c>
      <c r="K2204" s="20"/>
      <c r="L2204" s="20">
        <v>1</v>
      </c>
      <c r="M2204" s="357">
        <f>+H2204</f>
        <v>83828.59</v>
      </c>
      <c r="N2204" s="411">
        <f>IFERROR((M2204/(VLOOKUP(B2204,'Data Pull Sheet'!$C:$H,6,FALSE))),"DC")</f>
        <v>4.9310935294117645E-3</v>
      </c>
      <c r="O2204" s="23" t="s">
        <v>7</v>
      </c>
      <c r="P2204" s="92" t="s">
        <v>632</v>
      </c>
      <c r="Q2204" s="92" t="s">
        <v>633</v>
      </c>
      <c r="R2204" s="372" t="str">
        <f t="shared" si="63"/>
        <v>FF</v>
      </c>
    </row>
    <row r="2205" spans="1:18" x14ac:dyDescent="0.25">
      <c r="A2205" s="23" t="s">
        <v>8878</v>
      </c>
      <c r="B2205" s="18" t="str">
        <f>VLOOKUP(A2205, 'Data Pull Sheet'!$B$2:$C$552,2,FALSE)</f>
        <v>OHRP</v>
      </c>
      <c r="C2205" s="59" t="s">
        <v>418</v>
      </c>
      <c r="D2205" s="356" t="s">
        <v>9112</v>
      </c>
      <c r="E2205" s="356" t="s">
        <v>9173</v>
      </c>
      <c r="F2205" s="23" t="s">
        <v>9516</v>
      </c>
      <c r="G2205" s="92" t="s">
        <v>403</v>
      </c>
      <c r="H2205" s="353">
        <v>15249.48</v>
      </c>
      <c r="I2205" s="59"/>
      <c r="J2205" s="18" t="s">
        <v>10027</v>
      </c>
      <c r="K2205" s="20">
        <v>3</v>
      </c>
      <c r="L2205" s="20">
        <v>2</v>
      </c>
      <c r="M2205" s="357">
        <f>SUM(H2205:H2206)</f>
        <v>350224.82</v>
      </c>
      <c r="N2205" s="411">
        <f>IFERROR((M2205/(VLOOKUP(B2205,'Data Pull Sheet'!$C:$H,6,FALSE))),"DC")</f>
        <v>1.0006423428571429E-2</v>
      </c>
      <c r="O2205" s="23" t="s">
        <v>63</v>
      </c>
      <c r="P2205" s="92" t="s">
        <v>632</v>
      </c>
      <c r="Q2205" s="92" t="s">
        <v>646</v>
      </c>
      <c r="R2205" s="372" t="str">
        <f t="shared" si="63"/>
        <v/>
      </c>
    </row>
    <row r="2206" spans="1:18" x14ac:dyDescent="0.25">
      <c r="A2206" s="23" t="s">
        <v>8878</v>
      </c>
      <c r="B2206" s="18" t="str">
        <f>VLOOKUP(A2206, 'Data Pull Sheet'!$B$2:$C$552,2,FALSE)</f>
        <v>OHRP</v>
      </c>
      <c r="C2206" s="59" t="s">
        <v>418</v>
      </c>
      <c r="D2206" s="356" t="s">
        <v>9112</v>
      </c>
      <c r="E2206" s="356" t="s">
        <v>9173</v>
      </c>
      <c r="F2206" s="23" t="s">
        <v>9517</v>
      </c>
      <c r="G2206" s="92" t="s">
        <v>403</v>
      </c>
      <c r="H2206" s="353">
        <v>334975.34000000003</v>
      </c>
      <c r="I2206" s="59"/>
      <c r="J2206" s="18" t="s">
        <v>10003</v>
      </c>
      <c r="K2206" s="20"/>
      <c r="L2206" s="20"/>
      <c r="M2206" s="357"/>
      <c r="N2206" s="411"/>
      <c r="O2206" s="23" t="s">
        <v>63</v>
      </c>
      <c r="P2206" s="92" t="s">
        <v>632</v>
      </c>
      <c r="Q2206" s="92" t="s">
        <v>646</v>
      </c>
      <c r="R2206" s="372" t="str">
        <f t="shared" si="63"/>
        <v/>
      </c>
    </row>
    <row r="2207" spans="1:18" x14ac:dyDescent="0.25">
      <c r="A2207" s="23" t="s">
        <v>8878</v>
      </c>
      <c r="B2207" s="18" t="str">
        <f>VLOOKUP(A2207, 'Data Pull Sheet'!$B$2:$C$552,2,FALSE)</f>
        <v>OHRP</v>
      </c>
      <c r="C2207" s="59" t="s">
        <v>418</v>
      </c>
      <c r="D2207" s="356" t="s">
        <v>9112</v>
      </c>
      <c r="E2207" s="356" t="s">
        <v>9173</v>
      </c>
      <c r="F2207" s="23" t="s">
        <v>9518</v>
      </c>
      <c r="G2207" s="92" t="s">
        <v>403</v>
      </c>
      <c r="H2207" s="353">
        <v>22263.78</v>
      </c>
      <c r="I2207" s="59"/>
      <c r="J2207" s="18" t="s">
        <v>10029</v>
      </c>
      <c r="K2207" s="20"/>
      <c r="L2207" s="20">
        <v>5</v>
      </c>
      <c r="M2207" s="357">
        <f>SUM(H2207:H2211)</f>
        <v>106644.82</v>
      </c>
      <c r="N2207" s="411">
        <f>IFERROR((M2207/(VLOOKUP(B2207,'Data Pull Sheet'!$C:$H,6,FALSE))),"DC")</f>
        <v>3.0469948571428575E-3</v>
      </c>
      <c r="O2207" s="23" t="s">
        <v>60</v>
      </c>
      <c r="P2207" s="92" t="s">
        <v>632</v>
      </c>
      <c r="Q2207" s="92" t="s">
        <v>646</v>
      </c>
      <c r="R2207" s="372" t="str">
        <f t="shared" si="63"/>
        <v/>
      </c>
    </row>
    <row r="2208" spans="1:18" x14ac:dyDescent="0.25">
      <c r="A2208" s="23" t="s">
        <v>8878</v>
      </c>
      <c r="B2208" s="18" t="str">
        <f>VLOOKUP(A2208, 'Data Pull Sheet'!$B$2:$C$552,2,FALSE)</f>
        <v>OHRP</v>
      </c>
      <c r="C2208" s="59" t="s">
        <v>418</v>
      </c>
      <c r="D2208" s="356" t="s">
        <v>9112</v>
      </c>
      <c r="E2208" s="356" t="s">
        <v>9173</v>
      </c>
      <c r="F2208" s="23" t="s">
        <v>9519</v>
      </c>
      <c r="G2208" s="92" t="s">
        <v>403</v>
      </c>
      <c r="H2208" s="353">
        <v>11850.18</v>
      </c>
      <c r="I2208" s="59"/>
      <c r="J2208" s="18" t="s">
        <v>10030</v>
      </c>
      <c r="K2208" s="20"/>
      <c r="L2208" s="20"/>
      <c r="M2208" s="357"/>
      <c r="N2208" s="411"/>
      <c r="O2208" s="23" t="s">
        <v>60</v>
      </c>
      <c r="P2208" s="92" t="s">
        <v>632</v>
      </c>
      <c r="Q2208" s="92" t="s">
        <v>646</v>
      </c>
      <c r="R2208" s="372" t="str">
        <f t="shared" si="63"/>
        <v/>
      </c>
    </row>
    <row r="2209" spans="1:18" x14ac:dyDescent="0.25">
      <c r="A2209" s="23" t="s">
        <v>8878</v>
      </c>
      <c r="B2209" s="18" t="str">
        <f>VLOOKUP(A2209, 'Data Pull Sheet'!$B$2:$C$552,2,FALSE)</f>
        <v>OHRP</v>
      </c>
      <c r="C2209" s="59" t="s">
        <v>418</v>
      </c>
      <c r="D2209" s="356" t="s">
        <v>9112</v>
      </c>
      <c r="E2209" s="356" t="s">
        <v>9173</v>
      </c>
      <c r="F2209" s="23" t="s">
        <v>9520</v>
      </c>
      <c r="G2209" s="92" t="s">
        <v>403</v>
      </c>
      <c r="H2209" s="353">
        <v>6403</v>
      </c>
      <c r="I2209" s="59"/>
      <c r="J2209" s="18" t="s">
        <v>10031</v>
      </c>
      <c r="K2209" s="20"/>
      <c r="L2209" s="20"/>
      <c r="M2209" s="357"/>
      <c r="N2209" s="411"/>
      <c r="O2209" s="23" t="s">
        <v>60</v>
      </c>
      <c r="P2209" s="92" t="s">
        <v>632</v>
      </c>
      <c r="Q2209" s="92" t="s">
        <v>646</v>
      </c>
      <c r="R2209" s="372" t="str">
        <f t="shared" si="63"/>
        <v/>
      </c>
    </row>
    <row r="2210" spans="1:18" x14ac:dyDescent="0.25">
      <c r="A2210" s="23" t="s">
        <v>8878</v>
      </c>
      <c r="B2210" s="18" t="str">
        <f>VLOOKUP(A2210, 'Data Pull Sheet'!$B$2:$C$552,2,FALSE)</f>
        <v>OHRP</v>
      </c>
      <c r="C2210" s="59" t="s">
        <v>418</v>
      </c>
      <c r="D2210" s="356" t="s">
        <v>9112</v>
      </c>
      <c r="E2210" s="356" t="s">
        <v>9173</v>
      </c>
      <c r="F2210" s="23" t="s">
        <v>9521</v>
      </c>
      <c r="G2210" s="92" t="s">
        <v>403</v>
      </c>
      <c r="H2210" s="353">
        <v>12361.86</v>
      </c>
      <c r="I2210" s="59"/>
      <c r="J2210" s="18" t="s">
        <v>10032</v>
      </c>
      <c r="K2210" s="20"/>
      <c r="L2210" s="20"/>
      <c r="M2210" s="357"/>
      <c r="N2210" s="411"/>
      <c r="O2210" s="23" t="s">
        <v>60</v>
      </c>
      <c r="P2210" s="92" t="s">
        <v>632</v>
      </c>
      <c r="Q2210" s="92" t="s">
        <v>646</v>
      </c>
      <c r="R2210" s="372" t="str">
        <f t="shared" si="63"/>
        <v/>
      </c>
    </row>
    <row r="2211" spans="1:18" x14ac:dyDescent="0.25">
      <c r="A2211" s="23" t="s">
        <v>8878</v>
      </c>
      <c r="B2211" s="18" t="str">
        <f>VLOOKUP(A2211, 'Data Pull Sheet'!$B$2:$C$552,2,FALSE)</f>
        <v>OHRP</v>
      </c>
      <c r="C2211" s="59" t="s">
        <v>418</v>
      </c>
      <c r="D2211" s="356" t="s">
        <v>9112</v>
      </c>
      <c r="E2211" s="356" t="s">
        <v>9173</v>
      </c>
      <c r="F2211" s="23" t="s">
        <v>9522</v>
      </c>
      <c r="G2211" s="92" t="s">
        <v>403</v>
      </c>
      <c r="H2211" s="353">
        <v>53766</v>
      </c>
      <c r="I2211" s="59"/>
      <c r="J2211" s="18" t="s">
        <v>10033</v>
      </c>
      <c r="K2211" s="20"/>
      <c r="L2211" s="20"/>
      <c r="M2211" s="357"/>
      <c r="N2211" s="411"/>
      <c r="O2211" s="23" t="s">
        <v>60</v>
      </c>
      <c r="P2211" s="92" t="s">
        <v>632</v>
      </c>
      <c r="Q2211" s="92" t="s">
        <v>646</v>
      </c>
      <c r="R2211" s="372" t="str">
        <f t="shared" si="63"/>
        <v/>
      </c>
    </row>
    <row r="2212" spans="1:18" x14ac:dyDescent="0.25">
      <c r="A2212" s="23" t="s">
        <v>8878</v>
      </c>
      <c r="B2212" s="18" t="str">
        <f>VLOOKUP(A2212, 'Data Pull Sheet'!$B$2:$C$552,2,FALSE)</f>
        <v>OHRP</v>
      </c>
      <c r="C2212" s="59" t="s">
        <v>418</v>
      </c>
      <c r="D2212" s="356" t="s">
        <v>9112</v>
      </c>
      <c r="E2212" s="356" t="s">
        <v>9173</v>
      </c>
      <c r="F2212" s="23" t="s">
        <v>9523</v>
      </c>
      <c r="G2212" s="92" t="s">
        <v>403</v>
      </c>
      <c r="H2212" s="353">
        <v>734908.79</v>
      </c>
      <c r="I2212" s="59" t="s">
        <v>406</v>
      </c>
      <c r="J2212" s="18" t="s">
        <v>10028</v>
      </c>
      <c r="K2212" s="20"/>
      <c r="L2212" s="20">
        <v>2</v>
      </c>
      <c r="M2212" s="357">
        <f>SUM(H2212:H2213)</f>
        <v>868058.58000000007</v>
      </c>
      <c r="N2212" s="411">
        <f>IFERROR((M2212/(VLOOKUP(B2212,'Data Pull Sheet'!$C:$H,6,FALSE))),"DC")</f>
        <v>2.4801673714285717E-2</v>
      </c>
      <c r="O2212" s="23" t="s">
        <v>407</v>
      </c>
      <c r="P2212" s="92" t="s">
        <v>632</v>
      </c>
      <c r="Q2212" s="92" t="s">
        <v>662</v>
      </c>
      <c r="R2212" s="372" t="str">
        <f t="shared" si="63"/>
        <v/>
      </c>
    </row>
    <row r="2213" spans="1:18" x14ac:dyDescent="0.25">
      <c r="A2213" s="23" t="s">
        <v>8878</v>
      </c>
      <c r="B2213" s="18" t="str">
        <f>VLOOKUP(A2213, 'Data Pull Sheet'!$B$2:$C$552,2,FALSE)</f>
        <v>OHRP</v>
      </c>
      <c r="C2213" s="59" t="s">
        <v>418</v>
      </c>
      <c r="D2213" s="356" t="s">
        <v>9112</v>
      </c>
      <c r="E2213" s="356" t="s">
        <v>9173</v>
      </c>
      <c r="F2213" s="23" t="s">
        <v>9524</v>
      </c>
      <c r="G2213" s="92" t="s">
        <v>417</v>
      </c>
      <c r="H2213" s="353">
        <v>133149.79</v>
      </c>
      <c r="I2213" s="59" t="s">
        <v>406</v>
      </c>
      <c r="J2213" s="18" t="s">
        <v>10034</v>
      </c>
      <c r="K2213" s="20"/>
      <c r="L2213" s="20"/>
      <c r="M2213" s="357"/>
      <c r="N2213" s="411"/>
      <c r="O2213" s="23" t="s">
        <v>407</v>
      </c>
      <c r="P2213" s="92" t="s">
        <v>632</v>
      </c>
      <c r="Q2213" s="92" t="s">
        <v>662</v>
      </c>
      <c r="R2213" s="372" t="str">
        <f t="shared" si="63"/>
        <v/>
      </c>
    </row>
    <row r="2214" spans="1:18" x14ac:dyDescent="0.25">
      <c r="A2214" s="23" t="s">
        <v>8891</v>
      </c>
      <c r="B2214" s="18" t="str">
        <f>VLOOKUP(A2214, 'Data Pull Sheet'!$B$2:$C$552,2,FALSE)</f>
        <v>QTM</v>
      </c>
      <c r="C2214" s="59" t="s">
        <v>457</v>
      </c>
      <c r="D2214" s="356" t="s">
        <v>9114</v>
      </c>
      <c r="E2214" s="356" t="s">
        <v>9173</v>
      </c>
      <c r="F2214" s="23" t="s">
        <v>9525</v>
      </c>
      <c r="G2214" s="92" t="s">
        <v>403</v>
      </c>
      <c r="H2214" s="353">
        <v>4512.3999999999996</v>
      </c>
      <c r="I2214" s="59"/>
      <c r="J2214" s="18" t="s">
        <v>10021</v>
      </c>
      <c r="K2214" s="20">
        <v>3</v>
      </c>
      <c r="L2214" s="20">
        <v>1</v>
      </c>
      <c r="M2214" s="357">
        <f t="shared" ref="M2214:M2221" si="64">+H2214</f>
        <v>4512.3999999999996</v>
      </c>
      <c r="N2214" s="411">
        <f>IFERROR((M2214/(VLOOKUP(B2214,'Data Pull Sheet'!$C:$H,6,FALSE))),"DC")</f>
        <v>1.1280999999999999E-4</v>
      </c>
      <c r="O2214" s="23" t="s">
        <v>682</v>
      </c>
      <c r="P2214" s="92" t="s">
        <v>632</v>
      </c>
      <c r="Q2214" s="92" t="s">
        <v>637</v>
      </c>
      <c r="R2214" s="372" t="str">
        <f t="shared" si="63"/>
        <v/>
      </c>
    </row>
    <row r="2215" spans="1:18" x14ac:dyDescent="0.25">
      <c r="A2215" s="23" t="s">
        <v>8891</v>
      </c>
      <c r="B2215" s="18" t="str">
        <f>VLOOKUP(A2215, 'Data Pull Sheet'!$B$2:$C$552,2,FALSE)</f>
        <v>QTM</v>
      </c>
      <c r="C2215" s="59" t="s">
        <v>457</v>
      </c>
      <c r="D2215" s="356" t="s">
        <v>9114</v>
      </c>
      <c r="E2215" s="356" t="s">
        <v>9173</v>
      </c>
      <c r="F2215" s="23" t="s">
        <v>9526</v>
      </c>
      <c r="G2215" s="92" t="s">
        <v>417</v>
      </c>
      <c r="H2215" s="353">
        <v>152455.85</v>
      </c>
      <c r="I2215" s="59" t="s">
        <v>406</v>
      </c>
      <c r="J2215" s="18" t="s">
        <v>10023</v>
      </c>
      <c r="K2215" s="20"/>
      <c r="L2215" s="20">
        <v>1</v>
      </c>
      <c r="M2215" s="357">
        <f t="shared" si="64"/>
        <v>152455.85</v>
      </c>
      <c r="N2215" s="411">
        <f>IFERROR((M2215/(VLOOKUP(B2215,'Data Pull Sheet'!$C:$H,6,FALSE))),"DC")</f>
        <v>3.8113962500000002E-3</v>
      </c>
      <c r="O2215" s="23" t="s">
        <v>9802</v>
      </c>
      <c r="P2215" s="92" t="s">
        <v>632</v>
      </c>
      <c r="Q2215" s="92" t="s">
        <v>633</v>
      </c>
      <c r="R2215" s="372" t="str">
        <f t="shared" si="63"/>
        <v/>
      </c>
    </row>
    <row r="2216" spans="1:18" x14ac:dyDescent="0.25">
      <c r="A2216" s="23" t="s">
        <v>8891</v>
      </c>
      <c r="B2216" s="18" t="str">
        <f>VLOOKUP(A2216, 'Data Pull Sheet'!$B$2:$C$552,2,FALSE)</f>
        <v>QTM</v>
      </c>
      <c r="C2216" s="59" t="s">
        <v>457</v>
      </c>
      <c r="D2216" s="356" t="s">
        <v>9114</v>
      </c>
      <c r="E2216" s="356" t="s">
        <v>9173</v>
      </c>
      <c r="F2216" s="23" t="s">
        <v>9527</v>
      </c>
      <c r="G2216" s="92" t="s">
        <v>403</v>
      </c>
      <c r="H2216" s="353">
        <v>92453.97</v>
      </c>
      <c r="I2216" s="59" t="s">
        <v>525</v>
      </c>
      <c r="J2216" s="18" t="s">
        <v>10035</v>
      </c>
      <c r="K2216" s="20"/>
      <c r="L2216" s="20">
        <v>1</v>
      </c>
      <c r="M2216" s="357">
        <f t="shared" si="64"/>
        <v>92453.97</v>
      </c>
      <c r="N2216" s="411">
        <f>IFERROR((M2216/(VLOOKUP(B2216,'Data Pull Sheet'!$C:$H,6,FALSE))),"DC")</f>
        <v>2.3113492500000002E-3</v>
      </c>
      <c r="O2216" s="23" t="s">
        <v>63</v>
      </c>
      <c r="P2216" s="92" t="s">
        <v>632</v>
      </c>
      <c r="Q2216" s="92" t="s">
        <v>637</v>
      </c>
      <c r="R2216" s="372" t="str">
        <f t="shared" si="63"/>
        <v/>
      </c>
    </row>
    <row r="2217" spans="1:18" x14ac:dyDescent="0.25">
      <c r="A2217" s="23" t="s">
        <v>289</v>
      </c>
      <c r="B2217" s="18" t="s">
        <v>10721</v>
      </c>
      <c r="C2217" s="59" t="s">
        <v>457</v>
      </c>
      <c r="D2217" s="356" t="s">
        <v>9112</v>
      </c>
      <c r="E2217" s="356" t="s">
        <v>9173</v>
      </c>
      <c r="F2217" s="23" t="s">
        <v>9513</v>
      </c>
      <c r="G2217" s="92" t="s">
        <v>403</v>
      </c>
      <c r="H2217" s="353">
        <v>10207.299999999999</v>
      </c>
      <c r="I2217" s="59"/>
      <c r="J2217" s="18" t="s">
        <v>10722</v>
      </c>
      <c r="K2217" s="20">
        <v>3</v>
      </c>
      <c r="L2217" s="20">
        <v>1</v>
      </c>
      <c r="M2217" s="357">
        <f t="shared" si="64"/>
        <v>10207.299999999999</v>
      </c>
      <c r="N2217" s="411">
        <f>IFERROR((M2217/(VLOOKUP(B2217,'Data Pull Sheet'!$C:$H,6,FALSE))),"DC")</f>
        <v>1.8558727272727271E-5</v>
      </c>
      <c r="O2217" s="23" t="s">
        <v>597</v>
      </c>
      <c r="P2217" s="92" t="s">
        <v>632</v>
      </c>
      <c r="Q2217" s="92" t="s">
        <v>637</v>
      </c>
      <c r="R2217" s="372" t="str">
        <f t="shared" si="63"/>
        <v/>
      </c>
    </row>
    <row r="2218" spans="1:18" x14ac:dyDescent="0.25">
      <c r="A2218" s="23" t="s">
        <v>289</v>
      </c>
      <c r="B2218" s="18" t="s">
        <v>10721</v>
      </c>
      <c r="C2218" s="59" t="s">
        <v>457</v>
      </c>
      <c r="D2218" s="356" t="s">
        <v>9112</v>
      </c>
      <c r="E2218" s="356" t="s">
        <v>9173</v>
      </c>
      <c r="F2218" s="23" t="s">
        <v>9514</v>
      </c>
      <c r="G2218" s="92" t="s">
        <v>417</v>
      </c>
      <c r="H2218" s="353">
        <v>10207</v>
      </c>
      <c r="I2218" s="59"/>
      <c r="J2218" s="18" t="s">
        <v>10723</v>
      </c>
      <c r="K2218" s="20"/>
      <c r="L2218" s="20">
        <v>1</v>
      </c>
      <c r="M2218" s="357">
        <f t="shared" si="64"/>
        <v>10207</v>
      </c>
      <c r="N2218" s="411">
        <f>IFERROR((M2218/(VLOOKUP(B2218,'Data Pull Sheet'!$C:$H,6,FALSE))),"DC")</f>
        <v>1.8558181818181819E-5</v>
      </c>
      <c r="O2218" s="23" t="s">
        <v>1204</v>
      </c>
      <c r="P2218" s="92" t="s">
        <v>632</v>
      </c>
      <c r="Q2218" s="92" t="s">
        <v>633</v>
      </c>
      <c r="R2218" s="372" t="str">
        <f t="shared" si="63"/>
        <v/>
      </c>
    </row>
    <row r="2219" spans="1:18" ht="30" x14ac:dyDescent="0.25">
      <c r="A2219" s="23" t="s">
        <v>289</v>
      </c>
      <c r="B2219" s="18" t="s">
        <v>10721</v>
      </c>
      <c r="C2219" s="59" t="s">
        <v>457</v>
      </c>
      <c r="D2219" s="356" t="s">
        <v>9112</v>
      </c>
      <c r="E2219" s="356" t="s">
        <v>9173</v>
      </c>
      <c r="F2219" s="23" t="s">
        <v>9248</v>
      </c>
      <c r="G2219" s="92" t="s">
        <v>417</v>
      </c>
      <c r="H2219" s="353">
        <v>166176.01</v>
      </c>
      <c r="I2219" s="59"/>
      <c r="J2219" s="18" t="s">
        <v>10724</v>
      </c>
      <c r="K2219" s="20"/>
      <c r="L2219" s="20">
        <v>1</v>
      </c>
      <c r="M2219" s="357">
        <f t="shared" si="64"/>
        <v>166176.01</v>
      </c>
      <c r="N2219" s="411">
        <f>IFERROR((M2219/(VLOOKUP(B2219,'Data Pull Sheet'!$C:$H,6,FALSE))),"DC")</f>
        <v>3.0213820000000004E-4</v>
      </c>
      <c r="O2219" s="23" t="s">
        <v>7</v>
      </c>
      <c r="P2219" s="92" t="s">
        <v>632</v>
      </c>
      <c r="Q2219" s="92" t="s">
        <v>633</v>
      </c>
      <c r="R2219" s="372" t="str">
        <f t="shared" si="63"/>
        <v>FF</v>
      </c>
    </row>
    <row r="2220" spans="1:18" ht="30" x14ac:dyDescent="0.25">
      <c r="A2220" s="23" t="s">
        <v>8898</v>
      </c>
      <c r="B2220" s="18" t="str">
        <f>VLOOKUP(A2220, 'Data Pull Sheet'!$B$2:$C$552,2,FALSE)</f>
        <v>RIOT</v>
      </c>
      <c r="C2220" s="59" t="s">
        <v>424</v>
      </c>
      <c r="D2220" s="356" t="s">
        <v>9111</v>
      </c>
      <c r="E2220" s="356" t="s">
        <v>9084</v>
      </c>
      <c r="F2220" s="23" t="s">
        <v>9498</v>
      </c>
      <c r="G2220" s="92" t="s">
        <v>403</v>
      </c>
      <c r="H2220" s="353">
        <v>72784.320000000007</v>
      </c>
      <c r="I2220" s="59"/>
      <c r="J2220" s="18" t="s">
        <v>10019</v>
      </c>
      <c r="K2220" s="20">
        <v>7</v>
      </c>
      <c r="L2220" s="20">
        <v>1</v>
      </c>
      <c r="M2220" s="357">
        <f t="shared" si="64"/>
        <v>72784.320000000007</v>
      </c>
      <c r="N2220" s="411">
        <f>IFERROR((M2220/(VLOOKUP(B2220,'Data Pull Sheet'!$C:$H,6,FALSE))),"DC")</f>
        <v>1.6174293333333335E-3</v>
      </c>
      <c r="O2220" s="23" t="s">
        <v>9801</v>
      </c>
      <c r="P2220" s="92" t="s">
        <v>632</v>
      </c>
      <c r="Q2220" s="92" t="s">
        <v>637</v>
      </c>
      <c r="R2220" s="372" t="str">
        <f t="shared" si="63"/>
        <v/>
      </c>
    </row>
    <row r="2221" spans="1:18" ht="30" x14ac:dyDescent="0.25">
      <c r="A2221" s="23" t="s">
        <v>8898</v>
      </c>
      <c r="B2221" s="18" t="str">
        <f>VLOOKUP(A2221, 'Data Pull Sheet'!$B$2:$C$552,2,FALSE)</f>
        <v>RIOT</v>
      </c>
      <c r="C2221" s="59" t="s">
        <v>424</v>
      </c>
      <c r="D2221" s="356" t="s">
        <v>9111</v>
      </c>
      <c r="E2221" s="356" t="s">
        <v>9084</v>
      </c>
      <c r="F2221" s="23" t="s">
        <v>9499</v>
      </c>
      <c r="G2221" s="92" t="s">
        <v>403</v>
      </c>
      <c r="H2221" s="353">
        <v>110412.63</v>
      </c>
      <c r="I2221" s="59"/>
      <c r="J2221" s="18" t="s">
        <v>10025</v>
      </c>
      <c r="K2221" s="20"/>
      <c r="L2221" s="20">
        <v>1</v>
      </c>
      <c r="M2221" s="357">
        <f t="shared" si="64"/>
        <v>110412.63</v>
      </c>
      <c r="N2221" s="411">
        <f>IFERROR((M2221/(VLOOKUP(B2221,'Data Pull Sheet'!$C:$H,6,FALSE))),"DC")</f>
        <v>2.4536140000000002E-3</v>
      </c>
      <c r="O2221" s="23" t="s">
        <v>11193</v>
      </c>
      <c r="P2221" s="92" t="s">
        <v>632</v>
      </c>
      <c r="Q2221" s="92" t="s">
        <v>637</v>
      </c>
      <c r="R2221" s="372" t="str">
        <f t="shared" si="63"/>
        <v/>
      </c>
    </row>
    <row r="2222" spans="1:18" x14ac:dyDescent="0.25">
      <c r="A2222" s="23" t="s">
        <v>8898</v>
      </c>
      <c r="B2222" s="18" t="str">
        <f>VLOOKUP(A2222, 'Data Pull Sheet'!$B$2:$C$552,2,FALSE)</f>
        <v>RIOT</v>
      </c>
      <c r="C2222" s="59" t="s">
        <v>424</v>
      </c>
      <c r="D2222" s="356" t="s">
        <v>9111</v>
      </c>
      <c r="E2222" s="356" t="s">
        <v>9084</v>
      </c>
      <c r="F2222" s="23" t="s">
        <v>9500</v>
      </c>
      <c r="G2222" s="92" t="s">
        <v>403</v>
      </c>
      <c r="H2222" s="353">
        <v>60174</v>
      </c>
      <c r="I2222" s="59"/>
      <c r="J2222" s="18" t="s">
        <v>10039</v>
      </c>
      <c r="K2222" s="20"/>
      <c r="L2222" s="20">
        <v>6</v>
      </c>
      <c r="M2222" s="357">
        <f>SUM(H2222:H2227)</f>
        <v>643117</v>
      </c>
      <c r="N2222" s="411">
        <f>IFERROR((M2222/(VLOOKUP(B2222,'Data Pull Sheet'!$C:$H,6,FALSE))),"DC")</f>
        <v>1.4291488888888889E-2</v>
      </c>
      <c r="O2222" s="23" t="s">
        <v>286</v>
      </c>
      <c r="P2222" s="92" t="s">
        <v>632</v>
      </c>
      <c r="Q2222" s="92" t="s">
        <v>646</v>
      </c>
      <c r="R2222" s="372" t="str">
        <f t="shared" si="63"/>
        <v/>
      </c>
    </row>
    <row r="2223" spans="1:18" x14ac:dyDescent="0.25">
      <c r="A2223" s="23" t="s">
        <v>8898</v>
      </c>
      <c r="B2223" s="18" t="str">
        <f>VLOOKUP(A2223, 'Data Pull Sheet'!$B$2:$C$552,2,FALSE)</f>
        <v>RIOT</v>
      </c>
      <c r="C2223" s="59" t="s">
        <v>424</v>
      </c>
      <c r="D2223" s="356" t="s">
        <v>9111</v>
      </c>
      <c r="E2223" s="356" t="s">
        <v>9084</v>
      </c>
      <c r="F2223" s="23" t="s">
        <v>9501</v>
      </c>
      <c r="G2223" s="92" t="s">
        <v>403</v>
      </c>
      <c r="H2223" s="353">
        <v>109599</v>
      </c>
      <c r="I2223" s="59"/>
      <c r="J2223" s="18" t="s">
        <v>10040</v>
      </c>
      <c r="K2223" s="20"/>
      <c r="L2223" s="20"/>
      <c r="M2223" s="357"/>
      <c r="N2223" s="411"/>
      <c r="O2223" s="23" t="s">
        <v>286</v>
      </c>
      <c r="P2223" s="92" t="s">
        <v>632</v>
      </c>
      <c r="Q2223" s="92" t="s">
        <v>646</v>
      </c>
      <c r="R2223" s="372" t="str">
        <f t="shared" si="63"/>
        <v/>
      </c>
    </row>
    <row r="2224" spans="1:18" x14ac:dyDescent="0.25">
      <c r="A2224" s="23" t="s">
        <v>8898</v>
      </c>
      <c r="B2224" s="18" t="str">
        <f>VLOOKUP(A2224, 'Data Pull Sheet'!$B$2:$C$552,2,FALSE)</f>
        <v>RIOT</v>
      </c>
      <c r="C2224" s="59" t="s">
        <v>424</v>
      </c>
      <c r="D2224" s="356" t="s">
        <v>9111</v>
      </c>
      <c r="E2224" s="356" t="s">
        <v>9084</v>
      </c>
      <c r="F2224" s="23" t="s">
        <v>9502</v>
      </c>
      <c r="G2224" s="92" t="s">
        <v>403</v>
      </c>
      <c r="H2224" s="353">
        <v>173757</v>
      </c>
      <c r="I2224" s="59"/>
      <c r="J2224" s="18" t="s">
        <v>10041</v>
      </c>
      <c r="K2224" s="20"/>
      <c r="L2224" s="20"/>
      <c r="M2224" s="357"/>
      <c r="N2224" s="411"/>
      <c r="O2224" s="23" t="s">
        <v>286</v>
      </c>
      <c r="P2224" s="92" t="s">
        <v>632</v>
      </c>
      <c r="Q2224" s="92" t="s">
        <v>646</v>
      </c>
      <c r="R2224" s="372" t="str">
        <f t="shared" si="63"/>
        <v/>
      </c>
    </row>
    <row r="2225" spans="1:18" x14ac:dyDescent="0.25">
      <c r="A2225" s="23" t="s">
        <v>8898</v>
      </c>
      <c r="B2225" s="18" t="str">
        <f>VLOOKUP(A2225, 'Data Pull Sheet'!$B$2:$C$552,2,FALSE)</f>
        <v>RIOT</v>
      </c>
      <c r="C2225" s="59" t="s">
        <v>424</v>
      </c>
      <c r="D2225" s="356" t="s">
        <v>9111</v>
      </c>
      <c r="E2225" s="356" t="s">
        <v>9084</v>
      </c>
      <c r="F2225" s="23" t="s">
        <v>9503</v>
      </c>
      <c r="G2225" s="92" t="s">
        <v>403</v>
      </c>
      <c r="H2225" s="353">
        <v>91731</v>
      </c>
      <c r="I2225" s="59"/>
      <c r="J2225" s="18" t="s">
        <v>10042</v>
      </c>
      <c r="K2225" s="20"/>
      <c r="L2225" s="20"/>
      <c r="M2225" s="357"/>
      <c r="N2225" s="411"/>
      <c r="O2225" s="23" t="s">
        <v>286</v>
      </c>
      <c r="P2225" s="92" t="s">
        <v>632</v>
      </c>
      <c r="Q2225" s="92" t="s">
        <v>646</v>
      </c>
      <c r="R2225" s="372" t="str">
        <f t="shared" si="63"/>
        <v/>
      </c>
    </row>
    <row r="2226" spans="1:18" x14ac:dyDescent="0.25">
      <c r="A2226" s="23" t="s">
        <v>8898</v>
      </c>
      <c r="B2226" s="18" t="str">
        <f>VLOOKUP(A2226, 'Data Pull Sheet'!$B$2:$C$552,2,FALSE)</f>
        <v>RIOT</v>
      </c>
      <c r="C2226" s="59" t="s">
        <v>424</v>
      </c>
      <c r="D2226" s="356" t="s">
        <v>9111</v>
      </c>
      <c r="E2226" s="356" t="s">
        <v>9084</v>
      </c>
      <c r="F2226" s="23" t="s">
        <v>9504</v>
      </c>
      <c r="G2226" s="92" t="s">
        <v>403</v>
      </c>
      <c r="H2226" s="353">
        <v>66654</v>
      </c>
      <c r="I2226" s="59"/>
      <c r="J2226" s="18" t="s">
        <v>10043</v>
      </c>
      <c r="K2226" s="20"/>
      <c r="L2226" s="20"/>
      <c r="M2226" s="357"/>
      <c r="N2226" s="411"/>
      <c r="O2226" s="23" t="s">
        <v>286</v>
      </c>
      <c r="P2226" s="92" t="s">
        <v>632</v>
      </c>
      <c r="Q2226" s="92" t="s">
        <v>646</v>
      </c>
      <c r="R2226" s="372" t="str">
        <f t="shared" si="63"/>
        <v/>
      </c>
    </row>
    <row r="2227" spans="1:18" x14ac:dyDescent="0.25">
      <c r="A2227" s="23" t="s">
        <v>8898</v>
      </c>
      <c r="B2227" s="18" t="str">
        <f>VLOOKUP(A2227, 'Data Pull Sheet'!$B$2:$C$552,2,FALSE)</f>
        <v>RIOT</v>
      </c>
      <c r="C2227" s="59" t="s">
        <v>424</v>
      </c>
      <c r="D2227" s="356" t="s">
        <v>9111</v>
      </c>
      <c r="E2227" s="356" t="s">
        <v>9084</v>
      </c>
      <c r="F2227" s="23" t="s">
        <v>9505</v>
      </c>
      <c r="G2227" s="92" t="s">
        <v>403</v>
      </c>
      <c r="H2227" s="353">
        <v>141202</v>
      </c>
      <c r="I2227" s="59"/>
      <c r="J2227" s="18" t="s">
        <v>10044</v>
      </c>
      <c r="K2227" s="20"/>
      <c r="L2227" s="20"/>
      <c r="M2227" s="357"/>
      <c r="N2227" s="411"/>
      <c r="O2227" s="23" t="s">
        <v>286</v>
      </c>
      <c r="P2227" s="92" t="s">
        <v>632</v>
      </c>
      <c r="Q2227" s="92" t="s">
        <v>646</v>
      </c>
      <c r="R2227" s="372" t="str">
        <f t="shared" si="63"/>
        <v/>
      </c>
    </row>
    <row r="2228" spans="1:18" x14ac:dyDescent="0.25">
      <c r="A2228" s="23" t="s">
        <v>8898</v>
      </c>
      <c r="B2228" s="18" t="str">
        <f>VLOOKUP(A2228, 'Data Pull Sheet'!$B$2:$C$552,2,FALSE)</f>
        <v>RIOT</v>
      </c>
      <c r="C2228" s="59" t="s">
        <v>424</v>
      </c>
      <c r="D2228" s="356" t="s">
        <v>9111</v>
      </c>
      <c r="E2228" s="356" t="s">
        <v>9084</v>
      </c>
      <c r="F2228" s="23" t="s">
        <v>7009</v>
      </c>
      <c r="G2228" s="92" t="s">
        <v>403</v>
      </c>
      <c r="H2228" s="353">
        <v>457609.28</v>
      </c>
      <c r="I2228" s="59"/>
      <c r="J2228" s="18" t="s">
        <v>10045</v>
      </c>
      <c r="K2228" s="20"/>
      <c r="L2228" s="20">
        <v>3</v>
      </c>
      <c r="M2228" s="357">
        <f>SUM(H2228:H2230)</f>
        <v>1733507.48</v>
      </c>
      <c r="N2228" s="411">
        <f>IFERROR((M2228/(VLOOKUP(B2228,'Data Pull Sheet'!$C:$H,6,FALSE))),"DC")</f>
        <v>3.8522388444444444E-2</v>
      </c>
      <c r="O2228" s="23" t="s">
        <v>682</v>
      </c>
      <c r="P2228" s="92" t="s">
        <v>632</v>
      </c>
      <c r="Q2228" s="92" t="s">
        <v>646</v>
      </c>
      <c r="R2228" s="372" t="str">
        <f t="shared" si="63"/>
        <v>FF</v>
      </c>
    </row>
    <row r="2229" spans="1:18" x14ac:dyDescent="0.25">
      <c r="A2229" s="23" t="s">
        <v>8898</v>
      </c>
      <c r="B2229" s="18" t="str">
        <f>VLOOKUP(A2229, 'Data Pull Sheet'!$B$2:$C$552,2,FALSE)</f>
        <v>RIOT</v>
      </c>
      <c r="C2229" s="59" t="s">
        <v>424</v>
      </c>
      <c r="D2229" s="356" t="s">
        <v>9111</v>
      </c>
      <c r="E2229" s="356" t="s">
        <v>9084</v>
      </c>
      <c r="F2229" s="23" t="s">
        <v>9506</v>
      </c>
      <c r="G2229" s="92" t="s">
        <v>403</v>
      </c>
      <c r="H2229" s="353">
        <v>696525.73</v>
      </c>
      <c r="I2229" s="59"/>
      <c r="J2229" s="18" t="s">
        <v>10046</v>
      </c>
      <c r="K2229" s="20"/>
      <c r="L2229" s="20"/>
      <c r="M2229" s="357"/>
      <c r="N2229" s="411"/>
      <c r="O2229" s="23" t="s">
        <v>682</v>
      </c>
      <c r="P2229" s="92" t="s">
        <v>632</v>
      </c>
      <c r="Q2229" s="92" t="s">
        <v>646</v>
      </c>
      <c r="R2229" s="372" t="str">
        <f t="shared" si="63"/>
        <v/>
      </c>
    </row>
    <row r="2230" spans="1:18" x14ac:dyDescent="0.25">
      <c r="A2230" s="23" t="s">
        <v>8898</v>
      </c>
      <c r="B2230" s="18" t="str">
        <f>VLOOKUP(A2230, 'Data Pull Sheet'!$B$2:$C$552,2,FALSE)</f>
        <v>RIOT</v>
      </c>
      <c r="C2230" s="59" t="s">
        <v>424</v>
      </c>
      <c r="D2230" s="356" t="s">
        <v>9111</v>
      </c>
      <c r="E2230" s="356" t="s">
        <v>9084</v>
      </c>
      <c r="F2230" s="23" t="s">
        <v>9507</v>
      </c>
      <c r="G2230" s="92" t="s">
        <v>403</v>
      </c>
      <c r="H2230" s="353">
        <v>579372.47</v>
      </c>
      <c r="I2230" s="59"/>
      <c r="J2230" s="18" t="s">
        <v>10047</v>
      </c>
      <c r="K2230" s="20"/>
      <c r="L2230" s="20"/>
      <c r="M2230" s="357"/>
      <c r="N2230" s="411"/>
      <c r="O2230" s="23" t="s">
        <v>682</v>
      </c>
      <c r="P2230" s="92" t="s">
        <v>632</v>
      </c>
      <c r="Q2230" s="92" t="s">
        <v>646</v>
      </c>
      <c r="R2230" s="372" t="str">
        <f t="shared" si="63"/>
        <v/>
      </c>
    </row>
    <row r="2231" spans="1:18" x14ac:dyDescent="0.25">
      <c r="A2231" s="23" t="s">
        <v>8898</v>
      </c>
      <c r="B2231" s="18" t="str">
        <f>VLOOKUP(A2231, 'Data Pull Sheet'!$B$2:$C$552,2,FALSE)</f>
        <v>RIOT</v>
      </c>
      <c r="C2231" s="59" t="s">
        <v>424</v>
      </c>
      <c r="D2231" s="356" t="s">
        <v>9111</v>
      </c>
      <c r="E2231" s="356" t="s">
        <v>9084</v>
      </c>
      <c r="F2231" s="23" t="s">
        <v>9508</v>
      </c>
      <c r="G2231" s="92" t="s">
        <v>403</v>
      </c>
      <c r="H2231" s="353">
        <v>463231.95</v>
      </c>
      <c r="I2231" s="59" t="s">
        <v>406</v>
      </c>
      <c r="J2231" s="18" t="s">
        <v>10024</v>
      </c>
      <c r="K2231" s="20"/>
      <c r="L2231" s="20">
        <v>1</v>
      </c>
      <c r="M2231" s="357">
        <f>+H2231</f>
        <v>463231.95</v>
      </c>
      <c r="N2231" s="411">
        <f>IFERROR((M2231/(VLOOKUP(B2231,'Data Pull Sheet'!$C:$H,6,FALSE))),"DC")</f>
        <v>1.0294043333333334E-2</v>
      </c>
      <c r="O2231" s="23" t="s">
        <v>9781</v>
      </c>
      <c r="P2231" s="92" t="s">
        <v>632</v>
      </c>
      <c r="Q2231" s="92" t="s">
        <v>637</v>
      </c>
      <c r="R2231" s="372" t="str">
        <f t="shared" si="63"/>
        <v/>
      </c>
    </row>
    <row r="2232" spans="1:18" x14ac:dyDescent="0.25">
      <c r="A2232" s="23" t="s">
        <v>8898</v>
      </c>
      <c r="B2232" s="18" t="str">
        <f>VLOOKUP(A2232, 'Data Pull Sheet'!$B$2:$C$552,2,FALSE)</f>
        <v>RIOT</v>
      </c>
      <c r="C2232" s="59" t="s">
        <v>424</v>
      </c>
      <c r="D2232" s="356" t="s">
        <v>9111</v>
      </c>
      <c r="E2232" s="356" t="s">
        <v>9084</v>
      </c>
      <c r="F2232" s="23" t="s">
        <v>9509</v>
      </c>
      <c r="G2232" s="92" t="s">
        <v>403</v>
      </c>
      <c r="H2232" s="353">
        <v>66995.33</v>
      </c>
      <c r="I2232" s="59" t="s">
        <v>406</v>
      </c>
      <c r="J2232" s="18" t="s">
        <v>10026</v>
      </c>
      <c r="K2232" s="20"/>
      <c r="L2232" s="20">
        <v>1</v>
      </c>
      <c r="M2232" s="357">
        <f>+H2232</f>
        <v>66995.33</v>
      </c>
      <c r="N2232" s="411">
        <f>IFERROR((M2232/(VLOOKUP(B2232,'Data Pull Sheet'!$C:$H,6,FALSE))),"DC")</f>
        <v>1.488785111111111E-3</v>
      </c>
      <c r="O2232" s="23" t="s">
        <v>407</v>
      </c>
      <c r="P2232" s="92" t="s">
        <v>632</v>
      </c>
      <c r="Q2232" s="92" t="s">
        <v>637</v>
      </c>
      <c r="R2232" s="372" t="str">
        <f t="shared" si="63"/>
        <v/>
      </c>
    </row>
    <row r="2233" spans="1:18" x14ac:dyDescent="0.25">
      <c r="A2233" s="23" t="s">
        <v>8898</v>
      </c>
      <c r="B2233" s="18" t="str">
        <f>VLOOKUP(A2233, 'Data Pull Sheet'!$B$2:$C$552,2,FALSE)</f>
        <v>RIOT</v>
      </c>
      <c r="C2233" s="59" t="s">
        <v>424</v>
      </c>
      <c r="D2233" s="356" t="s">
        <v>9111</v>
      </c>
      <c r="E2233" s="356" t="s">
        <v>9084</v>
      </c>
      <c r="F2233" s="23" t="s">
        <v>9510</v>
      </c>
      <c r="G2233" s="92" t="s">
        <v>403</v>
      </c>
      <c r="H2233" s="353">
        <v>267642</v>
      </c>
      <c r="I2233" s="59"/>
      <c r="J2233" s="18" t="s">
        <v>10048</v>
      </c>
      <c r="K2233" s="20"/>
      <c r="L2233" s="20">
        <v>3</v>
      </c>
      <c r="M2233" s="357">
        <f>SUM(H2233:H2235)</f>
        <v>715015.25</v>
      </c>
      <c r="N2233" s="411">
        <f>IFERROR((M2233/(VLOOKUP(B2233,'Data Pull Sheet'!$C:$H,6,FALSE))),"DC")</f>
        <v>1.5889227777777779E-2</v>
      </c>
      <c r="O2233" s="23" t="s">
        <v>63</v>
      </c>
      <c r="P2233" s="92" t="s">
        <v>632</v>
      </c>
      <c r="Q2233" s="92" t="s">
        <v>646</v>
      </c>
      <c r="R2233" s="372" t="str">
        <f t="shared" si="63"/>
        <v/>
      </c>
    </row>
    <row r="2234" spans="1:18" x14ac:dyDescent="0.25">
      <c r="A2234" s="23" t="s">
        <v>8898</v>
      </c>
      <c r="B2234" s="18" t="str">
        <f>VLOOKUP(A2234, 'Data Pull Sheet'!$B$2:$C$552,2,FALSE)</f>
        <v>RIOT</v>
      </c>
      <c r="C2234" s="59" t="s">
        <v>424</v>
      </c>
      <c r="D2234" s="356" t="s">
        <v>9111</v>
      </c>
      <c r="E2234" s="356" t="s">
        <v>9084</v>
      </c>
      <c r="F2234" s="23" t="s">
        <v>9511</v>
      </c>
      <c r="G2234" s="92" t="s">
        <v>403</v>
      </c>
      <c r="H2234" s="353">
        <v>331085.78000000003</v>
      </c>
      <c r="I2234" s="59"/>
      <c r="J2234" s="18" t="s">
        <v>10049</v>
      </c>
      <c r="K2234" s="20"/>
      <c r="L2234" s="20"/>
      <c r="M2234" s="357"/>
      <c r="N2234" s="411"/>
      <c r="O2234" s="23" t="s">
        <v>63</v>
      </c>
      <c r="P2234" s="92" t="s">
        <v>632</v>
      </c>
      <c r="Q2234" s="92" t="s">
        <v>646</v>
      </c>
      <c r="R2234" s="372" t="str">
        <f t="shared" si="63"/>
        <v/>
      </c>
    </row>
    <row r="2235" spans="1:18" x14ac:dyDescent="0.25">
      <c r="A2235" s="23" t="s">
        <v>8898</v>
      </c>
      <c r="B2235" s="18" t="str">
        <f>VLOOKUP(A2235, 'Data Pull Sheet'!$B$2:$C$552,2,FALSE)</f>
        <v>RIOT</v>
      </c>
      <c r="C2235" s="59" t="s">
        <v>424</v>
      </c>
      <c r="D2235" s="356" t="s">
        <v>9111</v>
      </c>
      <c r="E2235" s="356" t="s">
        <v>9084</v>
      </c>
      <c r="F2235" s="23" t="s">
        <v>9512</v>
      </c>
      <c r="G2235" s="92" t="s">
        <v>403</v>
      </c>
      <c r="H2235" s="353">
        <v>116287.47</v>
      </c>
      <c r="I2235" s="59"/>
      <c r="J2235" s="18" t="s">
        <v>10050</v>
      </c>
      <c r="K2235" s="20"/>
      <c r="L2235" s="20"/>
      <c r="M2235" s="357"/>
      <c r="N2235" s="411"/>
      <c r="O2235" s="23" t="s">
        <v>63</v>
      </c>
      <c r="P2235" s="92" t="s">
        <v>632</v>
      </c>
      <c r="Q2235" s="92" t="s">
        <v>646</v>
      </c>
      <c r="R2235" s="372" t="str">
        <f t="shared" si="63"/>
        <v/>
      </c>
    </row>
    <row r="2236" spans="1:18" x14ac:dyDescent="0.25">
      <c r="A2236" s="23" t="s">
        <v>8914</v>
      </c>
      <c r="B2236" s="18" t="str">
        <f>VLOOKUP(A2236, 'Data Pull Sheet'!$B$2:$C$552,2,FALSE)</f>
        <v>UBNT</v>
      </c>
      <c r="C2236" s="59" t="s">
        <v>418</v>
      </c>
      <c r="D2236" s="356" t="s">
        <v>9110</v>
      </c>
      <c r="E2236" s="356" t="s">
        <v>9082</v>
      </c>
      <c r="F2236" s="23" t="s">
        <v>9497</v>
      </c>
      <c r="G2236" s="92" t="s">
        <v>403</v>
      </c>
      <c r="H2236" s="353">
        <v>298</v>
      </c>
      <c r="I2236" s="59" t="s">
        <v>442</v>
      </c>
      <c r="J2236" s="18" t="s">
        <v>10376</v>
      </c>
      <c r="K2236" s="20">
        <v>1</v>
      </c>
      <c r="L2236" s="20">
        <v>1</v>
      </c>
      <c r="M2236" s="357">
        <f t="shared" ref="M2236:M2242" si="65">+H2236</f>
        <v>298</v>
      </c>
      <c r="N2236" s="411">
        <f>IFERROR((M2236/(VLOOKUP(B2236,'Data Pull Sheet'!$C:$H,6,FALSE))),"DC")</f>
        <v>4.2571428571428574E-6</v>
      </c>
      <c r="O2236" s="23" t="s">
        <v>1204</v>
      </c>
      <c r="P2236" s="92" t="s">
        <v>676</v>
      </c>
      <c r="Q2236" s="18" t="s">
        <v>637</v>
      </c>
      <c r="R2236" s="372" t="str">
        <f t="shared" si="63"/>
        <v/>
      </c>
    </row>
    <row r="2237" spans="1:18" x14ac:dyDescent="0.25">
      <c r="A2237" s="23" t="s">
        <v>8924</v>
      </c>
      <c r="B2237" s="18" t="str">
        <f>VLOOKUP(A2237, 'Data Pull Sheet'!$B$2:$C$552,2,FALSE)</f>
        <v>WYNN</v>
      </c>
      <c r="C2237" s="59" t="s">
        <v>3449</v>
      </c>
      <c r="D2237" s="356" t="s">
        <v>9099</v>
      </c>
      <c r="E2237" s="356" t="s">
        <v>9082</v>
      </c>
      <c r="F2237" s="23" t="s">
        <v>9496</v>
      </c>
      <c r="G2237" s="92" t="s">
        <v>403</v>
      </c>
      <c r="H2237" s="353">
        <v>26465</v>
      </c>
      <c r="I2237" s="59"/>
      <c r="J2237" s="18" t="s">
        <v>10051</v>
      </c>
      <c r="K2237" s="20">
        <v>2</v>
      </c>
      <c r="L2237" s="20">
        <v>1</v>
      </c>
      <c r="M2237" s="357">
        <f t="shared" si="65"/>
        <v>26465</v>
      </c>
      <c r="N2237" s="411">
        <f>IFERROR((M2237/(VLOOKUP(B2237,'Data Pull Sheet'!$C:$H,6,FALSE))),"DC")</f>
        <v>5.8811111111111112E-5</v>
      </c>
      <c r="O2237" s="23" t="s">
        <v>9800</v>
      </c>
      <c r="P2237" s="92" t="s">
        <v>632</v>
      </c>
      <c r="Q2237" s="92" t="s">
        <v>637</v>
      </c>
      <c r="R2237" s="372" t="str">
        <f t="shared" si="63"/>
        <v/>
      </c>
    </row>
    <row r="2238" spans="1:18" x14ac:dyDescent="0.25">
      <c r="A2238" s="23" t="s">
        <v>8924</v>
      </c>
      <c r="B2238" s="18" t="str">
        <f>VLOOKUP(A2238, 'Data Pull Sheet'!$B$2:$C$552,2,FALSE)</f>
        <v>WYNN</v>
      </c>
      <c r="C2238" s="59" t="s">
        <v>3449</v>
      </c>
      <c r="D2238" s="356" t="s">
        <v>9099</v>
      </c>
      <c r="E2238" s="356" t="s">
        <v>9082</v>
      </c>
      <c r="F2238" s="23" t="s">
        <v>10377</v>
      </c>
      <c r="G2238" s="92" t="s">
        <v>403</v>
      </c>
      <c r="H2238" s="353">
        <v>56230</v>
      </c>
      <c r="I2238" s="59" t="s">
        <v>442</v>
      </c>
      <c r="J2238" s="18" t="s">
        <v>10378</v>
      </c>
      <c r="K2238" s="20"/>
      <c r="L2238" s="20">
        <v>1</v>
      </c>
      <c r="M2238" s="357">
        <f t="shared" si="65"/>
        <v>56230</v>
      </c>
      <c r="N2238" s="411">
        <f>IFERROR((M2238/(VLOOKUP(B2238,'Data Pull Sheet'!$C:$H,6,FALSE))),"DC")</f>
        <v>1.2495555555555555E-4</v>
      </c>
      <c r="O2238" s="23" t="s">
        <v>9745</v>
      </c>
      <c r="P2238" s="92" t="s">
        <v>632</v>
      </c>
      <c r="Q2238" s="92" t="s">
        <v>646</v>
      </c>
      <c r="R2238" s="372" t="str">
        <f t="shared" si="63"/>
        <v/>
      </c>
    </row>
    <row r="2239" spans="1:18" x14ac:dyDescent="0.25">
      <c r="A2239" s="23" t="s">
        <v>8870</v>
      </c>
      <c r="B2239" s="18" t="str">
        <f>VLOOKUP(A2239, 'Data Pull Sheet'!$B$2:$C$552,2,FALSE)</f>
        <v>MDXG</v>
      </c>
      <c r="C2239" s="59" t="s">
        <v>592</v>
      </c>
      <c r="D2239" s="356" t="s">
        <v>9108</v>
      </c>
      <c r="E2239" s="356" t="s">
        <v>9080</v>
      </c>
      <c r="F2239" s="23" t="s">
        <v>9489</v>
      </c>
      <c r="G2239" s="92" t="s">
        <v>403</v>
      </c>
      <c r="H2239" s="353">
        <v>255518</v>
      </c>
      <c r="I2239" s="59" t="s">
        <v>442</v>
      </c>
      <c r="J2239" s="18" t="s">
        <v>10036</v>
      </c>
      <c r="K2239" s="20">
        <v>7</v>
      </c>
      <c r="L2239" s="20">
        <v>1</v>
      </c>
      <c r="M2239" s="357">
        <f t="shared" si="65"/>
        <v>255518</v>
      </c>
      <c r="N2239" s="411">
        <f>IFERROR((M2239/(VLOOKUP(B2239,'Data Pull Sheet'!$C:$H,6,FALSE))),"DC")</f>
        <v>8.5172666666666666E-4</v>
      </c>
      <c r="O2239" s="23" t="s">
        <v>7017</v>
      </c>
      <c r="P2239" s="92" t="s">
        <v>632</v>
      </c>
      <c r="Q2239" s="92" t="s">
        <v>637</v>
      </c>
      <c r="R2239" s="372" t="str">
        <f t="shared" si="63"/>
        <v/>
      </c>
    </row>
    <row r="2240" spans="1:18" x14ac:dyDescent="0.25">
      <c r="A2240" s="23" t="s">
        <v>8870</v>
      </c>
      <c r="B2240" s="18" t="str">
        <f>VLOOKUP(A2240, 'Data Pull Sheet'!$B$2:$C$552,2,FALSE)</f>
        <v>MDXG</v>
      </c>
      <c r="C2240" s="59" t="s">
        <v>592</v>
      </c>
      <c r="D2240" s="356" t="s">
        <v>9108</v>
      </c>
      <c r="E2240" s="356" t="s">
        <v>9080</v>
      </c>
      <c r="F2240" s="23" t="s">
        <v>39</v>
      </c>
      <c r="G2240" s="92" t="s">
        <v>417</v>
      </c>
      <c r="H2240" s="353">
        <v>1544109.38</v>
      </c>
      <c r="I2240" s="59"/>
      <c r="J2240" s="18" t="s">
        <v>10053</v>
      </c>
      <c r="K2240" s="20"/>
      <c r="L2240" s="20">
        <v>1</v>
      </c>
      <c r="M2240" s="357">
        <f t="shared" si="65"/>
        <v>1544109.38</v>
      </c>
      <c r="N2240" s="411">
        <f>IFERROR((M2240/(VLOOKUP(B2240,'Data Pull Sheet'!$C:$H,6,FALSE))),"DC")</f>
        <v>5.147031266666666E-3</v>
      </c>
      <c r="O2240" s="23" t="s">
        <v>9795</v>
      </c>
      <c r="P2240" s="92" t="s">
        <v>632</v>
      </c>
      <c r="Q2240" s="92" t="s">
        <v>633</v>
      </c>
      <c r="R2240" s="372" t="str">
        <f t="shared" si="63"/>
        <v>FF</v>
      </c>
    </row>
    <row r="2241" spans="1:18" x14ac:dyDescent="0.25">
      <c r="A2241" s="23" t="s">
        <v>8870</v>
      </c>
      <c r="B2241" s="18" t="str">
        <f>VLOOKUP(A2241, 'Data Pull Sheet'!$B$2:$C$552,2,FALSE)</f>
        <v>MDXG</v>
      </c>
      <c r="C2241" s="59" t="s">
        <v>592</v>
      </c>
      <c r="D2241" s="356" t="s">
        <v>9108</v>
      </c>
      <c r="E2241" s="356" t="s">
        <v>9080</v>
      </c>
      <c r="F2241" s="23" t="s">
        <v>3675</v>
      </c>
      <c r="G2241" s="92" t="s">
        <v>417</v>
      </c>
      <c r="H2241" s="353">
        <v>385547.29</v>
      </c>
      <c r="I2241" s="59"/>
      <c r="J2241" s="18" t="s">
        <v>10038</v>
      </c>
      <c r="K2241" s="20"/>
      <c r="L2241" s="20">
        <v>1</v>
      </c>
      <c r="M2241" s="357">
        <f t="shared" si="65"/>
        <v>385547.29</v>
      </c>
      <c r="N2241" s="411">
        <f>IFERROR((M2241/(VLOOKUP(B2241,'Data Pull Sheet'!$C:$H,6,FALSE))),"DC")</f>
        <v>1.2851576333333334E-3</v>
      </c>
      <c r="O2241" s="23" t="s">
        <v>9796</v>
      </c>
      <c r="P2241" s="92" t="s">
        <v>632</v>
      </c>
      <c r="Q2241" s="92" t="s">
        <v>633</v>
      </c>
      <c r="R2241" s="372" t="str">
        <f t="shared" si="63"/>
        <v>FF</v>
      </c>
    </row>
    <row r="2242" spans="1:18" x14ac:dyDescent="0.25">
      <c r="A2242" s="23" t="s">
        <v>8870</v>
      </c>
      <c r="B2242" s="18" t="str">
        <f>VLOOKUP(A2242, 'Data Pull Sheet'!$B$2:$C$552,2,FALSE)</f>
        <v>MDXG</v>
      </c>
      <c r="C2242" s="59" t="s">
        <v>592</v>
      </c>
      <c r="D2242" s="356" t="s">
        <v>9108</v>
      </c>
      <c r="E2242" s="356" t="s">
        <v>9080</v>
      </c>
      <c r="F2242" s="23" t="s">
        <v>3558</v>
      </c>
      <c r="G2242" s="92" t="s">
        <v>417</v>
      </c>
      <c r="H2242" s="353">
        <v>218762</v>
      </c>
      <c r="I2242" s="59" t="s">
        <v>442</v>
      </c>
      <c r="J2242" s="18" t="s">
        <v>10037</v>
      </c>
      <c r="K2242" s="20"/>
      <c r="L2242" s="20">
        <v>1</v>
      </c>
      <c r="M2242" s="357">
        <f t="shared" si="65"/>
        <v>218762</v>
      </c>
      <c r="N2242" s="411">
        <f>IFERROR((M2242/(VLOOKUP(B2242,'Data Pull Sheet'!$C:$H,6,FALSE))),"DC")</f>
        <v>7.2920666666666668E-4</v>
      </c>
      <c r="O2242" s="23" t="s">
        <v>9797</v>
      </c>
      <c r="P2242" s="92" t="s">
        <v>632</v>
      </c>
      <c r="Q2242" s="92" t="s">
        <v>633</v>
      </c>
      <c r="R2242" s="372" t="str">
        <f t="shared" ref="R2242:R2305" si="66">IF(COUNTIF(F:F,F2242)&gt;=2,"FF","")</f>
        <v>FF</v>
      </c>
    </row>
    <row r="2243" spans="1:18" x14ac:dyDescent="0.25">
      <c r="A2243" s="23" t="s">
        <v>8870</v>
      </c>
      <c r="B2243" s="18" t="str">
        <f>VLOOKUP(A2243, 'Data Pull Sheet'!$B$2:$C$552,2,FALSE)</f>
        <v>MDXG</v>
      </c>
      <c r="C2243" s="59" t="s">
        <v>592</v>
      </c>
      <c r="D2243" s="356" t="s">
        <v>9108</v>
      </c>
      <c r="E2243" s="356" t="s">
        <v>9080</v>
      </c>
      <c r="F2243" s="23" t="s">
        <v>9490</v>
      </c>
      <c r="G2243" s="92" t="s">
        <v>403</v>
      </c>
      <c r="H2243" s="353">
        <v>202858</v>
      </c>
      <c r="I2243" s="59"/>
      <c r="J2243" s="18" t="s">
        <v>10056</v>
      </c>
      <c r="K2243" s="20"/>
      <c r="L2243" s="20">
        <v>2</v>
      </c>
      <c r="M2243" s="357">
        <f>SUM(H2243:H2244)</f>
        <v>380385</v>
      </c>
      <c r="N2243" s="411">
        <f>IFERROR((M2243/(VLOOKUP(B2243,'Data Pull Sheet'!$C:$H,6,FALSE))),"DC")</f>
        <v>1.2679499999999999E-3</v>
      </c>
      <c r="O2243" s="23" t="s">
        <v>9798</v>
      </c>
      <c r="P2243" s="92" t="s">
        <v>632</v>
      </c>
      <c r="Q2243" s="92" t="s">
        <v>646</v>
      </c>
      <c r="R2243" s="372" t="str">
        <f t="shared" si="66"/>
        <v/>
      </c>
    </row>
    <row r="2244" spans="1:18" x14ac:dyDescent="0.25">
      <c r="A2244" s="23" t="s">
        <v>8870</v>
      </c>
      <c r="B2244" s="18" t="str">
        <f>VLOOKUP(A2244, 'Data Pull Sheet'!$B$2:$C$552,2,FALSE)</f>
        <v>MDXG</v>
      </c>
      <c r="C2244" s="59" t="s">
        <v>592</v>
      </c>
      <c r="D2244" s="356" t="s">
        <v>9108</v>
      </c>
      <c r="E2244" s="356" t="s">
        <v>9080</v>
      </c>
      <c r="F2244" s="23" t="s">
        <v>9491</v>
      </c>
      <c r="G2244" s="92" t="s">
        <v>403</v>
      </c>
      <c r="H2244" s="353">
        <v>177527</v>
      </c>
      <c r="I2244" s="59"/>
      <c r="J2244" s="18" t="s">
        <v>10057</v>
      </c>
      <c r="K2244" s="20"/>
      <c r="L2244" s="20"/>
      <c r="M2244" s="357"/>
      <c r="N2244" s="411"/>
      <c r="O2244" s="23" t="s">
        <v>9798</v>
      </c>
      <c r="P2244" s="92" t="s">
        <v>632</v>
      </c>
      <c r="Q2244" s="92" t="s">
        <v>646</v>
      </c>
      <c r="R2244" s="372" t="str">
        <f t="shared" si="66"/>
        <v/>
      </c>
    </row>
    <row r="2245" spans="1:18" x14ac:dyDescent="0.25">
      <c r="A2245" s="23" t="s">
        <v>8870</v>
      </c>
      <c r="B2245" s="18" t="str">
        <f>VLOOKUP(A2245, 'Data Pull Sheet'!$B$2:$C$552,2,FALSE)</f>
        <v>MDXG</v>
      </c>
      <c r="C2245" s="59" t="s">
        <v>592</v>
      </c>
      <c r="D2245" s="356" t="s">
        <v>9108</v>
      </c>
      <c r="E2245" s="356" t="s">
        <v>9080</v>
      </c>
      <c r="F2245" s="23" t="s">
        <v>9492</v>
      </c>
      <c r="G2245" s="92" t="s">
        <v>403</v>
      </c>
      <c r="H2245" s="353">
        <v>246461.47</v>
      </c>
      <c r="I2245" s="59"/>
      <c r="J2245" s="18" t="s">
        <v>10058</v>
      </c>
      <c r="K2245" s="20"/>
      <c r="L2245" s="20">
        <v>3</v>
      </c>
      <c r="M2245" s="357">
        <f>SUM(H2245:H2247)</f>
        <v>278896.39</v>
      </c>
      <c r="N2245" s="411">
        <f>IFERROR((M2245/(VLOOKUP(B2245,'Data Pull Sheet'!$C:$H,6,FALSE))),"DC")</f>
        <v>9.296546333333334E-4</v>
      </c>
      <c r="O2245" s="23" t="s">
        <v>9799</v>
      </c>
      <c r="P2245" s="92" t="s">
        <v>632</v>
      </c>
      <c r="Q2245" s="92" t="s">
        <v>646</v>
      </c>
      <c r="R2245" s="372" t="str">
        <f t="shared" si="66"/>
        <v/>
      </c>
    </row>
    <row r="2246" spans="1:18" x14ac:dyDescent="0.25">
      <c r="A2246" s="23" t="s">
        <v>8870</v>
      </c>
      <c r="B2246" s="18" t="str">
        <f>VLOOKUP(A2246, 'Data Pull Sheet'!$B$2:$C$552,2,FALSE)</f>
        <v>MDXG</v>
      </c>
      <c r="C2246" s="59" t="s">
        <v>592</v>
      </c>
      <c r="D2246" s="356" t="s">
        <v>9108</v>
      </c>
      <c r="E2246" s="356" t="s">
        <v>9080</v>
      </c>
      <c r="F2246" s="23" t="s">
        <v>9493</v>
      </c>
      <c r="G2246" s="92" t="s">
        <v>403</v>
      </c>
      <c r="H2246" s="353">
        <v>11477.42</v>
      </c>
      <c r="I2246" s="59"/>
      <c r="J2246" s="18" t="s">
        <v>10059</v>
      </c>
      <c r="K2246" s="20"/>
      <c r="L2246" s="20"/>
      <c r="M2246" s="357"/>
      <c r="N2246" s="411"/>
      <c r="O2246" s="23" t="s">
        <v>9799</v>
      </c>
      <c r="P2246" s="92" t="s">
        <v>632</v>
      </c>
      <c r="Q2246" s="92" t="s">
        <v>646</v>
      </c>
      <c r="R2246" s="372" t="str">
        <f t="shared" si="66"/>
        <v/>
      </c>
    </row>
    <row r="2247" spans="1:18" x14ac:dyDescent="0.25">
      <c r="A2247" s="23" t="s">
        <v>8870</v>
      </c>
      <c r="B2247" s="18" t="str">
        <f>VLOOKUP(A2247, 'Data Pull Sheet'!$B$2:$C$552,2,FALSE)</f>
        <v>MDXG</v>
      </c>
      <c r="C2247" s="59" t="s">
        <v>592</v>
      </c>
      <c r="D2247" s="356" t="s">
        <v>9108</v>
      </c>
      <c r="E2247" s="356" t="s">
        <v>9080</v>
      </c>
      <c r="F2247" s="23" t="s">
        <v>9494</v>
      </c>
      <c r="G2247" s="92" t="s">
        <v>403</v>
      </c>
      <c r="H2247" s="353">
        <v>20957.5</v>
      </c>
      <c r="I2247" s="59"/>
      <c r="J2247" s="18" t="s">
        <v>10060</v>
      </c>
      <c r="K2247" s="20"/>
      <c r="L2247" s="20"/>
      <c r="M2247" s="357"/>
      <c r="N2247" s="411"/>
      <c r="O2247" s="23" t="s">
        <v>9799</v>
      </c>
      <c r="P2247" s="92" t="s">
        <v>632</v>
      </c>
      <c r="Q2247" s="92" t="s">
        <v>646</v>
      </c>
      <c r="R2247" s="372" t="str">
        <f t="shared" si="66"/>
        <v/>
      </c>
    </row>
    <row r="2248" spans="1:18" x14ac:dyDescent="0.25">
      <c r="A2248" s="23" t="s">
        <v>8870</v>
      </c>
      <c r="B2248" s="18" t="str">
        <f>VLOOKUP(A2248, 'Data Pull Sheet'!$B$2:$C$552,2,FALSE)</f>
        <v>MDXG</v>
      </c>
      <c r="C2248" s="59" t="s">
        <v>592</v>
      </c>
      <c r="D2248" s="356" t="s">
        <v>9108</v>
      </c>
      <c r="E2248" s="356" t="s">
        <v>9080</v>
      </c>
      <c r="F2248" s="23" t="s">
        <v>9495</v>
      </c>
      <c r="G2248" s="92" t="s">
        <v>403</v>
      </c>
      <c r="H2248" s="353">
        <v>92047.9</v>
      </c>
      <c r="I2248" s="59"/>
      <c r="J2248" s="18" t="s">
        <v>10054</v>
      </c>
      <c r="K2248" s="20"/>
      <c r="L2248" s="20">
        <v>1</v>
      </c>
      <c r="M2248" s="357">
        <f>+H2248</f>
        <v>92047.9</v>
      </c>
      <c r="N2248" s="411">
        <f>IFERROR((M2248/(VLOOKUP(B2248,'Data Pull Sheet'!$C:$H,6,FALSE))),"DC")</f>
        <v>3.0682633333333333E-4</v>
      </c>
      <c r="O2248" s="23" t="s">
        <v>63</v>
      </c>
      <c r="P2248" s="92" t="s">
        <v>632</v>
      </c>
      <c r="Q2248" s="92" t="s">
        <v>637</v>
      </c>
      <c r="R2248" s="372" t="str">
        <f t="shared" si="66"/>
        <v/>
      </c>
    </row>
    <row r="2249" spans="1:18" x14ac:dyDescent="0.25">
      <c r="A2249" s="23" t="s">
        <v>8855</v>
      </c>
      <c r="B2249" s="18" t="str">
        <f>VLOOKUP(A2249, 'Data Pull Sheet'!$B$2:$C$552,2,FALSE)</f>
        <v>KRA</v>
      </c>
      <c r="C2249" s="59" t="s">
        <v>421</v>
      </c>
      <c r="D2249" s="356" t="s">
        <v>9107</v>
      </c>
      <c r="E2249" s="356" t="s">
        <v>9081</v>
      </c>
      <c r="F2249" s="23" t="s">
        <v>9488</v>
      </c>
      <c r="G2249" s="92" t="s">
        <v>403</v>
      </c>
      <c r="H2249" s="353">
        <v>5049.1099999999997</v>
      </c>
      <c r="I2249" s="59"/>
      <c r="J2249" s="18" t="s">
        <v>10052</v>
      </c>
      <c r="K2249" s="20">
        <v>1</v>
      </c>
      <c r="L2249" s="20">
        <v>1</v>
      </c>
      <c r="M2249" s="357">
        <f>+H2249</f>
        <v>5049.1099999999997</v>
      </c>
      <c r="N2249" s="411">
        <f>IFERROR((M2249/(VLOOKUP(B2249,'Data Pull Sheet'!$C:$H,6,FALSE))),"DC")</f>
        <v>7.2130142857142852E-5</v>
      </c>
      <c r="O2249" s="23" t="s">
        <v>7269</v>
      </c>
      <c r="P2249" s="92" t="s">
        <v>676</v>
      </c>
      <c r="Q2249" s="92" t="s">
        <v>637</v>
      </c>
      <c r="R2249" s="372" t="str">
        <f t="shared" si="66"/>
        <v/>
      </c>
    </row>
    <row r="2250" spans="1:18" x14ac:dyDescent="0.25">
      <c r="A2250" s="23" t="s">
        <v>8915</v>
      </c>
      <c r="B2250" s="18" t="str">
        <f>VLOOKUP(A2250, 'Data Pull Sheet'!$B$2:$C$552,2,FALSE)</f>
        <v>ULTA</v>
      </c>
      <c r="C2250" s="59" t="s">
        <v>465</v>
      </c>
      <c r="D2250" s="356" t="s">
        <v>9106</v>
      </c>
      <c r="E2250" s="356" t="s">
        <v>9172</v>
      </c>
      <c r="F2250" s="23" t="s">
        <v>9483</v>
      </c>
      <c r="G2250" s="92" t="s">
        <v>403</v>
      </c>
      <c r="H2250" s="353">
        <v>21446.16</v>
      </c>
      <c r="I2250" s="59" t="s">
        <v>525</v>
      </c>
      <c r="J2250" s="18" t="s">
        <v>10061</v>
      </c>
      <c r="K2250" s="20">
        <v>4</v>
      </c>
      <c r="L2250" s="20">
        <v>4</v>
      </c>
      <c r="M2250" s="357">
        <f>SUM(H2250:H2253)</f>
        <v>222748.44</v>
      </c>
      <c r="N2250" s="411">
        <f>IFERROR((M2250/(VLOOKUP(B2250,'Data Pull Sheet'!$C:$H,6,FALSE))),"DC")</f>
        <v>3.7124739999999998E-4</v>
      </c>
      <c r="O2250" s="23" t="s">
        <v>9794</v>
      </c>
      <c r="P2250" s="92" t="s">
        <v>632</v>
      </c>
      <c r="Q2250" s="92" t="s">
        <v>646</v>
      </c>
      <c r="R2250" s="372" t="str">
        <f t="shared" si="66"/>
        <v/>
      </c>
    </row>
    <row r="2251" spans="1:18" x14ac:dyDescent="0.25">
      <c r="A2251" s="23" t="s">
        <v>8915</v>
      </c>
      <c r="B2251" s="18" t="str">
        <f>VLOOKUP(A2251, 'Data Pull Sheet'!$B$2:$C$552,2,FALSE)</f>
        <v>ULTA</v>
      </c>
      <c r="C2251" s="59" t="s">
        <v>465</v>
      </c>
      <c r="D2251" s="356" t="s">
        <v>9106</v>
      </c>
      <c r="E2251" s="356" t="s">
        <v>9172</v>
      </c>
      <c r="F2251" s="23" t="s">
        <v>9484</v>
      </c>
      <c r="G2251" s="92" t="s">
        <v>403</v>
      </c>
      <c r="H2251" s="353">
        <v>78031.039999999994</v>
      </c>
      <c r="I2251" s="59" t="s">
        <v>525</v>
      </c>
      <c r="J2251" s="18" t="s">
        <v>10062</v>
      </c>
      <c r="K2251" s="20"/>
      <c r="L2251" s="20"/>
      <c r="M2251" s="357"/>
      <c r="N2251" s="411"/>
      <c r="O2251" s="23" t="s">
        <v>9794</v>
      </c>
      <c r="P2251" s="92" t="s">
        <v>632</v>
      </c>
      <c r="Q2251" s="92" t="s">
        <v>646</v>
      </c>
      <c r="R2251" s="372" t="str">
        <f t="shared" si="66"/>
        <v/>
      </c>
    </row>
    <row r="2252" spans="1:18" x14ac:dyDescent="0.25">
      <c r="A2252" s="23" t="s">
        <v>8915</v>
      </c>
      <c r="B2252" s="18" t="str">
        <f>VLOOKUP(A2252, 'Data Pull Sheet'!$B$2:$C$552,2,FALSE)</f>
        <v>ULTA</v>
      </c>
      <c r="C2252" s="59" t="s">
        <v>465</v>
      </c>
      <c r="D2252" s="356" t="s">
        <v>9106</v>
      </c>
      <c r="E2252" s="356" t="s">
        <v>9172</v>
      </c>
      <c r="F2252" s="23" t="s">
        <v>9485</v>
      </c>
      <c r="G2252" s="92" t="s">
        <v>403</v>
      </c>
      <c r="H2252" s="353">
        <v>31735</v>
      </c>
      <c r="I2252" s="59" t="s">
        <v>525</v>
      </c>
      <c r="J2252" s="18" t="s">
        <v>10063</v>
      </c>
      <c r="K2252" s="20"/>
      <c r="L2252" s="20"/>
      <c r="M2252" s="357"/>
      <c r="N2252" s="411"/>
      <c r="O2252" s="23" t="s">
        <v>9794</v>
      </c>
      <c r="P2252" s="92" t="s">
        <v>632</v>
      </c>
      <c r="Q2252" s="92" t="s">
        <v>646</v>
      </c>
      <c r="R2252" s="372" t="str">
        <f t="shared" si="66"/>
        <v/>
      </c>
    </row>
    <row r="2253" spans="1:18" x14ac:dyDescent="0.25">
      <c r="A2253" s="23" t="s">
        <v>8915</v>
      </c>
      <c r="B2253" s="18" t="str">
        <f>VLOOKUP(A2253, 'Data Pull Sheet'!$B$2:$C$552,2,FALSE)</f>
        <v>ULTA</v>
      </c>
      <c r="C2253" s="59" t="s">
        <v>465</v>
      </c>
      <c r="D2253" s="356" t="s">
        <v>9106</v>
      </c>
      <c r="E2253" s="356" t="s">
        <v>9172</v>
      </c>
      <c r="F2253" s="23" t="s">
        <v>9486</v>
      </c>
      <c r="G2253" s="92" t="s">
        <v>403</v>
      </c>
      <c r="H2253" s="353">
        <v>91536.24</v>
      </c>
      <c r="I2253" s="59" t="s">
        <v>525</v>
      </c>
      <c r="J2253" s="18" t="s">
        <v>10064</v>
      </c>
      <c r="K2253" s="20"/>
      <c r="L2253" s="20"/>
      <c r="M2253" s="357"/>
      <c r="N2253" s="411"/>
      <c r="O2253" s="23" t="s">
        <v>9794</v>
      </c>
      <c r="P2253" s="92" t="s">
        <v>632</v>
      </c>
      <c r="Q2253" s="92" t="s">
        <v>646</v>
      </c>
      <c r="R2253" s="372" t="str">
        <f t="shared" si="66"/>
        <v/>
      </c>
    </row>
    <row r="2254" spans="1:18" x14ac:dyDescent="0.25">
      <c r="A2254" s="23" t="s">
        <v>8915</v>
      </c>
      <c r="B2254" s="18" t="str">
        <f>VLOOKUP(A2254, 'Data Pull Sheet'!$B$2:$C$552,2,FALSE)</f>
        <v>ULTA</v>
      </c>
      <c r="C2254" s="59" t="s">
        <v>465</v>
      </c>
      <c r="D2254" s="356" t="s">
        <v>9106</v>
      </c>
      <c r="E2254" s="356" t="s">
        <v>9172</v>
      </c>
      <c r="F2254" s="23" t="s">
        <v>10861</v>
      </c>
      <c r="G2254" s="92" t="s">
        <v>417</v>
      </c>
      <c r="H2254" s="353">
        <v>155731.41</v>
      </c>
      <c r="I2254" s="59"/>
      <c r="J2254" s="18" t="s">
        <v>10055</v>
      </c>
      <c r="K2254" s="20"/>
      <c r="L2254" s="20">
        <v>1</v>
      </c>
      <c r="M2254" s="357">
        <f>+H2254</f>
        <v>155731.41</v>
      </c>
      <c r="N2254" s="411">
        <f>IFERROR((M2254/(VLOOKUP(B2254,'Data Pull Sheet'!$C:$H,6,FALSE))),"DC")</f>
        <v>2.5955234999999998E-4</v>
      </c>
      <c r="O2254" s="23" t="s">
        <v>7</v>
      </c>
      <c r="P2254" s="92" t="s">
        <v>632</v>
      </c>
      <c r="Q2254" s="92" t="s">
        <v>633</v>
      </c>
      <c r="R2254" s="372" t="str">
        <f t="shared" si="66"/>
        <v>FF</v>
      </c>
    </row>
    <row r="2255" spans="1:18" x14ac:dyDescent="0.25">
      <c r="A2255" s="23" t="s">
        <v>8915</v>
      </c>
      <c r="B2255" s="18" t="str">
        <f>VLOOKUP(A2255, 'Data Pull Sheet'!$B$2:$C$552,2,FALSE)</f>
        <v>ULTA</v>
      </c>
      <c r="C2255" s="59" t="s">
        <v>465</v>
      </c>
      <c r="D2255" s="356" t="s">
        <v>9106</v>
      </c>
      <c r="E2255" s="356" t="s">
        <v>9172</v>
      </c>
      <c r="F2255" s="23" t="s">
        <v>10375</v>
      </c>
      <c r="G2255" s="92" t="s">
        <v>403</v>
      </c>
      <c r="H2255" s="353">
        <v>185398.25</v>
      </c>
      <c r="I2255" s="59"/>
      <c r="J2255" s="18" t="s">
        <v>10065</v>
      </c>
      <c r="K2255" s="20"/>
      <c r="L2255" s="20">
        <v>2</v>
      </c>
      <c r="M2255" s="357">
        <f>SUM(H2255:H2256)</f>
        <v>260508.25</v>
      </c>
      <c r="N2255" s="411">
        <f>IFERROR((M2255/(VLOOKUP(B2255,'Data Pull Sheet'!$C:$H,6,FALSE))),"DC")</f>
        <v>4.3418041666666666E-4</v>
      </c>
      <c r="O2255" s="23" t="s">
        <v>9735</v>
      </c>
      <c r="P2255" s="92" t="s">
        <v>632</v>
      </c>
      <c r="Q2255" s="92" t="s">
        <v>646</v>
      </c>
      <c r="R2255" s="372" t="str">
        <f t="shared" si="66"/>
        <v/>
      </c>
    </row>
    <row r="2256" spans="1:18" x14ac:dyDescent="0.25">
      <c r="A2256" s="23" t="s">
        <v>8915</v>
      </c>
      <c r="B2256" s="18" t="str">
        <f>VLOOKUP(A2256, 'Data Pull Sheet'!$B$2:$C$552,2,FALSE)</f>
        <v>ULTA</v>
      </c>
      <c r="C2256" s="59" t="s">
        <v>465</v>
      </c>
      <c r="D2256" s="356" t="s">
        <v>9106</v>
      </c>
      <c r="E2256" s="356" t="s">
        <v>9172</v>
      </c>
      <c r="F2256" s="23" t="s">
        <v>9487</v>
      </c>
      <c r="G2256" s="92" t="s">
        <v>403</v>
      </c>
      <c r="H2256" s="353">
        <v>75110</v>
      </c>
      <c r="I2256" s="59"/>
      <c r="J2256" s="18" t="s">
        <v>10066</v>
      </c>
      <c r="K2256" s="20"/>
      <c r="L2256" s="20"/>
      <c r="M2256" s="357"/>
      <c r="N2256" s="411"/>
      <c r="O2256" s="23" t="s">
        <v>9735</v>
      </c>
      <c r="P2256" s="92" t="s">
        <v>632</v>
      </c>
      <c r="Q2256" s="92" t="s">
        <v>646</v>
      </c>
      <c r="R2256" s="372" t="str">
        <f t="shared" si="66"/>
        <v/>
      </c>
    </row>
    <row r="2257" spans="1:18" ht="30" x14ac:dyDescent="0.25">
      <c r="A2257" s="23" t="s">
        <v>8915</v>
      </c>
      <c r="B2257" s="18" t="str">
        <f>VLOOKUP(A2257, 'Data Pull Sheet'!$B$2:$C$552,2,FALSE)</f>
        <v>ULTA</v>
      </c>
      <c r="C2257" s="59" t="s">
        <v>465</v>
      </c>
      <c r="D2257" s="356" t="s">
        <v>9106</v>
      </c>
      <c r="E2257" s="356" t="s">
        <v>9172</v>
      </c>
      <c r="F2257" s="23" t="s">
        <v>206</v>
      </c>
      <c r="G2257" s="92" t="s">
        <v>417</v>
      </c>
      <c r="H2257" s="353">
        <v>124360</v>
      </c>
      <c r="I2257" s="59"/>
      <c r="J2257" s="18" t="s">
        <v>10067</v>
      </c>
      <c r="K2257" s="20"/>
      <c r="L2257" s="20">
        <v>2</v>
      </c>
      <c r="M2257" s="357">
        <f>SUM(H2257:H2258)</f>
        <v>182958</v>
      </c>
      <c r="N2257" s="411">
        <f>IFERROR((M2257/(VLOOKUP(B2257,'Data Pull Sheet'!$C:$H,6,FALSE))),"DC")</f>
        <v>3.0493000000000002E-4</v>
      </c>
      <c r="O2257" s="23" t="s">
        <v>79</v>
      </c>
      <c r="P2257" s="92" t="s">
        <v>632</v>
      </c>
      <c r="Q2257" s="92" t="s">
        <v>640</v>
      </c>
      <c r="R2257" s="372" t="str">
        <f t="shared" si="66"/>
        <v>FF</v>
      </c>
    </row>
    <row r="2258" spans="1:18" x14ac:dyDescent="0.25">
      <c r="A2258" s="23" t="s">
        <v>8915</v>
      </c>
      <c r="B2258" s="18" t="str">
        <f>VLOOKUP(A2258, 'Data Pull Sheet'!$B$2:$C$552,2,FALSE)</f>
        <v>ULTA</v>
      </c>
      <c r="C2258" s="59" t="s">
        <v>465</v>
      </c>
      <c r="D2258" s="356" t="s">
        <v>9106</v>
      </c>
      <c r="E2258" s="356" t="s">
        <v>9172</v>
      </c>
      <c r="F2258" s="23" t="s">
        <v>1334</v>
      </c>
      <c r="G2258" s="92" t="s">
        <v>417</v>
      </c>
      <c r="H2258" s="353">
        <v>58598</v>
      </c>
      <c r="I2258" s="59"/>
      <c r="J2258" s="18" t="s">
        <v>10068</v>
      </c>
      <c r="K2258" s="20"/>
      <c r="L2258" s="20"/>
      <c r="M2258" s="357"/>
      <c r="N2258" s="411"/>
      <c r="O2258" s="23" t="s">
        <v>79</v>
      </c>
      <c r="P2258" s="92" t="s">
        <v>632</v>
      </c>
      <c r="Q2258" s="92" t="s">
        <v>640</v>
      </c>
      <c r="R2258" s="372" t="str">
        <f t="shared" si="66"/>
        <v>FF</v>
      </c>
    </row>
    <row r="2259" spans="1:18" x14ac:dyDescent="0.25">
      <c r="A2259" s="23" t="s">
        <v>8805</v>
      </c>
      <c r="B2259" s="18" t="str">
        <f>VLOOKUP(A2259, 'Data Pull Sheet'!$B$2:$C$552,2,FALSE)</f>
        <v>AFH</v>
      </c>
      <c r="C2259" s="59" t="s">
        <v>465</v>
      </c>
      <c r="D2259" s="356" t="s">
        <v>9104</v>
      </c>
      <c r="E2259" s="356" t="s">
        <v>9171</v>
      </c>
      <c r="F2259" s="23" t="s">
        <v>9474</v>
      </c>
      <c r="G2259" s="92" t="s">
        <v>403</v>
      </c>
      <c r="H2259" s="353">
        <v>1029.23</v>
      </c>
      <c r="I2259" s="59"/>
      <c r="J2259" s="18" t="s">
        <v>10069</v>
      </c>
      <c r="K2259" s="20">
        <v>1</v>
      </c>
      <c r="L2259" s="20">
        <v>2</v>
      </c>
      <c r="M2259" s="357">
        <f>SUM(H2259:H2260)</f>
        <v>1684.1599999999999</v>
      </c>
      <c r="N2259" s="411">
        <f>IFERROR((M2259/(VLOOKUP(B2259,'Data Pull Sheet'!$C:$H,6,FALSE))),"DC")</f>
        <v>4.6782222222222219E-5</v>
      </c>
      <c r="O2259" s="23" t="s">
        <v>9735</v>
      </c>
      <c r="P2259" s="92" t="s">
        <v>676</v>
      </c>
      <c r="Q2259" s="92" t="s">
        <v>646</v>
      </c>
      <c r="R2259" s="372" t="str">
        <f t="shared" si="66"/>
        <v/>
      </c>
    </row>
    <row r="2260" spans="1:18" x14ac:dyDescent="0.25">
      <c r="A2260" s="23" t="s">
        <v>8805</v>
      </c>
      <c r="B2260" s="18" t="str">
        <f>VLOOKUP(A2260, 'Data Pull Sheet'!$B$2:$C$552,2,FALSE)</f>
        <v>AFH</v>
      </c>
      <c r="C2260" s="59" t="s">
        <v>465</v>
      </c>
      <c r="D2260" s="356" t="s">
        <v>9104</v>
      </c>
      <c r="E2260" s="356" t="s">
        <v>9171</v>
      </c>
      <c r="F2260" s="23" t="s">
        <v>9475</v>
      </c>
      <c r="G2260" s="92" t="s">
        <v>403</v>
      </c>
      <c r="H2260" s="353">
        <v>654.92999999999995</v>
      </c>
      <c r="I2260" s="59"/>
      <c r="J2260" s="18" t="s">
        <v>10070</v>
      </c>
      <c r="K2260" s="20"/>
      <c r="L2260" s="20"/>
      <c r="M2260" s="357"/>
      <c r="N2260" s="411"/>
      <c r="O2260" s="23" t="s">
        <v>9735</v>
      </c>
      <c r="P2260" s="92" t="s">
        <v>676</v>
      </c>
      <c r="Q2260" s="92" t="s">
        <v>646</v>
      </c>
      <c r="R2260" s="372" t="str">
        <f t="shared" si="66"/>
        <v/>
      </c>
    </row>
    <row r="2261" spans="1:18" x14ac:dyDescent="0.25">
      <c r="A2261" s="23" t="s">
        <v>8838</v>
      </c>
      <c r="B2261" s="18" t="str">
        <f>VLOOKUP(A2261, 'Data Pull Sheet'!$B$2:$C$552,2,FALSE)</f>
        <v>GE</v>
      </c>
      <c r="C2261" s="59" t="s">
        <v>418</v>
      </c>
      <c r="D2261" s="356" t="s">
        <v>9105</v>
      </c>
      <c r="E2261" s="356" t="s">
        <v>9171</v>
      </c>
      <c r="F2261" s="23" t="s">
        <v>9476</v>
      </c>
      <c r="G2261" s="92" t="s">
        <v>417</v>
      </c>
      <c r="H2261" s="353">
        <v>24159475.800000001</v>
      </c>
      <c r="I2261" s="59" t="s">
        <v>406</v>
      </c>
      <c r="J2261" s="18" t="s">
        <v>10401</v>
      </c>
      <c r="K2261" s="20">
        <v>5</v>
      </c>
      <c r="L2261" s="20">
        <v>1</v>
      </c>
      <c r="M2261" s="357">
        <f>+H2261</f>
        <v>24159475.800000001</v>
      </c>
      <c r="N2261" s="411">
        <f>IFERROR((M2261/(VLOOKUP(B2261,'Data Pull Sheet'!$C:$H,6,FALSE))),"DC")</f>
        <v>9.6637903200000005E-4</v>
      </c>
      <c r="O2261" s="23" t="s">
        <v>9793</v>
      </c>
      <c r="P2261" s="92" t="s">
        <v>632</v>
      </c>
      <c r="Q2261" s="18" t="s">
        <v>633</v>
      </c>
      <c r="R2261" s="372" t="str">
        <f t="shared" si="66"/>
        <v/>
      </c>
    </row>
    <row r="2262" spans="1:18" x14ac:dyDescent="0.25">
      <c r="A2262" s="23" t="s">
        <v>8838</v>
      </c>
      <c r="B2262" s="18" t="str">
        <f>VLOOKUP(A2262, 'Data Pull Sheet'!$B$2:$C$552,2,FALSE)</f>
        <v>GE</v>
      </c>
      <c r="C2262" s="59" t="s">
        <v>418</v>
      </c>
      <c r="D2262" s="356" t="s">
        <v>9105</v>
      </c>
      <c r="E2262" s="356" t="s">
        <v>9171</v>
      </c>
      <c r="F2262" s="23" t="s">
        <v>39</v>
      </c>
      <c r="G2262" s="92" t="s">
        <v>417</v>
      </c>
      <c r="H2262" s="353">
        <v>8671825.4000000004</v>
      </c>
      <c r="I2262" s="59" t="s">
        <v>406</v>
      </c>
      <c r="J2262" s="18" t="s">
        <v>10402</v>
      </c>
      <c r="K2262" s="20"/>
      <c r="L2262" s="20">
        <v>1</v>
      </c>
      <c r="M2262" s="357">
        <f>+H2262</f>
        <v>8671825.4000000004</v>
      </c>
      <c r="N2262" s="411">
        <f>IFERROR((M2262/(VLOOKUP(B2262,'Data Pull Sheet'!$C:$H,6,FALSE))),"DC")</f>
        <v>3.4687301600000003E-4</v>
      </c>
      <c r="O2262" s="23" t="s">
        <v>56</v>
      </c>
      <c r="P2262" s="92" t="s">
        <v>632</v>
      </c>
      <c r="Q2262" s="18" t="s">
        <v>633</v>
      </c>
      <c r="R2262" s="372" t="str">
        <f t="shared" si="66"/>
        <v>FF</v>
      </c>
    </row>
    <row r="2263" spans="1:18" x14ac:dyDescent="0.25">
      <c r="A2263" s="23" t="s">
        <v>8838</v>
      </c>
      <c r="B2263" s="18" t="str">
        <f>VLOOKUP(A2263, 'Data Pull Sheet'!$B$2:$C$552,2,FALSE)</f>
        <v>GE</v>
      </c>
      <c r="C2263" s="59" t="s">
        <v>418</v>
      </c>
      <c r="D2263" s="356" t="s">
        <v>9105</v>
      </c>
      <c r="E2263" s="356" t="s">
        <v>9171</v>
      </c>
      <c r="F2263" s="23" t="s">
        <v>9477</v>
      </c>
      <c r="G2263" s="92" t="s">
        <v>417</v>
      </c>
      <c r="H2263" s="353">
        <v>1023081</v>
      </c>
      <c r="I2263" s="59" t="s">
        <v>406</v>
      </c>
      <c r="J2263" s="18" t="s">
        <v>10403</v>
      </c>
      <c r="K2263" s="20"/>
      <c r="L2263" s="20">
        <v>3</v>
      </c>
      <c r="M2263" s="357">
        <f>SUM(H2263:H2265)</f>
        <v>30462907</v>
      </c>
      <c r="N2263" s="411">
        <f>IFERROR((M2263/(VLOOKUP(B2263,'Data Pull Sheet'!$C:$H,6,FALSE))),"DC")</f>
        <v>1.21851628E-3</v>
      </c>
      <c r="O2263" s="23" t="s">
        <v>196</v>
      </c>
      <c r="P2263" s="92" t="s">
        <v>632</v>
      </c>
      <c r="Q2263" s="18" t="s">
        <v>633</v>
      </c>
      <c r="R2263" s="372" t="str">
        <f t="shared" si="66"/>
        <v/>
      </c>
    </row>
    <row r="2264" spans="1:18" x14ac:dyDescent="0.25">
      <c r="A2264" s="23" t="s">
        <v>8838</v>
      </c>
      <c r="B2264" s="18" t="str">
        <f>VLOOKUP(A2264, 'Data Pull Sheet'!$B$2:$C$552,2,FALSE)</f>
        <v>GE</v>
      </c>
      <c r="C2264" s="59" t="s">
        <v>418</v>
      </c>
      <c r="D2264" s="356" t="s">
        <v>9105</v>
      </c>
      <c r="E2264" s="356" t="s">
        <v>9171</v>
      </c>
      <c r="F2264" s="23" t="s">
        <v>9478</v>
      </c>
      <c r="G2264" s="92" t="s">
        <v>417</v>
      </c>
      <c r="H2264" s="353">
        <v>23357595</v>
      </c>
      <c r="I2264" s="59" t="s">
        <v>406</v>
      </c>
      <c r="J2264" s="18" t="s">
        <v>10404</v>
      </c>
      <c r="K2264" s="20"/>
      <c r="L2264" s="20"/>
      <c r="M2264" s="357"/>
      <c r="N2264" s="411"/>
      <c r="O2264" s="23" t="s">
        <v>196</v>
      </c>
      <c r="P2264" s="92" t="s">
        <v>632</v>
      </c>
      <c r="Q2264" s="18" t="s">
        <v>633</v>
      </c>
      <c r="R2264" s="372" t="str">
        <f t="shared" si="66"/>
        <v/>
      </c>
    </row>
    <row r="2265" spans="1:18" x14ac:dyDescent="0.25">
      <c r="A2265" s="23" t="s">
        <v>8838</v>
      </c>
      <c r="B2265" s="18" t="str">
        <f>VLOOKUP(A2265, 'Data Pull Sheet'!$B$2:$C$552,2,FALSE)</f>
        <v>GE</v>
      </c>
      <c r="C2265" s="59" t="s">
        <v>418</v>
      </c>
      <c r="D2265" s="356" t="s">
        <v>9105</v>
      </c>
      <c r="E2265" s="356" t="s">
        <v>9171</v>
      </c>
      <c r="F2265" s="23" t="s">
        <v>9479</v>
      </c>
      <c r="G2265" s="92" t="s">
        <v>417</v>
      </c>
      <c r="H2265" s="353">
        <v>6082231</v>
      </c>
      <c r="I2265" s="59" t="s">
        <v>406</v>
      </c>
      <c r="J2265" s="18" t="s">
        <v>10405</v>
      </c>
      <c r="K2265" s="20"/>
      <c r="L2265" s="20"/>
      <c r="M2265" s="357"/>
      <c r="N2265" s="411"/>
      <c r="O2265" s="23" t="s">
        <v>196</v>
      </c>
      <c r="P2265" s="92" t="s">
        <v>632</v>
      </c>
      <c r="Q2265" s="18" t="s">
        <v>633</v>
      </c>
      <c r="R2265" s="372" t="str">
        <f t="shared" si="66"/>
        <v/>
      </c>
    </row>
    <row r="2266" spans="1:18" x14ac:dyDescent="0.25">
      <c r="A2266" s="23" t="s">
        <v>8838</v>
      </c>
      <c r="B2266" s="18" t="str">
        <f>VLOOKUP(A2266, 'Data Pull Sheet'!$B$2:$C$552,2,FALSE)</f>
        <v>GE</v>
      </c>
      <c r="C2266" s="59" t="s">
        <v>418</v>
      </c>
      <c r="D2266" s="356" t="s">
        <v>9105</v>
      </c>
      <c r="E2266" s="356" t="s">
        <v>9171</v>
      </c>
      <c r="F2266" s="23" t="s">
        <v>323</v>
      </c>
      <c r="G2266" s="92" t="s">
        <v>417</v>
      </c>
      <c r="H2266" s="353">
        <v>21233875</v>
      </c>
      <c r="I2266" s="59" t="s">
        <v>406</v>
      </c>
      <c r="J2266" s="18" t="s">
        <v>10406</v>
      </c>
      <c r="K2266" s="20"/>
      <c r="L2266" s="20">
        <v>1</v>
      </c>
      <c r="M2266" s="357">
        <f>+H2266</f>
        <v>21233875</v>
      </c>
      <c r="N2266" s="411">
        <f>IFERROR((M2266/(VLOOKUP(B2266,'Data Pull Sheet'!$C:$H,6,FALSE))),"DC")</f>
        <v>8.4935499999999999E-4</v>
      </c>
      <c r="O2266" s="23" t="s">
        <v>4392</v>
      </c>
      <c r="P2266" s="92" t="s">
        <v>632</v>
      </c>
      <c r="Q2266" s="18" t="s">
        <v>633</v>
      </c>
      <c r="R2266" s="372" t="str">
        <f t="shared" si="66"/>
        <v>FF</v>
      </c>
    </row>
    <row r="2267" spans="1:18" x14ac:dyDescent="0.25">
      <c r="A2267" s="23" t="s">
        <v>8838</v>
      </c>
      <c r="B2267" s="18" t="str">
        <f>VLOOKUP(A2267, 'Data Pull Sheet'!$B$2:$C$552,2,FALSE)</f>
        <v>GE</v>
      </c>
      <c r="C2267" s="59" t="s">
        <v>418</v>
      </c>
      <c r="D2267" s="356" t="s">
        <v>9105</v>
      </c>
      <c r="E2267" s="356" t="s">
        <v>9171</v>
      </c>
      <c r="F2267" s="23" t="s">
        <v>9480</v>
      </c>
      <c r="G2267" s="92" t="s">
        <v>417</v>
      </c>
      <c r="H2267" s="360">
        <v>3968519.93</v>
      </c>
      <c r="I2267" s="59" t="s">
        <v>406</v>
      </c>
      <c r="J2267" s="18" t="s">
        <v>10407</v>
      </c>
      <c r="K2267" s="20"/>
      <c r="L2267" s="20">
        <v>3</v>
      </c>
      <c r="M2267" s="357">
        <f>SUM(H2267:H2269)</f>
        <v>56266226.700000003</v>
      </c>
      <c r="N2267" s="411">
        <f>IFERROR((M2267/(VLOOKUP(B2267,'Data Pull Sheet'!$C:$H,6,FALSE))),"DC")</f>
        <v>2.2506490680000001E-3</v>
      </c>
      <c r="O2267" s="23" t="s">
        <v>7</v>
      </c>
      <c r="P2267" s="92" t="s">
        <v>632</v>
      </c>
      <c r="Q2267" s="18" t="s">
        <v>633</v>
      </c>
      <c r="R2267" s="372" t="str">
        <f t="shared" si="66"/>
        <v/>
      </c>
    </row>
    <row r="2268" spans="1:18" x14ac:dyDescent="0.25">
      <c r="A2268" s="23" t="s">
        <v>8838</v>
      </c>
      <c r="B2268" s="18" t="str">
        <f>VLOOKUP(A2268, 'Data Pull Sheet'!$B$2:$C$552,2,FALSE)</f>
        <v>GE</v>
      </c>
      <c r="C2268" s="59" t="s">
        <v>418</v>
      </c>
      <c r="D2268" s="356" t="s">
        <v>9105</v>
      </c>
      <c r="E2268" s="356" t="s">
        <v>9171</v>
      </c>
      <c r="F2268" s="23" t="s">
        <v>9481</v>
      </c>
      <c r="G2268" s="92" t="s">
        <v>417</v>
      </c>
      <c r="H2268" s="360">
        <v>9859146.0500000007</v>
      </c>
      <c r="I2268" s="59" t="s">
        <v>406</v>
      </c>
      <c r="J2268" s="18" t="s">
        <v>10408</v>
      </c>
      <c r="K2268" s="20"/>
      <c r="L2268" s="20"/>
      <c r="M2268" s="357"/>
      <c r="N2268" s="411"/>
      <c r="O2268" s="23" t="s">
        <v>7</v>
      </c>
      <c r="P2268" s="92" t="s">
        <v>632</v>
      </c>
      <c r="Q2268" s="18" t="s">
        <v>633</v>
      </c>
      <c r="R2268" s="372" t="str">
        <f t="shared" si="66"/>
        <v/>
      </c>
    </row>
    <row r="2269" spans="1:18" x14ac:dyDescent="0.25">
      <c r="A2269" s="23" t="s">
        <v>8838</v>
      </c>
      <c r="B2269" s="18" t="str">
        <f>VLOOKUP(A2269, 'Data Pull Sheet'!$B$2:$C$552,2,FALSE)</f>
        <v>GE</v>
      </c>
      <c r="C2269" s="59" t="s">
        <v>418</v>
      </c>
      <c r="D2269" s="356" t="s">
        <v>9105</v>
      </c>
      <c r="E2269" s="356" t="s">
        <v>9171</v>
      </c>
      <c r="F2269" s="23" t="s">
        <v>9482</v>
      </c>
      <c r="G2269" s="92" t="s">
        <v>417</v>
      </c>
      <c r="H2269" s="360">
        <v>42438560.719999999</v>
      </c>
      <c r="I2269" s="59" t="s">
        <v>406</v>
      </c>
      <c r="J2269" s="18" t="s">
        <v>10409</v>
      </c>
      <c r="K2269" s="20"/>
      <c r="L2269" s="20"/>
      <c r="M2269" s="357"/>
      <c r="N2269" s="411"/>
      <c r="O2269" s="23" t="s">
        <v>7</v>
      </c>
      <c r="P2269" s="92" t="s">
        <v>632</v>
      </c>
      <c r="Q2269" s="18" t="s">
        <v>633</v>
      </c>
      <c r="R2269" s="372" t="str">
        <f t="shared" si="66"/>
        <v/>
      </c>
    </row>
    <row r="2270" spans="1:18" x14ac:dyDescent="0.25">
      <c r="A2270" s="23" t="s">
        <v>8243</v>
      </c>
      <c r="B2270" s="18" t="str">
        <f>VLOOKUP(A2270, 'Data Pull Sheet'!$B$2:$C$552,2,FALSE)</f>
        <v>TV</v>
      </c>
      <c r="C2270" s="59" t="s">
        <v>418</v>
      </c>
      <c r="D2270" s="356" t="s">
        <v>9104</v>
      </c>
      <c r="E2270" s="356" t="s">
        <v>9171</v>
      </c>
      <c r="F2270" s="23" t="s">
        <v>9471</v>
      </c>
      <c r="G2270" s="92" t="s">
        <v>403</v>
      </c>
      <c r="H2270" s="353">
        <v>2030.58</v>
      </c>
      <c r="I2270" s="59"/>
      <c r="J2270" s="18" t="s">
        <v>10372</v>
      </c>
      <c r="K2270" s="20">
        <v>3</v>
      </c>
      <c r="L2270" s="20">
        <v>1</v>
      </c>
      <c r="M2270" s="357">
        <f>+H2270</f>
        <v>2030.58</v>
      </c>
      <c r="N2270" s="411">
        <f>IFERROR((M2270/(VLOOKUP(B2270,'Data Pull Sheet'!$C:$H,6,FALSE))),"DC")</f>
        <v>1.5041333333333333E-5</v>
      </c>
      <c r="O2270" s="23" t="s">
        <v>682</v>
      </c>
      <c r="P2270" s="92" t="s">
        <v>632</v>
      </c>
      <c r="Q2270" s="18" t="s">
        <v>637</v>
      </c>
      <c r="R2270" s="372" t="str">
        <f t="shared" si="66"/>
        <v/>
      </c>
    </row>
    <row r="2271" spans="1:18" x14ac:dyDescent="0.25">
      <c r="A2271" s="23" t="s">
        <v>8243</v>
      </c>
      <c r="B2271" s="18" t="str">
        <f>VLOOKUP(A2271, 'Data Pull Sheet'!$B$2:$C$552,2,FALSE)</f>
        <v>TV</v>
      </c>
      <c r="C2271" s="59" t="s">
        <v>418</v>
      </c>
      <c r="D2271" s="356" t="s">
        <v>9104</v>
      </c>
      <c r="E2271" s="356" t="s">
        <v>9171</v>
      </c>
      <c r="F2271" s="23" t="s">
        <v>9472</v>
      </c>
      <c r="G2271" s="92" t="s">
        <v>417</v>
      </c>
      <c r="H2271" s="353">
        <v>968239.56</v>
      </c>
      <c r="I2271" s="59"/>
      <c r="J2271" s="18" t="s">
        <v>10373</v>
      </c>
      <c r="K2271" s="20"/>
      <c r="L2271" s="20">
        <v>1</v>
      </c>
      <c r="M2271" s="357">
        <f>+H2271</f>
        <v>968239.56</v>
      </c>
      <c r="N2271" s="411">
        <f>IFERROR((M2271/(VLOOKUP(B2271,'Data Pull Sheet'!$C:$H,6,FALSE))),"DC")</f>
        <v>7.1721448888888897E-3</v>
      </c>
      <c r="O2271" s="23" t="s">
        <v>7</v>
      </c>
      <c r="P2271" s="92" t="s">
        <v>632</v>
      </c>
      <c r="Q2271" s="18" t="s">
        <v>633</v>
      </c>
      <c r="R2271" s="372" t="str">
        <f t="shared" si="66"/>
        <v/>
      </c>
    </row>
    <row r="2272" spans="1:18" x14ac:dyDescent="0.25">
      <c r="A2272" s="23" t="s">
        <v>8243</v>
      </c>
      <c r="B2272" s="18" t="str">
        <f>VLOOKUP(A2272, 'Data Pull Sheet'!$B$2:$C$552,2,FALSE)</f>
        <v>TV</v>
      </c>
      <c r="C2272" s="59" t="s">
        <v>418</v>
      </c>
      <c r="D2272" s="356" t="s">
        <v>9104</v>
      </c>
      <c r="E2272" s="356" t="s">
        <v>9171</v>
      </c>
      <c r="F2272" s="23" t="s">
        <v>9473</v>
      </c>
      <c r="G2272" s="92" t="s">
        <v>403</v>
      </c>
      <c r="H2272" s="353">
        <v>482</v>
      </c>
      <c r="I2272" s="59"/>
      <c r="J2272" s="18" t="s">
        <v>10374</v>
      </c>
      <c r="K2272" s="20"/>
      <c r="L2272" s="20">
        <v>1</v>
      </c>
      <c r="M2272" s="357">
        <f>+H2272</f>
        <v>482</v>
      </c>
      <c r="N2272" s="411">
        <f>IFERROR((M2272/(VLOOKUP(B2272,'Data Pull Sheet'!$C:$H,6,FALSE))),"DC")</f>
        <v>3.5703703703703703E-6</v>
      </c>
      <c r="O2272" s="23" t="s">
        <v>79</v>
      </c>
      <c r="P2272" s="92" t="s">
        <v>632</v>
      </c>
      <c r="Q2272" s="18" t="s">
        <v>637</v>
      </c>
      <c r="R2272" s="372" t="str">
        <f t="shared" si="66"/>
        <v/>
      </c>
    </row>
    <row r="2273" spans="1:18" x14ac:dyDescent="0.25">
      <c r="A2273" s="23" t="s">
        <v>8795</v>
      </c>
      <c r="B2273" s="18" t="str">
        <f>VLOOKUP(A2273, 'Data Pull Sheet'!$B$2:$C$552,2,FALSE)</f>
        <v>AKRX</v>
      </c>
      <c r="C2273" s="59" t="s">
        <v>465</v>
      </c>
      <c r="D2273" s="356" t="s">
        <v>9103</v>
      </c>
      <c r="E2273" s="356" t="s">
        <v>9076</v>
      </c>
      <c r="F2273" s="23" t="s">
        <v>9468</v>
      </c>
      <c r="G2273" s="92" t="s">
        <v>403</v>
      </c>
      <c r="H2273" s="353">
        <v>48048</v>
      </c>
      <c r="I2273" s="59"/>
      <c r="J2273" s="18" t="s">
        <v>10071</v>
      </c>
      <c r="K2273" s="20">
        <v>3</v>
      </c>
      <c r="L2273" s="20">
        <v>1</v>
      </c>
      <c r="M2273" s="357">
        <f>+H2273</f>
        <v>48048</v>
      </c>
      <c r="N2273" s="411">
        <f>IFERROR((M2273/(VLOOKUP(B2273,'Data Pull Sheet'!$C:$H,6,FALSE))),"DC")</f>
        <v>4.8779695431472081E-5</v>
      </c>
      <c r="O2273" s="23" t="s">
        <v>9790</v>
      </c>
      <c r="P2273" s="92" t="s">
        <v>632</v>
      </c>
      <c r="Q2273" s="92" t="s">
        <v>637</v>
      </c>
      <c r="R2273" s="372" t="str">
        <f t="shared" si="66"/>
        <v/>
      </c>
    </row>
    <row r="2274" spans="1:18" ht="30" x14ac:dyDescent="0.25">
      <c r="A2274" s="23" t="s">
        <v>8795</v>
      </c>
      <c r="B2274" s="18" t="str">
        <f>VLOOKUP(A2274, 'Data Pull Sheet'!$B$2:$C$552,2,FALSE)</f>
        <v>AKRX</v>
      </c>
      <c r="C2274" s="59" t="s">
        <v>465</v>
      </c>
      <c r="D2274" s="356" t="s">
        <v>9103</v>
      </c>
      <c r="E2274" s="356" t="s">
        <v>9076</v>
      </c>
      <c r="F2274" s="23" t="s">
        <v>9469</v>
      </c>
      <c r="G2274" s="92" t="s">
        <v>417</v>
      </c>
      <c r="H2274" s="353" t="s">
        <v>10798</v>
      </c>
      <c r="I2274" s="59"/>
      <c r="J2274" s="18" t="s">
        <v>10073</v>
      </c>
      <c r="K2274" s="20"/>
      <c r="L2274" s="20">
        <v>2</v>
      </c>
      <c r="M2274" s="357" t="str">
        <f>+H2274</f>
        <v>NA</v>
      </c>
      <c r="N2274" s="411" t="str">
        <f>IFERROR((M2274/(VLOOKUP(B2274,'Data Pull Sheet'!$C:$H,6,FALSE))),"DC")</f>
        <v>DC</v>
      </c>
      <c r="O2274" s="23" t="s">
        <v>9791</v>
      </c>
      <c r="P2274" s="92" t="s">
        <v>632</v>
      </c>
      <c r="Q2274" s="92" t="s">
        <v>640</v>
      </c>
      <c r="R2274" s="372" t="str">
        <f t="shared" si="66"/>
        <v/>
      </c>
    </row>
    <row r="2275" spans="1:18" ht="30" x14ac:dyDescent="0.25">
      <c r="A2275" s="23" t="s">
        <v>8795</v>
      </c>
      <c r="B2275" s="18" t="str">
        <f>VLOOKUP(A2275, 'Data Pull Sheet'!$B$2:$C$552,2,FALSE)</f>
        <v>AKRX</v>
      </c>
      <c r="C2275" s="59" t="s">
        <v>465</v>
      </c>
      <c r="D2275" s="356" t="s">
        <v>9103</v>
      </c>
      <c r="E2275" s="356" t="s">
        <v>9076</v>
      </c>
      <c r="F2275" s="23" t="s">
        <v>9470</v>
      </c>
      <c r="G2275" s="92" t="s">
        <v>417</v>
      </c>
      <c r="H2275" s="353" t="s">
        <v>10798</v>
      </c>
      <c r="I2275" s="59"/>
      <c r="J2275" s="18" t="s">
        <v>10074</v>
      </c>
      <c r="K2275" s="20"/>
      <c r="L2275" s="20"/>
      <c r="M2275" s="357"/>
      <c r="N2275" s="411"/>
      <c r="O2275" s="23" t="s">
        <v>9791</v>
      </c>
      <c r="P2275" s="92" t="s">
        <v>632</v>
      </c>
      <c r="Q2275" s="92" t="s">
        <v>640</v>
      </c>
      <c r="R2275" s="372" t="str">
        <f t="shared" si="66"/>
        <v/>
      </c>
    </row>
    <row r="2276" spans="1:18" ht="30" x14ac:dyDescent="0.25">
      <c r="A2276" s="23" t="s">
        <v>8795</v>
      </c>
      <c r="B2276" s="18" t="str">
        <f>VLOOKUP(A2276, 'Data Pull Sheet'!$B$2:$C$552,2,FALSE)</f>
        <v>AKRX</v>
      </c>
      <c r="C2276" s="59" t="s">
        <v>465</v>
      </c>
      <c r="D2276" s="356" t="s">
        <v>9103</v>
      </c>
      <c r="E2276" s="356" t="s">
        <v>9076</v>
      </c>
      <c r="F2276" s="23" t="s">
        <v>9193</v>
      </c>
      <c r="G2276" s="92" t="s">
        <v>417</v>
      </c>
      <c r="H2276" s="353">
        <v>2818895.64</v>
      </c>
      <c r="I2276" s="59" t="s">
        <v>406</v>
      </c>
      <c r="J2276" s="18" t="s">
        <v>10075</v>
      </c>
      <c r="K2276" s="20"/>
      <c r="L2276" s="20">
        <v>1</v>
      </c>
      <c r="M2276" s="357">
        <f>+H2276</f>
        <v>2818895.64</v>
      </c>
      <c r="N2276" s="411">
        <f>IFERROR((M2276/(VLOOKUP(B2276,'Data Pull Sheet'!$C:$H,6,FALSE))),"DC")</f>
        <v>2.8618229847715737E-3</v>
      </c>
      <c r="O2276" s="23" t="s">
        <v>9792</v>
      </c>
      <c r="P2276" s="92" t="s">
        <v>632</v>
      </c>
      <c r="Q2276" s="92" t="s">
        <v>633</v>
      </c>
      <c r="R2276" s="372" t="str">
        <f t="shared" si="66"/>
        <v>FF</v>
      </c>
    </row>
    <row r="2277" spans="1:18" x14ac:dyDescent="0.25">
      <c r="A2277" s="23" t="s">
        <v>8845</v>
      </c>
      <c r="B2277" s="18" t="str">
        <f>VLOOKUP(A2277, 'Data Pull Sheet'!$B$2:$C$552,2,FALSE)</f>
        <v>HSIC</v>
      </c>
      <c r="C2277" s="59" t="s">
        <v>1008</v>
      </c>
      <c r="D2277" s="356" t="s">
        <v>9102</v>
      </c>
      <c r="E2277" s="356" t="s">
        <v>9076</v>
      </c>
      <c r="F2277" s="23" t="s">
        <v>9465</v>
      </c>
      <c r="G2277" s="92" t="s">
        <v>403</v>
      </c>
      <c r="H2277" s="353">
        <v>5935.97</v>
      </c>
      <c r="I2277" s="59"/>
      <c r="J2277" s="18" t="s">
        <v>10076</v>
      </c>
      <c r="K2277" s="20">
        <v>2</v>
      </c>
      <c r="L2277" s="20">
        <v>2</v>
      </c>
      <c r="M2277" s="357">
        <f>SUM(H2277:H2278)</f>
        <v>26878.5</v>
      </c>
      <c r="N2277" s="411">
        <f>IFERROR((M2277/(VLOOKUP(B2277,'Data Pull Sheet'!$C:$H,6,FALSE))),"DC")</f>
        <v>4.5946153846153844E-5</v>
      </c>
      <c r="O2277" s="23" t="s">
        <v>682</v>
      </c>
      <c r="P2277" s="92" t="s">
        <v>632</v>
      </c>
      <c r="Q2277" s="92" t="s">
        <v>646</v>
      </c>
      <c r="R2277" s="372" t="str">
        <f t="shared" si="66"/>
        <v/>
      </c>
    </row>
    <row r="2278" spans="1:18" x14ac:dyDescent="0.25">
      <c r="A2278" s="23" t="s">
        <v>8845</v>
      </c>
      <c r="B2278" s="18" t="str">
        <f>VLOOKUP(A2278, 'Data Pull Sheet'!$B$2:$C$552,2,FALSE)</f>
        <v>HSIC</v>
      </c>
      <c r="C2278" s="59" t="s">
        <v>1008</v>
      </c>
      <c r="D2278" s="356" t="s">
        <v>9102</v>
      </c>
      <c r="E2278" s="356" t="s">
        <v>9076</v>
      </c>
      <c r="F2278" s="23" t="s">
        <v>9466</v>
      </c>
      <c r="G2278" s="92" t="s">
        <v>403</v>
      </c>
      <c r="H2278" s="353">
        <v>20942.53</v>
      </c>
      <c r="I2278" s="59"/>
      <c r="J2278" s="18" t="s">
        <v>10077</v>
      </c>
      <c r="K2278" s="20"/>
      <c r="L2278" s="20"/>
      <c r="M2278" s="357"/>
      <c r="N2278" s="411"/>
      <c r="O2278" s="23" t="s">
        <v>682</v>
      </c>
      <c r="P2278" s="92" t="s">
        <v>632</v>
      </c>
      <c r="Q2278" s="92" t="s">
        <v>646</v>
      </c>
      <c r="R2278" s="372" t="str">
        <f t="shared" si="66"/>
        <v/>
      </c>
    </row>
    <row r="2279" spans="1:18" ht="30" x14ac:dyDescent="0.25">
      <c r="A2279" s="23" t="s">
        <v>8845</v>
      </c>
      <c r="B2279" s="18" t="str">
        <f>VLOOKUP(A2279, 'Data Pull Sheet'!$B$2:$C$552,2,FALSE)</f>
        <v>HSIC</v>
      </c>
      <c r="C2279" s="59" t="s">
        <v>1008</v>
      </c>
      <c r="D2279" s="356" t="s">
        <v>9102</v>
      </c>
      <c r="E2279" s="356" t="s">
        <v>9076</v>
      </c>
      <c r="F2279" s="23" t="s">
        <v>9467</v>
      </c>
      <c r="G2279" s="92" t="s">
        <v>417</v>
      </c>
      <c r="H2279" s="353">
        <v>132993.70000000001</v>
      </c>
      <c r="I2279" s="59" t="s">
        <v>442</v>
      </c>
      <c r="J2279" s="18" t="s">
        <v>10078</v>
      </c>
      <c r="K2279" s="20"/>
      <c r="L2279" s="20">
        <v>1</v>
      </c>
      <c r="M2279" s="357">
        <f t="shared" ref="M2279:M2288" si="67">+H2279</f>
        <v>132993.70000000001</v>
      </c>
      <c r="N2279" s="411">
        <f>IFERROR((M2279/(VLOOKUP(B2279,'Data Pull Sheet'!$C:$H,6,FALSE))),"DC")</f>
        <v>2.2733965811965815E-4</v>
      </c>
      <c r="O2279" s="23" t="s">
        <v>1</v>
      </c>
      <c r="P2279" s="92" t="s">
        <v>632</v>
      </c>
      <c r="Q2279" s="92" t="s">
        <v>633</v>
      </c>
      <c r="R2279" s="372" t="str">
        <f t="shared" si="66"/>
        <v/>
      </c>
    </row>
    <row r="2280" spans="1:18" x14ac:dyDescent="0.25">
      <c r="A2280" s="23" t="s">
        <v>8835</v>
      </c>
      <c r="B2280" s="18" t="str">
        <f>VLOOKUP(A2280, 'Data Pull Sheet'!$B$2:$C$552,2,FALSE)</f>
        <v>FL</v>
      </c>
      <c r="C2280" s="59" t="s">
        <v>1008</v>
      </c>
      <c r="D2280" s="356" t="s">
        <v>9101</v>
      </c>
      <c r="E2280" s="356" t="s">
        <v>9074</v>
      </c>
      <c r="F2280" s="23" t="s">
        <v>9457</v>
      </c>
      <c r="G2280" s="92" t="s">
        <v>403</v>
      </c>
      <c r="H2280" s="353">
        <v>15796.32</v>
      </c>
      <c r="I2280" s="59"/>
      <c r="J2280" s="18" t="s">
        <v>10072</v>
      </c>
      <c r="K2280" s="20">
        <v>5</v>
      </c>
      <c r="L2280" s="20">
        <v>1</v>
      </c>
      <c r="M2280" s="357">
        <f t="shared" si="67"/>
        <v>15796.32</v>
      </c>
      <c r="N2280" s="411">
        <f>IFERROR((M2280/(VLOOKUP(B2280,'Data Pull Sheet'!$C:$H,6,FALSE))),"DC")</f>
        <v>7.8981600000000006E-6</v>
      </c>
      <c r="O2280" s="23" t="s">
        <v>682</v>
      </c>
      <c r="P2280" s="92" t="s">
        <v>632</v>
      </c>
      <c r="Q2280" s="92" t="s">
        <v>637</v>
      </c>
      <c r="R2280" s="372" t="str">
        <f t="shared" si="66"/>
        <v/>
      </c>
    </row>
    <row r="2281" spans="1:18" x14ac:dyDescent="0.25">
      <c r="A2281" s="23" t="s">
        <v>8835</v>
      </c>
      <c r="B2281" s="18" t="str">
        <f>VLOOKUP(A2281, 'Data Pull Sheet'!$B$2:$C$552,2,FALSE)</f>
        <v>FL</v>
      </c>
      <c r="C2281" s="59" t="s">
        <v>1008</v>
      </c>
      <c r="D2281" s="356" t="s">
        <v>9101</v>
      </c>
      <c r="E2281" s="356" t="s">
        <v>9074</v>
      </c>
      <c r="F2281" s="23" t="s">
        <v>65</v>
      </c>
      <c r="G2281" s="92" t="s">
        <v>417</v>
      </c>
      <c r="H2281" s="353">
        <v>776860.54</v>
      </c>
      <c r="I2281" s="59" t="s">
        <v>406</v>
      </c>
      <c r="J2281" s="18" t="s">
        <v>10079</v>
      </c>
      <c r="K2281" s="20"/>
      <c r="L2281" s="20">
        <v>1</v>
      </c>
      <c r="M2281" s="357">
        <f t="shared" si="67"/>
        <v>776860.54</v>
      </c>
      <c r="N2281" s="411">
        <f>IFERROR((M2281/(VLOOKUP(B2281,'Data Pull Sheet'!$C:$H,6,FALSE))),"DC")</f>
        <v>3.8843027E-4</v>
      </c>
      <c r="O2281" s="23" t="s">
        <v>34</v>
      </c>
      <c r="P2281" s="92" t="s">
        <v>632</v>
      </c>
      <c r="Q2281" s="92" t="s">
        <v>633</v>
      </c>
      <c r="R2281" s="372" t="str">
        <f t="shared" si="66"/>
        <v>FF</v>
      </c>
    </row>
    <row r="2282" spans="1:18" x14ac:dyDescent="0.25">
      <c r="A2282" s="23" t="s">
        <v>8835</v>
      </c>
      <c r="B2282" s="18" t="str">
        <f>VLOOKUP(A2282, 'Data Pull Sheet'!$B$2:$C$552,2,FALSE)</f>
        <v>FL</v>
      </c>
      <c r="C2282" s="59" t="s">
        <v>1008</v>
      </c>
      <c r="D2282" s="356" t="s">
        <v>9101</v>
      </c>
      <c r="E2282" s="356" t="s">
        <v>9074</v>
      </c>
      <c r="F2282" s="23" t="s">
        <v>9458</v>
      </c>
      <c r="G2282" s="92" t="s">
        <v>403</v>
      </c>
      <c r="H2282" s="353">
        <v>16037</v>
      </c>
      <c r="I2282" s="59"/>
      <c r="J2282" s="18" t="s">
        <v>10080</v>
      </c>
      <c r="K2282" s="20"/>
      <c r="L2282" s="20">
        <v>1</v>
      </c>
      <c r="M2282" s="357">
        <f t="shared" si="67"/>
        <v>16037</v>
      </c>
      <c r="N2282" s="411">
        <f>IFERROR((M2282/(VLOOKUP(B2282,'Data Pull Sheet'!$C:$H,6,FALSE))),"DC")</f>
        <v>8.0184999999999995E-6</v>
      </c>
      <c r="O2282" s="23" t="s">
        <v>1204</v>
      </c>
      <c r="P2282" s="92" t="s">
        <v>632</v>
      </c>
      <c r="Q2282" s="92" t="s">
        <v>637</v>
      </c>
      <c r="R2282" s="372" t="str">
        <f t="shared" si="66"/>
        <v/>
      </c>
    </row>
    <row r="2283" spans="1:18" x14ac:dyDescent="0.25">
      <c r="A2283" s="23" t="s">
        <v>8835</v>
      </c>
      <c r="B2283" s="18" t="str">
        <f>VLOOKUP(A2283, 'Data Pull Sheet'!$B$2:$C$552,2,FALSE)</f>
        <v>FL</v>
      </c>
      <c r="C2283" s="59" t="s">
        <v>1008</v>
      </c>
      <c r="D2283" s="356" t="s">
        <v>9101</v>
      </c>
      <c r="E2283" s="356" t="s">
        <v>9074</v>
      </c>
      <c r="F2283" s="23" t="s">
        <v>9459</v>
      </c>
      <c r="G2283" s="92" t="s">
        <v>417</v>
      </c>
      <c r="H2283" s="353">
        <v>227902.91</v>
      </c>
      <c r="I2283" s="59"/>
      <c r="J2283" s="18" t="s">
        <v>10081</v>
      </c>
      <c r="K2283" s="20"/>
      <c r="L2283" s="20">
        <v>1</v>
      </c>
      <c r="M2283" s="357">
        <f t="shared" si="67"/>
        <v>227902.91</v>
      </c>
      <c r="N2283" s="411">
        <f>IFERROR((M2283/(VLOOKUP(B2283,'Data Pull Sheet'!$C:$H,6,FALSE))),"DC")</f>
        <v>1.1395145500000001E-4</v>
      </c>
      <c r="O2283" s="23" t="s">
        <v>849</v>
      </c>
      <c r="P2283" s="92" t="s">
        <v>632</v>
      </c>
      <c r="Q2283" s="92" t="s">
        <v>633</v>
      </c>
      <c r="R2283" s="372" t="str">
        <f t="shared" si="66"/>
        <v/>
      </c>
    </row>
    <row r="2284" spans="1:18" ht="30" x14ac:dyDescent="0.25">
      <c r="A2284" s="23" t="s">
        <v>8835</v>
      </c>
      <c r="B2284" s="18" t="str">
        <f>VLOOKUP(A2284, 'Data Pull Sheet'!$B$2:$C$552,2,FALSE)</f>
        <v>FL</v>
      </c>
      <c r="C2284" s="59" t="s">
        <v>1008</v>
      </c>
      <c r="D2284" s="356" t="s">
        <v>9101</v>
      </c>
      <c r="E2284" s="356" t="s">
        <v>9074</v>
      </c>
      <c r="F2284" s="23" t="s">
        <v>9460</v>
      </c>
      <c r="G2284" s="92" t="s">
        <v>417</v>
      </c>
      <c r="H2284" s="353">
        <v>2034806.6</v>
      </c>
      <c r="I2284" s="59"/>
      <c r="J2284" s="18" t="s">
        <v>10082</v>
      </c>
      <c r="K2284" s="20"/>
      <c r="L2284" s="20">
        <v>1</v>
      </c>
      <c r="M2284" s="357">
        <f t="shared" si="67"/>
        <v>2034806.6</v>
      </c>
      <c r="N2284" s="411">
        <f>IFERROR((M2284/(VLOOKUP(B2284,'Data Pull Sheet'!$C:$H,6,FALSE))),"DC")</f>
        <v>1.0174032999999999E-3</v>
      </c>
      <c r="O2284" s="23" t="s">
        <v>7</v>
      </c>
      <c r="P2284" s="92" t="s">
        <v>632</v>
      </c>
      <c r="Q2284" s="92" t="s">
        <v>633</v>
      </c>
      <c r="R2284" s="372" t="str">
        <f t="shared" si="66"/>
        <v/>
      </c>
    </row>
    <row r="2285" spans="1:18" ht="30" x14ac:dyDescent="0.25">
      <c r="A2285" s="23" t="s">
        <v>9026</v>
      </c>
      <c r="B2285" s="18" t="str">
        <f>VLOOKUP(A2285, 'Data Pull Sheet'!$B$2:$C$552,2,FALSE)</f>
        <v>WAGE</v>
      </c>
      <c r="C2285" s="59" t="s">
        <v>457</v>
      </c>
      <c r="D2285" s="356" t="s">
        <v>9101</v>
      </c>
      <c r="E2285" s="356" t="s">
        <v>9074</v>
      </c>
      <c r="F2285" s="23" t="s">
        <v>2557</v>
      </c>
      <c r="G2285" s="92" t="s">
        <v>417</v>
      </c>
      <c r="H2285" s="353">
        <v>224912</v>
      </c>
      <c r="I2285" s="59" t="s">
        <v>442</v>
      </c>
      <c r="J2285" s="18" t="s">
        <v>10362</v>
      </c>
      <c r="K2285" s="20">
        <v>7</v>
      </c>
      <c r="L2285" s="20">
        <v>1</v>
      </c>
      <c r="M2285" s="357">
        <f t="shared" si="67"/>
        <v>224912</v>
      </c>
      <c r="N2285" s="411">
        <f>IFERROR((M2285/(VLOOKUP(B2285,'Data Pull Sheet'!$C:$H,6,FALSE))),"DC")</f>
        <v>6.615058823529412E-4</v>
      </c>
      <c r="O2285" s="23" t="s">
        <v>196</v>
      </c>
      <c r="P2285" s="92" t="s">
        <v>632</v>
      </c>
      <c r="Q2285" s="92" t="s">
        <v>633</v>
      </c>
      <c r="R2285" s="372" t="str">
        <f t="shared" si="66"/>
        <v>FF</v>
      </c>
    </row>
    <row r="2286" spans="1:18" x14ac:dyDescent="0.25">
      <c r="A2286" s="23" t="s">
        <v>9026</v>
      </c>
      <c r="B2286" s="18" t="str">
        <f>VLOOKUP(A2286, 'Data Pull Sheet'!$B$2:$C$552,2,FALSE)</f>
        <v>WAGE</v>
      </c>
      <c r="C2286" s="59" t="s">
        <v>457</v>
      </c>
      <c r="D2286" s="356" t="s">
        <v>9101</v>
      </c>
      <c r="E2286" s="356" t="s">
        <v>9074</v>
      </c>
      <c r="F2286" s="23" t="s">
        <v>9461</v>
      </c>
      <c r="G2286" s="92" t="s">
        <v>417</v>
      </c>
      <c r="H2286" s="353">
        <v>120608</v>
      </c>
      <c r="I2286" s="59" t="s">
        <v>406</v>
      </c>
      <c r="J2286" s="18" t="s">
        <v>10364</v>
      </c>
      <c r="K2286" s="20"/>
      <c r="L2286" s="20">
        <v>1</v>
      </c>
      <c r="M2286" s="357">
        <f t="shared" si="67"/>
        <v>120608</v>
      </c>
      <c r="N2286" s="411">
        <f>IFERROR((M2286/(VLOOKUP(B2286,'Data Pull Sheet'!$C:$H,6,FALSE))),"DC")</f>
        <v>3.5472941176470591E-4</v>
      </c>
      <c r="O2286" s="23" t="s">
        <v>9788</v>
      </c>
      <c r="P2286" s="92" t="s">
        <v>632</v>
      </c>
      <c r="Q2286" s="92" t="s">
        <v>633</v>
      </c>
      <c r="R2286" s="372" t="str">
        <f t="shared" si="66"/>
        <v/>
      </c>
    </row>
    <row r="2287" spans="1:18" x14ac:dyDescent="0.25">
      <c r="A2287" s="23" t="s">
        <v>9026</v>
      </c>
      <c r="B2287" s="18" t="str">
        <f>VLOOKUP(A2287, 'Data Pull Sheet'!$B$2:$C$552,2,FALSE)</f>
        <v>WAGE</v>
      </c>
      <c r="C2287" s="59" t="s">
        <v>457</v>
      </c>
      <c r="D2287" s="356" t="s">
        <v>9101</v>
      </c>
      <c r="E2287" s="356" t="s">
        <v>9074</v>
      </c>
      <c r="F2287" s="23" t="s">
        <v>2535</v>
      </c>
      <c r="G2287" s="92" t="s">
        <v>417</v>
      </c>
      <c r="H2287" s="353">
        <v>178032</v>
      </c>
      <c r="I2287" s="59" t="s">
        <v>413</v>
      </c>
      <c r="J2287" s="18" t="s">
        <v>10363</v>
      </c>
      <c r="K2287" s="20"/>
      <c r="L2287" s="20">
        <v>1</v>
      </c>
      <c r="M2287" s="357">
        <f t="shared" si="67"/>
        <v>178032</v>
      </c>
      <c r="N2287" s="411">
        <f>IFERROR((M2287/(VLOOKUP(B2287,'Data Pull Sheet'!$C:$H,6,FALSE))),"DC")</f>
        <v>5.2362352941176472E-4</v>
      </c>
      <c r="O2287" s="23" t="s">
        <v>9789</v>
      </c>
      <c r="P2287" s="92" t="s">
        <v>632</v>
      </c>
      <c r="Q2287" s="92" t="s">
        <v>633</v>
      </c>
      <c r="R2287" s="372" t="str">
        <f t="shared" si="66"/>
        <v>FF</v>
      </c>
    </row>
    <row r="2288" spans="1:18" x14ac:dyDescent="0.25">
      <c r="A2288" s="23" t="s">
        <v>9026</v>
      </c>
      <c r="B2288" s="18" t="str">
        <f>VLOOKUP(A2288, 'Data Pull Sheet'!$B$2:$C$552,2,FALSE)</f>
        <v>WAGE</v>
      </c>
      <c r="C2288" s="59" t="s">
        <v>457</v>
      </c>
      <c r="D2288" s="356" t="s">
        <v>9101</v>
      </c>
      <c r="E2288" s="356" t="s">
        <v>9074</v>
      </c>
      <c r="F2288" s="23" t="s">
        <v>9462</v>
      </c>
      <c r="G2288" s="92" t="s">
        <v>403</v>
      </c>
      <c r="H2288" s="353">
        <v>2668</v>
      </c>
      <c r="I2288" s="59"/>
      <c r="J2288" s="18" t="s">
        <v>10365</v>
      </c>
      <c r="K2288" s="20"/>
      <c r="L2288" s="20">
        <v>1</v>
      </c>
      <c r="M2288" s="357">
        <f t="shared" si="67"/>
        <v>2668</v>
      </c>
      <c r="N2288" s="411">
        <f>IFERROR((M2288/(VLOOKUP(B2288,'Data Pull Sheet'!$C:$H,6,FALSE))),"DC")</f>
        <v>7.8470588235294126E-6</v>
      </c>
      <c r="O2288" s="23" t="s">
        <v>79</v>
      </c>
      <c r="P2288" s="92" t="s">
        <v>632</v>
      </c>
      <c r="Q2288" s="92" t="s">
        <v>637</v>
      </c>
      <c r="R2288" s="372" t="str">
        <f t="shared" si="66"/>
        <v/>
      </c>
    </row>
    <row r="2289" spans="1:18" ht="30" x14ac:dyDescent="0.25">
      <c r="A2289" s="23" t="s">
        <v>9026</v>
      </c>
      <c r="B2289" s="18" t="str">
        <f>VLOOKUP(A2289, 'Data Pull Sheet'!$B$2:$C$552,2,FALSE)</f>
        <v>WAGE</v>
      </c>
      <c r="C2289" s="59" t="s">
        <v>457</v>
      </c>
      <c r="D2289" s="356" t="s">
        <v>9101</v>
      </c>
      <c r="E2289" s="356" t="s">
        <v>9074</v>
      </c>
      <c r="F2289" s="23" t="s">
        <v>1638</v>
      </c>
      <c r="G2289" s="92" t="s">
        <v>417</v>
      </c>
      <c r="H2289" s="353">
        <v>114131</v>
      </c>
      <c r="I2289" s="59" t="s">
        <v>442</v>
      </c>
      <c r="J2289" s="18" t="s">
        <v>10366</v>
      </c>
      <c r="K2289" s="20"/>
      <c r="L2289" s="20">
        <v>3</v>
      </c>
      <c r="M2289" s="357">
        <f>SUM(H2289:H2291)</f>
        <v>2439819</v>
      </c>
      <c r="N2289" s="411">
        <f>IFERROR((M2289/(VLOOKUP(B2289,'Data Pull Sheet'!$C:$H,6,FALSE))),"DC")</f>
        <v>7.1759382352941173E-3</v>
      </c>
      <c r="O2289" s="23" t="s">
        <v>4634</v>
      </c>
      <c r="P2289" s="92" t="s">
        <v>632</v>
      </c>
      <c r="Q2289" s="92" t="s">
        <v>640</v>
      </c>
      <c r="R2289" s="372" t="str">
        <f t="shared" si="66"/>
        <v>FF</v>
      </c>
    </row>
    <row r="2290" spans="1:18" x14ac:dyDescent="0.25">
      <c r="A2290" s="23" t="s">
        <v>9026</v>
      </c>
      <c r="B2290" s="18" t="str">
        <f>VLOOKUP(A2290, 'Data Pull Sheet'!$B$2:$C$552,2,FALSE)</f>
        <v>WAGE</v>
      </c>
      <c r="C2290" s="59" t="s">
        <v>457</v>
      </c>
      <c r="D2290" s="356" t="s">
        <v>9101</v>
      </c>
      <c r="E2290" s="356" t="s">
        <v>9074</v>
      </c>
      <c r="F2290" s="23" t="s">
        <v>249</v>
      </c>
      <c r="G2290" s="92" t="s">
        <v>417</v>
      </c>
      <c r="H2290" s="353">
        <v>1702598</v>
      </c>
      <c r="I2290" s="59" t="s">
        <v>442</v>
      </c>
      <c r="J2290" s="18" t="s">
        <v>10367</v>
      </c>
      <c r="K2290" s="20"/>
      <c r="L2290" s="20"/>
      <c r="M2290" s="357"/>
      <c r="N2290" s="411"/>
      <c r="O2290" s="23" t="s">
        <v>4634</v>
      </c>
      <c r="P2290" s="92" t="s">
        <v>632</v>
      </c>
      <c r="Q2290" s="92" t="s">
        <v>640</v>
      </c>
      <c r="R2290" s="372" t="str">
        <f t="shared" si="66"/>
        <v>FF</v>
      </c>
    </row>
    <row r="2291" spans="1:18" ht="30" x14ac:dyDescent="0.25">
      <c r="A2291" s="23" t="s">
        <v>9026</v>
      </c>
      <c r="B2291" s="18" t="str">
        <f>VLOOKUP(A2291, 'Data Pull Sheet'!$B$2:$C$552,2,FALSE)</f>
        <v>WAGE</v>
      </c>
      <c r="C2291" s="59" t="s">
        <v>457</v>
      </c>
      <c r="D2291" s="356" t="s">
        <v>9101</v>
      </c>
      <c r="E2291" s="356" t="s">
        <v>9074</v>
      </c>
      <c r="F2291" s="23" t="s">
        <v>9258</v>
      </c>
      <c r="G2291" s="92" t="s">
        <v>417</v>
      </c>
      <c r="H2291" s="353">
        <v>623090</v>
      </c>
      <c r="I2291" s="59" t="s">
        <v>413</v>
      </c>
      <c r="J2291" s="18" t="s">
        <v>10368</v>
      </c>
      <c r="K2291" s="20"/>
      <c r="L2291" s="20"/>
      <c r="M2291" s="357"/>
      <c r="N2291" s="411"/>
      <c r="O2291" s="23" t="s">
        <v>4634</v>
      </c>
      <c r="P2291" s="92" t="s">
        <v>632</v>
      </c>
      <c r="Q2291" s="92" t="s">
        <v>640</v>
      </c>
      <c r="R2291" s="372" t="str">
        <f t="shared" si="66"/>
        <v>FF</v>
      </c>
    </row>
    <row r="2292" spans="1:18" x14ac:dyDescent="0.25">
      <c r="A2292" s="23" t="s">
        <v>9026</v>
      </c>
      <c r="B2292" s="18" t="str">
        <f>VLOOKUP(A2292, 'Data Pull Sheet'!$B$2:$C$552,2,FALSE)</f>
        <v>WAGE</v>
      </c>
      <c r="C2292" s="59" t="s">
        <v>457</v>
      </c>
      <c r="D2292" s="356" t="s">
        <v>9101</v>
      </c>
      <c r="E2292" s="356" t="s">
        <v>9074</v>
      </c>
      <c r="F2292" s="23" t="s">
        <v>9463</v>
      </c>
      <c r="G2292" s="92" t="s">
        <v>417</v>
      </c>
      <c r="H2292" s="353">
        <v>200492.13</v>
      </c>
      <c r="I2292" s="59" t="s">
        <v>406</v>
      </c>
      <c r="J2292" s="18" t="s">
        <v>10369</v>
      </c>
      <c r="K2292" s="20"/>
      <c r="L2292" s="20">
        <v>2</v>
      </c>
      <c r="M2292" s="357">
        <f>SUM(H2292:H2293)</f>
        <v>459344.92000000004</v>
      </c>
      <c r="N2292" s="411">
        <f>IFERROR((M2292/(VLOOKUP(B2292,'Data Pull Sheet'!$C:$H,6,FALSE))),"DC")</f>
        <v>1.3510144705882355E-3</v>
      </c>
      <c r="O2292" s="23" t="s">
        <v>9739</v>
      </c>
      <c r="P2292" s="92" t="s">
        <v>632</v>
      </c>
      <c r="Q2292" s="92" t="s">
        <v>640</v>
      </c>
      <c r="R2292" s="372" t="str">
        <f t="shared" si="66"/>
        <v/>
      </c>
    </row>
    <row r="2293" spans="1:18" x14ac:dyDescent="0.25">
      <c r="A2293" s="23" t="s">
        <v>9026</v>
      </c>
      <c r="B2293" s="18" t="str">
        <f>VLOOKUP(A2293, 'Data Pull Sheet'!$B$2:$C$552,2,FALSE)</f>
        <v>WAGE</v>
      </c>
      <c r="C2293" s="59" t="s">
        <v>457</v>
      </c>
      <c r="D2293" s="356" t="s">
        <v>9101</v>
      </c>
      <c r="E2293" s="356" t="s">
        <v>9074</v>
      </c>
      <c r="F2293" s="23" t="s">
        <v>9464</v>
      </c>
      <c r="G2293" s="92" t="s">
        <v>417</v>
      </c>
      <c r="H2293" s="353">
        <v>258852.79</v>
      </c>
      <c r="I2293" s="59" t="s">
        <v>406</v>
      </c>
      <c r="J2293" s="18" t="s">
        <v>10370</v>
      </c>
      <c r="K2293" s="20"/>
      <c r="L2293" s="20"/>
      <c r="M2293" s="357"/>
      <c r="N2293" s="411"/>
      <c r="O2293" s="23" t="s">
        <v>9739</v>
      </c>
      <c r="P2293" s="92" t="s">
        <v>632</v>
      </c>
      <c r="Q2293" s="92" t="s">
        <v>640</v>
      </c>
      <c r="R2293" s="372" t="str">
        <f t="shared" si="66"/>
        <v/>
      </c>
    </row>
    <row r="2294" spans="1:18" ht="30" x14ac:dyDescent="0.25">
      <c r="A2294" s="23" t="s">
        <v>9026</v>
      </c>
      <c r="B2294" s="18" t="str">
        <f>VLOOKUP(A2294, 'Data Pull Sheet'!$B$2:$C$552,2,FALSE)</f>
        <v>WAGE</v>
      </c>
      <c r="C2294" s="59" t="s">
        <v>457</v>
      </c>
      <c r="D2294" s="356" t="s">
        <v>9101</v>
      </c>
      <c r="E2294" s="356" t="s">
        <v>9074</v>
      </c>
      <c r="F2294" s="23" t="s">
        <v>165</v>
      </c>
      <c r="G2294" s="92" t="s">
        <v>417</v>
      </c>
      <c r="H2294" s="353" t="s">
        <v>10798</v>
      </c>
      <c r="I2294" s="59"/>
      <c r="J2294" s="18" t="s">
        <v>10371</v>
      </c>
      <c r="K2294" s="20"/>
      <c r="L2294" s="20">
        <v>1</v>
      </c>
      <c r="M2294" s="357" t="str">
        <f>+H2294</f>
        <v>NA</v>
      </c>
      <c r="N2294" s="411" t="str">
        <f>IFERROR((M2294/(VLOOKUP(B2294,'Data Pull Sheet'!$C:$H,6,FALSE))),"DC")</f>
        <v>DC</v>
      </c>
      <c r="O2294" s="23" t="s">
        <v>166</v>
      </c>
      <c r="P2294" s="92" t="s">
        <v>632</v>
      </c>
      <c r="Q2294" s="92" t="s">
        <v>633</v>
      </c>
      <c r="R2294" s="372" t="str">
        <f t="shared" si="66"/>
        <v>FF</v>
      </c>
    </row>
    <row r="2295" spans="1:18" x14ac:dyDescent="0.25">
      <c r="A2295" s="23" t="s">
        <v>8811</v>
      </c>
      <c r="B2295" s="18" t="str">
        <f>VLOOKUP(A2295, 'Data Pull Sheet'!$B$2:$C$552,2,FALSE)</f>
        <v>BRFS</v>
      </c>
      <c r="C2295" s="59" t="s">
        <v>418</v>
      </c>
      <c r="D2295" s="356" t="s">
        <v>9100</v>
      </c>
      <c r="E2295" s="356" t="s">
        <v>9073</v>
      </c>
      <c r="F2295" s="23" t="s">
        <v>9451</v>
      </c>
      <c r="G2295" s="92" t="s">
        <v>403</v>
      </c>
      <c r="H2295" s="353">
        <v>347288.05</v>
      </c>
      <c r="I2295" s="59"/>
      <c r="J2295" s="18" t="s">
        <v>10083</v>
      </c>
      <c r="K2295" s="20">
        <v>5</v>
      </c>
      <c r="L2295" s="20">
        <v>1</v>
      </c>
      <c r="M2295" s="357">
        <f>+H2295</f>
        <v>347288.05</v>
      </c>
      <c r="N2295" s="411">
        <f>IFERROR((M2295/(VLOOKUP(B2295,'Data Pull Sheet'!$C:$H,6,FALSE))),"DC")</f>
        <v>6.4312601851851847E-4</v>
      </c>
      <c r="O2295" s="23" t="s">
        <v>63</v>
      </c>
      <c r="P2295" s="92" t="s">
        <v>632</v>
      </c>
      <c r="Q2295" s="92" t="s">
        <v>637</v>
      </c>
      <c r="R2295" s="372" t="str">
        <f t="shared" si="66"/>
        <v/>
      </c>
    </row>
    <row r="2296" spans="1:18" x14ac:dyDescent="0.25">
      <c r="A2296" s="23" t="s">
        <v>8811</v>
      </c>
      <c r="B2296" s="18" t="str">
        <f>VLOOKUP(A2296, 'Data Pull Sheet'!$B$2:$C$552,2,FALSE)</f>
        <v>BRFS</v>
      </c>
      <c r="C2296" s="59" t="s">
        <v>418</v>
      </c>
      <c r="D2296" s="356" t="s">
        <v>9100</v>
      </c>
      <c r="E2296" s="356" t="s">
        <v>9073</v>
      </c>
      <c r="F2296" s="23" t="s">
        <v>9452</v>
      </c>
      <c r="G2296" s="92" t="s">
        <v>403</v>
      </c>
      <c r="H2296" s="353">
        <v>14638.33</v>
      </c>
      <c r="I2296" s="59"/>
      <c r="J2296" s="18" t="s">
        <v>10084</v>
      </c>
      <c r="K2296" s="20"/>
      <c r="L2296" s="20">
        <v>1</v>
      </c>
      <c r="M2296" s="357">
        <f>+H2296</f>
        <v>14638.33</v>
      </c>
      <c r="N2296" s="411">
        <f>IFERROR((M2296/(VLOOKUP(B2296,'Data Pull Sheet'!$C:$H,6,FALSE))),"DC")</f>
        <v>2.7108018518518518E-5</v>
      </c>
      <c r="O2296" s="23" t="s">
        <v>682</v>
      </c>
      <c r="P2296" s="92" t="s">
        <v>632</v>
      </c>
      <c r="Q2296" s="92" t="s">
        <v>637</v>
      </c>
      <c r="R2296" s="372" t="str">
        <f t="shared" si="66"/>
        <v/>
      </c>
    </row>
    <row r="2297" spans="1:18" x14ac:dyDescent="0.25">
      <c r="A2297" s="23" t="s">
        <v>8811</v>
      </c>
      <c r="B2297" s="18" t="str">
        <f>VLOOKUP(A2297, 'Data Pull Sheet'!$B$2:$C$552,2,FALSE)</f>
        <v>BRFS</v>
      </c>
      <c r="C2297" s="59" t="s">
        <v>418</v>
      </c>
      <c r="D2297" s="356" t="s">
        <v>9100</v>
      </c>
      <c r="E2297" s="356" t="s">
        <v>9073</v>
      </c>
      <c r="F2297" s="23" t="s">
        <v>9453</v>
      </c>
      <c r="G2297" s="92" t="s">
        <v>417</v>
      </c>
      <c r="H2297" s="353">
        <v>84110</v>
      </c>
      <c r="I2297" s="59"/>
      <c r="J2297" s="18" t="s">
        <v>10085</v>
      </c>
      <c r="K2297" s="20"/>
      <c r="L2297" s="20">
        <v>3</v>
      </c>
      <c r="M2297" s="357">
        <f>SUM(H2297:H2299)</f>
        <v>112176</v>
      </c>
      <c r="N2297" s="411">
        <f>IFERROR((M2297/(VLOOKUP(B2297,'Data Pull Sheet'!$C:$H,6,FALSE))),"DC")</f>
        <v>2.0773333333333333E-4</v>
      </c>
      <c r="O2297" s="23" t="s">
        <v>79</v>
      </c>
      <c r="P2297" s="92" t="s">
        <v>632</v>
      </c>
      <c r="Q2297" s="92" t="s">
        <v>662</v>
      </c>
      <c r="R2297" s="372" t="str">
        <f t="shared" si="66"/>
        <v/>
      </c>
    </row>
    <row r="2298" spans="1:18" x14ac:dyDescent="0.25">
      <c r="A2298" s="23" t="s">
        <v>8811</v>
      </c>
      <c r="B2298" s="18" t="str">
        <f>VLOOKUP(A2298, 'Data Pull Sheet'!$B$2:$C$552,2,FALSE)</f>
        <v>BRFS</v>
      </c>
      <c r="C2298" s="59" t="s">
        <v>418</v>
      </c>
      <c r="D2298" s="356" t="s">
        <v>9100</v>
      </c>
      <c r="E2298" s="356" t="s">
        <v>9073</v>
      </c>
      <c r="F2298" s="23" t="s">
        <v>9454</v>
      </c>
      <c r="G2298" s="92" t="s">
        <v>403</v>
      </c>
      <c r="H2298" s="353">
        <v>15629</v>
      </c>
      <c r="I2298" s="59"/>
      <c r="J2298" s="18" t="s">
        <v>10086</v>
      </c>
      <c r="K2298" s="20"/>
      <c r="L2298" s="20"/>
      <c r="M2298" s="357"/>
      <c r="N2298" s="411"/>
      <c r="O2298" s="23" t="s">
        <v>79</v>
      </c>
      <c r="P2298" s="92" t="s">
        <v>632</v>
      </c>
      <c r="Q2298" s="92" t="s">
        <v>662</v>
      </c>
      <c r="R2298" s="372" t="str">
        <f t="shared" si="66"/>
        <v/>
      </c>
    </row>
    <row r="2299" spans="1:18" x14ac:dyDescent="0.25">
      <c r="A2299" s="23" t="s">
        <v>8811</v>
      </c>
      <c r="B2299" s="18" t="str">
        <f>VLOOKUP(A2299, 'Data Pull Sheet'!$B$2:$C$552,2,FALSE)</f>
        <v>BRFS</v>
      </c>
      <c r="C2299" s="59" t="s">
        <v>418</v>
      </c>
      <c r="D2299" s="356" t="s">
        <v>9100</v>
      </c>
      <c r="E2299" s="356" t="s">
        <v>9073</v>
      </c>
      <c r="F2299" s="23" t="s">
        <v>10863</v>
      </c>
      <c r="G2299" s="92" t="s">
        <v>403</v>
      </c>
      <c r="H2299" s="353">
        <v>12437</v>
      </c>
      <c r="I2299" s="59"/>
      <c r="J2299" s="18" t="s">
        <v>10087</v>
      </c>
      <c r="K2299" s="20"/>
      <c r="L2299" s="20"/>
      <c r="M2299" s="357"/>
      <c r="N2299" s="411"/>
      <c r="O2299" s="23" t="s">
        <v>79</v>
      </c>
      <c r="P2299" s="92" t="s">
        <v>632</v>
      </c>
      <c r="Q2299" s="92" t="s">
        <v>662</v>
      </c>
      <c r="R2299" s="372" t="str">
        <f t="shared" si="66"/>
        <v/>
      </c>
    </row>
    <row r="2300" spans="1:18" x14ac:dyDescent="0.25">
      <c r="A2300" s="23" t="s">
        <v>8811</v>
      </c>
      <c r="B2300" s="18" t="str">
        <f>VLOOKUP(A2300, 'Data Pull Sheet'!$B$2:$C$552,2,FALSE)</f>
        <v>BRFS</v>
      </c>
      <c r="C2300" s="59" t="s">
        <v>418</v>
      </c>
      <c r="D2300" s="356" t="s">
        <v>9100</v>
      </c>
      <c r="E2300" s="356" t="s">
        <v>9073</v>
      </c>
      <c r="F2300" s="23" t="s">
        <v>9455</v>
      </c>
      <c r="G2300" s="92" t="s">
        <v>417</v>
      </c>
      <c r="H2300" s="353">
        <v>248250</v>
      </c>
      <c r="I2300" s="59" t="s">
        <v>476</v>
      </c>
      <c r="J2300" s="18" t="s">
        <v>10088</v>
      </c>
      <c r="K2300" s="20"/>
      <c r="L2300" s="20">
        <v>2</v>
      </c>
      <c r="M2300" s="357">
        <f>SUM(H2300:H2301)</f>
        <v>879276.97</v>
      </c>
      <c r="N2300" s="411">
        <f>IFERROR((M2300/(VLOOKUP(B2300,'Data Pull Sheet'!$C:$H,6,FALSE))),"DC")</f>
        <v>1.6282906851851852E-3</v>
      </c>
      <c r="O2300" s="23" t="s">
        <v>1002</v>
      </c>
      <c r="P2300" s="92" t="s">
        <v>632</v>
      </c>
      <c r="Q2300" s="92" t="s">
        <v>640</v>
      </c>
      <c r="R2300" s="372" t="str">
        <f t="shared" si="66"/>
        <v/>
      </c>
    </row>
    <row r="2301" spans="1:18" x14ac:dyDescent="0.25">
      <c r="A2301" s="23" t="s">
        <v>8811</v>
      </c>
      <c r="B2301" s="18" t="str">
        <f>VLOOKUP(A2301, 'Data Pull Sheet'!$B$2:$C$552,2,FALSE)</f>
        <v>BRFS</v>
      </c>
      <c r="C2301" s="59" t="s">
        <v>418</v>
      </c>
      <c r="D2301" s="356" t="s">
        <v>9100</v>
      </c>
      <c r="E2301" s="356" t="s">
        <v>9073</v>
      </c>
      <c r="F2301" s="23" t="s">
        <v>9456</v>
      </c>
      <c r="G2301" s="92" t="s">
        <v>417</v>
      </c>
      <c r="H2301" s="353">
        <v>631026.97</v>
      </c>
      <c r="I2301" s="59" t="s">
        <v>476</v>
      </c>
      <c r="J2301" s="18" t="s">
        <v>10089</v>
      </c>
      <c r="K2301" s="20"/>
      <c r="L2301" s="20"/>
      <c r="M2301" s="357"/>
      <c r="N2301" s="411"/>
      <c r="O2301" s="23" t="s">
        <v>1002</v>
      </c>
      <c r="P2301" s="92" t="s">
        <v>632</v>
      </c>
      <c r="Q2301" s="92" t="s">
        <v>640</v>
      </c>
      <c r="R2301" s="372" t="str">
        <f t="shared" si="66"/>
        <v/>
      </c>
    </row>
    <row r="2302" spans="1:18" x14ac:dyDescent="0.25">
      <c r="A2302" s="23" t="s">
        <v>8811</v>
      </c>
      <c r="B2302" s="18" t="str">
        <f>VLOOKUP(A2302, 'Data Pull Sheet'!$B$2:$C$552,2,FALSE)</f>
        <v>BRFS</v>
      </c>
      <c r="C2302" s="59" t="s">
        <v>418</v>
      </c>
      <c r="D2302" s="356" t="s">
        <v>9100</v>
      </c>
      <c r="E2302" s="356" t="s">
        <v>9073</v>
      </c>
      <c r="F2302" s="23" t="s">
        <v>118</v>
      </c>
      <c r="G2302" s="92" t="s">
        <v>417</v>
      </c>
      <c r="H2302" s="353">
        <v>749857.61</v>
      </c>
      <c r="I2302" s="59"/>
      <c r="J2302" s="18" t="s">
        <v>10090</v>
      </c>
      <c r="K2302" s="20"/>
      <c r="L2302" s="20">
        <v>1</v>
      </c>
      <c r="M2302" s="357">
        <f>+H2302</f>
        <v>749857.61</v>
      </c>
      <c r="N2302" s="411">
        <f>IFERROR((M2302/(VLOOKUP(B2302,'Data Pull Sheet'!$C:$H,6,FALSE))),"DC")</f>
        <v>1.3886252037037037E-3</v>
      </c>
      <c r="O2302" s="23" t="s">
        <v>7</v>
      </c>
      <c r="P2302" s="92" t="s">
        <v>632</v>
      </c>
      <c r="Q2302" s="92" t="s">
        <v>633</v>
      </c>
      <c r="R2302" s="372" t="str">
        <f t="shared" si="66"/>
        <v>FF</v>
      </c>
    </row>
    <row r="2303" spans="1:18" x14ac:dyDescent="0.25">
      <c r="A2303" s="23" t="s">
        <v>8994</v>
      </c>
      <c r="B2303" s="18" t="str">
        <f>VLOOKUP(A2303, 'Data Pull Sheet'!$B$2:$C$552,2,FALSE)</f>
        <v>XIV</v>
      </c>
      <c r="C2303" s="59" t="s">
        <v>418</v>
      </c>
      <c r="D2303" s="356" t="s">
        <v>9098</v>
      </c>
      <c r="E2303" s="356" t="s">
        <v>9170</v>
      </c>
      <c r="F2303" s="23" t="s">
        <v>9435</v>
      </c>
      <c r="G2303" s="92" t="s">
        <v>403</v>
      </c>
      <c r="H2303" s="359">
        <f>M2303/2</f>
        <v>539169.4</v>
      </c>
      <c r="I2303" s="59"/>
      <c r="J2303" s="18" t="s">
        <v>10094</v>
      </c>
      <c r="K2303" s="20">
        <v>7</v>
      </c>
      <c r="L2303" s="20">
        <v>2</v>
      </c>
      <c r="M2303" s="357">
        <v>1078338.8</v>
      </c>
      <c r="N2303" s="411">
        <f>IFERROR((M2303/(VLOOKUP(B2303,'Data Pull Sheet'!$C:$H,6,FALSE))),"DC")</f>
        <v>5.9907711111111114E-4</v>
      </c>
      <c r="O2303" s="23" t="s">
        <v>9783</v>
      </c>
      <c r="P2303" s="92" t="s">
        <v>632</v>
      </c>
      <c r="Q2303" s="92" t="s">
        <v>646</v>
      </c>
      <c r="R2303" s="372" t="str">
        <f t="shared" si="66"/>
        <v/>
      </c>
    </row>
    <row r="2304" spans="1:18" x14ac:dyDescent="0.25">
      <c r="A2304" s="23" t="s">
        <v>8994</v>
      </c>
      <c r="B2304" s="18" t="str">
        <f>VLOOKUP(A2304, 'Data Pull Sheet'!$B$2:$C$552,2,FALSE)</f>
        <v>XIV</v>
      </c>
      <c r="C2304" s="59" t="s">
        <v>418</v>
      </c>
      <c r="D2304" s="356" t="s">
        <v>9098</v>
      </c>
      <c r="E2304" s="356" t="s">
        <v>9170</v>
      </c>
      <c r="F2304" s="23" t="s">
        <v>9436</v>
      </c>
      <c r="G2304" s="92" t="s">
        <v>403</v>
      </c>
      <c r="H2304" s="359">
        <f>M2303/2</f>
        <v>539169.4</v>
      </c>
      <c r="I2304" s="59"/>
      <c r="J2304" s="18" t="s">
        <v>10096</v>
      </c>
      <c r="K2304" s="20"/>
      <c r="L2304" s="20"/>
      <c r="M2304" s="357"/>
      <c r="N2304" s="411"/>
      <c r="O2304" s="23" t="s">
        <v>9783</v>
      </c>
      <c r="P2304" s="92" t="s">
        <v>632</v>
      </c>
      <c r="Q2304" s="92" t="s">
        <v>646</v>
      </c>
      <c r="R2304" s="372" t="str">
        <f t="shared" si="66"/>
        <v/>
      </c>
    </row>
    <row r="2305" spans="1:18" x14ac:dyDescent="0.25">
      <c r="A2305" s="23" t="s">
        <v>8994</v>
      </c>
      <c r="B2305" s="18" t="str">
        <f>VLOOKUP(A2305, 'Data Pull Sheet'!$B$2:$C$552,2,FALSE)</f>
        <v>XIV</v>
      </c>
      <c r="C2305" s="59" t="s">
        <v>418</v>
      </c>
      <c r="D2305" s="356" t="s">
        <v>9098</v>
      </c>
      <c r="E2305" s="356" t="s">
        <v>9170</v>
      </c>
      <c r="F2305" s="23" t="s">
        <v>9437</v>
      </c>
      <c r="G2305" s="92" t="s">
        <v>403</v>
      </c>
      <c r="H2305" s="353">
        <v>1744069.74</v>
      </c>
      <c r="I2305" s="59"/>
      <c r="J2305" s="18" t="s">
        <v>10097</v>
      </c>
      <c r="K2305" s="20"/>
      <c r="L2305" s="20">
        <v>5</v>
      </c>
      <c r="M2305" s="357">
        <f>SUM(H2305:H2309)</f>
        <v>12514005.15</v>
      </c>
      <c r="N2305" s="411">
        <f>IFERROR((M2305/(VLOOKUP(B2305,'Data Pull Sheet'!$C:$H,6,FALSE))),"DC")</f>
        <v>6.9522250833333335E-3</v>
      </c>
      <c r="O2305" s="23" t="s">
        <v>9784</v>
      </c>
      <c r="P2305" s="92" t="s">
        <v>632</v>
      </c>
      <c r="Q2305" s="92" t="s">
        <v>662</v>
      </c>
      <c r="R2305" s="372" t="str">
        <f t="shared" si="66"/>
        <v/>
      </c>
    </row>
    <row r="2306" spans="1:18" x14ac:dyDescent="0.25">
      <c r="A2306" s="23" t="s">
        <v>8994</v>
      </c>
      <c r="B2306" s="18" t="str">
        <f>VLOOKUP(A2306, 'Data Pull Sheet'!$B$2:$C$552,2,FALSE)</f>
        <v>XIV</v>
      </c>
      <c r="C2306" s="59" t="s">
        <v>418</v>
      </c>
      <c r="D2306" s="356" t="s">
        <v>9098</v>
      </c>
      <c r="E2306" s="356" t="s">
        <v>9170</v>
      </c>
      <c r="F2306" s="23" t="s">
        <v>9438</v>
      </c>
      <c r="G2306" s="92" t="s">
        <v>403</v>
      </c>
      <c r="H2306" s="353">
        <v>2689815.5</v>
      </c>
      <c r="I2306" s="59"/>
      <c r="J2306" s="18" t="s">
        <v>10098</v>
      </c>
      <c r="K2306" s="20"/>
      <c r="L2306" s="20"/>
      <c r="M2306" s="357"/>
      <c r="N2306" s="411"/>
      <c r="O2306" s="23" t="s">
        <v>9784</v>
      </c>
      <c r="P2306" s="92" t="s">
        <v>632</v>
      </c>
      <c r="Q2306" s="92" t="s">
        <v>662</v>
      </c>
      <c r="R2306" s="372" t="str">
        <f t="shared" ref="R2306:R2369" si="68">IF(COUNTIF(F:F,F2306)&gt;=2,"FF","")</f>
        <v/>
      </c>
    </row>
    <row r="2307" spans="1:18" x14ac:dyDescent="0.25">
      <c r="A2307" s="23" t="s">
        <v>8994</v>
      </c>
      <c r="B2307" s="18" t="str">
        <f>VLOOKUP(A2307, 'Data Pull Sheet'!$B$2:$C$552,2,FALSE)</f>
        <v>XIV</v>
      </c>
      <c r="C2307" s="59" t="s">
        <v>418</v>
      </c>
      <c r="D2307" s="356" t="s">
        <v>9098</v>
      </c>
      <c r="E2307" s="356" t="s">
        <v>9170</v>
      </c>
      <c r="F2307" s="23" t="s">
        <v>9439</v>
      </c>
      <c r="G2307" s="92" t="s">
        <v>403</v>
      </c>
      <c r="H2307" s="353">
        <v>3683445.9</v>
      </c>
      <c r="I2307" s="59"/>
      <c r="J2307" s="18" t="s">
        <v>10095</v>
      </c>
      <c r="K2307" s="20"/>
      <c r="L2307" s="20"/>
      <c r="M2307" s="357"/>
      <c r="N2307" s="411"/>
      <c r="O2307" s="23" t="s">
        <v>9784</v>
      </c>
      <c r="P2307" s="92" t="s">
        <v>632</v>
      </c>
      <c r="Q2307" s="92" t="s">
        <v>662</v>
      </c>
      <c r="R2307" s="372" t="str">
        <f t="shared" si="68"/>
        <v/>
      </c>
    </row>
    <row r="2308" spans="1:18" x14ac:dyDescent="0.25">
      <c r="A2308" s="23" t="s">
        <v>8994</v>
      </c>
      <c r="B2308" s="18" t="str">
        <f>VLOOKUP(A2308, 'Data Pull Sheet'!$B$2:$C$552,2,FALSE)</f>
        <v>XIV</v>
      </c>
      <c r="C2308" s="59" t="s">
        <v>418</v>
      </c>
      <c r="D2308" s="356" t="s">
        <v>9098</v>
      </c>
      <c r="E2308" s="356" t="s">
        <v>9170</v>
      </c>
      <c r="F2308" s="23" t="s">
        <v>9440</v>
      </c>
      <c r="G2308" s="92" t="s">
        <v>403</v>
      </c>
      <c r="H2308" s="353">
        <v>1866570.03</v>
      </c>
      <c r="I2308" s="59"/>
      <c r="J2308" s="18" t="s">
        <v>10099</v>
      </c>
      <c r="K2308" s="20"/>
      <c r="L2308" s="20"/>
      <c r="M2308" s="357"/>
      <c r="N2308" s="411"/>
      <c r="O2308" s="23" t="s">
        <v>9784</v>
      </c>
      <c r="P2308" s="92" t="s">
        <v>632</v>
      </c>
      <c r="Q2308" s="92" t="s">
        <v>662</v>
      </c>
      <c r="R2308" s="372" t="str">
        <f t="shared" si="68"/>
        <v/>
      </c>
    </row>
    <row r="2309" spans="1:18" x14ac:dyDescent="0.25">
      <c r="A2309" s="23" t="s">
        <v>8994</v>
      </c>
      <c r="B2309" s="18" t="str">
        <f>VLOOKUP(A2309, 'Data Pull Sheet'!$B$2:$C$552,2,FALSE)</f>
        <v>XIV</v>
      </c>
      <c r="C2309" s="59" t="s">
        <v>418</v>
      </c>
      <c r="D2309" s="356" t="s">
        <v>9098</v>
      </c>
      <c r="E2309" s="356" t="s">
        <v>9170</v>
      </c>
      <c r="F2309" s="23" t="s">
        <v>9441</v>
      </c>
      <c r="G2309" s="92" t="s">
        <v>417</v>
      </c>
      <c r="H2309" s="353">
        <v>2530103.98</v>
      </c>
      <c r="I2309" s="59"/>
      <c r="J2309" s="18" t="s">
        <v>10100</v>
      </c>
      <c r="K2309" s="20"/>
      <c r="L2309" s="20"/>
      <c r="M2309" s="357"/>
      <c r="N2309" s="411"/>
      <c r="O2309" s="23" t="s">
        <v>9784</v>
      </c>
      <c r="P2309" s="92" t="s">
        <v>632</v>
      </c>
      <c r="Q2309" s="92" t="s">
        <v>662</v>
      </c>
      <c r="R2309" s="372" t="str">
        <f t="shared" si="68"/>
        <v/>
      </c>
    </row>
    <row r="2310" spans="1:18" ht="30" x14ac:dyDescent="0.25">
      <c r="A2310" s="23" t="s">
        <v>8994</v>
      </c>
      <c r="B2310" s="18" t="str">
        <f>VLOOKUP(A2310, 'Data Pull Sheet'!$B$2:$C$552,2,FALSE)</f>
        <v>XIV</v>
      </c>
      <c r="C2310" s="59" t="s">
        <v>418</v>
      </c>
      <c r="D2310" s="356" t="s">
        <v>9098</v>
      </c>
      <c r="E2310" s="356" t="s">
        <v>9170</v>
      </c>
      <c r="F2310" s="23" t="s">
        <v>9442</v>
      </c>
      <c r="G2310" s="92" t="s">
        <v>417</v>
      </c>
      <c r="H2310" s="353">
        <v>10250986.789999999</v>
      </c>
      <c r="I2310" s="59"/>
      <c r="J2310" s="18" t="s">
        <v>10091</v>
      </c>
      <c r="K2310" s="20"/>
      <c r="L2310" s="20">
        <v>1</v>
      </c>
      <c r="M2310" s="357">
        <f>+H2310</f>
        <v>10250986.789999999</v>
      </c>
      <c r="N2310" s="411">
        <f>IFERROR((M2310/(VLOOKUP(B2310,'Data Pull Sheet'!$C:$H,6,FALSE))),"DC")</f>
        <v>5.6949926611111106E-3</v>
      </c>
      <c r="O2310" s="23" t="s">
        <v>9785</v>
      </c>
      <c r="P2310" s="92" t="s">
        <v>632</v>
      </c>
      <c r="Q2310" s="92" t="s">
        <v>633</v>
      </c>
      <c r="R2310" s="372" t="str">
        <f t="shared" si="68"/>
        <v/>
      </c>
    </row>
    <row r="2311" spans="1:18" x14ac:dyDescent="0.25">
      <c r="A2311" s="23" t="s">
        <v>8994</v>
      </c>
      <c r="B2311" s="18" t="str">
        <f>VLOOKUP(A2311, 'Data Pull Sheet'!$B$2:$C$552,2,FALSE)</f>
        <v>XIV</v>
      </c>
      <c r="C2311" s="59" t="s">
        <v>418</v>
      </c>
      <c r="D2311" s="356" t="s">
        <v>9098</v>
      </c>
      <c r="E2311" s="356" t="s">
        <v>9170</v>
      </c>
      <c r="F2311" s="23" t="s">
        <v>9443</v>
      </c>
      <c r="G2311" s="92" t="s">
        <v>417</v>
      </c>
      <c r="H2311" s="353">
        <v>4257322</v>
      </c>
      <c r="I2311" s="59" t="s">
        <v>413</v>
      </c>
      <c r="J2311" s="18" t="s">
        <v>10092</v>
      </c>
      <c r="K2311" s="20"/>
      <c r="L2311" s="20">
        <v>1</v>
      </c>
      <c r="M2311" s="357">
        <f>+H2311</f>
        <v>4257322</v>
      </c>
      <c r="N2311" s="411">
        <f>IFERROR((M2311/(VLOOKUP(B2311,'Data Pull Sheet'!$C:$H,6,FALSE))),"DC")</f>
        <v>2.365178888888889E-3</v>
      </c>
      <c r="O2311" s="23" t="s">
        <v>9786</v>
      </c>
      <c r="P2311" s="92" t="s">
        <v>632</v>
      </c>
      <c r="Q2311" s="92" t="s">
        <v>633</v>
      </c>
      <c r="R2311" s="372" t="str">
        <f t="shared" si="68"/>
        <v/>
      </c>
    </row>
    <row r="2312" spans="1:18" ht="30" x14ac:dyDescent="0.25">
      <c r="A2312" s="23" t="s">
        <v>8994</v>
      </c>
      <c r="B2312" s="18" t="str">
        <f>VLOOKUP(A2312, 'Data Pull Sheet'!$B$2:$C$552,2,FALSE)</f>
        <v>XIV</v>
      </c>
      <c r="C2312" s="59" t="s">
        <v>418</v>
      </c>
      <c r="D2312" s="356" t="s">
        <v>9098</v>
      </c>
      <c r="E2312" s="356" t="s">
        <v>9170</v>
      </c>
      <c r="F2312" s="23" t="s">
        <v>9444</v>
      </c>
      <c r="G2312" s="92" t="s">
        <v>417</v>
      </c>
      <c r="H2312" s="353">
        <v>7715625.7300000004</v>
      </c>
      <c r="I2312" s="59" t="s">
        <v>406</v>
      </c>
      <c r="J2312" s="18" t="s">
        <v>10101</v>
      </c>
      <c r="K2312" s="20"/>
      <c r="L2312" s="20">
        <v>5</v>
      </c>
      <c r="M2312" s="357">
        <f>SUM(H2312:H2316)</f>
        <v>14383668.050000001</v>
      </c>
      <c r="N2312" s="411">
        <f>IFERROR((M2312/(VLOOKUP(B2312,'Data Pull Sheet'!$C:$H,6,FALSE))),"DC")</f>
        <v>7.9909266944444453E-3</v>
      </c>
      <c r="O2312" s="23" t="s">
        <v>9787</v>
      </c>
      <c r="P2312" s="92" t="s">
        <v>632</v>
      </c>
      <c r="Q2312" s="92" t="s">
        <v>662</v>
      </c>
      <c r="R2312" s="372" t="str">
        <f t="shared" si="68"/>
        <v/>
      </c>
    </row>
    <row r="2313" spans="1:18" ht="30" x14ac:dyDescent="0.25">
      <c r="A2313" s="23" t="s">
        <v>8994</v>
      </c>
      <c r="B2313" s="18" t="str">
        <f>VLOOKUP(A2313, 'Data Pull Sheet'!$B$2:$C$552,2,FALSE)</f>
        <v>XIV</v>
      </c>
      <c r="C2313" s="59" t="s">
        <v>418</v>
      </c>
      <c r="D2313" s="356" t="s">
        <v>9098</v>
      </c>
      <c r="E2313" s="356" t="s">
        <v>9170</v>
      </c>
      <c r="F2313" s="23" t="s">
        <v>9445</v>
      </c>
      <c r="G2313" s="92" t="s">
        <v>403</v>
      </c>
      <c r="H2313" s="353">
        <v>1123247.68</v>
      </c>
      <c r="I2313" s="59" t="s">
        <v>406</v>
      </c>
      <c r="J2313" s="18" t="s">
        <v>10102</v>
      </c>
      <c r="K2313" s="20"/>
      <c r="L2313" s="20"/>
      <c r="M2313" s="357"/>
      <c r="N2313" s="411"/>
      <c r="O2313" s="23" t="s">
        <v>9787</v>
      </c>
      <c r="P2313" s="92" t="s">
        <v>632</v>
      </c>
      <c r="Q2313" s="92" t="s">
        <v>662</v>
      </c>
      <c r="R2313" s="372" t="str">
        <f t="shared" si="68"/>
        <v/>
      </c>
    </row>
    <row r="2314" spans="1:18" ht="30" x14ac:dyDescent="0.25">
      <c r="A2314" s="23" t="s">
        <v>8994</v>
      </c>
      <c r="B2314" s="18" t="str">
        <f>VLOOKUP(A2314, 'Data Pull Sheet'!$B$2:$C$552,2,FALSE)</f>
        <v>XIV</v>
      </c>
      <c r="C2314" s="59" t="s">
        <v>418</v>
      </c>
      <c r="D2314" s="356" t="s">
        <v>9098</v>
      </c>
      <c r="E2314" s="356" t="s">
        <v>9170</v>
      </c>
      <c r="F2314" s="23" t="s">
        <v>9446</v>
      </c>
      <c r="G2314" s="92" t="s">
        <v>403</v>
      </c>
      <c r="H2314" s="353">
        <v>1709015.8</v>
      </c>
      <c r="I2314" s="59" t="s">
        <v>406</v>
      </c>
      <c r="J2314" s="18" t="s">
        <v>10103</v>
      </c>
      <c r="K2314" s="20"/>
      <c r="L2314" s="20"/>
      <c r="M2314" s="357"/>
      <c r="N2314" s="411"/>
      <c r="O2314" s="23" t="s">
        <v>9787</v>
      </c>
      <c r="P2314" s="92" t="s">
        <v>632</v>
      </c>
      <c r="Q2314" s="92" t="s">
        <v>662</v>
      </c>
      <c r="R2314" s="372" t="str">
        <f t="shared" si="68"/>
        <v/>
      </c>
    </row>
    <row r="2315" spans="1:18" ht="30" x14ac:dyDescent="0.25">
      <c r="A2315" s="23" t="s">
        <v>8994</v>
      </c>
      <c r="B2315" s="18" t="str">
        <f>VLOOKUP(A2315, 'Data Pull Sheet'!$B$2:$C$552,2,FALSE)</f>
        <v>XIV</v>
      </c>
      <c r="C2315" s="59" t="s">
        <v>418</v>
      </c>
      <c r="D2315" s="356" t="s">
        <v>9098</v>
      </c>
      <c r="E2315" s="356" t="s">
        <v>9170</v>
      </c>
      <c r="F2315" s="23" t="s">
        <v>9447</v>
      </c>
      <c r="G2315" s="92" t="s">
        <v>417</v>
      </c>
      <c r="H2315" s="353">
        <v>2181399.2799999998</v>
      </c>
      <c r="I2315" s="59" t="s">
        <v>406</v>
      </c>
      <c r="J2315" s="18" t="s">
        <v>10104</v>
      </c>
      <c r="K2315" s="20"/>
      <c r="L2315" s="20"/>
      <c r="M2315" s="357"/>
      <c r="N2315" s="411"/>
      <c r="O2315" s="23" t="s">
        <v>9787</v>
      </c>
      <c r="P2315" s="92" t="s">
        <v>632</v>
      </c>
      <c r="Q2315" s="92" t="s">
        <v>662</v>
      </c>
      <c r="R2315" s="372" t="str">
        <f t="shared" si="68"/>
        <v/>
      </c>
    </row>
    <row r="2316" spans="1:18" ht="30" x14ac:dyDescent="0.25">
      <c r="A2316" s="23" t="s">
        <v>8994</v>
      </c>
      <c r="B2316" s="18" t="str">
        <f>VLOOKUP(A2316, 'Data Pull Sheet'!$B$2:$C$552,2,FALSE)</f>
        <v>XIV</v>
      </c>
      <c r="C2316" s="59" t="s">
        <v>418</v>
      </c>
      <c r="D2316" s="356" t="s">
        <v>9098</v>
      </c>
      <c r="E2316" s="356" t="s">
        <v>9170</v>
      </c>
      <c r="F2316" s="23" t="s">
        <v>9448</v>
      </c>
      <c r="G2316" s="92" t="s">
        <v>403</v>
      </c>
      <c r="H2316" s="353">
        <v>1654379.56</v>
      </c>
      <c r="I2316" s="59" t="s">
        <v>406</v>
      </c>
      <c r="J2316" s="18" t="s">
        <v>10105</v>
      </c>
      <c r="K2316" s="20"/>
      <c r="L2316" s="20"/>
      <c r="M2316" s="357"/>
      <c r="N2316" s="411"/>
      <c r="O2316" s="23" t="s">
        <v>9787</v>
      </c>
      <c r="P2316" s="92" t="s">
        <v>632</v>
      </c>
      <c r="Q2316" s="92" t="s">
        <v>662</v>
      </c>
      <c r="R2316" s="372" t="str">
        <f t="shared" si="68"/>
        <v/>
      </c>
    </row>
    <row r="2317" spans="1:18" x14ac:dyDescent="0.25">
      <c r="A2317" s="23" t="s">
        <v>8994</v>
      </c>
      <c r="B2317" s="18" t="str">
        <f>VLOOKUP(A2317, 'Data Pull Sheet'!$B$2:$C$552,2,FALSE)</f>
        <v>XIV</v>
      </c>
      <c r="C2317" s="59" t="s">
        <v>418</v>
      </c>
      <c r="D2317" s="356" t="s">
        <v>9098</v>
      </c>
      <c r="E2317" s="356" t="s">
        <v>9170</v>
      </c>
      <c r="F2317" s="23" t="s">
        <v>9449</v>
      </c>
      <c r="G2317" s="92" t="s">
        <v>417</v>
      </c>
      <c r="H2317" s="353">
        <v>2202906.0099999998</v>
      </c>
      <c r="I2317" s="59" t="s">
        <v>406</v>
      </c>
      <c r="J2317" s="18" t="s">
        <v>10106</v>
      </c>
      <c r="K2317" s="20"/>
      <c r="L2317" s="20">
        <v>1</v>
      </c>
      <c r="M2317" s="357">
        <f>+H2317</f>
        <v>2202906.0099999998</v>
      </c>
      <c r="N2317" s="411">
        <f>IFERROR((M2317/(VLOOKUP(B2317,'Data Pull Sheet'!$C:$H,6,FALSE))),"DC")</f>
        <v>1.2238366722222222E-3</v>
      </c>
      <c r="O2317" s="23" t="s">
        <v>309</v>
      </c>
      <c r="P2317" s="92" t="s">
        <v>632</v>
      </c>
      <c r="Q2317" s="92" t="s">
        <v>633</v>
      </c>
      <c r="R2317" s="372" t="str">
        <f t="shared" si="68"/>
        <v/>
      </c>
    </row>
    <row r="2318" spans="1:18" x14ac:dyDescent="0.25">
      <c r="A2318" s="23" t="s">
        <v>8994</v>
      </c>
      <c r="B2318" s="18" t="str">
        <f>VLOOKUP(A2318, 'Data Pull Sheet'!$B$2:$C$552,2,FALSE)</f>
        <v>XIV</v>
      </c>
      <c r="C2318" s="59" t="s">
        <v>418</v>
      </c>
      <c r="D2318" s="356" t="s">
        <v>9098</v>
      </c>
      <c r="E2318" s="356" t="s">
        <v>9170</v>
      </c>
      <c r="F2318" s="23" t="s">
        <v>9450</v>
      </c>
      <c r="G2318" s="92" t="s">
        <v>403</v>
      </c>
      <c r="H2318" s="353">
        <v>3828330.7</v>
      </c>
      <c r="I2318" s="59"/>
      <c r="J2318" s="18" t="s">
        <v>10093</v>
      </c>
      <c r="K2318" s="20"/>
      <c r="L2318" s="20">
        <v>1</v>
      </c>
      <c r="M2318" s="357">
        <f>+H2318</f>
        <v>3828330.7</v>
      </c>
      <c r="N2318" s="411">
        <f>IFERROR((M2318/(VLOOKUP(B2318,'Data Pull Sheet'!$C:$H,6,FALSE))),"DC")</f>
        <v>2.126850388888889E-3</v>
      </c>
      <c r="O2318" s="23" t="s">
        <v>1002</v>
      </c>
      <c r="P2318" s="92" t="s">
        <v>632</v>
      </c>
      <c r="Q2318" s="92" t="s">
        <v>637</v>
      </c>
      <c r="R2318" s="372" t="str">
        <f t="shared" si="68"/>
        <v/>
      </c>
    </row>
    <row r="2319" spans="1:18" x14ac:dyDescent="0.25">
      <c r="A2319" s="23" t="s">
        <v>8819</v>
      </c>
      <c r="B2319" s="18" t="str">
        <f>VLOOKUP(A2319, 'Data Pull Sheet'!$B$2:$C$552,2,FALSE)</f>
        <v>CX</v>
      </c>
      <c r="C2319" s="59" t="s">
        <v>418</v>
      </c>
      <c r="D2319" s="356" t="s">
        <v>9097</v>
      </c>
      <c r="E2319" s="356" t="s">
        <v>9169</v>
      </c>
      <c r="F2319" s="23" t="s">
        <v>9431</v>
      </c>
      <c r="G2319" s="92" t="s">
        <v>403</v>
      </c>
      <c r="H2319" s="353">
        <v>88795.5</v>
      </c>
      <c r="I2319" s="59"/>
      <c r="J2319" s="18" t="s">
        <v>10107</v>
      </c>
      <c r="K2319" s="20">
        <v>3</v>
      </c>
      <c r="L2319" s="20">
        <v>1</v>
      </c>
      <c r="M2319" s="357">
        <f>+H2319</f>
        <v>88795.5</v>
      </c>
      <c r="N2319" s="411">
        <f>IFERROR((M2319/(VLOOKUP(B2319,'Data Pull Sheet'!$C:$H,6,FALSE))),"DC")</f>
        <v>5.9197000000000004E-4</v>
      </c>
      <c r="O2319" s="23" t="s">
        <v>682</v>
      </c>
      <c r="P2319" s="92" t="s">
        <v>632</v>
      </c>
      <c r="Q2319" s="92" t="s">
        <v>637</v>
      </c>
      <c r="R2319" s="372" t="str">
        <f t="shared" si="68"/>
        <v/>
      </c>
    </row>
    <row r="2320" spans="1:18" x14ac:dyDescent="0.25">
      <c r="A2320" s="23" t="s">
        <v>8819</v>
      </c>
      <c r="B2320" s="18" t="str">
        <f>VLOOKUP(A2320, 'Data Pull Sheet'!$B$2:$C$552,2,FALSE)</f>
        <v>CX</v>
      </c>
      <c r="C2320" s="59" t="s">
        <v>418</v>
      </c>
      <c r="D2320" s="356" t="s">
        <v>9097</v>
      </c>
      <c r="E2320" s="356" t="s">
        <v>9169</v>
      </c>
      <c r="F2320" s="23" t="s">
        <v>9432</v>
      </c>
      <c r="G2320" s="92" t="s">
        <v>417</v>
      </c>
      <c r="H2320" s="353">
        <v>206154.01</v>
      </c>
      <c r="I2320" s="59"/>
      <c r="J2320" s="18" t="s">
        <v>10108</v>
      </c>
      <c r="K2320" s="20"/>
      <c r="L2320" s="20">
        <v>1</v>
      </c>
      <c r="M2320" s="357">
        <f>+H2320</f>
        <v>206154.01</v>
      </c>
      <c r="N2320" s="411">
        <f>IFERROR((M2320/(VLOOKUP(B2320,'Data Pull Sheet'!$C:$H,6,FALSE))),"DC")</f>
        <v>1.3743600666666668E-3</v>
      </c>
      <c r="O2320" s="23" t="s">
        <v>9782</v>
      </c>
      <c r="P2320" s="92" t="s">
        <v>632</v>
      </c>
      <c r="Q2320" s="92" t="s">
        <v>633</v>
      </c>
      <c r="R2320" s="372" t="str">
        <f t="shared" si="68"/>
        <v/>
      </c>
    </row>
    <row r="2321" spans="1:18" x14ac:dyDescent="0.25">
      <c r="A2321" s="23" t="s">
        <v>8819</v>
      </c>
      <c r="B2321" s="18" t="str">
        <f>VLOOKUP(A2321, 'Data Pull Sheet'!$B$2:$C$552,2,FALSE)</f>
        <v>CX</v>
      </c>
      <c r="C2321" s="59" t="s">
        <v>418</v>
      </c>
      <c r="D2321" s="356" t="s">
        <v>9097</v>
      </c>
      <c r="E2321" s="356" t="s">
        <v>9169</v>
      </c>
      <c r="F2321" s="23" t="s">
        <v>9433</v>
      </c>
      <c r="G2321" s="92" t="s">
        <v>403</v>
      </c>
      <c r="H2321" s="353">
        <v>531815</v>
      </c>
      <c r="I2321" s="59"/>
      <c r="J2321" s="18" t="s">
        <v>10111</v>
      </c>
      <c r="K2321" s="20"/>
      <c r="L2321" s="20">
        <v>2</v>
      </c>
      <c r="M2321" s="357">
        <f>SUM(H2321:H2322)</f>
        <v>621311</v>
      </c>
      <c r="N2321" s="411">
        <f>IFERROR((M2321/(VLOOKUP(B2321,'Data Pull Sheet'!$C:$H,6,FALSE))),"DC")</f>
        <v>4.1420733333333336E-3</v>
      </c>
      <c r="O2321" s="23" t="s">
        <v>1204</v>
      </c>
      <c r="P2321" s="92" t="s">
        <v>632</v>
      </c>
      <c r="Q2321" s="92" t="s">
        <v>646</v>
      </c>
      <c r="R2321" s="372" t="str">
        <f t="shared" si="68"/>
        <v/>
      </c>
    </row>
    <row r="2322" spans="1:18" x14ac:dyDescent="0.25">
      <c r="A2322" s="23" t="s">
        <v>8819</v>
      </c>
      <c r="B2322" s="18" t="str">
        <f>VLOOKUP(A2322, 'Data Pull Sheet'!$B$2:$C$552,2,FALSE)</f>
        <v>CX</v>
      </c>
      <c r="C2322" s="59" t="s">
        <v>418</v>
      </c>
      <c r="D2322" s="356" t="s">
        <v>9097</v>
      </c>
      <c r="E2322" s="356" t="s">
        <v>9169</v>
      </c>
      <c r="F2322" s="23" t="s">
        <v>9434</v>
      </c>
      <c r="G2322" s="92" t="s">
        <v>403</v>
      </c>
      <c r="H2322" s="353">
        <v>89496</v>
      </c>
      <c r="I2322" s="59"/>
      <c r="J2322" s="18" t="s">
        <v>10112</v>
      </c>
      <c r="K2322" s="20"/>
      <c r="L2322" s="20"/>
      <c r="M2322" s="357"/>
      <c r="N2322" s="411"/>
      <c r="O2322" s="23" t="s">
        <v>1204</v>
      </c>
      <c r="P2322" s="92" t="s">
        <v>632</v>
      </c>
      <c r="Q2322" s="92" t="s">
        <v>646</v>
      </c>
      <c r="R2322" s="372" t="str">
        <f t="shared" si="68"/>
        <v/>
      </c>
    </row>
    <row r="2323" spans="1:18" x14ac:dyDescent="0.25">
      <c r="A2323" s="23" t="s">
        <v>1819</v>
      </c>
      <c r="B2323" s="18" t="s">
        <v>10532</v>
      </c>
      <c r="C2323" s="59" t="s">
        <v>457</v>
      </c>
      <c r="D2323" s="356" t="s">
        <v>9096</v>
      </c>
      <c r="E2323" s="356" t="s">
        <v>9069</v>
      </c>
      <c r="F2323" s="23" t="s">
        <v>9428</v>
      </c>
      <c r="G2323" s="92" t="s">
        <v>403</v>
      </c>
      <c r="H2323" s="353">
        <v>126046</v>
      </c>
      <c r="I2323" s="59"/>
      <c r="J2323" s="18" t="s">
        <v>10109</v>
      </c>
      <c r="K2323" s="20">
        <v>4</v>
      </c>
      <c r="L2323" s="20">
        <v>1</v>
      </c>
      <c r="M2323" s="357">
        <f>+H2323</f>
        <v>126046</v>
      </c>
      <c r="N2323" s="411">
        <f>IFERROR((M2323/(VLOOKUP(B2323,'Data Pull Sheet'!$C:$H,6,FALSE))),"DC")</f>
        <v>1.0503833333333333E-5</v>
      </c>
      <c r="O2323" s="23" t="s">
        <v>597</v>
      </c>
      <c r="P2323" s="92" t="s">
        <v>632</v>
      </c>
      <c r="Q2323" s="92" t="s">
        <v>637</v>
      </c>
      <c r="R2323" s="372" t="str">
        <f t="shared" si="68"/>
        <v/>
      </c>
    </row>
    <row r="2324" spans="1:18" ht="30" x14ac:dyDescent="0.25">
      <c r="A2324" s="23" t="s">
        <v>1819</v>
      </c>
      <c r="B2324" s="18" t="s">
        <v>10532</v>
      </c>
      <c r="C2324" s="59" t="s">
        <v>457</v>
      </c>
      <c r="D2324" s="356" t="s">
        <v>9096</v>
      </c>
      <c r="E2324" s="356" t="s">
        <v>9069</v>
      </c>
      <c r="F2324" s="23" t="s">
        <v>12</v>
      </c>
      <c r="G2324" s="92" t="s">
        <v>417</v>
      </c>
      <c r="H2324" s="353">
        <v>621751.94999999995</v>
      </c>
      <c r="I2324" s="59" t="s">
        <v>413</v>
      </c>
      <c r="J2324" s="18" t="s">
        <v>10113</v>
      </c>
      <c r="K2324" s="20"/>
      <c r="L2324" s="20">
        <v>1</v>
      </c>
      <c r="M2324" s="357">
        <f>+H2324</f>
        <v>621751.94999999995</v>
      </c>
      <c r="N2324" s="411">
        <f>IFERROR((M2324/(VLOOKUP(B2324,'Data Pull Sheet'!$C:$H,6,FALSE))),"DC")</f>
        <v>5.1812662499999993E-5</v>
      </c>
      <c r="O2324" s="23" t="s">
        <v>7</v>
      </c>
      <c r="P2324" s="92" t="s">
        <v>632</v>
      </c>
      <c r="Q2324" s="92" t="s">
        <v>633</v>
      </c>
      <c r="R2324" s="372" t="str">
        <f t="shared" si="68"/>
        <v>FF</v>
      </c>
    </row>
    <row r="2325" spans="1:18" x14ac:dyDescent="0.25">
      <c r="A2325" s="23" t="s">
        <v>1819</v>
      </c>
      <c r="B2325" s="18" t="s">
        <v>10532</v>
      </c>
      <c r="C2325" s="59" t="s">
        <v>457</v>
      </c>
      <c r="D2325" s="356" t="s">
        <v>9096</v>
      </c>
      <c r="E2325" s="356" t="s">
        <v>9069</v>
      </c>
      <c r="F2325" s="23" t="s">
        <v>9429</v>
      </c>
      <c r="G2325" s="92" t="s">
        <v>403</v>
      </c>
      <c r="H2325" s="353">
        <v>43536</v>
      </c>
      <c r="I2325" s="59"/>
      <c r="J2325" s="18" t="s">
        <v>10114</v>
      </c>
      <c r="K2325" s="20"/>
      <c r="L2325" s="20">
        <v>3</v>
      </c>
      <c r="M2325" s="357">
        <f>SUM(H2325:H2327)</f>
        <v>150302</v>
      </c>
      <c r="N2325" s="411">
        <f>IFERROR((M2325/(VLOOKUP(B2325,'Data Pull Sheet'!$C:$H,6,FALSE))),"DC")</f>
        <v>1.2525166666666667E-5</v>
      </c>
      <c r="O2325" s="23" t="s">
        <v>79</v>
      </c>
      <c r="P2325" s="92" t="s">
        <v>632</v>
      </c>
      <c r="Q2325" s="92" t="s">
        <v>662</v>
      </c>
      <c r="R2325" s="372" t="str">
        <f t="shared" si="68"/>
        <v/>
      </c>
    </row>
    <row r="2326" spans="1:18" x14ac:dyDescent="0.25">
      <c r="A2326" s="23" t="s">
        <v>1819</v>
      </c>
      <c r="B2326" s="18" t="s">
        <v>10532</v>
      </c>
      <c r="C2326" s="59" t="s">
        <v>457</v>
      </c>
      <c r="D2326" s="356" t="s">
        <v>9096</v>
      </c>
      <c r="E2326" s="356" t="s">
        <v>9069</v>
      </c>
      <c r="F2326" s="23" t="s">
        <v>9430</v>
      </c>
      <c r="G2326" s="92" t="s">
        <v>403</v>
      </c>
      <c r="H2326" s="353">
        <v>65844</v>
      </c>
      <c r="I2326" s="59"/>
      <c r="J2326" s="18" t="s">
        <v>10115</v>
      </c>
      <c r="K2326" s="20"/>
      <c r="L2326" s="20"/>
      <c r="M2326" s="357"/>
      <c r="N2326" s="411"/>
      <c r="O2326" s="23" t="s">
        <v>79</v>
      </c>
      <c r="P2326" s="92" t="s">
        <v>632</v>
      </c>
      <c r="Q2326" s="92" t="s">
        <v>662</v>
      </c>
      <c r="R2326" s="372" t="str">
        <f t="shared" si="68"/>
        <v/>
      </c>
    </row>
    <row r="2327" spans="1:18" x14ac:dyDescent="0.25">
      <c r="A2327" s="23" t="s">
        <v>1819</v>
      </c>
      <c r="B2327" s="18" t="s">
        <v>10532</v>
      </c>
      <c r="C2327" s="59" t="s">
        <v>457</v>
      </c>
      <c r="D2327" s="356" t="s">
        <v>9096</v>
      </c>
      <c r="E2327" s="356" t="s">
        <v>9069</v>
      </c>
      <c r="F2327" s="23" t="s">
        <v>2739</v>
      </c>
      <c r="G2327" s="92" t="s">
        <v>417</v>
      </c>
      <c r="H2327" s="353">
        <v>40922</v>
      </c>
      <c r="I2327" s="59"/>
      <c r="J2327" s="18" t="s">
        <v>10116</v>
      </c>
      <c r="K2327" s="20"/>
      <c r="L2327" s="20"/>
      <c r="M2327" s="357"/>
      <c r="N2327" s="411"/>
      <c r="O2327" s="23" t="s">
        <v>79</v>
      </c>
      <c r="P2327" s="92" t="s">
        <v>632</v>
      </c>
      <c r="Q2327" s="92" t="s">
        <v>662</v>
      </c>
      <c r="R2327" s="372" t="str">
        <f t="shared" si="68"/>
        <v>FF</v>
      </c>
    </row>
    <row r="2328" spans="1:18" x14ac:dyDescent="0.25">
      <c r="A2328" s="23" t="s">
        <v>1819</v>
      </c>
      <c r="B2328" s="18" t="s">
        <v>10532</v>
      </c>
      <c r="C2328" s="59" t="s">
        <v>457</v>
      </c>
      <c r="D2328" s="356" t="s">
        <v>9096</v>
      </c>
      <c r="E2328" s="356" t="s">
        <v>9069</v>
      </c>
      <c r="F2328" s="23" t="s">
        <v>249</v>
      </c>
      <c r="G2328" s="92" t="s">
        <v>417</v>
      </c>
      <c r="H2328" s="353">
        <v>1548943</v>
      </c>
      <c r="I2328" s="59" t="s">
        <v>406</v>
      </c>
      <c r="J2328" s="18" t="s">
        <v>10117</v>
      </c>
      <c r="K2328" s="20"/>
      <c r="L2328" s="20">
        <v>1</v>
      </c>
      <c r="M2328" s="357">
        <f t="shared" ref="M2328:M2333" si="69">+H2328</f>
        <v>1548943</v>
      </c>
      <c r="N2328" s="411">
        <f>IFERROR((M2328/(VLOOKUP(B2328,'Data Pull Sheet'!$C:$H,6,FALSE))),"DC")</f>
        <v>1.2907858333333332E-4</v>
      </c>
      <c r="O2328" s="23" t="s">
        <v>1</v>
      </c>
      <c r="P2328" s="92" t="s">
        <v>632</v>
      </c>
      <c r="Q2328" s="92" t="s">
        <v>633</v>
      </c>
      <c r="R2328" s="372" t="str">
        <f t="shared" si="68"/>
        <v>FF</v>
      </c>
    </row>
    <row r="2329" spans="1:18" x14ac:dyDescent="0.25">
      <c r="A2329" s="23" t="s">
        <v>8899</v>
      </c>
      <c r="B2329" s="18" t="str">
        <f>VLOOKUP(A2329, 'Data Pull Sheet'!$B$2:$C$552,2,FALSE)</f>
        <v>GAME</v>
      </c>
      <c r="C2329" s="59" t="s">
        <v>418</v>
      </c>
      <c r="D2329" s="356" t="s">
        <v>9088</v>
      </c>
      <c r="E2329" s="356" t="s">
        <v>9069</v>
      </c>
      <c r="F2329" s="23" t="s">
        <v>9427</v>
      </c>
      <c r="G2329" s="92" t="s">
        <v>403</v>
      </c>
      <c r="H2329" s="353">
        <v>6500</v>
      </c>
      <c r="I2329" s="59" t="s">
        <v>2613</v>
      </c>
      <c r="J2329" s="18" t="s">
        <v>10110</v>
      </c>
      <c r="K2329" s="20">
        <v>2</v>
      </c>
      <c r="L2329" s="20">
        <v>1</v>
      </c>
      <c r="M2329" s="357">
        <f t="shared" si="69"/>
        <v>6500</v>
      </c>
      <c r="N2329" s="411">
        <f>IFERROR((M2329/(VLOOKUP(B2329,'Data Pull Sheet'!$C:$H,6,FALSE))),"DC")</f>
        <v>1E-4</v>
      </c>
      <c r="O2329" s="23" t="s">
        <v>56</v>
      </c>
      <c r="P2329" s="92" t="s">
        <v>632</v>
      </c>
      <c r="Q2329" s="92" t="s">
        <v>637</v>
      </c>
      <c r="R2329" s="372" t="str">
        <f t="shared" si="68"/>
        <v/>
      </c>
    </row>
    <row r="2330" spans="1:18" x14ac:dyDescent="0.25">
      <c r="A2330" s="23" t="s">
        <v>8899</v>
      </c>
      <c r="B2330" s="18" t="str">
        <f>VLOOKUP(A2330, 'Data Pull Sheet'!$B$2:$C$552,2,FALSE)</f>
        <v>GAME</v>
      </c>
      <c r="C2330" s="59" t="s">
        <v>418</v>
      </c>
      <c r="D2330" s="356" t="s">
        <v>9088</v>
      </c>
      <c r="E2330" s="356" t="s">
        <v>9069</v>
      </c>
      <c r="F2330" s="23" t="s">
        <v>94</v>
      </c>
      <c r="G2330" s="92" t="s">
        <v>417</v>
      </c>
      <c r="H2330" s="353">
        <v>1559</v>
      </c>
      <c r="I2330" s="59" t="s">
        <v>2613</v>
      </c>
      <c r="J2330" s="18" t="s">
        <v>10119</v>
      </c>
      <c r="K2330" s="20"/>
      <c r="L2330" s="20">
        <v>1</v>
      </c>
      <c r="M2330" s="357">
        <f t="shared" si="69"/>
        <v>1559</v>
      </c>
      <c r="N2330" s="411">
        <f>IFERROR((M2330/(VLOOKUP(B2330,'Data Pull Sheet'!$C:$H,6,FALSE))),"DC")</f>
        <v>2.3984615384615386E-5</v>
      </c>
      <c r="O2330" s="23" t="s">
        <v>1</v>
      </c>
      <c r="P2330" s="92" t="s">
        <v>632</v>
      </c>
      <c r="Q2330" s="92" t="s">
        <v>633</v>
      </c>
      <c r="R2330" s="372" t="str">
        <f t="shared" si="68"/>
        <v>FF</v>
      </c>
    </row>
    <row r="2331" spans="1:18" x14ac:dyDescent="0.25">
      <c r="A2331" s="23" t="s">
        <v>8818</v>
      </c>
      <c r="B2331" s="18" t="str">
        <f>VLOOKUP(A2331, 'Data Pull Sheet'!$B$2:$C$552,2,FALSE)</f>
        <v>CELG</v>
      </c>
      <c r="C2331" s="59" t="s">
        <v>424</v>
      </c>
      <c r="D2331" s="356" t="s">
        <v>9095</v>
      </c>
      <c r="E2331" s="356" t="s">
        <v>9168</v>
      </c>
      <c r="F2331" s="23" t="s">
        <v>94</v>
      </c>
      <c r="G2331" s="92" t="s">
        <v>417</v>
      </c>
      <c r="H2331" s="353">
        <v>164110.81</v>
      </c>
      <c r="I2331" s="59" t="s">
        <v>442</v>
      </c>
      <c r="J2331" s="18" t="s">
        <v>10118</v>
      </c>
      <c r="K2331" s="20">
        <v>10</v>
      </c>
      <c r="L2331" s="20">
        <v>1</v>
      </c>
      <c r="M2331" s="357">
        <f t="shared" si="69"/>
        <v>164110.81</v>
      </c>
      <c r="N2331" s="411">
        <f>IFERROR((M2331/(VLOOKUP(B2331,'Data Pull Sheet'!$C:$H,6,FALSE))),"DC")</f>
        <v>8.2055405000000004E-6</v>
      </c>
      <c r="O2331" s="23" t="s">
        <v>9778</v>
      </c>
      <c r="P2331" s="92" t="s">
        <v>632</v>
      </c>
      <c r="Q2331" s="92" t="s">
        <v>633</v>
      </c>
      <c r="R2331" s="372" t="str">
        <f t="shared" si="68"/>
        <v>FF</v>
      </c>
    </row>
    <row r="2332" spans="1:18" ht="30" x14ac:dyDescent="0.25">
      <c r="A2332" s="23" t="s">
        <v>8818</v>
      </c>
      <c r="B2332" s="18" t="str">
        <f>VLOOKUP(A2332, 'Data Pull Sheet'!$B$2:$C$552,2,FALSE)</f>
        <v>CELG</v>
      </c>
      <c r="C2332" s="59" t="s">
        <v>424</v>
      </c>
      <c r="D2332" s="356" t="s">
        <v>9095</v>
      </c>
      <c r="E2332" s="356" t="s">
        <v>9168</v>
      </c>
      <c r="F2332" s="23" t="s">
        <v>10441</v>
      </c>
      <c r="G2332" s="92" t="s">
        <v>417</v>
      </c>
      <c r="H2332" s="353">
        <v>9410685.6199999992</v>
      </c>
      <c r="I2332" s="59"/>
      <c r="J2332" s="18" t="s">
        <v>10942</v>
      </c>
      <c r="K2332" s="20"/>
      <c r="L2332" s="20">
        <v>1</v>
      </c>
      <c r="M2332" s="357">
        <f t="shared" si="69"/>
        <v>9410685.6199999992</v>
      </c>
      <c r="N2332" s="411">
        <f>IFERROR((M2332/(VLOOKUP(B2332,'Data Pull Sheet'!$C:$H,6,FALSE))),"DC")</f>
        <v>4.7053428099999995E-4</v>
      </c>
      <c r="O2332" s="23" t="s">
        <v>10853</v>
      </c>
      <c r="P2332" s="92" t="s">
        <v>632</v>
      </c>
      <c r="Q2332" s="92" t="s">
        <v>633</v>
      </c>
      <c r="R2332" s="372" t="str">
        <f t="shared" si="68"/>
        <v>FF</v>
      </c>
    </row>
    <row r="2333" spans="1:18" x14ac:dyDescent="0.25">
      <c r="A2333" s="23" t="s">
        <v>8818</v>
      </c>
      <c r="B2333" s="18" t="str">
        <f>VLOOKUP(A2333, 'Data Pull Sheet'!$B$2:$C$552,2,FALSE)</f>
        <v>CELG</v>
      </c>
      <c r="C2333" s="59" t="s">
        <v>424</v>
      </c>
      <c r="D2333" s="356" t="s">
        <v>9095</v>
      </c>
      <c r="E2333" s="356" t="s">
        <v>9168</v>
      </c>
      <c r="F2333" s="23" t="s">
        <v>9413</v>
      </c>
      <c r="G2333" s="92" t="s">
        <v>403</v>
      </c>
      <c r="H2333" s="353">
        <v>191023.84</v>
      </c>
      <c r="I2333" s="59"/>
      <c r="J2333" s="18" t="s">
        <v>10121</v>
      </c>
      <c r="K2333" s="20"/>
      <c r="L2333" s="20">
        <v>1</v>
      </c>
      <c r="M2333" s="357">
        <f t="shared" si="69"/>
        <v>191023.84</v>
      </c>
      <c r="N2333" s="411">
        <f>IFERROR((M2333/(VLOOKUP(B2333,'Data Pull Sheet'!$C:$H,6,FALSE))),"DC")</f>
        <v>9.5511919999999991E-6</v>
      </c>
      <c r="O2333" s="23" t="s">
        <v>9779</v>
      </c>
      <c r="P2333" s="92" t="s">
        <v>632</v>
      </c>
      <c r="Q2333" s="92" t="s">
        <v>637</v>
      </c>
      <c r="R2333" s="372" t="str">
        <f t="shared" si="68"/>
        <v/>
      </c>
    </row>
    <row r="2334" spans="1:18" ht="30" x14ac:dyDescent="0.25">
      <c r="A2334" s="23" t="s">
        <v>8818</v>
      </c>
      <c r="B2334" s="18" t="str">
        <f>VLOOKUP(A2334, 'Data Pull Sheet'!$B$2:$C$552,2,FALSE)</f>
        <v>CELG</v>
      </c>
      <c r="C2334" s="59" t="s">
        <v>424</v>
      </c>
      <c r="D2334" s="356" t="s">
        <v>9095</v>
      </c>
      <c r="E2334" s="356" t="s">
        <v>9168</v>
      </c>
      <c r="F2334" s="23" t="s">
        <v>9414</v>
      </c>
      <c r="G2334" s="92" t="s">
        <v>403</v>
      </c>
      <c r="H2334" s="353">
        <v>71363</v>
      </c>
      <c r="I2334" s="59"/>
      <c r="J2334" s="18" t="s">
        <v>10125</v>
      </c>
      <c r="K2334" s="20"/>
      <c r="L2334" s="20">
        <v>5</v>
      </c>
      <c r="M2334" s="357">
        <f>SUM(H2334:H2338)</f>
        <v>423448</v>
      </c>
      <c r="N2334" s="411">
        <f>IFERROR((M2334/(VLOOKUP(B2334,'Data Pull Sheet'!$C:$H,6,FALSE))),"DC")</f>
        <v>2.1172400000000001E-5</v>
      </c>
      <c r="O2334" s="23" t="s">
        <v>9780</v>
      </c>
      <c r="P2334" s="92" t="s">
        <v>632</v>
      </c>
      <c r="Q2334" s="92" t="s">
        <v>646</v>
      </c>
      <c r="R2334" s="372" t="str">
        <f t="shared" si="68"/>
        <v/>
      </c>
    </row>
    <row r="2335" spans="1:18" ht="30" x14ac:dyDescent="0.25">
      <c r="A2335" s="23" t="s">
        <v>8818</v>
      </c>
      <c r="B2335" s="18" t="str">
        <f>VLOOKUP(A2335, 'Data Pull Sheet'!$B$2:$C$552,2,FALSE)</f>
        <v>CELG</v>
      </c>
      <c r="C2335" s="59" t="s">
        <v>424</v>
      </c>
      <c r="D2335" s="356" t="s">
        <v>9095</v>
      </c>
      <c r="E2335" s="356" t="s">
        <v>9168</v>
      </c>
      <c r="F2335" s="23" t="s">
        <v>9415</v>
      </c>
      <c r="G2335" s="92" t="s">
        <v>403</v>
      </c>
      <c r="H2335" s="353">
        <v>171308</v>
      </c>
      <c r="I2335" s="59"/>
      <c r="J2335" s="18" t="s">
        <v>10127</v>
      </c>
      <c r="K2335" s="20"/>
      <c r="L2335" s="20"/>
      <c r="M2335" s="357"/>
      <c r="N2335" s="411"/>
      <c r="O2335" s="23" t="s">
        <v>9780</v>
      </c>
      <c r="P2335" s="92" t="s">
        <v>632</v>
      </c>
      <c r="Q2335" s="92" t="s">
        <v>646</v>
      </c>
      <c r="R2335" s="372" t="str">
        <f t="shared" si="68"/>
        <v/>
      </c>
    </row>
    <row r="2336" spans="1:18" ht="30" x14ac:dyDescent="0.25">
      <c r="A2336" s="23" t="s">
        <v>8818</v>
      </c>
      <c r="B2336" s="18" t="str">
        <f>VLOOKUP(A2336, 'Data Pull Sheet'!$B$2:$C$552,2,FALSE)</f>
        <v>CELG</v>
      </c>
      <c r="C2336" s="59" t="s">
        <v>424</v>
      </c>
      <c r="D2336" s="356" t="s">
        <v>9095</v>
      </c>
      <c r="E2336" s="356" t="s">
        <v>9168</v>
      </c>
      <c r="F2336" s="23" t="s">
        <v>9416</v>
      </c>
      <c r="G2336" s="92" t="s">
        <v>403</v>
      </c>
      <c r="H2336" s="353">
        <v>89232</v>
      </c>
      <c r="I2336" s="59"/>
      <c r="J2336" s="18" t="s">
        <v>10129</v>
      </c>
      <c r="K2336" s="20"/>
      <c r="L2336" s="20"/>
      <c r="M2336" s="357"/>
      <c r="N2336" s="411"/>
      <c r="O2336" s="23" t="s">
        <v>9780</v>
      </c>
      <c r="P2336" s="92" t="s">
        <v>632</v>
      </c>
      <c r="Q2336" s="92" t="s">
        <v>646</v>
      </c>
      <c r="R2336" s="372" t="str">
        <f t="shared" si="68"/>
        <v/>
      </c>
    </row>
    <row r="2337" spans="1:18" ht="30" x14ac:dyDescent="0.25">
      <c r="A2337" s="23" t="s">
        <v>8818</v>
      </c>
      <c r="B2337" s="18" t="str">
        <f>VLOOKUP(A2337, 'Data Pull Sheet'!$B$2:$C$552,2,FALSE)</f>
        <v>CELG</v>
      </c>
      <c r="C2337" s="59" t="s">
        <v>424</v>
      </c>
      <c r="D2337" s="356" t="s">
        <v>9095</v>
      </c>
      <c r="E2337" s="356" t="s">
        <v>9168</v>
      </c>
      <c r="F2337" s="23" t="s">
        <v>9417</v>
      </c>
      <c r="G2337" s="92" t="s">
        <v>403</v>
      </c>
      <c r="H2337" s="353">
        <v>60306</v>
      </c>
      <c r="I2337" s="59"/>
      <c r="J2337" s="18" t="s">
        <v>10130</v>
      </c>
      <c r="K2337" s="20"/>
      <c r="L2337" s="20"/>
      <c r="M2337" s="357"/>
      <c r="N2337" s="411"/>
      <c r="O2337" s="23" t="s">
        <v>9780</v>
      </c>
      <c r="P2337" s="92" t="s">
        <v>632</v>
      </c>
      <c r="Q2337" s="92" t="s">
        <v>646</v>
      </c>
      <c r="R2337" s="372" t="str">
        <f t="shared" si="68"/>
        <v/>
      </c>
    </row>
    <row r="2338" spans="1:18" ht="30" x14ac:dyDescent="0.25">
      <c r="A2338" s="23" t="s">
        <v>8818</v>
      </c>
      <c r="B2338" s="18" t="str">
        <f>VLOOKUP(A2338, 'Data Pull Sheet'!$B$2:$C$552,2,FALSE)</f>
        <v>CELG</v>
      </c>
      <c r="C2338" s="59" t="s">
        <v>424</v>
      </c>
      <c r="D2338" s="356" t="s">
        <v>9095</v>
      </c>
      <c r="E2338" s="356" t="s">
        <v>9168</v>
      </c>
      <c r="F2338" s="23" t="s">
        <v>9418</v>
      </c>
      <c r="G2338" s="92" t="s">
        <v>403</v>
      </c>
      <c r="H2338" s="353">
        <v>31239</v>
      </c>
      <c r="I2338" s="59"/>
      <c r="J2338" s="18" t="s">
        <v>10131</v>
      </c>
      <c r="K2338" s="20"/>
      <c r="L2338" s="20"/>
      <c r="M2338" s="357"/>
      <c r="N2338" s="411"/>
      <c r="O2338" s="23" t="s">
        <v>9780</v>
      </c>
      <c r="P2338" s="92" t="s">
        <v>632</v>
      </c>
      <c r="Q2338" s="92" t="s">
        <v>646</v>
      </c>
      <c r="R2338" s="372" t="str">
        <f t="shared" si="68"/>
        <v/>
      </c>
    </row>
    <row r="2339" spans="1:18" x14ac:dyDescent="0.25">
      <c r="A2339" s="23" t="s">
        <v>8818</v>
      </c>
      <c r="B2339" s="18" t="str">
        <f>VLOOKUP(A2339, 'Data Pull Sheet'!$B$2:$C$552,2,FALSE)</f>
        <v>CELG</v>
      </c>
      <c r="C2339" s="59" t="s">
        <v>424</v>
      </c>
      <c r="D2339" s="356" t="s">
        <v>9095</v>
      </c>
      <c r="E2339" s="356" t="s">
        <v>9168</v>
      </c>
      <c r="F2339" s="23" t="s">
        <v>9419</v>
      </c>
      <c r="G2339" s="92" t="s">
        <v>403</v>
      </c>
      <c r="H2339" s="353">
        <v>1238532.98</v>
      </c>
      <c r="I2339" s="59"/>
      <c r="J2339" s="18" t="s">
        <v>10124</v>
      </c>
      <c r="K2339" s="20"/>
      <c r="L2339" s="20">
        <v>1</v>
      </c>
      <c r="M2339" s="357">
        <f>+H2339</f>
        <v>1238532.98</v>
      </c>
      <c r="N2339" s="411">
        <f>IFERROR((M2339/(VLOOKUP(B2339,'Data Pull Sheet'!$C:$H,6,FALSE))),"DC")</f>
        <v>6.1926648999999998E-5</v>
      </c>
      <c r="O2339" s="23" t="s">
        <v>2657</v>
      </c>
      <c r="P2339" s="92" t="s">
        <v>632</v>
      </c>
      <c r="Q2339" s="92" t="s">
        <v>637</v>
      </c>
      <c r="R2339" s="372" t="str">
        <f t="shared" si="68"/>
        <v/>
      </c>
    </row>
    <row r="2340" spans="1:18" x14ac:dyDescent="0.25">
      <c r="A2340" s="23" t="s">
        <v>8818</v>
      </c>
      <c r="B2340" s="18" t="str">
        <f>VLOOKUP(A2340, 'Data Pull Sheet'!$B$2:$C$552,2,FALSE)</f>
        <v>CELG</v>
      </c>
      <c r="C2340" s="59" t="s">
        <v>424</v>
      </c>
      <c r="D2340" s="356" t="s">
        <v>9095</v>
      </c>
      <c r="E2340" s="356" t="s">
        <v>9168</v>
      </c>
      <c r="F2340" s="23" t="s">
        <v>9420</v>
      </c>
      <c r="G2340" s="92" t="s">
        <v>417</v>
      </c>
      <c r="H2340" s="353">
        <v>774588</v>
      </c>
      <c r="I2340" s="59" t="s">
        <v>406</v>
      </c>
      <c r="J2340" s="18" t="s">
        <v>10120</v>
      </c>
      <c r="K2340" s="20"/>
      <c r="L2340" s="20">
        <v>1</v>
      </c>
      <c r="M2340" s="357">
        <f>+H2340</f>
        <v>774588</v>
      </c>
      <c r="N2340" s="411">
        <f>IFERROR((M2340/(VLOOKUP(B2340,'Data Pull Sheet'!$C:$H,6,FALSE))),"DC")</f>
        <v>3.8729400000000002E-5</v>
      </c>
      <c r="O2340" s="23" t="s">
        <v>109</v>
      </c>
      <c r="P2340" s="92" t="s">
        <v>632</v>
      </c>
      <c r="Q2340" s="92" t="s">
        <v>633</v>
      </c>
      <c r="R2340" s="372" t="str">
        <f t="shared" si="68"/>
        <v/>
      </c>
    </row>
    <row r="2341" spans="1:18" x14ac:dyDescent="0.25">
      <c r="A2341" s="23" t="s">
        <v>8818</v>
      </c>
      <c r="B2341" s="18" t="str">
        <f>VLOOKUP(A2341, 'Data Pull Sheet'!$B$2:$C$552,2,FALSE)</f>
        <v>CELG</v>
      </c>
      <c r="C2341" s="59" t="s">
        <v>424</v>
      </c>
      <c r="D2341" s="356" t="s">
        <v>9095</v>
      </c>
      <c r="E2341" s="356" t="s">
        <v>9168</v>
      </c>
      <c r="F2341" s="23" t="s">
        <v>9421</v>
      </c>
      <c r="G2341" s="92" t="s">
        <v>403</v>
      </c>
      <c r="H2341" s="353">
        <v>305319.87</v>
      </c>
      <c r="I2341" s="59"/>
      <c r="J2341" s="18" t="s">
        <v>10126</v>
      </c>
      <c r="K2341" s="20"/>
      <c r="L2341" s="20">
        <v>5</v>
      </c>
      <c r="M2341" s="357">
        <f>SUM(H2341:H2345)</f>
        <v>1861476.9</v>
      </c>
      <c r="N2341" s="411">
        <f>IFERROR((M2341/(VLOOKUP(B2341,'Data Pull Sheet'!$C:$H,6,FALSE))),"DC")</f>
        <v>9.3073844999999993E-5</v>
      </c>
      <c r="O2341" s="23" t="s">
        <v>63</v>
      </c>
      <c r="P2341" s="92" t="s">
        <v>632</v>
      </c>
      <c r="Q2341" s="92" t="s">
        <v>646</v>
      </c>
      <c r="R2341" s="372" t="str">
        <f t="shared" si="68"/>
        <v/>
      </c>
    </row>
    <row r="2342" spans="1:18" x14ac:dyDescent="0.25">
      <c r="A2342" s="23" t="s">
        <v>8818</v>
      </c>
      <c r="B2342" s="18" t="str">
        <f>VLOOKUP(A2342, 'Data Pull Sheet'!$B$2:$C$552,2,FALSE)</f>
        <v>CELG</v>
      </c>
      <c r="C2342" s="59" t="s">
        <v>424</v>
      </c>
      <c r="D2342" s="356" t="s">
        <v>9095</v>
      </c>
      <c r="E2342" s="356" t="s">
        <v>9168</v>
      </c>
      <c r="F2342" s="23" t="s">
        <v>9422</v>
      </c>
      <c r="G2342" s="92" t="s">
        <v>403</v>
      </c>
      <c r="H2342" s="353">
        <v>159644.85</v>
      </c>
      <c r="I2342" s="59"/>
      <c r="J2342" s="18" t="s">
        <v>10128</v>
      </c>
      <c r="K2342" s="20"/>
      <c r="L2342" s="20"/>
      <c r="M2342" s="357"/>
      <c r="N2342" s="411"/>
      <c r="O2342" s="23" t="s">
        <v>63</v>
      </c>
      <c r="P2342" s="92" t="s">
        <v>632</v>
      </c>
      <c r="Q2342" s="92" t="s">
        <v>646</v>
      </c>
      <c r="R2342" s="372" t="str">
        <f t="shared" si="68"/>
        <v/>
      </c>
    </row>
    <row r="2343" spans="1:18" x14ac:dyDescent="0.25">
      <c r="A2343" s="23" t="s">
        <v>8818</v>
      </c>
      <c r="B2343" s="18" t="str">
        <f>VLOOKUP(A2343, 'Data Pull Sheet'!$B$2:$C$552,2,FALSE)</f>
        <v>CELG</v>
      </c>
      <c r="C2343" s="59" t="s">
        <v>424</v>
      </c>
      <c r="D2343" s="356" t="s">
        <v>9095</v>
      </c>
      <c r="E2343" s="356" t="s">
        <v>9168</v>
      </c>
      <c r="F2343" s="23" t="s">
        <v>9423</v>
      </c>
      <c r="G2343" s="92" t="s">
        <v>403</v>
      </c>
      <c r="H2343" s="353">
        <v>1062427.8</v>
      </c>
      <c r="I2343" s="59"/>
      <c r="J2343" s="18" t="s">
        <v>10132</v>
      </c>
      <c r="K2343" s="20"/>
      <c r="L2343" s="20"/>
      <c r="M2343" s="357"/>
      <c r="N2343" s="411"/>
      <c r="O2343" s="23" t="s">
        <v>63</v>
      </c>
      <c r="P2343" s="92" t="s">
        <v>632</v>
      </c>
      <c r="Q2343" s="92" t="s">
        <v>646</v>
      </c>
      <c r="R2343" s="372" t="str">
        <f t="shared" si="68"/>
        <v/>
      </c>
    </row>
    <row r="2344" spans="1:18" x14ac:dyDescent="0.25">
      <c r="A2344" s="23" t="s">
        <v>8818</v>
      </c>
      <c r="B2344" s="18" t="str">
        <f>VLOOKUP(A2344, 'Data Pull Sheet'!$B$2:$C$552,2,FALSE)</f>
        <v>CELG</v>
      </c>
      <c r="C2344" s="59" t="s">
        <v>424</v>
      </c>
      <c r="D2344" s="356" t="s">
        <v>9095</v>
      </c>
      <c r="E2344" s="356" t="s">
        <v>9168</v>
      </c>
      <c r="F2344" s="23" t="s">
        <v>9424</v>
      </c>
      <c r="G2344" s="92" t="s">
        <v>403</v>
      </c>
      <c r="H2344" s="353">
        <v>163953.22</v>
      </c>
      <c r="I2344" s="59"/>
      <c r="J2344" s="18" t="s">
        <v>10133</v>
      </c>
      <c r="K2344" s="20"/>
      <c r="L2344" s="20"/>
      <c r="M2344" s="357"/>
      <c r="N2344" s="411"/>
      <c r="O2344" s="23" t="s">
        <v>63</v>
      </c>
      <c r="P2344" s="92" t="s">
        <v>632</v>
      </c>
      <c r="Q2344" s="92" t="s">
        <v>646</v>
      </c>
      <c r="R2344" s="372" t="str">
        <f t="shared" si="68"/>
        <v/>
      </c>
    </row>
    <row r="2345" spans="1:18" x14ac:dyDescent="0.25">
      <c r="A2345" s="23" t="s">
        <v>8818</v>
      </c>
      <c r="B2345" s="18" t="str">
        <f>VLOOKUP(A2345, 'Data Pull Sheet'!$B$2:$C$552,2,FALSE)</f>
        <v>CELG</v>
      </c>
      <c r="C2345" s="59" t="s">
        <v>424</v>
      </c>
      <c r="D2345" s="356" t="s">
        <v>9095</v>
      </c>
      <c r="E2345" s="356" t="s">
        <v>9168</v>
      </c>
      <c r="F2345" s="23" t="s">
        <v>9425</v>
      </c>
      <c r="G2345" s="92" t="s">
        <v>403</v>
      </c>
      <c r="H2345" s="353">
        <v>170131.16</v>
      </c>
      <c r="I2345" s="59"/>
      <c r="J2345" s="18" t="s">
        <v>10134</v>
      </c>
      <c r="K2345" s="20"/>
      <c r="L2345" s="20"/>
      <c r="M2345" s="357"/>
      <c r="N2345" s="411"/>
      <c r="O2345" s="23" t="s">
        <v>63</v>
      </c>
      <c r="P2345" s="92" t="s">
        <v>632</v>
      </c>
      <c r="Q2345" s="92" t="s">
        <v>646</v>
      </c>
      <c r="R2345" s="372" t="str">
        <f t="shared" si="68"/>
        <v/>
      </c>
    </row>
    <row r="2346" spans="1:18" x14ac:dyDescent="0.25">
      <c r="A2346" s="23" t="s">
        <v>8818</v>
      </c>
      <c r="B2346" s="18" t="str">
        <f>VLOOKUP(A2346, 'Data Pull Sheet'!$B$2:$C$552,2,FALSE)</f>
        <v>CELG</v>
      </c>
      <c r="C2346" s="59" t="s">
        <v>424</v>
      </c>
      <c r="D2346" s="356" t="s">
        <v>9095</v>
      </c>
      <c r="E2346" s="356" t="s">
        <v>9168</v>
      </c>
      <c r="F2346" s="23" t="s">
        <v>175</v>
      </c>
      <c r="G2346" s="92" t="s">
        <v>417</v>
      </c>
      <c r="H2346" s="353">
        <v>4259153.37</v>
      </c>
      <c r="I2346" s="59" t="s">
        <v>406</v>
      </c>
      <c r="J2346" s="18" t="s">
        <v>10135</v>
      </c>
      <c r="K2346" s="20"/>
      <c r="L2346" s="20">
        <v>2</v>
      </c>
      <c r="M2346" s="357">
        <f>SUM(H2346:H2347)</f>
        <v>12193281.280000001</v>
      </c>
      <c r="N2346" s="411">
        <f>IFERROR((M2346/(VLOOKUP(B2346,'Data Pull Sheet'!$C:$H,6,FALSE))),"DC")</f>
        <v>6.0966406400000007E-4</v>
      </c>
      <c r="O2346" s="23" t="s">
        <v>9781</v>
      </c>
      <c r="P2346" s="92" t="s">
        <v>632</v>
      </c>
      <c r="Q2346" s="92" t="s">
        <v>640</v>
      </c>
      <c r="R2346" s="372" t="str">
        <f t="shared" si="68"/>
        <v>FF</v>
      </c>
    </row>
    <row r="2347" spans="1:18" x14ac:dyDescent="0.25">
      <c r="A2347" s="23" t="s">
        <v>8818</v>
      </c>
      <c r="B2347" s="18" t="str">
        <f>VLOOKUP(A2347, 'Data Pull Sheet'!$B$2:$C$552,2,FALSE)</f>
        <v>CELG</v>
      </c>
      <c r="C2347" s="59" t="s">
        <v>424</v>
      </c>
      <c r="D2347" s="356" t="s">
        <v>9095</v>
      </c>
      <c r="E2347" s="356" t="s">
        <v>9168</v>
      </c>
      <c r="F2347" s="23" t="s">
        <v>9426</v>
      </c>
      <c r="G2347" s="92" t="s">
        <v>417</v>
      </c>
      <c r="H2347" s="353">
        <v>7934127.9100000001</v>
      </c>
      <c r="I2347" s="59" t="s">
        <v>406</v>
      </c>
      <c r="J2347" s="18" t="s">
        <v>10136</v>
      </c>
      <c r="K2347" s="20"/>
      <c r="L2347" s="20"/>
      <c r="M2347" s="357"/>
      <c r="N2347" s="411"/>
      <c r="O2347" s="23" t="s">
        <v>9781</v>
      </c>
      <c r="P2347" s="92" t="s">
        <v>632</v>
      </c>
      <c r="Q2347" s="92" t="s">
        <v>640</v>
      </c>
      <c r="R2347" s="372" t="str">
        <f t="shared" si="68"/>
        <v/>
      </c>
    </row>
    <row r="2348" spans="1:18" ht="30" x14ac:dyDescent="0.25">
      <c r="A2348" s="23" t="s">
        <v>8818</v>
      </c>
      <c r="B2348" s="18" t="str">
        <f>VLOOKUP(A2348, 'Data Pull Sheet'!$B$2:$C$552,2,FALSE)</f>
        <v>CELG</v>
      </c>
      <c r="C2348" s="59" t="s">
        <v>424</v>
      </c>
      <c r="D2348" s="356" t="s">
        <v>9095</v>
      </c>
      <c r="E2348" s="356" t="s">
        <v>9168</v>
      </c>
      <c r="F2348" s="23" t="s">
        <v>3226</v>
      </c>
      <c r="G2348" s="92" t="s">
        <v>417</v>
      </c>
      <c r="H2348" s="360" t="s">
        <v>10798</v>
      </c>
      <c r="I2348" s="59"/>
      <c r="J2348" s="18" t="s">
        <v>10123</v>
      </c>
      <c r="K2348" s="20"/>
      <c r="L2348" s="20">
        <v>1</v>
      </c>
      <c r="M2348" s="357" t="str">
        <f>+H2348</f>
        <v>NA</v>
      </c>
      <c r="N2348" s="411" t="str">
        <f>IFERROR((M2348/(VLOOKUP(B2348,'Data Pull Sheet'!$C:$H,6,FALSE))),"DC")</f>
        <v>DC</v>
      </c>
      <c r="O2348" s="23" t="s">
        <v>10950</v>
      </c>
      <c r="P2348" s="92" t="s">
        <v>632</v>
      </c>
      <c r="Q2348" s="92" t="s">
        <v>633</v>
      </c>
      <c r="R2348" s="372" t="str">
        <f t="shared" si="68"/>
        <v>FF</v>
      </c>
    </row>
    <row r="2349" spans="1:18" ht="30" x14ac:dyDescent="0.25">
      <c r="A2349" s="23" t="s">
        <v>8818</v>
      </c>
      <c r="B2349" s="18" t="str">
        <f>VLOOKUP(A2349, 'Data Pull Sheet'!$B$2:$C$552,2,FALSE)</f>
        <v>CELG</v>
      </c>
      <c r="C2349" s="59" t="s">
        <v>424</v>
      </c>
      <c r="D2349" s="356" t="s">
        <v>9095</v>
      </c>
      <c r="E2349" s="356" t="s">
        <v>9168</v>
      </c>
      <c r="F2349" s="23" t="s">
        <v>26</v>
      </c>
      <c r="G2349" s="92" t="s">
        <v>417</v>
      </c>
      <c r="H2349" s="353">
        <v>25072826.199999999</v>
      </c>
      <c r="I2349" s="59" t="s">
        <v>406</v>
      </c>
      <c r="J2349" s="18" t="s">
        <v>10122</v>
      </c>
      <c r="K2349" s="20"/>
      <c r="L2349" s="20">
        <v>1</v>
      </c>
      <c r="M2349" s="357">
        <f>+H2349</f>
        <v>25072826.199999999</v>
      </c>
      <c r="N2349" s="411">
        <f>IFERROR((M2349/(VLOOKUP(B2349,'Data Pull Sheet'!$C:$H,6,FALSE))),"DC")</f>
        <v>1.2536413100000001E-3</v>
      </c>
      <c r="O2349" s="23" t="s">
        <v>10949</v>
      </c>
      <c r="P2349" s="92" t="s">
        <v>632</v>
      </c>
      <c r="Q2349" s="92" t="s">
        <v>633</v>
      </c>
      <c r="R2349" s="372" t="str">
        <f t="shared" si="68"/>
        <v>FF</v>
      </c>
    </row>
    <row r="2350" spans="1:18" x14ac:dyDescent="0.25">
      <c r="A2350" s="23" t="s">
        <v>8242</v>
      </c>
      <c r="B2350" s="18" t="str">
        <f>VLOOKUP(A2350, 'Data Pull Sheet'!$B$2:$C$552,2,FALSE)</f>
        <v>OSTK</v>
      </c>
      <c r="C2350" s="59" t="s">
        <v>536</v>
      </c>
      <c r="D2350" s="356" t="s">
        <v>9095</v>
      </c>
      <c r="E2350" s="356" t="s">
        <v>9168</v>
      </c>
      <c r="F2350" s="23" t="s">
        <v>9406</v>
      </c>
      <c r="G2350" s="92" t="s">
        <v>403</v>
      </c>
      <c r="H2350" s="353">
        <v>542193.75</v>
      </c>
      <c r="I2350" s="59" t="s">
        <v>406</v>
      </c>
      <c r="J2350" s="18" t="s">
        <v>10355</v>
      </c>
      <c r="K2350" s="20">
        <v>4</v>
      </c>
      <c r="L2350" s="20">
        <v>1</v>
      </c>
      <c r="M2350" s="357">
        <f>+H2350</f>
        <v>542193.75</v>
      </c>
      <c r="N2350" s="411">
        <f>IFERROR((M2350/(VLOOKUP(B2350,'Data Pull Sheet'!$C:$H,6,FALSE))),"DC")</f>
        <v>3.1893749999999999E-3</v>
      </c>
      <c r="O2350" s="23" t="s">
        <v>9776</v>
      </c>
      <c r="P2350" s="92" t="s">
        <v>632</v>
      </c>
      <c r="Q2350" s="92" t="s">
        <v>637</v>
      </c>
      <c r="R2350" s="372" t="str">
        <f t="shared" si="68"/>
        <v/>
      </c>
    </row>
    <row r="2351" spans="1:18" x14ac:dyDescent="0.25">
      <c r="A2351" s="23" t="s">
        <v>8242</v>
      </c>
      <c r="B2351" s="18" t="str">
        <f>VLOOKUP(A2351, 'Data Pull Sheet'!$B$2:$C$552,2,FALSE)</f>
        <v>OSTK</v>
      </c>
      <c r="C2351" s="59" t="s">
        <v>536</v>
      </c>
      <c r="D2351" s="356" t="s">
        <v>9095</v>
      </c>
      <c r="E2351" s="356" t="s">
        <v>9168</v>
      </c>
      <c r="F2351" s="23" t="s">
        <v>9407</v>
      </c>
      <c r="G2351" s="92" t="s">
        <v>403</v>
      </c>
      <c r="H2351" s="353">
        <v>14674.59</v>
      </c>
      <c r="I2351" s="59" t="s">
        <v>406</v>
      </c>
      <c r="J2351" s="18" t="s">
        <v>10356</v>
      </c>
      <c r="K2351" s="20"/>
      <c r="L2351" s="20">
        <v>4</v>
      </c>
      <c r="M2351" s="357">
        <f>SUM(H2351:H2354)</f>
        <v>172905.32</v>
      </c>
      <c r="N2351" s="411">
        <f>IFERROR((M2351/(VLOOKUP(B2351,'Data Pull Sheet'!$C:$H,6,FALSE))),"DC")</f>
        <v>1.0170901176470588E-3</v>
      </c>
      <c r="O2351" s="23" t="s">
        <v>10854</v>
      </c>
      <c r="P2351" s="92" t="s">
        <v>632</v>
      </c>
      <c r="Q2351" s="92" t="s">
        <v>646</v>
      </c>
      <c r="R2351" s="372" t="str">
        <f t="shared" si="68"/>
        <v/>
      </c>
    </row>
    <row r="2352" spans="1:18" x14ac:dyDescent="0.25">
      <c r="A2352" s="23" t="s">
        <v>8242</v>
      </c>
      <c r="B2352" s="18" t="str">
        <f>VLOOKUP(A2352, 'Data Pull Sheet'!$B$2:$C$552,2,FALSE)</f>
        <v>OSTK</v>
      </c>
      <c r="C2352" s="59" t="s">
        <v>536</v>
      </c>
      <c r="D2352" s="356" t="s">
        <v>9095</v>
      </c>
      <c r="E2352" s="356" t="s">
        <v>9168</v>
      </c>
      <c r="F2352" s="23" t="s">
        <v>9408</v>
      </c>
      <c r="G2352" s="92" t="s">
        <v>403</v>
      </c>
      <c r="H2352" s="353">
        <v>40866.269999999997</v>
      </c>
      <c r="I2352" s="59" t="s">
        <v>406</v>
      </c>
      <c r="J2352" s="18" t="s">
        <v>10357</v>
      </c>
      <c r="K2352" s="20"/>
      <c r="L2352" s="20"/>
      <c r="M2352" s="357"/>
      <c r="N2352" s="411"/>
      <c r="O2352" s="23" t="s">
        <v>10854</v>
      </c>
      <c r="P2352" s="92" t="s">
        <v>632</v>
      </c>
      <c r="Q2352" s="92" t="s">
        <v>646</v>
      </c>
      <c r="R2352" s="372" t="str">
        <f t="shared" si="68"/>
        <v/>
      </c>
    </row>
    <row r="2353" spans="1:18" x14ac:dyDescent="0.25">
      <c r="A2353" s="23" t="s">
        <v>8242</v>
      </c>
      <c r="B2353" s="18" t="str">
        <f>VLOOKUP(A2353, 'Data Pull Sheet'!$B$2:$C$552,2,FALSE)</f>
        <v>OSTK</v>
      </c>
      <c r="C2353" s="59" t="s">
        <v>536</v>
      </c>
      <c r="D2353" s="356" t="s">
        <v>9095</v>
      </c>
      <c r="E2353" s="356" t="s">
        <v>9168</v>
      </c>
      <c r="F2353" s="23" t="s">
        <v>9409</v>
      </c>
      <c r="G2353" s="92" t="s">
        <v>403</v>
      </c>
      <c r="H2353" s="353">
        <v>93268.76</v>
      </c>
      <c r="I2353" s="59" t="s">
        <v>406</v>
      </c>
      <c r="J2353" s="18" t="s">
        <v>10358</v>
      </c>
      <c r="K2353" s="20"/>
      <c r="L2353" s="20"/>
      <c r="M2353" s="357"/>
      <c r="N2353" s="411"/>
      <c r="O2353" s="23" t="s">
        <v>10854</v>
      </c>
      <c r="P2353" s="92" t="s">
        <v>632</v>
      </c>
      <c r="Q2353" s="92" t="s">
        <v>646</v>
      </c>
      <c r="R2353" s="372" t="str">
        <f t="shared" si="68"/>
        <v/>
      </c>
    </row>
    <row r="2354" spans="1:18" x14ac:dyDescent="0.25">
      <c r="A2354" s="23" t="s">
        <v>8242</v>
      </c>
      <c r="B2354" s="18" t="str">
        <f>VLOOKUP(A2354, 'Data Pull Sheet'!$B$2:$C$552,2,FALSE)</f>
        <v>OSTK</v>
      </c>
      <c r="C2354" s="59" t="s">
        <v>536</v>
      </c>
      <c r="D2354" s="356" t="s">
        <v>9095</v>
      </c>
      <c r="E2354" s="356" t="s">
        <v>9168</v>
      </c>
      <c r="F2354" s="23" t="s">
        <v>9410</v>
      </c>
      <c r="G2354" s="92" t="s">
        <v>403</v>
      </c>
      <c r="H2354" s="353">
        <v>24095.7</v>
      </c>
      <c r="I2354" s="59" t="s">
        <v>406</v>
      </c>
      <c r="J2354" s="18" t="s">
        <v>10359</v>
      </c>
      <c r="K2354" s="20"/>
      <c r="L2354" s="20"/>
      <c r="M2354" s="357"/>
      <c r="N2354" s="411"/>
      <c r="O2354" s="23" t="s">
        <v>10854</v>
      </c>
      <c r="P2354" s="92" t="s">
        <v>632</v>
      </c>
      <c r="Q2354" s="92" t="s">
        <v>646</v>
      </c>
      <c r="R2354" s="372" t="str">
        <f t="shared" si="68"/>
        <v/>
      </c>
    </row>
    <row r="2355" spans="1:18" x14ac:dyDescent="0.25">
      <c r="A2355" s="23" t="s">
        <v>8242</v>
      </c>
      <c r="B2355" s="18" t="str">
        <f>VLOOKUP(A2355, 'Data Pull Sheet'!$B$2:$C$552,2,FALSE)</f>
        <v>OSTK</v>
      </c>
      <c r="C2355" s="59" t="s">
        <v>536</v>
      </c>
      <c r="D2355" s="356" t="s">
        <v>9095</v>
      </c>
      <c r="E2355" s="356" t="s">
        <v>9168</v>
      </c>
      <c r="F2355" s="23" t="s">
        <v>9411</v>
      </c>
      <c r="G2355" s="92" t="s">
        <v>403</v>
      </c>
      <c r="H2355" s="353">
        <v>1512107</v>
      </c>
      <c r="I2355" s="59"/>
      <c r="J2355" s="18" t="s">
        <v>10360</v>
      </c>
      <c r="K2355" s="20"/>
      <c r="L2355" s="20">
        <v>1</v>
      </c>
      <c r="M2355" s="357">
        <f>+H2355</f>
        <v>1512107</v>
      </c>
      <c r="N2355" s="411">
        <f>IFERROR((M2355/(VLOOKUP(B2355,'Data Pull Sheet'!$C:$H,6,FALSE))),"DC")</f>
        <v>8.8947470588235291E-3</v>
      </c>
      <c r="O2355" s="23" t="s">
        <v>9777</v>
      </c>
      <c r="P2355" s="92" t="s">
        <v>632</v>
      </c>
      <c r="Q2355" s="92" t="s">
        <v>637</v>
      </c>
      <c r="R2355" s="372" t="str">
        <f t="shared" si="68"/>
        <v/>
      </c>
    </row>
    <row r="2356" spans="1:18" ht="30" x14ac:dyDescent="0.25">
      <c r="A2356" s="23" t="s">
        <v>8242</v>
      </c>
      <c r="B2356" s="18" t="str">
        <f>VLOOKUP(A2356, 'Data Pull Sheet'!$B$2:$C$552,2,FALSE)</f>
        <v>OSTK</v>
      </c>
      <c r="C2356" s="59" t="s">
        <v>536</v>
      </c>
      <c r="D2356" s="356" t="s">
        <v>9095</v>
      </c>
      <c r="E2356" s="356" t="s">
        <v>9168</v>
      </c>
      <c r="F2356" s="23" t="s">
        <v>9412</v>
      </c>
      <c r="G2356" s="92" t="s">
        <v>403</v>
      </c>
      <c r="H2356" s="353">
        <v>209653.72</v>
      </c>
      <c r="I2356" s="59"/>
      <c r="J2356" s="18" t="s">
        <v>10361</v>
      </c>
      <c r="K2356" s="20"/>
      <c r="L2356" s="20">
        <v>1</v>
      </c>
      <c r="M2356" s="357">
        <f>+H2356</f>
        <v>209653.72</v>
      </c>
      <c r="N2356" s="411">
        <f>IFERROR((M2356/(VLOOKUP(B2356,'Data Pull Sheet'!$C:$H,6,FALSE))),"DC")</f>
        <v>1.2332571764705883E-3</v>
      </c>
      <c r="O2356" s="23" t="s">
        <v>11194</v>
      </c>
      <c r="P2356" s="92" t="s">
        <v>632</v>
      </c>
      <c r="Q2356" s="92" t="s">
        <v>637</v>
      </c>
      <c r="R2356" s="372" t="str">
        <f t="shared" si="68"/>
        <v/>
      </c>
    </row>
    <row r="2357" spans="1:18" x14ac:dyDescent="0.25">
      <c r="A2357" s="23" t="s">
        <v>8884</v>
      </c>
      <c r="B2357" s="18" t="str">
        <f>VLOOKUP(A2357, 'Data Pull Sheet'!$B$2:$C$552,2,FALSE)</f>
        <v>PDCO</v>
      </c>
      <c r="C2357" s="59" t="s">
        <v>491</v>
      </c>
      <c r="D2357" s="356" t="s">
        <v>9094</v>
      </c>
      <c r="E2357" s="356" t="s">
        <v>9168</v>
      </c>
      <c r="F2357" s="23" t="s">
        <v>1897</v>
      </c>
      <c r="G2357" s="92" t="s">
        <v>417</v>
      </c>
      <c r="H2357" s="353">
        <v>360095</v>
      </c>
      <c r="I2357" s="59" t="s">
        <v>406</v>
      </c>
      <c r="J2357" s="18" t="s">
        <v>10137</v>
      </c>
      <c r="K2357" s="20">
        <v>3</v>
      </c>
      <c r="L2357" s="20">
        <v>3</v>
      </c>
      <c r="M2357" s="357">
        <f>SUM(H2357:H2359)</f>
        <v>1052742</v>
      </c>
      <c r="N2357" s="411">
        <f>IFERROR((M2357/(VLOOKUP(B2357,'Data Pull Sheet'!$C:$H,6,FALSE))),"DC")</f>
        <v>1.8308556521739131E-3</v>
      </c>
      <c r="O2357" s="23" t="s">
        <v>9774</v>
      </c>
      <c r="P2357" s="92" t="s">
        <v>632</v>
      </c>
      <c r="Q2357" s="92" t="s">
        <v>640</v>
      </c>
      <c r="R2357" s="372" t="str">
        <f t="shared" si="68"/>
        <v>FF</v>
      </c>
    </row>
    <row r="2358" spans="1:18" x14ac:dyDescent="0.25">
      <c r="A2358" s="23" t="s">
        <v>8884</v>
      </c>
      <c r="B2358" s="18" t="str">
        <f>VLOOKUP(A2358, 'Data Pull Sheet'!$B$2:$C$552,2,FALSE)</f>
        <v>PDCO</v>
      </c>
      <c r="C2358" s="59" t="s">
        <v>491</v>
      </c>
      <c r="D2358" s="356" t="s">
        <v>9094</v>
      </c>
      <c r="E2358" s="356" t="s">
        <v>9168</v>
      </c>
      <c r="F2358" s="23" t="s">
        <v>7019</v>
      </c>
      <c r="G2358" s="92" t="s">
        <v>417</v>
      </c>
      <c r="H2358" s="353">
        <v>299414</v>
      </c>
      <c r="I2358" s="59" t="s">
        <v>406</v>
      </c>
      <c r="J2358" s="18" t="s">
        <v>10138</v>
      </c>
      <c r="K2358" s="20"/>
      <c r="L2358" s="20"/>
      <c r="M2358" s="357"/>
      <c r="N2358" s="411"/>
      <c r="O2358" s="23" t="s">
        <v>9774</v>
      </c>
      <c r="P2358" s="92" t="s">
        <v>632</v>
      </c>
      <c r="Q2358" s="92" t="s">
        <v>640</v>
      </c>
      <c r="R2358" s="372" t="str">
        <f t="shared" si="68"/>
        <v>FF</v>
      </c>
    </row>
    <row r="2359" spans="1:18" x14ac:dyDescent="0.25">
      <c r="A2359" s="23" t="s">
        <v>8884</v>
      </c>
      <c r="B2359" s="18" t="str">
        <f>VLOOKUP(A2359, 'Data Pull Sheet'!$B$2:$C$552,2,FALSE)</f>
        <v>PDCO</v>
      </c>
      <c r="C2359" s="59" t="s">
        <v>491</v>
      </c>
      <c r="D2359" s="356" t="s">
        <v>9094</v>
      </c>
      <c r="E2359" s="356" t="s">
        <v>9168</v>
      </c>
      <c r="F2359" s="23" t="s">
        <v>295</v>
      </c>
      <c r="G2359" s="92" t="s">
        <v>417</v>
      </c>
      <c r="H2359" s="353">
        <v>393233</v>
      </c>
      <c r="I2359" s="59" t="s">
        <v>406</v>
      </c>
      <c r="J2359" s="18" t="s">
        <v>10139</v>
      </c>
      <c r="K2359" s="20"/>
      <c r="L2359" s="20"/>
      <c r="M2359" s="357"/>
      <c r="N2359" s="411"/>
      <c r="O2359" s="23" t="s">
        <v>9774</v>
      </c>
      <c r="P2359" s="92" t="s">
        <v>632</v>
      </c>
      <c r="Q2359" s="92" t="s">
        <v>640</v>
      </c>
      <c r="R2359" s="372" t="str">
        <f t="shared" si="68"/>
        <v>FF</v>
      </c>
    </row>
    <row r="2360" spans="1:18" ht="30" x14ac:dyDescent="0.25">
      <c r="A2360" s="23" t="s">
        <v>8884</v>
      </c>
      <c r="B2360" s="18" t="str">
        <f>VLOOKUP(A2360, 'Data Pull Sheet'!$B$2:$C$552,2,FALSE)</f>
        <v>PDCO</v>
      </c>
      <c r="C2360" s="59" t="s">
        <v>491</v>
      </c>
      <c r="D2360" s="356" t="s">
        <v>9094</v>
      </c>
      <c r="E2360" s="356" t="s">
        <v>9168</v>
      </c>
      <c r="F2360" s="23" t="s">
        <v>742</v>
      </c>
      <c r="G2360" s="92" t="s">
        <v>417</v>
      </c>
      <c r="H2360" s="353">
        <v>980253.32</v>
      </c>
      <c r="I2360" s="59"/>
      <c r="J2360" s="18" t="s">
        <v>10140</v>
      </c>
      <c r="K2360" s="20"/>
      <c r="L2360" s="20">
        <v>1</v>
      </c>
      <c r="M2360" s="357">
        <f>+H2360</f>
        <v>980253.32</v>
      </c>
      <c r="N2360" s="411">
        <f>IFERROR((M2360/(VLOOKUP(B2360,'Data Pull Sheet'!$C:$H,6,FALSE))),"DC")</f>
        <v>1.7047883826086956E-3</v>
      </c>
      <c r="O2360" s="23" t="s">
        <v>7244</v>
      </c>
      <c r="P2360" s="92" t="s">
        <v>632</v>
      </c>
      <c r="Q2360" s="92" t="s">
        <v>633</v>
      </c>
      <c r="R2360" s="372" t="str">
        <f t="shared" si="68"/>
        <v>FF</v>
      </c>
    </row>
    <row r="2361" spans="1:18" ht="30" x14ac:dyDescent="0.25">
      <c r="A2361" s="23" t="s">
        <v>8884</v>
      </c>
      <c r="B2361" s="18" t="str">
        <f>VLOOKUP(A2361, 'Data Pull Sheet'!$B$2:$C$552,2,FALSE)</f>
        <v>PDCO</v>
      </c>
      <c r="C2361" s="59" t="s">
        <v>491</v>
      </c>
      <c r="D2361" s="356" t="s">
        <v>9094</v>
      </c>
      <c r="E2361" s="356" t="s">
        <v>9168</v>
      </c>
      <c r="F2361" s="23" t="s">
        <v>165</v>
      </c>
      <c r="G2361" s="92" t="s">
        <v>417</v>
      </c>
      <c r="H2361" s="360" t="s">
        <v>10798</v>
      </c>
      <c r="I2361" s="59"/>
      <c r="J2361" s="18" t="s">
        <v>10141</v>
      </c>
      <c r="K2361" s="20">
        <v>1</v>
      </c>
      <c r="L2361" s="20">
        <v>2</v>
      </c>
      <c r="M2361" s="357" t="str">
        <f>+H2361</f>
        <v>NA</v>
      </c>
      <c r="N2361" s="411" t="str">
        <f>IFERROR((M2361/(VLOOKUP(B2361,'Data Pull Sheet'!$C:$H,6,FALSE))),"DC")</f>
        <v>DC</v>
      </c>
      <c r="O2361" s="23" t="s">
        <v>9775</v>
      </c>
      <c r="P2361" s="92" t="s">
        <v>632</v>
      </c>
      <c r="Q2361" s="92" t="s">
        <v>640</v>
      </c>
      <c r="R2361" s="372" t="str">
        <f t="shared" si="68"/>
        <v>FF</v>
      </c>
    </row>
    <row r="2362" spans="1:18" x14ac:dyDescent="0.25">
      <c r="A2362" s="23" t="s">
        <v>8884</v>
      </c>
      <c r="B2362" s="18" t="str">
        <f>VLOOKUP(A2362, 'Data Pull Sheet'!$B$2:$C$552,2,FALSE)</f>
        <v>PDCO</v>
      </c>
      <c r="C2362" s="59" t="s">
        <v>491</v>
      </c>
      <c r="D2362" s="356" t="s">
        <v>9094</v>
      </c>
      <c r="E2362" s="356" t="s">
        <v>9168</v>
      </c>
      <c r="F2362" s="23" t="s">
        <v>377</v>
      </c>
      <c r="G2362" s="92" t="s">
        <v>417</v>
      </c>
      <c r="H2362" s="360" t="s">
        <v>10798</v>
      </c>
      <c r="I2362" s="59"/>
      <c r="J2362" s="18" t="s">
        <v>10142</v>
      </c>
      <c r="K2362" s="20"/>
      <c r="L2362" s="20"/>
      <c r="M2362" s="357"/>
      <c r="N2362" s="411"/>
      <c r="O2362" s="23" t="s">
        <v>9775</v>
      </c>
      <c r="P2362" s="92" t="s">
        <v>632</v>
      </c>
      <c r="Q2362" s="92" t="s">
        <v>640</v>
      </c>
      <c r="R2362" s="372" t="str">
        <f t="shared" si="68"/>
        <v>FF</v>
      </c>
    </row>
    <row r="2363" spans="1:18" x14ac:dyDescent="0.25">
      <c r="A2363" s="23" t="s">
        <v>3056</v>
      </c>
      <c r="B2363" s="18" t="s">
        <v>10645</v>
      </c>
      <c r="C2363" s="59" t="s">
        <v>457</v>
      </c>
      <c r="D2363" s="356" t="s">
        <v>9092</v>
      </c>
      <c r="E2363" s="356" t="s">
        <v>9064</v>
      </c>
      <c r="F2363" s="23" t="s">
        <v>9404</v>
      </c>
      <c r="G2363" s="92" t="s">
        <v>403</v>
      </c>
      <c r="H2363" s="353">
        <v>1456</v>
      </c>
      <c r="I2363" s="59"/>
      <c r="J2363" s="18" t="s">
        <v>10646</v>
      </c>
      <c r="K2363" s="20">
        <v>2</v>
      </c>
      <c r="L2363" s="20">
        <v>1</v>
      </c>
      <c r="M2363" s="357">
        <f>+H2363</f>
        <v>1456</v>
      </c>
      <c r="N2363" s="411">
        <f>IFERROR((M2363/(VLOOKUP(B2363,'Data Pull Sheet'!$C:$H,6,FALSE))),"DC")</f>
        <v>6.0666666666666665E-6</v>
      </c>
      <c r="O2363" s="23" t="s">
        <v>682</v>
      </c>
      <c r="P2363" s="92" t="s">
        <v>632</v>
      </c>
      <c r="Q2363" s="92" t="s">
        <v>637</v>
      </c>
      <c r="R2363" s="372" t="str">
        <f t="shared" si="68"/>
        <v/>
      </c>
    </row>
    <row r="2364" spans="1:18" x14ac:dyDescent="0.25">
      <c r="A2364" s="23" t="s">
        <v>3056</v>
      </c>
      <c r="B2364" s="18" t="s">
        <v>10645</v>
      </c>
      <c r="C2364" s="59" t="s">
        <v>457</v>
      </c>
      <c r="D2364" s="356" t="s">
        <v>9092</v>
      </c>
      <c r="E2364" s="356" t="s">
        <v>9064</v>
      </c>
      <c r="F2364" s="23" t="s">
        <v>9405</v>
      </c>
      <c r="G2364" s="92" t="s">
        <v>403</v>
      </c>
      <c r="H2364" s="353">
        <v>14725</v>
      </c>
      <c r="I2364" s="59"/>
      <c r="J2364" s="18" t="s">
        <v>10647</v>
      </c>
      <c r="K2364" s="20"/>
      <c r="L2364" s="20">
        <v>1</v>
      </c>
      <c r="M2364" s="357">
        <f>+H2364</f>
        <v>14725</v>
      </c>
      <c r="N2364" s="411">
        <f>IFERROR((M2364/(VLOOKUP(B2364,'Data Pull Sheet'!$C:$H,6,FALSE))),"DC")</f>
        <v>6.1354166666666669E-5</v>
      </c>
      <c r="O2364" s="23" t="s">
        <v>79</v>
      </c>
      <c r="P2364" s="92" t="s">
        <v>632</v>
      </c>
      <c r="Q2364" s="92" t="s">
        <v>637</v>
      </c>
      <c r="R2364" s="372" t="str">
        <f t="shared" si="68"/>
        <v/>
      </c>
    </row>
    <row r="2365" spans="1:18" x14ac:dyDescent="0.25">
      <c r="A2365" s="23" t="s">
        <v>8912</v>
      </c>
      <c r="B2365" s="59" t="b">
        <f>VLOOKUP(A2365, 'Data Pull Sheet'!$B$2:$C$552,2,FALSE)</f>
        <v>1</v>
      </c>
      <c r="C2365" s="59" t="s">
        <v>446</v>
      </c>
      <c r="D2365" s="356" t="s">
        <v>9093</v>
      </c>
      <c r="E2365" s="356" t="s">
        <v>9064</v>
      </c>
      <c r="F2365" s="23" t="s">
        <v>280</v>
      </c>
      <c r="G2365" s="92" t="s">
        <v>417</v>
      </c>
      <c r="H2365" s="353">
        <v>274057</v>
      </c>
      <c r="I2365" s="59" t="s">
        <v>406</v>
      </c>
      <c r="J2365" s="18" t="s">
        <v>10147</v>
      </c>
      <c r="K2365" s="20">
        <v>1</v>
      </c>
      <c r="L2365" s="20">
        <v>1</v>
      </c>
      <c r="M2365" s="357">
        <f>+H2365</f>
        <v>274057</v>
      </c>
      <c r="N2365" s="411">
        <f>IFERROR((M2365/(VLOOKUP(B2365,'Data Pull Sheet'!$C:$H,6,FALSE))),"DC")</f>
        <v>4.5676166666666664E-3</v>
      </c>
      <c r="O2365" s="23" t="s">
        <v>9773</v>
      </c>
      <c r="P2365" s="92" t="s">
        <v>676</v>
      </c>
      <c r="Q2365" s="92" t="s">
        <v>633</v>
      </c>
      <c r="R2365" s="372" t="str">
        <f t="shared" si="68"/>
        <v>FF</v>
      </c>
    </row>
    <row r="2366" spans="1:18" x14ac:dyDescent="0.25">
      <c r="A2366" s="23" t="s">
        <v>8815</v>
      </c>
      <c r="B2366" s="18" t="str">
        <f>VLOOKUP(A2366, 'Data Pull Sheet'!$B$2:$C$552,2,FALSE)</f>
        <v>CGIX</v>
      </c>
      <c r="C2366" s="59" t="s">
        <v>424</v>
      </c>
      <c r="D2366" s="356" t="s">
        <v>9086</v>
      </c>
      <c r="E2366" s="356" t="s">
        <v>9051</v>
      </c>
      <c r="F2366" s="23" t="s">
        <v>9401</v>
      </c>
      <c r="G2366" s="92" t="s">
        <v>403</v>
      </c>
      <c r="H2366" s="353">
        <v>75750</v>
      </c>
      <c r="I2366" s="59"/>
      <c r="J2366" s="18" t="s">
        <v>10148</v>
      </c>
      <c r="K2366" s="20">
        <v>2</v>
      </c>
      <c r="L2366" s="20">
        <v>1</v>
      </c>
      <c r="M2366" s="357">
        <f>+H2366</f>
        <v>75750</v>
      </c>
      <c r="N2366" s="411">
        <f>IFERROR((M2366/(VLOOKUP(B2366,'Data Pull Sheet'!$C:$H,6,FALSE))),"DC")</f>
        <v>9.4687499999999997E-3</v>
      </c>
      <c r="O2366" s="23" t="s">
        <v>682</v>
      </c>
      <c r="P2366" s="92" t="s">
        <v>632</v>
      </c>
      <c r="Q2366" s="92" t="s">
        <v>637</v>
      </c>
      <c r="R2366" s="372" t="str">
        <f t="shared" si="68"/>
        <v/>
      </c>
    </row>
    <row r="2367" spans="1:18" ht="30" x14ac:dyDescent="0.25">
      <c r="A2367" s="23" t="s">
        <v>8815</v>
      </c>
      <c r="B2367" s="18" t="str">
        <f>VLOOKUP(A2367, 'Data Pull Sheet'!$B$2:$C$552,2,FALSE)</f>
        <v>CGIX</v>
      </c>
      <c r="C2367" s="59" t="s">
        <v>424</v>
      </c>
      <c r="D2367" s="356" t="s">
        <v>9086</v>
      </c>
      <c r="E2367" s="356" t="s">
        <v>9051</v>
      </c>
      <c r="F2367" s="23" t="s">
        <v>9402</v>
      </c>
      <c r="G2367" s="92" t="s">
        <v>403</v>
      </c>
      <c r="H2367" s="353">
        <v>13890</v>
      </c>
      <c r="I2367" s="59"/>
      <c r="J2367" s="18" t="s">
        <v>10152</v>
      </c>
      <c r="K2367" s="20"/>
      <c r="L2367" s="20">
        <v>1</v>
      </c>
      <c r="M2367" s="357">
        <f>+H2367</f>
        <v>13890</v>
      </c>
      <c r="N2367" s="411">
        <f>IFERROR((M2367/(VLOOKUP(B2367,'Data Pull Sheet'!$C:$H,6,FALSE))),"DC")</f>
        <v>1.7362499999999999E-3</v>
      </c>
      <c r="O2367" s="23" t="s">
        <v>11066</v>
      </c>
      <c r="P2367" s="92" t="s">
        <v>632</v>
      </c>
      <c r="Q2367" s="92" t="s">
        <v>637</v>
      </c>
      <c r="R2367" s="372" t="str">
        <f t="shared" si="68"/>
        <v/>
      </c>
    </row>
    <row r="2368" spans="1:18" x14ac:dyDescent="0.25">
      <c r="A2368" s="23" t="s">
        <v>8850</v>
      </c>
      <c r="B2368" s="18" t="str">
        <f>VLOOKUP(A2368, 'Data Pull Sheet'!$B$2:$C$552,2,FALSE)</f>
        <v>IZEA</v>
      </c>
      <c r="C2368" s="59" t="s">
        <v>446</v>
      </c>
      <c r="D2368" s="356" t="s">
        <v>9090</v>
      </c>
      <c r="E2368" s="356" t="s">
        <v>9051</v>
      </c>
      <c r="F2368" s="23" t="s">
        <v>9396</v>
      </c>
      <c r="G2368" s="92" t="s">
        <v>403</v>
      </c>
      <c r="H2368" s="353">
        <v>244.14</v>
      </c>
      <c r="I2368" s="59"/>
      <c r="J2368" s="18" t="s">
        <v>10157</v>
      </c>
      <c r="K2368" s="20">
        <v>1</v>
      </c>
      <c r="L2368" s="20">
        <v>3</v>
      </c>
      <c r="M2368" s="357">
        <f>SUM(H2368:H2370)</f>
        <v>202768.99</v>
      </c>
      <c r="N2368" s="411">
        <f>IFERROR((M2368/(VLOOKUP(B2368,'Data Pull Sheet'!$C:$H,6,FALSE))),"DC")</f>
        <v>5.4802429729729728E-2</v>
      </c>
      <c r="O2368" s="23" t="s">
        <v>9771</v>
      </c>
      <c r="P2368" s="92" t="s">
        <v>676</v>
      </c>
      <c r="Q2368" s="92" t="s">
        <v>646</v>
      </c>
      <c r="R2368" s="372" t="str">
        <f t="shared" si="68"/>
        <v/>
      </c>
    </row>
    <row r="2369" spans="1:18" x14ac:dyDescent="0.25">
      <c r="A2369" s="23" t="s">
        <v>8850</v>
      </c>
      <c r="B2369" s="18" t="str">
        <f>VLOOKUP(A2369, 'Data Pull Sheet'!$B$2:$C$552,2,FALSE)</f>
        <v>IZEA</v>
      </c>
      <c r="C2369" s="59" t="s">
        <v>446</v>
      </c>
      <c r="D2369" s="356" t="s">
        <v>9090</v>
      </c>
      <c r="E2369" s="356" t="s">
        <v>9051</v>
      </c>
      <c r="F2369" s="23" t="s">
        <v>9397</v>
      </c>
      <c r="G2369" s="92" t="s">
        <v>403</v>
      </c>
      <c r="H2369" s="360">
        <v>58741.56</v>
      </c>
      <c r="I2369" s="59"/>
      <c r="J2369" s="18" t="s">
        <v>10158</v>
      </c>
      <c r="K2369" s="20"/>
      <c r="L2369" s="20"/>
      <c r="M2369" s="357"/>
      <c r="N2369" s="411"/>
      <c r="O2369" s="23" t="s">
        <v>9771</v>
      </c>
      <c r="P2369" s="92" t="s">
        <v>676</v>
      </c>
      <c r="Q2369" s="92" t="s">
        <v>646</v>
      </c>
      <c r="R2369" s="372" t="str">
        <f t="shared" si="68"/>
        <v/>
      </c>
    </row>
    <row r="2370" spans="1:18" x14ac:dyDescent="0.25">
      <c r="A2370" s="23" t="s">
        <v>8850</v>
      </c>
      <c r="B2370" s="18" t="str">
        <f>VLOOKUP(A2370, 'Data Pull Sheet'!$B$2:$C$552,2,FALSE)</f>
        <v>IZEA</v>
      </c>
      <c r="C2370" s="59" t="s">
        <v>446</v>
      </c>
      <c r="D2370" s="356" t="s">
        <v>9090</v>
      </c>
      <c r="E2370" s="356" t="s">
        <v>9051</v>
      </c>
      <c r="F2370" s="23" t="s">
        <v>9398</v>
      </c>
      <c r="G2370" s="92" t="s">
        <v>403</v>
      </c>
      <c r="H2370" s="353">
        <v>143783.29</v>
      </c>
      <c r="I2370" s="59"/>
      <c r="J2370" s="18" t="s">
        <v>10160</v>
      </c>
      <c r="K2370" s="20"/>
      <c r="L2370" s="20"/>
      <c r="M2370" s="357"/>
      <c r="N2370" s="411"/>
      <c r="O2370" s="23" t="s">
        <v>9771</v>
      </c>
      <c r="P2370" s="92" t="s">
        <v>676</v>
      </c>
      <c r="Q2370" s="92" t="s">
        <v>646</v>
      </c>
      <c r="R2370" s="372" t="str">
        <f t="shared" ref="R2370:R2433" si="70">IF(COUNTIF(F:F,F2370)&gt;=2,"FF","")</f>
        <v/>
      </c>
    </row>
    <row r="2371" spans="1:18" x14ac:dyDescent="0.25">
      <c r="A2371" s="23" t="s">
        <v>8241</v>
      </c>
      <c r="B2371" s="18" t="str">
        <f>VLOOKUP(A2371, 'Data Pull Sheet'!$B$2:$C$554,2,FALSE)</f>
        <v>LFIN1</v>
      </c>
      <c r="C2371" s="59" t="s">
        <v>418</v>
      </c>
      <c r="D2371" s="356" t="s">
        <v>9089</v>
      </c>
      <c r="E2371" s="356" t="s">
        <v>9051</v>
      </c>
      <c r="F2371" s="23" t="s">
        <v>9392</v>
      </c>
      <c r="G2371" s="92" t="s">
        <v>403</v>
      </c>
      <c r="H2371" s="353">
        <v>1483463.41</v>
      </c>
      <c r="I2371" s="59"/>
      <c r="J2371" s="18" t="s">
        <v>10149</v>
      </c>
      <c r="K2371" s="20">
        <v>4</v>
      </c>
      <c r="L2371" s="20">
        <v>1</v>
      </c>
      <c r="M2371" s="357">
        <f t="shared" ref="M2371:M2377" si="71">+H2371</f>
        <v>1483463.41</v>
      </c>
      <c r="N2371" s="411">
        <f>IFERROR((M2371/(VLOOKUP(B2371,'Data Pull Sheet'!$C:$H,6,FALSE))),"DC")</f>
        <v>4.0642833150684931E-3</v>
      </c>
      <c r="O2371" s="23" t="s">
        <v>63</v>
      </c>
      <c r="P2371" s="92" t="s">
        <v>632</v>
      </c>
      <c r="Q2371" s="92" t="s">
        <v>637</v>
      </c>
      <c r="R2371" s="372" t="str">
        <f t="shared" si="70"/>
        <v/>
      </c>
    </row>
    <row r="2372" spans="1:18" x14ac:dyDescent="0.25">
      <c r="A2372" s="23" t="s">
        <v>8241</v>
      </c>
      <c r="B2372" s="18" t="str">
        <f>VLOOKUP(A2372, 'Data Pull Sheet'!$B$2:$C$554,2,FALSE)</f>
        <v>LFIN1</v>
      </c>
      <c r="C2372" s="59" t="s">
        <v>418</v>
      </c>
      <c r="D2372" s="356" t="s">
        <v>9089</v>
      </c>
      <c r="E2372" s="356" t="s">
        <v>9051</v>
      </c>
      <c r="F2372" s="23" t="s">
        <v>9393</v>
      </c>
      <c r="G2372" s="92" t="s">
        <v>403</v>
      </c>
      <c r="H2372" s="353">
        <v>81591.61</v>
      </c>
      <c r="I2372" s="59" t="s">
        <v>406</v>
      </c>
      <c r="J2372" s="18" t="s">
        <v>10144</v>
      </c>
      <c r="K2372" s="20"/>
      <c r="L2372" s="20">
        <v>1</v>
      </c>
      <c r="M2372" s="357">
        <f t="shared" si="71"/>
        <v>81591.61</v>
      </c>
      <c r="N2372" s="411">
        <f>IFERROR((M2372/(VLOOKUP(B2372,'Data Pull Sheet'!$C:$H,6,FALSE))),"DC")</f>
        <v>2.2353865753424657E-4</v>
      </c>
      <c r="O2372" s="23" t="s">
        <v>10855</v>
      </c>
      <c r="P2372" s="92" t="s">
        <v>632</v>
      </c>
      <c r="Q2372" s="92" t="s">
        <v>637</v>
      </c>
      <c r="R2372" s="372" t="str">
        <f t="shared" si="70"/>
        <v/>
      </c>
    </row>
    <row r="2373" spans="1:18" x14ac:dyDescent="0.25">
      <c r="A2373" s="23" t="s">
        <v>8241</v>
      </c>
      <c r="B2373" s="18" t="str">
        <f>VLOOKUP(A2373, 'Data Pull Sheet'!$B$2:$C$554,2,FALSE)</f>
        <v>LFIN1</v>
      </c>
      <c r="C2373" s="59" t="s">
        <v>418</v>
      </c>
      <c r="D2373" s="356" t="s">
        <v>9089</v>
      </c>
      <c r="E2373" s="356" t="s">
        <v>9051</v>
      </c>
      <c r="F2373" s="23" t="s">
        <v>9394</v>
      </c>
      <c r="G2373" s="92" t="s">
        <v>403</v>
      </c>
      <c r="H2373" s="353">
        <v>295280</v>
      </c>
      <c r="I2373" s="59"/>
      <c r="J2373" s="18" t="s">
        <v>10143</v>
      </c>
      <c r="K2373" s="20"/>
      <c r="L2373" s="20">
        <v>1</v>
      </c>
      <c r="M2373" s="357">
        <f t="shared" si="71"/>
        <v>295280</v>
      </c>
      <c r="N2373" s="411">
        <f>IFERROR((M2373/(VLOOKUP(B2373,'Data Pull Sheet'!$C:$H,6,FALSE))),"DC")</f>
        <v>8.0898630136986302E-4</v>
      </c>
      <c r="O2373" s="23" t="s">
        <v>79</v>
      </c>
      <c r="P2373" s="92" t="s">
        <v>632</v>
      </c>
      <c r="Q2373" s="92" t="s">
        <v>637</v>
      </c>
      <c r="R2373" s="372" t="str">
        <f t="shared" si="70"/>
        <v/>
      </c>
    </row>
    <row r="2374" spans="1:18" x14ac:dyDescent="0.25">
      <c r="A2374" s="23" t="s">
        <v>8241</v>
      </c>
      <c r="B2374" s="18" t="str">
        <f>VLOOKUP(A2374, 'Data Pull Sheet'!$B$2:$C$554,2,FALSE)</f>
        <v>LFIN1</v>
      </c>
      <c r="C2374" s="59" t="s">
        <v>418</v>
      </c>
      <c r="D2374" s="356" t="s">
        <v>9089</v>
      </c>
      <c r="E2374" s="356" t="s">
        <v>9051</v>
      </c>
      <c r="F2374" s="23" t="s">
        <v>9395</v>
      </c>
      <c r="G2374" s="92" t="s">
        <v>403</v>
      </c>
      <c r="H2374" s="353">
        <v>2476025</v>
      </c>
      <c r="I2374" s="59"/>
      <c r="J2374" s="18" t="s">
        <v>10155</v>
      </c>
      <c r="K2374" s="20"/>
      <c r="L2374" s="20">
        <v>1</v>
      </c>
      <c r="M2374" s="357">
        <f t="shared" si="71"/>
        <v>2476025</v>
      </c>
      <c r="N2374" s="411">
        <f>IFERROR((M2374/(VLOOKUP(B2374,'Data Pull Sheet'!$C:$H,6,FALSE))),"DC")</f>
        <v>6.7836301369863013E-3</v>
      </c>
      <c r="O2374" s="23" t="s">
        <v>597</v>
      </c>
      <c r="P2374" s="92" t="s">
        <v>632</v>
      </c>
      <c r="Q2374" s="92" t="s">
        <v>637</v>
      </c>
      <c r="R2374" s="372" t="str">
        <f t="shared" si="70"/>
        <v/>
      </c>
    </row>
    <row r="2375" spans="1:18" x14ac:dyDescent="0.25">
      <c r="A2375" s="23" t="s">
        <v>8777</v>
      </c>
      <c r="B2375" s="18" t="str">
        <f>VLOOKUP(A2375, 'Data Pull Sheet'!$B$2:$C$552,2,FALSE)</f>
        <v>SYNC</v>
      </c>
      <c r="C2375" s="59" t="s">
        <v>418</v>
      </c>
      <c r="D2375" s="356" t="s">
        <v>9090</v>
      </c>
      <c r="E2375" s="356" t="s">
        <v>9051</v>
      </c>
      <c r="F2375" s="23" t="s">
        <v>9399</v>
      </c>
      <c r="G2375" s="92" t="s">
        <v>403</v>
      </c>
      <c r="H2375" s="353">
        <v>2306.89</v>
      </c>
      <c r="I2375" s="59"/>
      <c r="J2375" s="18" t="s">
        <v>10150</v>
      </c>
      <c r="K2375" s="20">
        <v>2</v>
      </c>
      <c r="L2375" s="20">
        <v>1</v>
      </c>
      <c r="M2375" s="357">
        <f t="shared" si="71"/>
        <v>2306.89</v>
      </c>
      <c r="N2375" s="411">
        <f>IFERROR((M2375/(VLOOKUP(B2375,'Data Pull Sheet'!$C:$H,6,FALSE))),"DC")</f>
        <v>6.5911142857142849E-5</v>
      </c>
      <c r="O2375" s="23" t="s">
        <v>682</v>
      </c>
      <c r="P2375" s="92" t="s">
        <v>632</v>
      </c>
      <c r="Q2375" s="92" t="s">
        <v>637</v>
      </c>
      <c r="R2375" s="372" t="str">
        <f t="shared" si="70"/>
        <v/>
      </c>
    </row>
    <row r="2376" spans="1:18" x14ac:dyDescent="0.25">
      <c r="A2376" s="23" t="s">
        <v>8777</v>
      </c>
      <c r="B2376" s="18" t="str">
        <f>VLOOKUP(A2376, 'Data Pull Sheet'!$B$2:$C$552,2,FALSE)</f>
        <v>SYNC</v>
      </c>
      <c r="C2376" s="59" t="s">
        <v>418</v>
      </c>
      <c r="D2376" s="356" t="s">
        <v>9090</v>
      </c>
      <c r="E2376" s="356" t="s">
        <v>9051</v>
      </c>
      <c r="F2376" s="23" t="s">
        <v>9400</v>
      </c>
      <c r="G2376" s="92" t="s">
        <v>403</v>
      </c>
      <c r="H2376" s="353">
        <v>1659445</v>
      </c>
      <c r="I2376" s="59" t="s">
        <v>413</v>
      </c>
      <c r="J2376" s="18" t="s">
        <v>10153</v>
      </c>
      <c r="K2376" s="20"/>
      <c r="L2376" s="20">
        <v>1</v>
      </c>
      <c r="M2376" s="357">
        <f t="shared" si="71"/>
        <v>1659445</v>
      </c>
      <c r="N2376" s="411">
        <f>IFERROR((M2376/(VLOOKUP(B2376,'Data Pull Sheet'!$C:$H,6,FALSE))),"DC")</f>
        <v>4.7412714285714287E-2</v>
      </c>
      <c r="O2376" s="23" t="s">
        <v>79</v>
      </c>
      <c r="P2376" s="92" t="s">
        <v>632</v>
      </c>
      <c r="Q2376" s="92" t="s">
        <v>637</v>
      </c>
      <c r="R2376" s="372" t="str">
        <f t="shared" si="70"/>
        <v/>
      </c>
    </row>
    <row r="2377" spans="1:18" x14ac:dyDescent="0.25">
      <c r="A2377" s="23" t="s">
        <v>8650</v>
      </c>
      <c r="B2377" s="18" t="str">
        <f>VLOOKUP(A2377, 'Data Pull Sheet'!$B$2:$C$552,2,FALSE)</f>
        <v>CLNS</v>
      </c>
      <c r="C2377" s="59" t="s">
        <v>446</v>
      </c>
      <c r="D2377" s="356" t="s">
        <v>9087</v>
      </c>
      <c r="E2377" s="356" t="s">
        <v>9062</v>
      </c>
      <c r="F2377" s="23" t="s">
        <v>9384</v>
      </c>
      <c r="G2377" s="92" t="s">
        <v>403</v>
      </c>
      <c r="H2377" s="353">
        <v>308206.61</v>
      </c>
      <c r="I2377" s="59" t="s">
        <v>406</v>
      </c>
      <c r="J2377" s="18" t="s">
        <v>10145</v>
      </c>
      <c r="K2377" s="20">
        <v>5</v>
      </c>
      <c r="L2377" s="20">
        <v>1</v>
      </c>
      <c r="M2377" s="357">
        <f t="shared" si="71"/>
        <v>308206.61</v>
      </c>
      <c r="N2377" s="411">
        <f>IFERROR((M2377/(VLOOKUP(B2377,'Data Pull Sheet'!$C:$H,6,FALSE))),"DC")</f>
        <v>4.9710743548387097E-4</v>
      </c>
      <c r="O2377" s="23" t="s">
        <v>192</v>
      </c>
      <c r="P2377" s="92" t="s">
        <v>632</v>
      </c>
      <c r="Q2377" s="92" t="s">
        <v>637</v>
      </c>
      <c r="R2377" s="372" t="str">
        <f t="shared" si="70"/>
        <v/>
      </c>
    </row>
    <row r="2378" spans="1:18" x14ac:dyDescent="0.25">
      <c r="A2378" s="23" t="s">
        <v>8650</v>
      </c>
      <c r="B2378" s="18" t="str">
        <f>VLOOKUP(A2378, 'Data Pull Sheet'!$B$2:$C$552,2,FALSE)</f>
        <v>CLNS</v>
      </c>
      <c r="C2378" s="59" t="s">
        <v>446</v>
      </c>
      <c r="D2378" s="356" t="s">
        <v>9087</v>
      </c>
      <c r="E2378" s="356" t="s">
        <v>9062</v>
      </c>
      <c r="F2378" s="23" t="s">
        <v>9385</v>
      </c>
      <c r="G2378" s="92" t="s">
        <v>403</v>
      </c>
      <c r="H2378" s="353">
        <v>71726.25</v>
      </c>
      <c r="I2378" s="59"/>
      <c r="J2378" s="18" t="s">
        <v>10162</v>
      </c>
      <c r="K2378" s="20"/>
      <c r="L2378" s="20">
        <v>3</v>
      </c>
      <c r="M2378" s="357">
        <f>SUM(H2378:H2380)</f>
        <v>253659.05</v>
      </c>
      <c r="N2378" s="411">
        <f>IFERROR((M2378/(VLOOKUP(B2378,'Data Pull Sheet'!$C:$H,6,FALSE))),"DC")</f>
        <v>4.0912749999999997E-4</v>
      </c>
      <c r="O2378" s="23" t="s">
        <v>554</v>
      </c>
      <c r="P2378" s="92" t="s">
        <v>632</v>
      </c>
      <c r="Q2378" s="92" t="s">
        <v>646</v>
      </c>
      <c r="R2378" s="372" t="str">
        <f t="shared" si="70"/>
        <v/>
      </c>
    </row>
    <row r="2379" spans="1:18" x14ac:dyDescent="0.25">
      <c r="A2379" s="23" t="s">
        <v>8650</v>
      </c>
      <c r="B2379" s="18" t="str">
        <f>VLOOKUP(A2379, 'Data Pull Sheet'!$B$2:$C$552,2,FALSE)</f>
        <v>CLNS</v>
      </c>
      <c r="C2379" s="59" t="s">
        <v>446</v>
      </c>
      <c r="D2379" s="356" t="s">
        <v>9087</v>
      </c>
      <c r="E2379" s="356" t="s">
        <v>9062</v>
      </c>
      <c r="F2379" s="23" t="s">
        <v>9386</v>
      </c>
      <c r="G2379" s="92" t="s">
        <v>403</v>
      </c>
      <c r="H2379" s="353">
        <v>126726.5</v>
      </c>
      <c r="I2379" s="59"/>
      <c r="J2379" s="18" t="s">
        <v>10163</v>
      </c>
      <c r="K2379" s="20"/>
      <c r="L2379" s="20"/>
      <c r="M2379" s="357"/>
      <c r="N2379" s="411"/>
      <c r="O2379" s="23" t="s">
        <v>554</v>
      </c>
      <c r="P2379" s="92" t="s">
        <v>632</v>
      </c>
      <c r="Q2379" s="92" t="s">
        <v>646</v>
      </c>
      <c r="R2379" s="372" t="str">
        <f t="shared" si="70"/>
        <v/>
      </c>
    </row>
    <row r="2380" spans="1:18" x14ac:dyDescent="0.25">
      <c r="A2380" s="23" t="s">
        <v>8650</v>
      </c>
      <c r="B2380" s="18" t="str">
        <f>VLOOKUP(A2380, 'Data Pull Sheet'!$B$2:$C$552,2,FALSE)</f>
        <v>CLNS</v>
      </c>
      <c r="C2380" s="59" t="s">
        <v>446</v>
      </c>
      <c r="D2380" s="356" t="s">
        <v>9087</v>
      </c>
      <c r="E2380" s="356" t="s">
        <v>9062</v>
      </c>
      <c r="F2380" s="23" t="s">
        <v>9387</v>
      </c>
      <c r="G2380" s="92" t="s">
        <v>403</v>
      </c>
      <c r="H2380" s="353">
        <v>55206.3</v>
      </c>
      <c r="I2380" s="59"/>
      <c r="J2380" s="18" t="s">
        <v>10164</v>
      </c>
      <c r="K2380" s="20"/>
      <c r="L2380" s="20"/>
      <c r="M2380" s="357"/>
      <c r="N2380" s="411"/>
      <c r="O2380" s="23" t="s">
        <v>554</v>
      </c>
      <c r="P2380" s="92" t="s">
        <v>632</v>
      </c>
      <c r="Q2380" s="92" t="s">
        <v>646</v>
      </c>
      <c r="R2380" s="372" t="str">
        <f t="shared" si="70"/>
        <v/>
      </c>
    </row>
    <row r="2381" spans="1:18" ht="30" x14ac:dyDescent="0.25">
      <c r="A2381" s="23" t="s">
        <v>8650</v>
      </c>
      <c r="B2381" s="18" t="str">
        <f>VLOOKUP(A2381, 'Data Pull Sheet'!$B$2:$C$552,2,FALSE)</f>
        <v>CLNS</v>
      </c>
      <c r="C2381" s="59" t="s">
        <v>446</v>
      </c>
      <c r="D2381" s="356" t="s">
        <v>9087</v>
      </c>
      <c r="E2381" s="356" t="s">
        <v>9062</v>
      </c>
      <c r="F2381" s="23" t="s">
        <v>9388</v>
      </c>
      <c r="G2381" s="92" t="s">
        <v>417</v>
      </c>
      <c r="H2381" s="353">
        <v>404171.86</v>
      </c>
      <c r="I2381" s="59" t="s">
        <v>406</v>
      </c>
      <c r="J2381" s="18" t="s">
        <v>10156</v>
      </c>
      <c r="K2381" s="20"/>
      <c r="L2381" s="20">
        <v>1</v>
      </c>
      <c r="M2381" s="357">
        <f>+H2381</f>
        <v>404171.86</v>
      </c>
      <c r="N2381" s="411">
        <f>IFERROR((M2381/(VLOOKUP(B2381,'Data Pull Sheet'!$C:$H,6,FALSE))),"DC")</f>
        <v>6.518900967741935E-4</v>
      </c>
      <c r="O2381" s="23" t="s">
        <v>8986</v>
      </c>
      <c r="P2381" s="92" t="s">
        <v>632</v>
      </c>
      <c r="Q2381" s="92" t="s">
        <v>633</v>
      </c>
      <c r="R2381" s="372" t="str">
        <f t="shared" si="70"/>
        <v/>
      </c>
    </row>
    <row r="2382" spans="1:18" x14ac:dyDescent="0.25">
      <c r="A2382" s="23" t="s">
        <v>8650</v>
      </c>
      <c r="B2382" s="18" t="str">
        <f>VLOOKUP(A2382, 'Data Pull Sheet'!$B$2:$C$552,2,FALSE)</f>
        <v>CLNS</v>
      </c>
      <c r="C2382" s="59" t="s">
        <v>446</v>
      </c>
      <c r="D2382" s="356" t="s">
        <v>9087</v>
      </c>
      <c r="E2382" s="356" t="s">
        <v>9062</v>
      </c>
      <c r="F2382" s="23" t="s">
        <v>9389</v>
      </c>
      <c r="G2382" s="92" t="s">
        <v>403</v>
      </c>
      <c r="H2382" s="353">
        <v>156107.76</v>
      </c>
      <c r="I2382" s="59"/>
      <c r="J2382" s="18" t="s">
        <v>10165</v>
      </c>
      <c r="K2382" s="20"/>
      <c r="L2382" s="20">
        <v>2</v>
      </c>
      <c r="M2382" s="357">
        <f>SUM(H2382:H2383)</f>
        <v>362849.26</v>
      </c>
      <c r="N2382" s="411">
        <f>IFERROR((M2382/(VLOOKUP(B2382,'Data Pull Sheet'!$C:$H,6,FALSE))),"DC")</f>
        <v>5.8524074193548386E-4</v>
      </c>
      <c r="O2382" s="23" t="s">
        <v>63</v>
      </c>
      <c r="P2382" s="92" t="s">
        <v>632</v>
      </c>
      <c r="Q2382" s="92" t="s">
        <v>646</v>
      </c>
      <c r="R2382" s="372" t="str">
        <f t="shared" si="70"/>
        <v/>
      </c>
    </row>
    <row r="2383" spans="1:18" x14ac:dyDescent="0.25">
      <c r="A2383" s="23" t="s">
        <v>8650</v>
      </c>
      <c r="B2383" s="18" t="str">
        <f>VLOOKUP(A2383, 'Data Pull Sheet'!$B$2:$C$552,2,FALSE)</f>
        <v>CLNS</v>
      </c>
      <c r="C2383" s="59" t="s">
        <v>446</v>
      </c>
      <c r="D2383" s="356" t="s">
        <v>9087</v>
      </c>
      <c r="E2383" s="356" t="s">
        <v>9062</v>
      </c>
      <c r="F2383" s="23" t="s">
        <v>9390</v>
      </c>
      <c r="G2383" s="92" t="s">
        <v>403</v>
      </c>
      <c r="H2383" s="353">
        <v>206741.5</v>
      </c>
      <c r="I2383" s="59"/>
      <c r="J2383" s="18" t="s">
        <v>10166</v>
      </c>
      <c r="K2383" s="20"/>
      <c r="L2383" s="20"/>
      <c r="M2383" s="357"/>
      <c r="N2383" s="411"/>
      <c r="O2383" s="23" t="s">
        <v>63</v>
      </c>
      <c r="P2383" s="92" t="s">
        <v>632</v>
      </c>
      <c r="Q2383" s="92" t="s">
        <v>646</v>
      </c>
      <c r="R2383" s="372" t="str">
        <f t="shared" si="70"/>
        <v/>
      </c>
    </row>
    <row r="2384" spans="1:18" x14ac:dyDescent="0.25">
      <c r="A2384" s="23" t="s">
        <v>8650</v>
      </c>
      <c r="B2384" s="18" t="str">
        <f>VLOOKUP(A2384, 'Data Pull Sheet'!$B$2:$C$552,2,FALSE)</f>
        <v>CLNS</v>
      </c>
      <c r="C2384" s="59" t="s">
        <v>446</v>
      </c>
      <c r="D2384" s="356" t="s">
        <v>9087</v>
      </c>
      <c r="E2384" s="356" t="s">
        <v>9062</v>
      </c>
      <c r="F2384" s="23" t="s">
        <v>1782</v>
      </c>
      <c r="G2384" s="92" t="s">
        <v>417</v>
      </c>
      <c r="H2384" s="353">
        <v>1415364.75</v>
      </c>
      <c r="I2384" s="59"/>
      <c r="J2384" s="18" t="s">
        <v>10146</v>
      </c>
      <c r="K2384" s="20"/>
      <c r="L2384" s="20">
        <v>1</v>
      </c>
      <c r="M2384" s="357">
        <f>+H2384</f>
        <v>1415364.75</v>
      </c>
      <c r="N2384" s="411">
        <f>IFERROR((M2384/(VLOOKUP(B2384,'Data Pull Sheet'!$C:$H,6,FALSE))),"DC")</f>
        <v>2.282846370967742E-3</v>
      </c>
      <c r="O2384" s="23" t="s">
        <v>7</v>
      </c>
      <c r="P2384" s="92" t="s">
        <v>632</v>
      </c>
      <c r="Q2384" s="92" t="s">
        <v>633</v>
      </c>
      <c r="R2384" s="372" t="str">
        <f t="shared" si="70"/>
        <v>FF</v>
      </c>
    </row>
    <row r="2385" spans="1:18" x14ac:dyDescent="0.25">
      <c r="A2385" s="23" t="s">
        <v>8905</v>
      </c>
      <c r="B2385" s="18" t="str">
        <f>VLOOKUP(A2385, 'Data Pull Sheet'!$B$2:$C$552,2,FALSE)</f>
        <v>ERIC</v>
      </c>
      <c r="C2385" s="59" t="s">
        <v>418</v>
      </c>
      <c r="D2385" s="356" t="s">
        <v>9086</v>
      </c>
      <c r="E2385" s="356" t="s">
        <v>9062</v>
      </c>
      <c r="F2385" s="23" t="s">
        <v>1197</v>
      </c>
      <c r="G2385" s="92" t="s">
        <v>417</v>
      </c>
      <c r="H2385" s="353">
        <v>573898.73</v>
      </c>
      <c r="I2385" s="59" t="s">
        <v>406</v>
      </c>
      <c r="J2385" s="18" t="s">
        <v>10151</v>
      </c>
      <c r="K2385" s="20">
        <v>2</v>
      </c>
      <c r="L2385" s="20">
        <v>1</v>
      </c>
      <c r="M2385" s="357">
        <f>+H2385</f>
        <v>573898.73</v>
      </c>
      <c r="N2385" s="411">
        <f>IFERROR((M2385/(VLOOKUP(B2385,'Data Pull Sheet'!$C:$H,6,FALSE))),"DC")</f>
        <v>2.2955949199999999E-5</v>
      </c>
      <c r="O2385" s="23" t="s">
        <v>56</v>
      </c>
      <c r="P2385" s="92" t="s">
        <v>632</v>
      </c>
      <c r="Q2385" s="92" t="s">
        <v>633</v>
      </c>
      <c r="R2385" s="372" t="str">
        <f t="shared" si="70"/>
        <v>FF</v>
      </c>
    </row>
    <row r="2386" spans="1:18" x14ac:dyDescent="0.25">
      <c r="A2386" s="23" t="s">
        <v>8905</v>
      </c>
      <c r="B2386" s="18" t="str">
        <f>VLOOKUP(A2386, 'Data Pull Sheet'!$B$2:$C$552,2,FALSE)</f>
        <v>ERIC</v>
      </c>
      <c r="C2386" s="59" t="s">
        <v>418</v>
      </c>
      <c r="D2386" s="356" t="s">
        <v>9086</v>
      </c>
      <c r="E2386" s="356" t="s">
        <v>9062</v>
      </c>
      <c r="F2386" s="23" t="s">
        <v>3402</v>
      </c>
      <c r="G2386" s="92" t="s">
        <v>417</v>
      </c>
      <c r="H2386" s="353">
        <v>695854.38</v>
      </c>
      <c r="I2386" s="59"/>
      <c r="J2386" s="18" t="s">
        <v>10154</v>
      </c>
      <c r="K2386" s="20"/>
      <c r="L2386" s="20">
        <v>1</v>
      </c>
      <c r="M2386" s="357">
        <f>+H2386</f>
        <v>695854.38</v>
      </c>
      <c r="N2386" s="411">
        <f>IFERROR((M2386/(VLOOKUP(B2386,'Data Pull Sheet'!$C:$H,6,FALSE))),"DC")</f>
        <v>2.78341752E-5</v>
      </c>
      <c r="O2386" s="23" t="s">
        <v>7</v>
      </c>
      <c r="P2386" s="92" t="s">
        <v>632</v>
      </c>
      <c r="Q2386" s="92" t="s">
        <v>633</v>
      </c>
      <c r="R2386" s="372" t="str">
        <f t="shared" si="70"/>
        <v>FF</v>
      </c>
    </row>
    <row r="2387" spans="1:18" x14ac:dyDescent="0.25">
      <c r="A2387" s="23" t="s">
        <v>8990</v>
      </c>
      <c r="B2387" s="18" t="str">
        <f>VLOOKUP(A2387, 'Data Pull Sheet'!$B$2:$C$552,2,FALSE)</f>
        <v>SSPRMB</v>
      </c>
      <c r="C2387" s="59" t="s">
        <v>7385</v>
      </c>
      <c r="D2387" s="356" t="s">
        <v>7382</v>
      </c>
      <c r="E2387" s="356" t="s">
        <v>9060</v>
      </c>
      <c r="F2387" s="23" t="s">
        <v>9381</v>
      </c>
      <c r="G2387" s="92" t="s">
        <v>403</v>
      </c>
      <c r="H2387" s="353">
        <v>12375</v>
      </c>
      <c r="I2387" s="59"/>
      <c r="J2387" s="18" t="s">
        <v>10168</v>
      </c>
      <c r="K2387" s="20">
        <v>1</v>
      </c>
      <c r="L2387" s="20">
        <v>3</v>
      </c>
      <c r="M2387" s="357">
        <f>SUM(H2387:H2389)</f>
        <v>318416.41000000003</v>
      </c>
      <c r="N2387" s="411" t="str">
        <f>IFERROR((M2387/(VLOOKUP(B2387,'Data Pull Sheet'!$C:$H,6,FALSE))),"DC")</f>
        <v>DC</v>
      </c>
      <c r="O2387" s="23" t="s">
        <v>9769</v>
      </c>
      <c r="P2387" s="92" t="s">
        <v>676</v>
      </c>
      <c r="Q2387" s="92" t="s">
        <v>646</v>
      </c>
      <c r="R2387" s="372" t="str">
        <f t="shared" si="70"/>
        <v/>
      </c>
    </row>
    <row r="2388" spans="1:18" x14ac:dyDescent="0.25">
      <c r="A2388" s="23" t="s">
        <v>8990</v>
      </c>
      <c r="B2388" s="18" t="str">
        <f>VLOOKUP(A2388, 'Data Pull Sheet'!$B$2:$C$552,2,FALSE)</f>
        <v>SSPRMB</v>
      </c>
      <c r="C2388" s="59" t="s">
        <v>7385</v>
      </c>
      <c r="D2388" s="356" t="s">
        <v>7382</v>
      </c>
      <c r="E2388" s="356" t="s">
        <v>9060</v>
      </c>
      <c r="F2388" s="23" t="s">
        <v>9382</v>
      </c>
      <c r="G2388" s="92" t="s">
        <v>403</v>
      </c>
      <c r="H2388" s="353">
        <v>72437</v>
      </c>
      <c r="I2388" s="59"/>
      <c r="J2388" s="18" t="s">
        <v>10159</v>
      </c>
      <c r="K2388" s="20"/>
      <c r="L2388" s="20"/>
      <c r="M2388" s="357"/>
      <c r="N2388" s="411"/>
      <c r="O2388" s="23" t="s">
        <v>9769</v>
      </c>
      <c r="P2388" s="92" t="s">
        <v>676</v>
      </c>
      <c r="Q2388" s="92" t="s">
        <v>646</v>
      </c>
      <c r="R2388" s="372" t="str">
        <f t="shared" si="70"/>
        <v/>
      </c>
    </row>
    <row r="2389" spans="1:18" x14ac:dyDescent="0.25">
      <c r="A2389" s="23" t="s">
        <v>8990</v>
      </c>
      <c r="B2389" s="18" t="str">
        <f>VLOOKUP(A2389, 'Data Pull Sheet'!$B$2:$C$552,2,FALSE)</f>
        <v>SSPRMB</v>
      </c>
      <c r="C2389" s="59" t="s">
        <v>7385</v>
      </c>
      <c r="D2389" s="356" t="s">
        <v>7382</v>
      </c>
      <c r="E2389" s="356" t="s">
        <v>9060</v>
      </c>
      <c r="F2389" s="23" t="s">
        <v>9383</v>
      </c>
      <c r="G2389" s="92" t="s">
        <v>403</v>
      </c>
      <c r="H2389" s="353">
        <v>233604.41</v>
      </c>
      <c r="I2389" s="59"/>
      <c r="J2389" s="18" t="s">
        <v>10173</v>
      </c>
      <c r="K2389" s="20"/>
      <c r="L2389" s="20"/>
      <c r="M2389" s="357"/>
      <c r="N2389" s="411"/>
      <c r="O2389" s="23" t="s">
        <v>9769</v>
      </c>
      <c r="P2389" s="92" t="s">
        <v>676</v>
      </c>
      <c r="Q2389" s="92" t="s">
        <v>646</v>
      </c>
      <c r="R2389" s="372" t="str">
        <f t="shared" si="70"/>
        <v/>
      </c>
    </row>
    <row r="2390" spans="1:18" x14ac:dyDescent="0.25">
      <c r="A2390" s="23" t="s">
        <v>8858</v>
      </c>
      <c r="B2390" s="18" t="str">
        <f>VLOOKUP(A2390, 'Data Pull Sheet'!$B$2:$C$552,2,FALSE)</f>
        <v>LYV</v>
      </c>
      <c r="C2390" s="59" t="s">
        <v>446</v>
      </c>
      <c r="D2390" s="356" t="s">
        <v>9084</v>
      </c>
      <c r="E2390" s="356" t="s">
        <v>9057</v>
      </c>
      <c r="F2390" s="23" t="s">
        <v>9378</v>
      </c>
      <c r="G2390" s="92" t="s">
        <v>403</v>
      </c>
      <c r="H2390" s="353">
        <v>76.48</v>
      </c>
      <c r="I2390" s="59"/>
      <c r="J2390" s="18" t="s">
        <v>10161</v>
      </c>
      <c r="K2390" s="20">
        <v>2</v>
      </c>
      <c r="L2390" s="20">
        <v>1</v>
      </c>
      <c r="M2390" s="357">
        <f>+H2390</f>
        <v>76.48</v>
      </c>
      <c r="N2390" s="411">
        <f>IFERROR((M2390/(VLOOKUP(B2390,'Data Pull Sheet'!$C:$H,6,FALSE))),"DC")</f>
        <v>3.8240000000000004E-7</v>
      </c>
      <c r="O2390" s="23" t="s">
        <v>682</v>
      </c>
      <c r="P2390" s="92" t="s">
        <v>632</v>
      </c>
      <c r="Q2390" s="92" t="s">
        <v>637</v>
      </c>
      <c r="R2390" s="372" t="str">
        <f t="shared" si="70"/>
        <v/>
      </c>
    </row>
    <row r="2391" spans="1:18" x14ac:dyDescent="0.25">
      <c r="A2391" s="23" t="s">
        <v>8858</v>
      </c>
      <c r="B2391" s="18" t="str">
        <f>VLOOKUP(A2391, 'Data Pull Sheet'!$B$2:$C$552,2,FALSE)</f>
        <v>LYV</v>
      </c>
      <c r="C2391" s="59" t="s">
        <v>446</v>
      </c>
      <c r="D2391" s="356" t="s">
        <v>9084</v>
      </c>
      <c r="E2391" s="356" t="s">
        <v>9057</v>
      </c>
      <c r="F2391" s="23" t="s">
        <v>9379</v>
      </c>
      <c r="G2391" s="92" t="s">
        <v>403</v>
      </c>
      <c r="H2391" s="353">
        <v>50.86</v>
      </c>
      <c r="I2391" s="59"/>
      <c r="J2391" s="18" t="s">
        <v>10167</v>
      </c>
      <c r="K2391" s="20"/>
      <c r="L2391" s="20">
        <v>1</v>
      </c>
      <c r="M2391" s="357">
        <f>+H2391</f>
        <v>50.86</v>
      </c>
      <c r="N2391" s="411">
        <f>IFERROR((M2391/(VLOOKUP(B2391,'Data Pull Sheet'!$C:$H,6,FALSE))),"DC")</f>
        <v>2.5429999999999999E-7</v>
      </c>
      <c r="O2391" s="23" t="s">
        <v>2410</v>
      </c>
      <c r="P2391" s="92" t="s">
        <v>632</v>
      </c>
      <c r="Q2391" s="92" t="s">
        <v>637</v>
      </c>
      <c r="R2391" s="372" t="str">
        <f t="shared" si="70"/>
        <v/>
      </c>
    </row>
    <row r="2392" spans="1:18" ht="30" x14ac:dyDescent="0.25">
      <c r="A2392" s="23" t="s">
        <v>9019</v>
      </c>
      <c r="B2392" s="18" t="str">
        <f>VLOOKUP(A2392, 'Data Pull Sheet'!$B$2:$C$552,2,FALSE)</f>
        <v>MYGN</v>
      </c>
      <c r="C2392" s="59" t="s">
        <v>536</v>
      </c>
      <c r="D2392" s="356" t="s">
        <v>9083</v>
      </c>
      <c r="E2392" s="356" t="s">
        <v>9056</v>
      </c>
      <c r="F2392" s="23" t="s">
        <v>9377</v>
      </c>
      <c r="G2392" s="92" t="s">
        <v>403</v>
      </c>
      <c r="H2392" s="353">
        <v>8870.14</v>
      </c>
      <c r="I2392" s="59"/>
      <c r="J2392" s="18" t="s">
        <v>10349</v>
      </c>
      <c r="K2392" s="20">
        <v>1</v>
      </c>
      <c r="L2392" s="20">
        <v>2</v>
      </c>
      <c r="M2392" s="357">
        <f>SUM(H2392:H2393)</f>
        <v>17457.89</v>
      </c>
      <c r="N2392" s="411">
        <f>IFERROR((M2392/(VLOOKUP(B2392,'Data Pull Sheet'!$C:$H,6,FALSE))),"DC")</f>
        <v>1.091118125E-4</v>
      </c>
      <c r="O2392" s="23" t="s">
        <v>9768</v>
      </c>
      <c r="P2392" s="92" t="s">
        <v>676</v>
      </c>
      <c r="Q2392" s="92" t="s">
        <v>646</v>
      </c>
      <c r="R2392" s="372" t="str">
        <f t="shared" si="70"/>
        <v/>
      </c>
    </row>
    <row r="2393" spans="1:18" ht="30" x14ac:dyDescent="0.25">
      <c r="A2393" s="23" t="s">
        <v>9019</v>
      </c>
      <c r="B2393" s="18" t="str">
        <f>VLOOKUP(A2393, 'Data Pull Sheet'!$B$2:$C$552,2,FALSE)</f>
        <v>MYGN</v>
      </c>
      <c r="C2393" s="59" t="s">
        <v>536</v>
      </c>
      <c r="D2393" s="356" t="s">
        <v>9083</v>
      </c>
      <c r="E2393" s="356" t="s">
        <v>9056</v>
      </c>
      <c r="F2393" s="23" t="s">
        <v>3814</v>
      </c>
      <c r="G2393" s="92" t="s">
        <v>403</v>
      </c>
      <c r="H2393" s="353">
        <v>8587.75</v>
      </c>
      <c r="I2393" s="59"/>
      <c r="J2393" s="18" t="s">
        <v>10350</v>
      </c>
      <c r="K2393" s="20"/>
      <c r="L2393" s="20"/>
      <c r="M2393" s="357"/>
      <c r="N2393" s="411"/>
      <c r="O2393" s="23" t="s">
        <v>9768</v>
      </c>
      <c r="P2393" s="92" t="s">
        <v>676</v>
      </c>
      <c r="Q2393" s="92" t="s">
        <v>646</v>
      </c>
      <c r="R2393" s="372" t="str">
        <f t="shared" si="70"/>
        <v>FF</v>
      </c>
    </row>
    <row r="2394" spans="1:18" x14ac:dyDescent="0.25">
      <c r="A2394" s="23" t="s">
        <v>8828</v>
      </c>
      <c r="B2394" s="18" t="str">
        <f>VLOOKUP(A2394, 'Data Pull Sheet'!$B$2:$C$552,2,FALSE)</f>
        <v>EDGE</v>
      </c>
      <c r="C2394" s="59" t="s">
        <v>424</v>
      </c>
      <c r="D2394" s="356" t="s">
        <v>9082</v>
      </c>
      <c r="E2394" s="356" t="s">
        <v>9044</v>
      </c>
      <c r="F2394" s="23" t="s">
        <v>9373</v>
      </c>
      <c r="G2394" s="92" t="s">
        <v>403</v>
      </c>
      <c r="H2394" s="353">
        <v>30593.95</v>
      </c>
      <c r="I2394" s="59"/>
      <c r="J2394" s="18" t="s">
        <v>10174</v>
      </c>
      <c r="K2394" s="20">
        <v>3</v>
      </c>
      <c r="L2394" s="20">
        <v>1</v>
      </c>
      <c r="M2394" s="357">
        <f>+H2394</f>
        <v>30593.95</v>
      </c>
      <c r="N2394" s="411">
        <f>IFERROR((M2394/(VLOOKUP(B2394,'Data Pull Sheet'!$C:$H,6,FALSE))),"DC")</f>
        <v>6.1187900000000007E-4</v>
      </c>
      <c r="O2394" s="23" t="s">
        <v>682</v>
      </c>
      <c r="P2394" s="92" t="s">
        <v>632</v>
      </c>
      <c r="Q2394" s="92" t="s">
        <v>637</v>
      </c>
      <c r="R2394" s="372" t="str">
        <f t="shared" si="70"/>
        <v/>
      </c>
    </row>
    <row r="2395" spans="1:18" ht="30" x14ac:dyDescent="0.25">
      <c r="A2395" s="23" t="s">
        <v>8828</v>
      </c>
      <c r="B2395" s="18" t="str">
        <f>VLOOKUP(A2395, 'Data Pull Sheet'!$B$2:$C$552,2,FALSE)</f>
        <v>EDGE</v>
      </c>
      <c r="C2395" s="59" t="s">
        <v>424</v>
      </c>
      <c r="D2395" s="356" t="s">
        <v>9082</v>
      </c>
      <c r="E2395" s="356" t="s">
        <v>9044</v>
      </c>
      <c r="F2395" s="23" t="s">
        <v>9374</v>
      </c>
      <c r="G2395" s="92" t="s">
        <v>403</v>
      </c>
      <c r="H2395" s="353">
        <v>75519.25</v>
      </c>
      <c r="I2395" s="59"/>
      <c r="J2395" s="18" t="s">
        <v>10176</v>
      </c>
      <c r="K2395" s="20"/>
      <c r="L2395" s="20">
        <v>2</v>
      </c>
      <c r="M2395" s="357">
        <f>SUM(H2395:H2396)</f>
        <v>177957.1</v>
      </c>
      <c r="N2395" s="411">
        <f>IFERROR((M2395/(VLOOKUP(B2395,'Data Pull Sheet'!$C:$H,6,FALSE))),"DC")</f>
        <v>3.5591419999999999E-3</v>
      </c>
      <c r="O2395" s="23" t="s">
        <v>687</v>
      </c>
      <c r="P2395" s="92" t="s">
        <v>632</v>
      </c>
      <c r="Q2395" s="92" t="s">
        <v>646</v>
      </c>
      <c r="R2395" s="372" t="str">
        <f t="shared" si="70"/>
        <v/>
      </c>
    </row>
    <row r="2396" spans="1:18" ht="30" x14ac:dyDescent="0.25">
      <c r="A2396" s="23" t="s">
        <v>8828</v>
      </c>
      <c r="B2396" s="18" t="str">
        <f>VLOOKUP(A2396, 'Data Pull Sheet'!$B$2:$C$552,2,FALSE)</f>
        <v>EDGE</v>
      </c>
      <c r="C2396" s="59" t="s">
        <v>424</v>
      </c>
      <c r="D2396" s="356" t="s">
        <v>9082</v>
      </c>
      <c r="E2396" s="356" t="s">
        <v>9044</v>
      </c>
      <c r="F2396" s="23" t="s">
        <v>9375</v>
      </c>
      <c r="G2396" s="92" t="s">
        <v>403</v>
      </c>
      <c r="H2396" s="353">
        <v>102437.85</v>
      </c>
      <c r="I2396" s="59"/>
      <c r="J2396" s="18" t="s">
        <v>10177</v>
      </c>
      <c r="K2396" s="20"/>
      <c r="L2396" s="20"/>
      <c r="M2396" s="357"/>
      <c r="N2396" s="411"/>
      <c r="O2396" s="23" t="s">
        <v>687</v>
      </c>
      <c r="P2396" s="92" t="s">
        <v>632</v>
      </c>
      <c r="Q2396" s="92" t="s">
        <v>646</v>
      </c>
      <c r="R2396" s="372" t="str">
        <f t="shared" si="70"/>
        <v/>
      </c>
    </row>
    <row r="2397" spans="1:18" x14ac:dyDescent="0.25">
      <c r="A2397" s="23" t="s">
        <v>8828</v>
      </c>
      <c r="B2397" s="18" t="str">
        <f>VLOOKUP(A2397, 'Data Pull Sheet'!$B$2:$C$552,2,FALSE)</f>
        <v>EDGE</v>
      </c>
      <c r="C2397" s="59" t="s">
        <v>424</v>
      </c>
      <c r="D2397" s="356" t="s">
        <v>9082</v>
      </c>
      <c r="E2397" s="356" t="s">
        <v>9044</v>
      </c>
      <c r="F2397" s="23" t="s">
        <v>9376</v>
      </c>
      <c r="G2397" s="92" t="s">
        <v>403</v>
      </c>
      <c r="H2397" s="353">
        <v>4635</v>
      </c>
      <c r="I2397" s="59"/>
      <c r="J2397" s="18" t="s">
        <v>10178</v>
      </c>
      <c r="K2397" s="20"/>
      <c r="L2397" s="20">
        <v>1</v>
      </c>
      <c r="M2397" s="357">
        <f>+H2397</f>
        <v>4635</v>
      </c>
      <c r="N2397" s="411">
        <f>IFERROR((M2397/(VLOOKUP(B2397,'Data Pull Sheet'!$C:$H,6,FALSE))),"DC")</f>
        <v>9.2700000000000004E-5</v>
      </c>
      <c r="O2397" s="23" t="s">
        <v>104</v>
      </c>
      <c r="P2397" s="92" t="s">
        <v>632</v>
      </c>
      <c r="Q2397" s="92" t="s">
        <v>637</v>
      </c>
      <c r="R2397" s="372" t="str">
        <f t="shared" si="70"/>
        <v/>
      </c>
    </row>
    <row r="2398" spans="1:18" x14ac:dyDescent="0.25">
      <c r="A2398" s="23" t="s">
        <v>8784</v>
      </c>
      <c r="B2398" s="18" t="str">
        <f>VLOOKUP(A2398, 'Data Pull Sheet'!$B$2:$C$552,2,FALSE)</f>
        <v>ACET</v>
      </c>
      <c r="C2398" s="59" t="s">
        <v>1008</v>
      </c>
      <c r="D2398" s="356" t="s">
        <v>9077</v>
      </c>
      <c r="E2398" s="356" t="s">
        <v>9167</v>
      </c>
      <c r="F2398" s="23" t="s">
        <v>9358</v>
      </c>
      <c r="G2398" s="92" t="s">
        <v>403</v>
      </c>
      <c r="H2398" s="353">
        <v>8899</v>
      </c>
      <c r="I2398" s="59"/>
      <c r="J2398" s="18" t="s">
        <v>10175</v>
      </c>
      <c r="K2398" s="20">
        <v>5</v>
      </c>
      <c r="L2398" s="20">
        <v>1</v>
      </c>
      <c r="M2398" s="357">
        <f>+H2398</f>
        <v>8899</v>
      </c>
      <c r="N2398" s="411">
        <f>IFERROR((M2398/(VLOOKUP(B2398,'Data Pull Sheet'!$C:$H,6,FALSE))),"DC")</f>
        <v>1.112375E-4</v>
      </c>
      <c r="O2398" s="23" t="s">
        <v>168</v>
      </c>
      <c r="P2398" s="92" t="s">
        <v>632</v>
      </c>
      <c r="Q2398" s="92" t="s">
        <v>637</v>
      </c>
      <c r="R2398" s="372" t="str">
        <f t="shared" si="70"/>
        <v/>
      </c>
    </row>
    <row r="2399" spans="1:18" x14ac:dyDescent="0.25">
      <c r="A2399" s="23" t="s">
        <v>8784</v>
      </c>
      <c r="B2399" s="18" t="str">
        <f>VLOOKUP(A2399, 'Data Pull Sheet'!$B$2:$C$552,2,FALSE)</f>
        <v>ACET</v>
      </c>
      <c r="C2399" s="59" t="s">
        <v>1008</v>
      </c>
      <c r="D2399" s="356" t="s">
        <v>9077</v>
      </c>
      <c r="E2399" s="356" t="s">
        <v>9167</v>
      </c>
      <c r="F2399" s="23" t="s">
        <v>9359</v>
      </c>
      <c r="G2399" s="92" t="s">
        <v>403</v>
      </c>
      <c r="H2399" s="353">
        <v>19187.2</v>
      </c>
      <c r="I2399" s="59"/>
      <c r="J2399" s="18" t="s">
        <v>10181</v>
      </c>
      <c r="K2399" s="20"/>
      <c r="L2399" s="20">
        <v>1</v>
      </c>
      <c r="M2399" s="357">
        <f>+H2399</f>
        <v>19187.2</v>
      </c>
      <c r="N2399" s="411">
        <f>IFERROR((M2399/(VLOOKUP(B2399,'Data Pull Sheet'!$C:$H,6,FALSE))),"DC")</f>
        <v>2.3984000000000001E-4</v>
      </c>
      <c r="O2399" s="23" t="s">
        <v>597</v>
      </c>
      <c r="P2399" s="92" t="s">
        <v>632</v>
      </c>
      <c r="Q2399" s="92" t="s">
        <v>637</v>
      </c>
      <c r="R2399" s="372" t="str">
        <f t="shared" si="70"/>
        <v/>
      </c>
    </row>
    <row r="2400" spans="1:18" x14ac:dyDescent="0.25">
      <c r="A2400" s="23" t="s">
        <v>8784</v>
      </c>
      <c r="B2400" s="18" t="str">
        <f>VLOOKUP(A2400, 'Data Pull Sheet'!$B$2:$C$552,2,FALSE)</f>
        <v>ACET</v>
      </c>
      <c r="C2400" s="59" t="s">
        <v>1008</v>
      </c>
      <c r="D2400" s="356" t="s">
        <v>9077</v>
      </c>
      <c r="E2400" s="356" t="s">
        <v>9167</v>
      </c>
      <c r="F2400" s="23" t="s">
        <v>9360</v>
      </c>
      <c r="G2400" s="92" t="s">
        <v>403</v>
      </c>
      <c r="H2400" s="353">
        <v>20398.14</v>
      </c>
      <c r="I2400" s="59" t="s">
        <v>406</v>
      </c>
      <c r="J2400" s="18" t="s">
        <v>10185</v>
      </c>
      <c r="K2400" s="20"/>
      <c r="L2400" s="20">
        <v>5</v>
      </c>
      <c r="M2400" s="357">
        <f>SUM(H2400:H2404)</f>
        <v>79557.63</v>
      </c>
      <c r="N2400" s="411">
        <f>IFERROR((M2400/(VLOOKUP(B2400,'Data Pull Sheet'!$C:$H,6,FALSE))),"DC")</f>
        <v>9.9447037500000014E-4</v>
      </c>
      <c r="O2400" s="23" t="s">
        <v>4571</v>
      </c>
      <c r="P2400" s="92" t="s">
        <v>632</v>
      </c>
      <c r="Q2400" s="92" t="s">
        <v>646</v>
      </c>
      <c r="R2400" s="372" t="str">
        <f t="shared" si="70"/>
        <v/>
      </c>
    </row>
    <row r="2401" spans="1:18" x14ac:dyDescent="0.25">
      <c r="A2401" s="23" t="s">
        <v>8784</v>
      </c>
      <c r="B2401" s="18" t="str">
        <f>VLOOKUP(A2401, 'Data Pull Sheet'!$B$2:$C$552,2,FALSE)</f>
        <v>ACET</v>
      </c>
      <c r="C2401" s="59" t="s">
        <v>1008</v>
      </c>
      <c r="D2401" s="356" t="s">
        <v>9077</v>
      </c>
      <c r="E2401" s="356" t="s">
        <v>9167</v>
      </c>
      <c r="F2401" s="23" t="s">
        <v>9361</v>
      </c>
      <c r="G2401" s="92" t="s">
        <v>403</v>
      </c>
      <c r="H2401" s="353">
        <v>12663.74</v>
      </c>
      <c r="I2401" s="59" t="s">
        <v>406</v>
      </c>
      <c r="J2401" s="18" t="s">
        <v>10186</v>
      </c>
      <c r="K2401" s="20"/>
      <c r="L2401" s="20"/>
      <c r="M2401" s="357"/>
      <c r="N2401" s="411"/>
      <c r="O2401" s="23" t="s">
        <v>4571</v>
      </c>
      <c r="P2401" s="92" t="s">
        <v>632</v>
      </c>
      <c r="Q2401" s="92" t="s">
        <v>646</v>
      </c>
      <c r="R2401" s="372" t="str">
        <f t="shared" si="70"/>
        <v/>
      </c>
    </row>
    <row r="2402" spans="1:18" x14ac:dyDescent="0.25">
      <c r="A2402" s="23" t="s">
        <v>8784</v>
      </c>
      <c r="B2402" s="18" t="str">
        <f>VLOOKUP(A2402, 'Data Pull Sheet'!$B$2:$C$552,2,FALSE)</f>
        <v>ACET</v>
      </c>
      <c r="C2402" s="59" t="s">
        <v>1008</v>
      </c>
      <c r="D2402" s="356" t="s">
        <v>9077</v>
      </c>
      <c r="E2402" s="356" t="s">
        <v>9167</v>
      </c>
      <c r="F2402" s="23" t="s">
        <v>9362</v>
      </c>
      <c r="G2402" s="92" t="s">
        <v>403</v>
      </c>
      <c r="H2402" s="353">
        <v>16903.09</v>
      </c>
      <c r="I2402" s="59" t="s">
        <v>406</v>
      </c>
      <c r="J2402" s="18" t="s">
        <v>10187</v>
      </c>
      <c r="K2402" s="20"/>
      <c r="L2402" s="20"/>
      <c r="M2402" s="357"/>
      <c r="N2402" s="411"/>
      <c r="O2402" s="23" t="s">
        <v>4571</v>
      </c>
      <c r="P2402" s="92" t="s">
        <v>632</v>
      </c>
      <c r="Q2402" s="92" t="s">
        <v>646</v>
      </c>
      <c r="R2402" s="372" t="str">
        <f t="shared" si="70"/>
        <v/>
      </c>
    </row>
    <row r="2403" spans="1:18" x14ac:dyDescent="0.25">
      <c r="A2403" s="23" t="s">
        <v>8784</v>
      </c>
      <c r="B2403" s="18" t="str">
        <f>VLOOKUP(A2403, 'Data Pull Sheet'!$B$2:$C$552,2,FALSE)</f>
        <v>ACET</v>
      </c>
      <c r="C2403" s="59" t="s">
        <v>1008</v>
      </c>
      <c r="D2403" s="356" t="s">
        <v>9077</v>
      </c>
      <c r="E2403" s="356" t="s">
        <v>9167</v>
      </c>
      <c r="F2403" s="23" t="s">
        <v>9363</v>
      </c>
      <c r="G2403" s="92" t="s">
        <v>403</v>
      </c>
      <c r="H2403" s="353">
        <v>21167.66</v>
      </c>
      <c r="I2403" s="59" t="s">
        <v>406</v>
      </c>
      <c r="J2403" s="18" t="s">
        <v>10188</v>
      </c>
      <c r="K2403" s="20"/>
      <c r="L2403" s="20"/>
      <c r="M2403" s="357"/>
      <c r="N2403" s="411"/>
      <c r="O2403" s="23" t="s">
        <v>4571</v>
      </c>
      <c r="P2403" s="92" t="s">
        <v>632</v>
      </c>
      <c r="Q2403" s="92" t="s">
        <v>646</v>
      </c>
      <c r="R2403" s="372" t="str">
        <f t="shared" si="70"/>
        <v/>
      </c>
    </row>
    <row r="2404" spans="1:18" x14ac:dyDescent="0.25">
      <c r="A2404" s="23" t="s">
        <v>8784</v>
      </c>
      <c r="B2404" s="18" t="str">
        <f>VLOOKUP(A2404, 'Data Pull Sheet'!$B$2:$C$552,2,FALSE)</f>
        <v>ACET</v>
      </c>
      <c r="C2404" s="59" t="s">
        <v>1008</v>
      </c>
      <c r="D2404" s="356" t="s">
        <v>9077</v>
      </c>
      <c r="E2404" s="356" t="s">
        <v>9167</v>
      </c>
      <c r="F2404" s="23" t="s">
        <v>9364</v>
      </c>
      <c r="G2404" s="92" t="s">
        <v>403</v>
      </c>
      <c r="H2404" s="353">
        <v>8425</v>
      </c>
      <c r="I2404" s="59" t="s">
        <v>406</v>
      </c>
      <c r="J2404" s="18" t="s">
        <v>10189</v>
      </c>
      <c r="K2404" s="20"/>
      <c r="L2404" s="20"/>
      <c r="M2404" s="357"/>
      <c r="N2404" s="411"/>
      <c r="O2404" s="23" t="s">
        <v>4571</v>
      </c>
      <c r="P2404" s="92" t="s">
        <v>632</v>
      </c>
      <c r="Q2404" s="92" t="s">
        <v>646</v>
      </c>
      <c r="R2404" s="372" t="str">
        <f t="shared" si="70"/>
        <v/>
      </c>
    </row>
    <row r="2405" spans="1:18" x14ac:dyDescent="0.25">
      <c r="A2405" s="23" t="s">
        <v>8784</v>
      </c>
      <c r="B2405" s="18" t="str">
        <f>VLOOKUP(A2405, 'Data Pull Sheet'!$B$2:$C$552,2,FALSE)</f>
        <v>ACET</v>
      </c>
      <c r="C2405" s="59" t="s">
        <v>1008</v>
      </c>
      <c r="D2405" s="356" t="s">
        <v>9077</v>
      </c>
      <c r="E2405" s="356" t="s">
        <v>9167</v>
      </c>
      <c r="F2405" s="23" t="s">
        <v>9365</v>
      </c>
      <c r="G2405" s="92" t="s">
        <v>403</v>
      </c>
      <c r="H2405" s="353">
        <v>246200</v>
      </c>
      <c r="I2405" s="59"/>
      <c r="J2405" s="18" t="s">
        <v>10190</v>
      </c>
      <c r="K2405" s="20"/>
      <c r="L2405" s="20">
        <v>1</v>
      </c>
      <c r="M2405" s="357">
        <f>+H2405</f>
        <v>246200</v>
      </c>
      <c r="N2405" s="411">
        <f>IFERROR((M2405/(VLOOKUP(B2405,'Data Pull Sheet'!$C:$H,6,FALSE))),"DC")</f>
        <v>3.0774999999999999E-3</v>
      </c>
      <c r="O2405" s="23" t="s">
        <v>682</v>
      </c>
      <c r="P2405" s="92" t="s">
        <v>632</v>
      </c>
      <c r="Q2405" s="92" t="s">
        <v>637</v>
      </c>
      <c r="R2405" s="372" t="str">
        <f t="shared" si="70"/>
        <v/>
      </c>
    </row>
    <row r="2406" spans="1:18" ht="30" x14ac:dyDescent="0.25">
      <c r="A2406" s="23" t="s">
        <v>8784</v>
      </c>
      <c r="B2406" s="18" t="str">
        <f>VLOOKUP(A2406, 'Data Pull Sheet'!$B$2:$C$552,2,FALSE)</f>
        <v>ACET</v>
      </c>
      <c r="C2406" s="59" t="s">
        <v>1008</v>
      </c>
      <c r="D2406" s="356" t="s">
        <v>9077</v>
      </c>
      <c r="E2406" s="356" t="s">
        <v>9167</v>
      </c>
      <c r="F2406" s="23" t="s">
        <v>2932</v>
      </c>
      <c r="G2406" s="92" t="s">
        <v>417</v>
      </c>
      <c r="H2406" s="353">
        <v>34536.839999999997</v>
      </c>
      <c r="I2406" s="59"/>
      <c r="J2406" s="18" t="s">
        <v>10191</v>
      </c>
      <c r="K2406" s="20"/>
      <c r="L2406" s="20">
        <v>1</v>
      </c>
      <c r="M2406" s="357">
        <f>+H2406</f>
        <v>34536.839999999997</v>
      </c>
      <c r="N2406" s="411">
        <f>IFERROR((M2406/(VLOOKUP(B2406,'Data Pull Sheet'!$C:$H,6,FALSE))),"DC")</f>
        <v>4.3171049999999998E-4</v>
      </c>
      <c r="O2406" s="23" t="s">
        <v>9767</v>
      </c>
      <c r="P2406" s="92" t="s">
        <v>632</v>
      </c>
      <c r="Q2406" s="92" t="s">
        <v>633</v>
      </c>
      <c r="R2406" s="372" t="str">
        <f t="shared" si="70"/>
        <v>FF</v>
      </c>
    </row>
    <row r="2407" spans="1:18" x14ac:dyDescent="0.25">
      <c r="A2407" s="23" t="s">
        <v>8797</v>
      </c>
      <c r="B2407" s="18" t="str">
        <f>VLOOKUP(A2407, 'Data Pull Sheet'!$B$2:$C$552,2,FALSE)</f>
        <v>ALGT</v>
      </c>
      <c r="C2407" s="59" t="s">
        <v>3449</v>
      </c>
      <c r="D2407" s="356" t="s">
        <v>9077</v>
      </c>
      <c r="E2407" s="356" t="s">
        <v>9167</v>
      </c>
      <c r="F2407" s="23" t="s">
        <v>9357</v>
      </c>
      <c r="G2407" s="92" t="s">
        <v>403</v>
      </c>
      <c r="H2407" s="353">
        <v>25980.75</v>
      </c>
      <c r="I2407" s="59"/>
      <c r="J2407" s="18" t="s">
        <v>10179</v>
      </c>
      <c r="K2407" s="20">
        <v>1</v>
      </c>
      <c r="L2407" s="20">
        <v>1</v>
      </c>
      <c r="M2407" s="357">
        <f>+H2407</f>
        <v>25980.75</v>
      </c>
      <c r="N2407" s="411">
        <f>IFERROR((M2407/(VLOOKUP(B2407,'Data Pull Sheet'!$C:$H,6,FALSE))),"DC")</f>
        <v>3.4641000000000001E-4</v>
      </c>
      <c r="O2407" s="23" t="s">
        <v>682</v>
      </c>
      <c r="P2407" s="92" t="s">
        <v>676</v>
      </c>
      <c r="Q2407" s="92" t="s">
        <v>637</v>
      </c>
      <c r="R2407" s="372" t="str">
        <f t="shared" si="70"/>
        <v/>
      </c>
    </row>
    <row r="2408" spans="1:18" x14ac:dyDescent="0.25">
      <c r="A2408" s="23" t="s">
        <v>8842</v>
      </c>
      <c r="B2408" s="18" t="str">
        <f>VLOOKUP(A2408, 'Data Pull Sheet'!$B$2:$C$552,2,FALSE)</f>
        <v>GSUM</v>
      </c>
      <c r="C2408" s="59" t="s">
        <v>418</v>
      </c>
      <c r="D2408" s="356" t="s">
        <v>9080</v>
      </c>
      <c r="E2408" s="356" t="s">
        <v>9167</v>
      </c>
      <c r="F2408" s="23" t="s">
        <v>9366</v>
      </c>
      <c r="G2408" s="92" t="s">
        <v>403</v>
      </c>
      <c r="H2408" s="353">
        <v>22525.83</v>
      </c>
      <c r="I2408" s="59"/>
      <c r="J2408" s="18" t="s">
        <v>10192</v>
      </c>
      <c r="K2408" s="20">
        <v>5</v>
      </c>
      <c r="L2408" s="20">
        <v>3</v>
      </c>
      <c r="M2408" s="357">
        <f>SUM(H2408:H2410)</f>
        <v>33113.93</v>
      </c>
      <c r="N2408" s="411">
        <f>IFERROR((M2408/(VLOOKUP(B2408,'Data Pull Sheet'!$C:$H,6,FALSE))),"DC")</f>
        <v>2.2075953333333333E-3</v>
      </c>
      <c r="O2408" s="23" t="s">
        <v>60</v>
      </c>
      <c r="P2408" s="92" t="s">
        <v>632</v>
      </c>
      <c r="Q2408" s="92" t="s">
        <v>646</v>
      </c>
      <c r="R2408" s="372" t="str">
        <f t="shared" si="70"/>
        <v/>
      </c>
    </row>
    <row r="2409" spans="1:18" x14ac:dyDescent="0.25">
      <c r="A2409" s="23" t="s">
        <v>8842</v>
      </c>
      <c r="B2409" s="18" t="str">
        <f>VLOOKUP(A2409, 'Data Pull Sheet'!$B$2:$C$552,2,FALSE)</f>
        <v>GSUM</v>
      </c>
      <c r="C2409" s="59" t="s">
        <v>418</v>
      </c>
      <c r="D2409" s="356" t="s">
        <v>9080</v>
      </c>
      <c r="E2409" s="356" t="s">
        <v>9167</v>
      </c>
      <c r="F2409" s="23" t="s">
        <v>9367</v>
      </c>
      <c r="G2409" s="92" t="s">
        <v>403</v>
      </c>
      <c r="H2409" s="353">
        <v>3165</v>
      </c>
      <c r="I2409" s="59"/>
      <c r="J2409" s="18" t="s">
        <v>10169</v>
      </c>
      <c r="K2409" s="20"/>
      <c r="L2409" s="20"/>
      <c r="M2409" s="357"/>
      <c r="N2409" s="411"/>
      <c r="O2409" s="23" t="s">
        <v>60</v>
      </c>
      <c r="P2409" s="92" t="s">
        <v>632</v>
      </c>
      <c r="Q2409" s="92" t="s">
        <v>646</v>
      </c>
      <c r="R2409" s="372" t="str">
        <f t="shared" si="70"/>
        <v/>
      </c>
    </row>
    <row r="2410" spans="1:18" x14ac:dyDescent="0.25">
      <c r="A2410" s="23" t="s">
        <v>8842</v>
      </c>
      <c r="B2410" s="18" t="str">
        <f>VLOOKUP(A2410, 'Data Pull Sheet'!$B$2:$C$552,2,FALSE)</f>
        <v>GSUM</v>
      </c>
      <c r="C2410" s="59" t="s">
        <v>418</v>
      </c>
      <c r="D2410" s="356" t="s">
        <v>9080</v>
      </c>
      <c r="E2410" s="356" t="s">
        <v>9167</v>
      </c>
      <c r="F2410" s="23" t="s">
        <v>9368</v>
      </c>
      <c r="G2410" s="92" t="s">
        <v>403</v>
      </c>
      <c r="H2410" s="353">
        <v>7423.1</v>
      </c>
      <c r="I2410" s="59"/>
      <c r="J2410" s="18" t="s">
        <v>10193</v>
      </c>
      <c r="K2410" s="20"/>
      <c r="L2410" s="20"/>
      <c r="M2410" s="357"/>
      <c r="N2410" s="411"/>
      <c r="O2410" s="23" t="s">
        <v>60</v>
      </c>
      <c r="P2410" s="92" t="s">
        <v>632</v>
      </c>
      <c r="Q2410" s="92" t="s">
        <v>646</v>
      </c>
      <c r="R2410" s="372" t="str">
        <f t="shared" si="70"/>
        <v/>
      </c>
    </row>
    <row r="2411" spans="1:18" x14ac:dyDescent="0.25">
      <c r="A2411" s="23" t="s">
        <v>8842</v>
      </c>
      <c r="B2411" s="18" t="str">
        <f>VLOOKUP(A2411, 'Data Pull Sheet'!$B$2:$C$552,2,FALSE)</f>
        <v>GSUM</v>
      </c>
      <c r="C2411" s="59" t="s">
        <v>418</v>
      </c>
      <c r="D2411" s="356" t="s">
        <v>9080</v>
      </c>
      <c r="E2411" s="356" t="s">
        <v>9167</v>
      </c>
      <c r="F2411" s="23" t="s">
        <v>9369</v>
      </c>
      <c r="G2411" s="92" t="s">
        <v>403</v>
      </c>
      <c r="H2411" s="353">
        <v>141548.84</v>
      </c>
      <c r="I2411" s="59"/>
      <c r="J2411" s="18" t="s">
        <v>10194</v>
      </c>
      <c r="K2411" s="20"/>
      <c r="L2411" s="20">
        <v>1</v>
      </c>
      <c r="M2411" s="357">
        <f t="shared" ref="M2411:M2419" si="72">+H2411</f>
        <v>141548.84</v>
      </c>
      <c r="N2411" s="411">
        <f>IFERROR((M2411/(VLOOKUP(B2411,'Data Pull Sheet'!$C:$H,6,FALSE))),"DC")</f>
        <v>9.4365893333333336E-3</v>
      </c>
      <c r="O2411" s="23" t="s">
        <v>682</v>
      </c>
      <c r="P2411" s="92" t="s">
        <v>632</v>
      </c>
      <c r="Q2411" s="92" t="s">
        <v>637</v>
      </c>
      <c r="R2411" s="372" t="str">
        <f t="shared" si="70"/>
        <v/>
      </c>
    </row>
    <row r="2412" spans="1:18" x14ac:dyDescent="0.25">
      <c r="A2412" s="23" t="s">
        <v>8842</v>
      </c>
      <c r="B2412" s="18" t="str">
        <f>VLOOKUP(A2412, 'Data Pull Sheet'!$B$2:$C$552,2,FALSE)</f>
        <v>GSUM</v>
      </c>
      <c r="C2412" s="59" t="s">
        <v>418</v>
      </c>
      <c r="D2412" s="356" t="s">
        <v>9080</v>
      </c>
      <c r="E2412" s="356" t="s">
        <v>9167</v>
      </c>
      <c r="F2412" s="23" t="s">
        <v>9370</v>
      </c>
      <c r="G2412" s="92" t="s">
        <v>403</v>
      </c>
      <c r="H2412" s="353">
        <v>69832</v>
      </c>
      <c r="I2412" s="59"/>
      <c r="J2412" s="18" t="s">
        <v>10195</v>
      </c>
      <c r="K2412" s="20"/>
      <c r="L2412" s="20">
        <v>1</v>
      </c>
      <c r="M2412" s="357">
        <f t="shared" si="72"/>
        <v>69832</v>
      </c>
      <c r="N2412" s="411">
        <f>IFERROR((M2412/(VLOOKUP(B2412,'Data Pull Sheet'!$C:$H,6,FALSE))),"DC")</f>
        <v>4.6554666666666668E-3</v>
      </c>
      <c r="O2412" s="23" t="s">
        <v>9753</v>
      </c>
      <c r="P2412" s="92" t="s">
        <v>632</v>
      </c>
      <c r="Q2412" s="92" t="s">
        <v>637</v>
      </c>
      <c r="R2412" s="372" t="str">
        <f t="shared" si="70"/>
        <v/>
      </c>
    </row>
    <row r="2413" spans="1:18" x14ac:dyDescent="0.25">
      <c r="A2413" s="23" t="s">
        <v>8842</v>
      </c>
      <c r="B2413" s="18" t="str">
        <f>VLOOKUP(A2413, 'Data Pull Sheet'!$B$2:$C$552,2,FALSE)</f>
        <v>GSUM</v>
      </c>
      <c r="C2413" s="59" t="s">
        <v>418</v>
      </c>
      <c r="D2413" s="356" t="s">
        <v>9080</v>
      </c>
      <c r="E2413" s="356" t="s">
        <v>9167</v>
      </c>
      <c r="F2413" s="23" t="s">
        <v>9371</v>
      </c>
      <c r="G2413" s="92" t="s">
        <v>403</v>
      </c>
      <c r="H2413" s="353">
        <v>58155.4</v>
      </c>
      <c r="I2413" s="59"/>
      <c r="J2413" s="18" t="s">
        <v>10182</v>
      </c>
      <c r="K2413" s="20"/>
      <c r="L2413" s="20">
        <v>1</v>
      </c>
      <c r="M2413" s="357">
        <f t="shared" si="72"/>
        <v>58155.4</v>
      </c>
      <c r="N2413" s="411">
        <f>IFERROR((M2413/(VLOOKUP(B2413,'Data Pull Sheet'!$C:$H,6,FALSE))),"DC")</f>
        <v>3.8770266666666667E-3</v>
      </c>
      <c r="O2413" s="23" t="s">
        <v>104</v>
      </c>
      <c r="P2413" s="92" t="s">
        <v>632</v>
      </c>
      <c r="Q2413" s="92" t="s">
        <v>637</v>
      </c>
      <c r="R2413" s="372" t="str">
        <f t="shared" si="70"/>
        <v/>
      </c>
    </row>
    <row r="2414" spans="1:18" x14ac:dyDescent="0.25">
      <c r="A2414" s="23" t="s">
        <v>8842</v>
      </c>
      <c r="B2414" s="18" t="str">
        <f>VLOOKUP(A2414, 'Data Pull Sheet'!$B$2:$C$552,2,FALSE)</f>
        <v>GSUM</v>
      </c>
      <c r="C2414" s="59" t="s">
        <v>418</v>
      </c>
      <c r="D2414" s="356" t="s">
        <v>9080</v>
      </c>
      <c r="E2414" s="356" t="s">
        <v>9167</v>
      </c>
      <c r="F2414" s="23" t="s">
        <v>9372</v>
      </c>
      <c r="G2414" s="92" t="s">
        <v>403</v>
      </c>
      <c r="H2414" s="353">
        <v>1012170.91</v>
      </c>
      <c r="I2414" s="59"/>
      <c r="J2414" s="18" t="s">
        <v>10196</v>
      </c>
      <c r="K2414" s="20"/>
      <c r="L2414" s="20">
        <v>1</v>
      </c>
      <c r="M2414" s="357">
        <f t="shared" si="72"/>
        <v>1012170.91</v>
      </c>
      <c r="N2414" s="411">
        <f>IFERROR((M2414/(VLOOKUP(B2414,'Data Pull Sheet'!$C:$H,6,FALSE))),"DC")</f>
        <v>6.7478060666666673E-2</v>
      </c>
      <c r="O2414" s="23" t="s">
        <v>3037</v>
      </c>
      <c r="P2414" s="92" t="s">
        <v>632</v>
      </c>
      <c r="Q2414" s="92" t="s">
        <v>637</v>
      </c>
      <c r="R2414" s="372" t="str">
        <f t="shared" si="70"/>
        <v/>
      </c>
    </row>
    <row r="2415" spans="1:18" x14ac:dyDescent="0.25">
      <c r="A2415" s="23" t="s">
        <v>8862</v>
      </c>
      <c r="B2415" s="18" t="str">
        <f>VLOOKUP(A2415, 'Data Pull Sheet'!$B$2:$C$552,2,FALSE)</f>
        <v>MIC</v>
      </c>
      <c r="C2415" s="59" t="s">
        <v>418</v>
      </c>
      <c r="D2415" s="356" t="s">
        <v>9082</v>
      </c>
      <c r="E2415" s="356" t="s">
        <v>9167</v>
      </c>
      <c r="F2415" s="23" t="s">
        <v>9346</v>
      </c>
      <c r="G2415" s="92" t="s">
        <v>403</v>
      </c>
      <c r="H2415" s="353">
        <v>245070.42</v>
      </c>
      <c r="I2415" s="59" t="s">
        <v>406</v>
      </c>
      <c r="J2415" s="18" t="s">
        <v>10180</v>
      </c>
      <c r="K2415" s="20">
        <v>6</v>
      </c>
      <c r="L2415" s="20">
        <v>1</v>
      </c>
      <c r="M2415" s="357">
        <f t="shared" si="72"/>
        <v>245070.42</v>
      </c>
      <c r="N2415" s="411">
        <f>IFERROR((M2415/(VLOOKUP(B2415,'Data Pull Sheet'!$C:$H,6,FALSE))),"DC")</f>
        <v>1.5316901250000001E-4</v>
      </c>
      <c r="O2415" s="23" t="s">
        <v>63</v>
      </c>
      <c r="P2415" s="92" t="s">
        <v>632</v>
      </c>
      <c r="Q2415" s="92" t="s">
        <v>637</v>
      </c>
      <c r="R2415" s="372" t="str">
        <f t="shared" si="70"/>
        <v/>
      </c>
    </row>
    <row r="2416" spans="1:18" x14ac:dyDescent="0.25">
      <c r="A2416" s="23" t="s">
        <v>8862</v>
      </c>
      <c r="B2416" s="18" t="str">
        <f>VLOOKUP(A2416, 'Data Pull Sheet'!$B$2:$C$552,2,FALSE)</f>
        <v>MIC</v>
      </c>
      <c r="C2416" s="59" t="s">
        <v>418</v>
      </c>
      <c r="D2416" s="356" t="s">
        <v>9082</v>
      </c>
      <c r="E2416" s="356" t="s">
        <v>9167</v>
      </c>
      <c r="F2416" s="23" t="s">
        <v>9347</v>
      </c>
      <c r="G2416" s="92" t="s">
        <v>403</v>
      </c>
      <c r="H2416" s="353">
        <v>288492.86</v>
      </c>
      <c r="I2416" s="59" t="s">
        <v>406</v>
      </c>
      <c r="J2416" s="18" t="s">
        <v>10183</v>
      </c>
      <c r="K2416" s="20"/>
      <c r="L2416" s="20">
        <v>1</v>
      </c>
      <c r="M2416" s="357">
        <f t="shared" si="72"/>
        <v>288492.86</v>
      </c>
      <c r="N2416" s="411">
        <f>IFERROR((M2416/(VLOOKUP(B2416,'Data Pull Sheet'!$C:$H,6,FALSE))),"DC")</f>
        <v>1.8030803749999999E-4</v>
      </c>
      <c r="O2416" s="23" t="s">
        <v>849</v>
      </c>
      <c r="P2416" s="92" t="s">
        <v>632</v>
      </c>
      <c r="Q2416" s="92" t="s">
        <v>637</v>
      </c>
      <c r="R2416" s="372" t="str">
        <f t="shared" si="70"/>
        <v/>
      </c>
    </row>
    <row r="2417" spans="1:18" x14ac:dyDescent="0.25">
      <c r="A2417" s="23" t="s">
        <v>8862</v>
      </c>
      <c r="B2417" s="18" t="str">
        <f>VLOOKUP(A2417, 'Data Pull Sheet'!$B$2:$C$552,2,FALSE)</f>
        <v>MIC</v>
      </c>
      <c r="C2417" s="59" t="s">
        <v>418</v>
      </c>
      <c r="D2417" s="356" t="s">
        <v>9082</v>
      </c>
      <c r="E2417" s="356" t="s">
        <v>9167</v>
      </c>
      <c r="F2417" s="23" t="s">
        <v>3558</v>
      </c>
      <c r="G2417" s="92" t="s">
        <v>417</v>
      </c>
      <c r="H2417" s="353">
        <v>4283014.21</v>
      </c>
      <c r="I2417" s="59"/>
      <c r="J2417" s="18" t="s">
        <v>10184</v>
      </c>
      <c r="K2417" s="20"/>
      <c r="L2417" s="20">
        <v>1</v>
      </c>
      <c r="M2417" s="357">
        <f t="shared" si="72"/>
        <v>4283014.21</v>
      </c>
      <c r="N2417" s="411">
        <f>IFERROR((M2417/(VLOOKUP(B2417,'Data Pull Sheet'!$C:$H,6,FALSE))),"DC")</f>
        <v>2.6768838812500002E-3</v>
      </c>
      <c r="O2417" s="23" t="s">
        <v>7</v>
      </c>
      <c r="P2417" s="92" t="s">
        <v>632</v>
      </c>
      <c r="Q2417" s="92" t="s">
        <v>633</v>
      </c>
      <c r="R2417" s="372" t="str">
        <f t="shared" si="70"/>
        <v>FF</v>
      </c>
    </row>
    <row r="2418" spans="1:18" x14ac:dyDescent="0.25">
      <c r="A2418" s="23" t="s">
        <v>8862</v>
      </c>
      <c r="B2418" s="18" t="str">
        <f>VLOOKUP(A2418, 'Data Pull Sheet'!$B$2:$C$552,2,FALSE)</f>
        <v>MIC</v>
      </c>
      <c r="C2418" s="59" t="s">
        <v>418</v>
      </c>
      <c r="D2418" s="356" t="s">
        <v>9082</v>
      </c>
      <c r="E2418" s="356" t="s">
        <v>9167</v>
      </c>
      <c r="F2418" s="23" t="s">
        <v>9348</v>
      </c>
      <c r="G2418" s="92" t="s">
        <v>403</v>
      </c>
      <c r="H2418" s="353">
        <v>400304</v>
      </c>
      <c r="I2418" s="59"/>
      <c r="J2418" s="18" t="s">
        <v>10197</v>
      </c>
      <c r="K2418" s="20"/>
      <c r="L2418" s="20">
        <v>1</v>
      </c>
      <c r="M2418" s="357">
        <f t="shared" si="72"/>
        <v>400304</v>
      </c>
      <c r="N2418" s="411">
        <f>IFERROR((M2418/(VLOOKUP(B2418,'Data Pull Sheet'!$C:$H,6,FALSE))),"DC")</f>
        <v>2.5019000000000002E-4</v>
      </c>
      <c r="O2418" s="23" t="s">
        <v>1204</v>
      </c>
      <c r="P2418" s="92" t="s">
        <v>632</v>
      </c>
      <c r="Q2418" s="92" t="s">
        <v>637</v>
      </c>
      <c r="R2418" s="372" t="str">
        <f t="shared" si="70"/>
        <v/>
      </c>
    </row>
    <row r="2419" spans="1:18" ht="30" x14ac:dyDescent="0.25">
      <c r="A2419" s="23" t="s">
        <v>8862</v>
      </c>
      <c r="B2419" s="18" t="str">
        <f>VLOOKUP(A2419, 'Data Pull Sheet'!$B$2:$C$552,2,FALSE)</f>
        <v>MIC</v>
      </c>
      <c r="C2419" s="59" t="s">
        <v>418</v>
      </c>
      <c r="D2419" s="356" t="s">
        <v>9082</v>
      </c>
      <c r="E2419" s="356" t="s">
        <v>9167</v>
      </c>
      <c r="F2419" s="23" t="s">
        <v>9349</v>
      </c>
      <c r="G2419" s="92" t="s">
        <v>417</v>
      </c>
      <c r="H2419" s="353">
        <v>14865378.68</v>
      </c>
      <c r="I2419" s="59" t="s">
        <v>413</v>
      </c>
      <c r="J2419" s="18" t="s">
        <v>10198</v>
      </c>
      <c r="K2419" s="20"/>
      <c r="L2419" s="20">
        <v>1</v>
      </c>
      <c r="M2419" s="357">
        <f t="shared" si="72"/>
        <v>14865378.68</v>
      </c>
      <c r="N2419" s="411">
        <f>IFERROR((M2419/(VLOOKUP(B2419,'Data Pull Sheet'!$C:$H,6,FALSE))),"DC")</f>
        <v>9.2908616749999996E-3</v>
      </c>
      <c r="O2419" s="23" t="s">
        <v>9765</v>
      </c>
      <c r="P2419" s="92" t="s">
        <v>632</v>
      </c>
      <c r="Q2419" s="92" t="s">
        <v>633</v>
      </c>
      <c r="R2419" s="372" t="str">
        <f t="shared" si="70"/>
        <v/>
      </c>
    </row>
    <row r="2420" spans="1:18" x14ac:dyDescent="0.25">
      <c r="A2420" s="23" t="s">
        <v>8862</v>
      </c>
      <c r="B2420" s="18" t="str">
        <f>VLOOKUP(A2420, 'Data Pull Sheet'!$B$2:$C$552,2,FALSE)</f>
        <v>MIC</v>
      </c>
      <c r="C2420" s="59" t="s">
        <v>418</v>
      </c>
      <c r="D2420" s="356" t="s">
        <v>9082</v>
      </c>
      <c r="E2420" s="356" t="s">
        <v>9167</v>
      </c>
      <c r="F2420" s="23" t="s">
        <v>9350</v>
      </c>
      <c r="G2420" s="23" t="s">
        <v>403</v>
      </c>
      <c r="H2420" s="353">
        <v>51277.32</v>
      </c>
      <c r="I2420" s="59" t="s">
        <v>442</v>
      </c>
      <c r="J2420" s="18" t="s">
        <v>10199</v>
      </c>
      <c r="K2420" s="20"/>
      <c r="L2420" s="20">
        <v>7</v>
      </c>
      <c r="M2420" s="357">
        <f>SUM(H2420:H2426)</f>
        <v>2066084.36</v>
      </c>
      <c r="N2420" s="411">
        <f>IFERROR((M2420/(VLOOKUP(B2420,'Data Pull Sheet'!$C:$H,6,FALSE))),"DC")</f>
        <v>1.2913027250000002E-3</v>
      </c>
      <c r="O2420" s="23" t="s">
        <v>9766</v>
      </c>
      <c r="P2420" s="92" t="s">
        <v>632</v>
      </c>
      <c r="Q2420" s="92" t="s">
        <v>662</v>
      </c>
      <c r="R2420" s="372" t="str">
        <f t="shared" si="70"/>
        <v/>
      </c>
    </row>
    <row r="2421" spans="1:18" ht="30" x14ac:dyDescent="0.25">
      <c r="A2421" s="23" t="s">
        <v>8862</v>
      </c>
      <c r="B2421" s="18" t="str">
        <f>VLOOKUP(A2421, 'Data Pull Sheet'!$B$2:$C$552,2,FALSE)</f>
        <v>MIC</v>
      </c>
      <c r="C2421" s="59" t="s">
        <v>418</v>
      </c>
      <c r="D2421" s="356" t="s">
        <v>9082</v>
      </c>
      <c r="E2421" s="356" t="s">
        <v>9167</v>
      </c>
      <c r="F2421" s="23" t="s">
        <v>9351</v>
      </c>
      <c r="G2421" s="23" t="s">
        <v>403</v>
      </c>
      <c r="H2421" s="353">
        <v>38117.199999999997</v>
      </c>
      <c r="I2421" s="59" t="s">
        <v>442</v>
      </c>
      <c r="J2421" s="18" t="s">
        <v>10200</v>
      </c>
      <c r="K2421" s="20"/>
      <c r="L2421" s="20"/>
      <c r="M2421" s="357"/>
      <c r="N2421" s="411"/>
      <c r="O2421" s="23" t="s">
        <v>9766</v>
      </c>
      <c r="P2421" s="92" t="s">
        <v>632</v>
      </c>
      <c r="Q2421" s="92" t="s">
        <v>662</v>
      </c>
      <c r="R2421" s="372" t="str">
        <f t="shared" si="70"/>
        <v/>
      </c>
    </row>
    <row r="2422" spans="1:18" ht="30" x14ac:dyDescent="0.25">
      <c r="A2422" s="23" t="s">
        <v>8862</v>
      </c>
      <c r="B2422" s="18" t="str">
        <f>VLOOKUP(A2422, 'Data Pull Sheet'!$B$2:$C$552,2,FALSE)</f>
        <v>MIC</v>
      </c>
      <c r="C2422" s="59" t="s">
        <v>418</v>
      </c>
      <c r="D2422" s="356" t="s">
        <v>9082</v>
      </c>
      <c r="E2422" s="356" t="s">
        <v>9167</v>
      </c>
      <c r="F2422" s="23" t="s">
        <v>9352</v>
      </c>
      <c r="G2422" s="23" t="s">
        <v>403</v>
      </c>
      <c r="H2422" s="353">
        <v>42188.72</v>
      </c>
      <c r="I2422" s="59" t="s">
        <v>442</v>
      </c>
      <c r="J2422" s="18" t="s">
        <v>10201</v>
      </c>
      <c r="K2422" s="20"/>
      <c r="L2422" s="20"/>
      <c r="M2422" s="357"/>
      <c r="N2422" s="411"/>
      <c r="O2422" s="23" t="s">
        <v>9766</v>
      </c>
      <c r="P2422" s="92" t="s">
        <v>632</v>
      </c>
      <c r="Q2422" s="92" t="s">
        <v>662</v>
      </c>
      <c r="R2422" s="372" t="str">
        <f t="shared" si="70"/>
        <v/>
      </c>
    </row>
    <row r="2423" spans="1:18" x14ac:dyDescent="0.25">
      <c r="A2423" s="23" t="s">
        <v>8862</v>
      </c>
      <c r="B2423" s="18" t="str">
        <f>VLOOKUP(A2423, 'Data Pull Sheet'!$B$2:$C$552,2,FALSE)</f>
        <v>MIC</v>
      </c>
      <c r="C2423" s="59" t="s">
        <v>418</v>
      </c>
      <c r="D2423" s="356" t="s">
        <v>9082</v>
      </c>
      <c r="E2423" s="356" t="s">
        <v>9167</v>
      </c>
      <c r="F2423" s="23" t="s">
        <v>9353</v>
      </c>
      <c r="G2423" s="92" t="s">
        <v>417</v>
      </c>
      <c r="H2423" s="353">
        <v>795782.56</v>
      </c>
      <c r="I2423" s="59" t="s">
        <v>442</v>
      </c>
      <c r="J2423" s="18" t="s">
        <v>10202</v>
      </c>
      <c r="K2423" s="20"/>
      <c r="L2423" s="20"/>
      <c r="M2423" s="357"/>
      <c r="N2423" s="411"/>
      <c r="O2423" s="23" t="s">
        <v>9766</v>
      </c>
      <c r="P2423" s="92" t="s">
        <v>632</v>
      </c>
      <c r="Q2423" s="92" t="s">
        <v>662</v>
      </c>
      <c r="R2423" s="372" t="str">
        <f t="shared" si="70"/>
        <v/>
      </c>
    </row>
    <row r="2424" spans="1:18" x14ac:dyDescent="0.25">
      <c r="A2424" s="23" t="s">
        <v>8862</v>
      </c>
      <c r="B2424" s="18" t="str">
        <f>VLOOKUP(A2424, 'Data Pull Sheet'!$B$2:$C$552,2,FALSE)</f>
        <v>MIC</v>
      </c>
      <c r="C2424" s="59" t="s">
        <v>418</v>
      </c>
      <c r="D2424" s="356" t="s">
        <v>9082</v>
      </c>
      <c r="E2424" s="356" t="s">
        <v>9167</v>
      </c>
      <c r="F2424" s="23" t="s">
        <v>9354</v>
      </c>
      <c r="G2424" s="92" t="s">
        <v>403</v>
      </c>
      <c r="H2424" s="353">
        <v>744059.96</v>
      </c>
      <c r="I2424" s="59" t="s">
        <v>442</v>
      </c>
      <c r="J2424" s="18" t="s">
        <v>10203</v>
      </c>
      <c r="K2424" s="20"/>
      <c r="L2424" s="20"/>
      <c r="M2424" s="357"/>
      <c r="N2424" s="411"/>
      <c r="O2424" s="23" t="s">
        <v>9766</v>
      </c>
      <c r="P2424" s="92" t="s">
        <v>632</v>
      </c>
      <c r="Q2424" s="92" t="s">
        <v>662</v>
      </c>
      <c r="R2424" s="372" t="str">
        <f t="shared" si="70"/>
        <v/>
      </c>
    </row>
    <row r="2425" spans="1:18" x14ac:dyDescent="0.25">
      <c r="A2425" s="23" t="s">
        <v>8862</v>
      </c>
      <c r="B2425" s="18" t="str">
        <f>VLOOKUP(A2425, 'Data Pull Sheet'!$B$2:$C$552,2,FALSE)</f>
        <v>MIC</v>
      </c>
      <c r="C2425" s="59" t="s">
        <v>418</v>
      </c>
      <c r="D2425" s="356" t="s">
        <v>9082</v>
      </c>
      <c r="E2425" s="356" t="s">
        <v>9167</v>
      </c>
      <c r="F2425" s="23" t="s">
        <v>9355</v>
      </c>
      <c r="G2425" s="92" t="s">
        <v>417</v>
      </c>
      <c r="H2425" s="353">
        <v>14084.56</v>
      </c>
      <c r="I2425" s="59" t="s">
        <v>442</v>
      </c>
      <c r="J2425" s="18" t="s">
        <v>10204</v>
      </c>
      <c r="K2425" s="20"/>
      <c r="L2425" s="20"/>
      <c r="M2425" s="357"/>
      <c r="N2425" s="411"/>
      <c r="O2425" s="23" t="s">
        <v>9766</v>
      </c>
      <c r="P2425" s="92" t="s">
        <v>632</v>
      </c>
      <c r="Q2425" s="92" t="s">
        <v>662</v>
      </c>
      <c r="R2425" s="372" t="str">
        <f t="shared" si="70"/>
        <v/>
      </c>
    </row>
    <row r="2426" spans="1:18" x14ac:dyDescent="0.25">
      <c r="A2426" s="23" t="s">
        <v>8862</v>
      </c>
      <c r="B2426" s="18" t="str">
        <f>VLOOKUP(A2426, 'Data Pull Sheet'!$B$2:$C$552,2,FALSE)</f>
        <v>MIC</v>
      </c>
      <c r="C2426" s="59" t="s">
        <v>418</v>
      </c>
      <c r="D2426" s="356" t="s">
        <v>9082</v>
      </c>
      <c r="E2426" s="356" t="s">
        <v>9167</v>
      </c>
      <c r="F2426" s="23" t="s">
        <v>9356</v>
      </c>
      <c r="G2426" s="92" t="s">
        <v>403</v>
      </c>
      <c r="H2426" s="353">
        <v>380574.04</v>
      </c>
      <c r="I2426" s="59" t="s">
        <v>442</v>
      </c>
      <c r="J2426" s="18" t="s">
        <v>10205</v>
      </c>
      <c r="K2426" s="20"/>
      <c r="L2426" s="20"/>
      <c r="M2426" s="357"/>
      <c r="N2426" s="411"/>
      <c r="O2426" s="23" t="s">
        <v>9766</v>
      </c>
      <c r="P2426" s="92" t="s">
        <v>632</v>
      </c>
      <c r="Q2426" s="92" t="s">
        <v>662</v>
      </c>
      <c r="R2426" s="372" t="str">
        <f t="shared" si="70"/>
        <v/>
      </c>
    </row>
    <row r="2427" spans="1:18" x14ac:dyDescent="0.25">
      <c r="A2427" s="23" t="s">
        <v>8893</v>
      </c>
      <c r="B2427" s="18" t="str">
        <f>VLOOKUP(A2427, 'Data Pull Sheet'!$B$2:$C$552,2,FALSE)</f>
        <v>QNST</v>
      </c>
      <c r="C2427" s="59" t="s">
        <v>457</v>
      </c>
      <c r="D2427" s="356" t="s">
        <v>9081</v>
      </c>
      <c r="E2427" s="356" t="s">
        <v>9052</v>
      </c>
      <c r="F2427" s="23" t="s">
        <v>9345</v>
      </c>
      <c r="G2427" s="92" t="s">
        <v>403</v>
      </c>
      <c r="H2427" s="353">
        <v>4331.45</v>
      </c>
      <c r="I2427" s="59"/>
      <c r="J2427" s="18" t="s">
        <v>10206</v>
      </c>
      <c r="K2427" s="20">
        <v>1</v>
      </c>
      <c r="L2427" s="20">
        <v>1</v>
      </c>
      <c r="M2427" s="357">
        <f>+H2427</f>
        <v>4331.45</v>
      </c>
      <c r="N2427" s="411">
        <f>IFERROR((M2427/(VLOOKUP(B2427,'Data Pull Sheet'!$C:$H,6,FALSE))),"DC")</f>
        <v>2.1657249999999998E-4</v>
      </c>
      <c r="O2427" s="23" t="s">
        <v>682</v>
      </c>
      <c r="P2427" s="92" t="s">
        <v>676</v>
      </c>
      <c r="Q2427" s="92" t="s">
        <v>637</v>
      </c>
      <c r="R2427" s="372" t="str">
        <f t="shared" si="70"/>
        <v/>
      </c>
    </row>
    <row r="2428" spans="1:18" x14ac:dyDescent="0.25">
      <c r="A2428" s="23" t="s">
        <v>8871</v>
      </c>
      <c r="B2428" s="18" t="str">
        <f>VLOOKUP(A2428, 'Data Pull Sheet'!$B$2:$C$552,2,FALSE)</f>
        <v>MOH</v>
      </c>
      <c r="C2428" s="59" t="s">
        <v>446</v>
      </c>
      <c r="D2428" s="356" t="s">
        <v>9081</v>
      </c>
      <c r="E2428" s="356" t="s">
        <v>9166</v>
      </c>
      <c r="F2428" s="23" t="s">
        <v>9344</v>
      </c>
      <c r="G2428" s="92" t="s">
        <v>417</v>
      </c>
      <c r="H2428" s="353">
        <v>105857.13</v>
      </c>
      <c r="I2428" s="59" t="s">
        <v>406</v>
      </c>
      <c r="J2428" s="18" t="s">
        <v>10207</v>
      </c>
      <c r="K2428" s="20">
        <v>1</v>
      </c>
      <c r="L2428" s="20">
        <v>1</v>
      </c>
      <c r="M2428" s="357">
        <f>+H2428</f>
        <v>105857.13</v>
      </c>
      <c r="N2428" s="411">
        <f>IFERROR((M2428/(VLOOKUP(B2428,'Data Pull Sheet'!$C:$H,6,FALSE))),"DC")</f>
        <v>1.9246750909090911E-3</v>
      </c>
      <c r="O2428" s="23" t="s">
        <v>1600</v>
      </c>
      <c r="P2428" s="92" t="s">
        <v>676</v>
      </c>
      <c r="Q2428" s="92" t="s">
        <v>633</v>
      </c>
      <c r="R2428" s="372" t="str">
        <f t="shared" si="70"/>
        <v/>
      </c>
    </row>
    <row r="2429" spans="1:18" x14ac:dyDescent="0.25">
      <c r="A2429" s="23" t="s">
        <v>74</v>
      </c>
      <c r="B2429" s="18" t="s">
        <v>10605</v>
      </c>
      <c r="C2429" s="59" t="s">
        <v>457</v>
      </c>
      <c r="D2429" s="356" t="s">
        <v>9078</v>
      </c>
      <c r="E2429" s="356" t="s">
        <v>9165</v>
      </c>
      <c r="F2429" s="23" t="s">
        <v>9339</v>
      </c>
      <c r="G2429" s="92" t="s">
        <v>403</v>
      </c>
      <c r="H2429" s="353">
        <v>298394.48</v>
      </c>
      <c r="I2429" s="59"/>
      <c r="J2429" s="18" t="s">
        <v>10615</v>
      </c>
      <c r="K2429" s="20">
        <v>3</v>
      </c>
      <c r="L2429" s="20">
        <v>1</v>
      </c>
      <c r="M2429" s="357">
        <f>+H2429</f>
        <v>298394.48</v>
      </c>
      <c r="N2429" s="411">
        <f>IFERROR((M2429/(VLOOKUP(B2429,'Data Pull Sheet'!$C:$H,6,FALSE))),"DC")</f>
        <v>1.989296533333333E-3</v>
      </c>
      <c r="O2429" s="23" t="s">
        <v>682</v>
      </c>
      <c r="P2429" s="92" t="s">
        <v>632</v>
      </c>
      <c r="Q2429" s="92" t="s">
        <v>637</v>
      </c>
      <c r="R2429" s="372" t="str">
        <f t="shared" si="70"/>
        <v/>
      </c>
    </row>
    <row r="2430" spans="1:18" x14ac:dyDescent="0.25">
      <c r="A2430" s="23" t="s">
        <v>74</v>
      </c>
      <c r="B2430" s="18" t="s">
        <v>10605</v>
      </c>
      <c r="C2430" s="59" t="s">
        <v>457</v>
      </c>
      <c r="D2430" s="356" t="s">
        <v>9078</v>
      </c>
      <c r="E2430" s="356" t="s">
        <v>9165</v>
      </c>
      <c r="F2430" s="23" t="s">
        <v>9340</v>
      </c>
      <c r="G2430" s="92" t="s">
        <v>403</v>
      </c>
      <c r="H2430" s="353">
        <v>111408</v>
      </c>
      <c r="I2430" s="59"/>
      <c r="J2430" s="18" t="s">
        <v>10616</v>
      </c>
      <c r="K2430" s="20"/>
      <c r="L2430" s="20">
        <v>2</v>
      </c>
      <c r="M2430" s="357">
        <f>SUM(H2430:H2431)</f>
        <v>332572</v>
      </c>
      <c r="N2430" s="411">
        <f>IFERROR((M2430/(VLOOKUP(B2430,'Data Pull Sheet'!$C:$H,6,FALSE))),"DC")</f>
        <v>2.2171466666666669E-3</v>
      </c>
      <c r="O2430" s="23" t="s">
        <v>1204</v>
      </c>
      <c r="P2430" s="92" t="s">
        <v>632</v>
      </c>
      <c r="Q2430" s="92" t="s">
        <v>646</v>
      </c>
      <c r="R2430" s="372" t="str">
        <f t="shared" si="70"/>
        <v/>
      </c>
    </row>
    <row r="2431" spans="1:18" x14ac:dyDescent="0.25">
      <c r="A2431" s="23" t="s">
        <v>74</v>
      </c>
      <c r="B2431" s="18" t="s">
        <v>10605</v>
      </c>
      <c r="C2431" s="59" t="s">
        <v>457</v>
      </c>
      <c r="D2431" s="356" t="s">
        <v>9078</v>
      </c>
      <c r="E2431" s="356" t="s">
        <v>9165</v>
      </c>
      <c r="F2431" s="23" t="s">
        <v>9341</v>
      </c>
      <c r="G2431" s="92" t="s">
        <v>403</v>
      </c>
      <c r="H2431" s="353">
        <v>221164</v>
      </c>
      <c r="I2431" s="59"/>
      <c r="J2431" s="18" t="s">
        <v>10617</v>
      </c>
      <c r="K2431" s="20"/>
      <c r="L2431" s="20"/>
      <c r="M2431" s="357"/>
      <c r="N2431" s="411"/>
      <c r="O2431" s="23" t="s">
        <v>1204</v>
      </c>
      <c r="P2431" s="92" t="s">
        <v>632</v>
      </c>
      <c r="Q2431" s="92" t="s">
        <v>646</v>
      </c>
      <c r="R2431" s="372" t="str">
        <f t="shared" si="70"/>
        <v/>
      </c>
    </row>
    <row r="2432" spans="1:18" x14ac:dyDescent="0.25">
      <c r="A2432" s="23" t="s">
        <v>74</v>
      </c>
      <c r="B2432" s="18" t="s">
        <v>10605</v>
      </c>
      <c r="C2432" s="59" t="s">
        <v>457</v>
      </c>
      <c r="D2432" s="356" t="s">
        <v>9078</v>
      </c>
      <c r="E2432" s="356" t="s">
        <v>9165</v>
      </c>
      <c r="F2432" s="23" t="s">
        <v>9342</v>
      </c>
      <c r="G2432" s="92" t="s">
        <v>403</v>
      </c>
      <c r="H2432" s="353">
        <v>64860</v>
      </c>
      <c r="I2432" s="59"/>
      <c r="J2432" s="18" t="s">
        <v>10618</v>
      </c>
      <c r="K2432" s="20"/>
      <c r="L2432" s="20">
        <v>1</v>
      </c>
      <c r="M2432" s="357">
        <f>+H2432</f>
        <v>64860</v>
      </c>
      <c r="N2432" s="411">
        <f>IFERROR((M2432/(VLOOKUP(B2432,'Data Pull Sheet'!$C:$H,6,FALSE))),"DC")</f>
        <v>4.3239999999999999E-4</v>
      </c>
      <c r="O2432" s="23" t="s">
        <v>9750</v>
      </c>
      <c r="P2432" s="92" t="s">
        <v>632</v>
      </c>
      <c r="Q2432" s="92" t="s">
        <v>637</v>
      </c>
      <c r="R2432" s="372" t="str">
        <f t="shared" si="70"/>
        <v/>
      </c>
    </row>
    <row r="2433" spans="1:18" x14ac:dyDescent="0.25">
      <c r="A2433" s="23" t="s">
        <v>1786</v>
      </c>
      <c r="B2433" s="18" t="s">
        <v>10530</v>
      </c>
      <c r="C2433" s="59" t="s">
        <v>1632</v>
      </c>
      <c r="D2433" s="356" t="s">
        <v>9076</v>
      </c>
      <c r="E2433" s="356" t="s">
        <v>9164</v>
      </c>
      <c r="F2433" s="23" t="s">
        <v>9335</v>
      </c>
      <c r="G2433" s="92" t="s">
        <v>403</v>
      </c>
      <c r="H2433" s="353">
        <v>134631.04999999999</v>
      </c>
      <c r="I2433" s="59" t="s">
        <v>9719</v>
      </c>
      <c r="J2433" s="18" t="s">
        <v>1788</v>
      </c>
      <c r="K2433" s="20">
        <v>2</v>
      </c>
      <c r="L2433" s="20">
        <v>1</v>
      </c>
      <c r="M2433" s="357">
        <f>+H2433</f>
        <v>134631.04999999999</v>
      </c>
      <c r="N2433" s="411">
        <f>IFERROR((M2433/(VLOOKUP(B2433,'Data Pull Sheet'!$C:$H,6,FALSE))),"DC")</f>
        <v>4.4877016666666661E-4</v>
      </c>
      <c r="O2433" s="23" t="s">
        <v>1802</v>
      </c>
      <c r="P2433" s="92" t="s">
        <v>632</v>
      </c>
      <c r="Q2433" s="92" t="s">
        <v>637</v>
      </c>
      <c r="R2433" s="372" t="str">
        <f t="shared" si="70"/>
        <v/>
      </c>
    </row>
    <row r="2434" spans="1:18" x14ac:dyDescent="0.25">
      <c r="A2434" s="23" t="s">
        <v>1786</v>
      </c>
      <c r="B2434" s="18" t="s">
        <v>10530</v>
      </c>
      <c r="C2434" s="59" t="s">
        <v>1632</v>
      </c>
      <c r="D2434" s="356" t="s">
        <v>9076</v>
      </c>
      <c r="E2434" s="356" t="s">
        <v>9164</v>
      </c>
      <c r="F2434" s="23" t="s">
        <v>1795</v>
      </c>
      <c r="G2434" s="92" t="s">
        <v>403</v>
      </c>
      <c r="H2434" s="353">
        <v>279948</v>
      </c>
      <c r="I2434" s="59"/>
      <c r="J2434" s="18" t="s">
        <v>1791</v>
      </c>
      <c r="K2434" s="20"/>
      <c r="L2434" s="20">
        <v>2</v>
      </c>
      <c r="M2434" s="357">
        <f>SUM(H2434:H2435)</f>
        <v>631642</v>
      </c>
      <c r="N2434" s="411">
        <f>IFERROR((M2434/(VLOOKUP(B2434,'Data Pull Sheet'!$C:$H,6,FALSE))),"DC")</f>
        <v>2.1054733333333332E-3</v>
      </c>
      <c r="O2434" s="23" t="s">
        <v>79</v>
      </c>
      <c r="P2434" s="92" t="s">
        <v>632</v>
      </c>
      <c r="Q2434" s="92" t="s">
        <v>646</v>
      </c>
      <c r="R2434" s="372" t="str">
        <f t="shared" ref="R2434:R2497" si="73">IF(COUNTIF(F:F,F2434)&gt;=2,"FF","")</f>
        <v>FF</v>
      </c>
    </row>
    <row r="2435" spans="1:18" x14ac:dyDescent="0.25">
      <c r="A2435" s="23" t="s">
        <v>1786</v>
      </c>
      <c r="B2435" s="18" t="s">
        <v>10530</v>
      </c>
      <c r="C2435" s="59" t="s">
        <v>1632</v>
      </c>
      <c r="D2435" s="356" t="s">
        <v>9076</v>
      </c>
      <c r="E2435" s="356" t="s">
        <v>9164</v>
      </c>
      <c r="F2435" s="23" t="s">
        <v>1798</v>
      </c>
      <c r="G2435" s="92" t="s">
        <v>403</v>
      </c>
      <c r="H2435" s="353">
        <v>351694</v>
      </c>
      <c r="I2435" s="59"/>
      <c r="J2435" s="18" t="s">
        <v>1794</v>
      </c>
      <c r="K2435" s="20"/>
      <c r="L2435" s="20"/>
      <c r="M2435" s="357"/>
      <c r="N2435" s="411"/>
      <c r="O2435" s="23" t="s">
        <v>79</v>
      </c>
      <c r="P2435" s="92" t="s">
        <v>632</v>
      </c>
      <c r="Q2435" s="92" t="s">
        <v>646</v>
      </c>
      <c r="R2435" s="372" t="str">
        <f t="shared" si="73"/>
        <v>FF</v>
      </c>
    </row>
    <row r="2436" spans="1:18" x14ac:dyDescent="0.25">
      <c r="A2436" s="23" t="s">
        <v>8832</v>
      </c>
      <c r="B2436" s="18" t="str">
        <f>VLOOKUP(A2436, 'Data Pull Sheet'!$B$2:$C$552,2,FALSE)</f>
        <v>FLEX</v>
      </c>
      <c r="C2436" s="59" t="s">
        <v>457</v>
      </c>
      <c r="D2436" s="356" t="s">
        <v>9074</v>
      </c>
      <c r="E2436" s="356" t="s">
        <v>9047</v>
      </c>
      <c r="F2436" s="23" t="s">
        <v>9331</v>
      </c>
      <c r="G2436" s="92" t="s">
        <v>403</v>
      </c>
      <c r="H2436" s="353">
        <v>1742.53</v>
      </c>
      <c r="I2436" s="59"/>
      <c r="J2436" s="18" t="s">
        <v>10208</v>
      </c>
      <c r="K2436" s="20">
        <v>3</v>
      </c>
      <c r="L2436" s="20">
        <v>1</v>
      </c>
      <c r="M2436" s="357">
        <f t="shared" ref="M2436:M2450" si="74">+H2436</f>
        <v>1742.53</v>
      </c>
      <c r="N2436" s="411">
        <f>IFERROR((M2436/(VLOOKUP(B2436,'Data Pull Sheet'!$C:$H,6,FALSE))),"DC")</f>
        <v>1.8342421052631578E-6</v>
      </c>
      <c r="O2436" s="23" t="s">
        <v>682</v>
      </c>
      <c r="P2436" s="92" t="s">
        <v>632</v>
      </c>
      <c r="Q2436" s="92" t="s">
        <v>637</v>
      </c>
      <c r="R2436" s="372" t="str">
        <f t="shared" si="73"/>
        <v/>
      </c>
    </row>
    <row r="2437" spans="1:18" ht="30" x14ac:dyDescent="0.25">
      <c r="A2437" s="23" t="s">
        <v>8832</v>
      </c>
      <c r="B2437" s="18" t="str">
        <f>VLOOKUP(A2437, 'Data Pull Sheet'!$B$2:$C$552,2,FALSE)</f>
        <v>FLEX</v>
      </c>
      <c r="C2437" s="59" t="s">
        <v>457</v>
      </c>
      <c r="D2437" s="356" t="s">
        <v>9074</v>
      </c>
      <c r="E2437" s="356" t="s">
        <v>9047</v>
      </c>
      <c r="F2437" s="23" t="s">
        <v>9332</v>
      </c>
      <c r="G2437" s="92" t="s">
        <v>403</v>
      </c>
      <c r="H2437" s="353">
        <v>1312.5</v>
      </c>
      <c r="I2437" s="59"/>
      <c r="J2437" s="18" t="s">
        <v>10211</v>
      </c>
      <c r="K2437" s="20"/>
      <c r="L2437" s="20">
        <v>1</v>
      </c>
      <c r="M2437" s="357">
        <f t="shared" si="74"/>
        <v>1312.5</v>
      </c>
      <c r="N2437" s="411">
        <f>IFERROR((M2437/(VLOOKUP(B2437,'Data Pull Sheet'!$C:$H,6,FALSE))),"DC")</f>
        <v>1.381578947368421E-6</v>
      </c>
      <c r="O2437" s="23" t="s">
        <v>2285</v>
      </c>
      <c r="P2437" s="92" t="s">
        <v>632</v>
      </c>
      <c r="Q2437" s="92" t="s">
        <v>637</v>
      </c>
      <c r="R2437" s="372" t="str">
        <f t="shared" si="73"/>
        <v/>
      </c>
    </row>
    <row r="2438" spans="1:18" x14ac:dyDescent="0.25">
      <c r="A2438" s="23" t="s">
        <v>8832</v>
      </c>
      <c r="B2438" s="18" t="str">
        <f>VLOOKUP(A2438, 'Data Pull Sheet'!$B$2:$C$552,2,FALSE)</f>
        <v>FLEX</v>
      </c>
      <c r="C2438" s="59" t="s">
        <v>457</v>
      </c>
      <c r="D2438" s="356" t="s">
        <v>9074</v>
      </c>
      <c r="E2438" s="356" t="s">
        <v>9047</v>
      </c>
      <c r="F2438" s="23" t="s">
        <v>9333</v>
      </c>
      <c r="G2438" s="92" t="s">
        <v>417</v>
      </c>
      <c r="H2438" s="353">
        <v>134713.29</v>
      </c>
      <c r="I2438" s="59" t="s">
        <v>406</v>
      </c>
      <c r="J2438" s="18" t="s">
        <v>10209</v>
      </c>
      <c r="K2438" s="20"/>
      <c r="L2438" s="20">
        <v>1</v>
      </c>
      <c r="M2438" s="357">
        <f t="shared" si="74"/>
        <v>134713.29</v>
      </c>
      <c r="N2438" s="411">
        <f>IFERROR((M2438/(VLOOKUP(B2438,'Data Pull Sheet'!$C:$H,6,FALSE))),"DC")</f>
        <v>1.4180346315789474E-4</v>
      </c>
      <c r="O2438" s="23" t="s">
        <v>9762</v>
      </c>
      <c r="P2438" s="92" t="s">
        <v>632</v>
      </c>
      <c r="Q2438" s="92" t="s">
        <v>633</v>
      </c>
      <c r="R2438" s="372" t="str">
        <f t="shared" si="73"/>
        <v>FF</v>
      </c>
    </row>
    <row r="2439" spans="1:18" x14ac:dyDescent="0.25">
      <c r="A2439" s="23" t="s">
        <v>8848</v>
      </c>
      <c r="B2439" s="18" t="str">
        <f>VLOOKUP(A2439, 'Data Pull Sheet'!$B$2:$C$552,2,FALSE)</f>
        <v>INWK</v>
      </c>
      <c r="C2439" s="59" t="s">
        <v>446</v>
      </c>
      <c r="D2439" s="356" t="s">
        <v>9075</v>
      </c>
      <c r="E2439" s="356" t="s">
        <v>9047</v>
      </c>
      <c r="F2439" s="23" t="s">
        <v>9334</v>
      </c>
      <c r="G2439" s="92" t="s">
        <v>403</v>
      </c>
      <c r="H2439" s="353">
        <v>1944</v>
      </c>
      <c r="I2439" s="59"/>
      <c r="J2439" s="18" t="s">
        <v>10210</v>
      </c>
      <c r="K2439" s="20">
        <v>1</v>
      </c>
      <c r="L2439" s="20">
        <v>1</v>
      </c>
      <c r="M2439" s="357">
        <f t="shared" si="74"/>
        <v>1944</v>
      </c>
      <c r="N2439" s="411">
        <f>IFERROR((M2439/(VLOOKUP(B2439,'Data Pull Sheet'!$C:$H,6,FALSE))),"DC")</f>
        <v>1.215E-4</v>
      </c>
      <c r="O2439" s="23" t="s">
        <v>682</v>
      </c>
      <c r="P2439" s="92" t="s">
        <v>676</v>
      </c>
      <c r="Q2439" s="92" t="s">
        <v>637</v>
      </c>
      <c r="R2439" s="372" t="str">
        <f t="shared" si="73"/>
        <v/>
      </c>
    </row>
    <row r="2440" spans="1:18" x14ac:dyDescent="0.25">
      <c r="A2440" s="23" t="s">
        <v>8856</v>
      </c>
      <c r="B2440" s="18" t="str">
        <f>VLOOKUP(A2440, 'Data Pull Sheet'!$B$2:$C$552,2,FALSE)</f>
        <v>KLIC</v>
      </c>
      <c r="C2440" s="59" t="s">
        <v>446</v>
      </c>
      <c r="D2440" s="356" t="s">
        <v>9073</v>
      </c>
      <c r="E2440" s="356" t="s">
        <v>9045</v>
      </c>
      <c r="F2440" s="23" t="s">
        <v>9329</v>
      </c>
      <c r="G2440" s="92" t="s">
        <v>403</v>
      </c>
      <c r="H2440" s="353">
        <v>215.46</v>
      </c>
      <c r="I2440" s="59"/>
      <c r="J2440" s="18" t="s">
        <v>10212</v>
      </c>
      <c r="K2440" s="20">
        <v>2</v>
      </c>
      <c r="L2440" s="20">
        <v>1</v>
      </c>
      <c r="M2440" s="357">
        <f t="shared" si="74"/>
        <v>215.46</v>
      </c>
      <c r="N2440" s="411">
        <f>IFERROR((M2440/(VLOOKUP(B2440,'Data Pull Sheet'!$C:$H,6,FALSE))),"DC")</f>
        <v>5.3865E-6</v>
      </c>
      <c r="O2440" s="23" t="s">
        <v>682</v>
      </c>
      <c r="P2440" s="92" t="s">
        <v>632</v>
      </c>
      <c r="Q2440" s="92" t="s">
        <v>637</v>
      </c>
      <c r="R2440" s="372" t="str">
        <f t="shared" si="73"/>
        <v/>
      </c>
    </row>
    <row r="2441" spans="1:18" x14ac:dyDescent="0.25">
      <c r="A2441" s="23" t="s">
        <v>8856</v>
      </c>
      <c r="B2441" s="18" t="str">
        <f>VLOOKUP(A2441, 'Data Pull Sheet'!$B$2:$C$552,2,FALSE)</f>
        <v>KLIC</v>
      </c>
      <c r="C2441" s="59" t="s">
        <v>446</v>
      </c>
      <c r="D2441" s="356" t="s">
        <v>9073</v>
      </c>
      <c r="E2441" s="356" t="s">
        <v>9045</v>
      </c>
      <c r="F2441" s="23" t="s">
        <v>9330</v>
      </c>
      <c r="G2441" s="92" t="s">
        <v>403</v>
      </c>
      <c r="H2441" s="353">
        <v>225.36</v>
      </c>
      <c r="I2441" s="59"/>
      <c r="J2441" s="18" t="s">
        <v>10213</v>
      </c>
      <c r="K2441" s="20"/>
      <c r="L2441" s="20">
        <v>1</v>
      </c>
      <c r="M2441" s="357">
        <f t="shared" si="74"/>
        <v>225.36</v>
      </c>
      <c r="N2441" s="411">
        <f>IFERROR((M2441/(VLOOKUP(B2441,'Data Pull Sheet'!$C:$H,6,FALSE))),"DC")</f>
        <v>5.6340000000000006E-6</v>
      </c>
      <c r="O2441" s="23" t="s">
        <v>597</v>
      </c>
      <c r="P2441" s="92" t="s">
        <v>632</v>
      </c>
      <c r="Q2441" s="92" t="s">
        <v>637</v>
      </c>
      <c r="R2441" s="372" t="str">
        <f t="shared" si="73"/>
        <v/>
      </c>
    </row>
    <row r="2442" spans="1:18" x14ac:dyDescent="0.25">
      <c r="A2442" s="23" t="s">
        <v>8778</v>
      </c>
      <c r="B2442" s="18" t="str">
        <f>VLOOKUP(A2442, 'Data Pull Sheet'!$B$2:$C$552,2,FALSE)</f>
        <v>SYMC</v>
      </c>
      <c r="C2442" s="59" t="s">
        <v>457</v>
      </c>
      <c r="D2442" s="356" t="s">
        <v>9072</v>
      </c>
      <c r="E2442" s="356" t="s">
        <v>9041</v>
      </c>
      <c r="F2442" s="23" t="s">
        <v>9326</v>
      </c>
      <c r="G2442" s="92" t="s">
        <v>403</v>
      </c>
      <c r="H2442" s="353">
        <v>57040.45</v>
      </c>
      <c r="I2442" s="59" t="s">
        <v>406</v>
      </c>
      <c r="J2442" s="18" t="s">
        <v>10214</v>
      </c>
      <c r="K2442" s="20">
        <v>5</v>
      </c>
      <c r="L2442" s="20">
        <v>1</v>
      </c>
      <c r="M2442" s="357">
        <f t="shared" si="74"/>
        <v>57040.45</v>
      </c>
      <c r="N2442" s="411">
        <f>IFERROR((M2442/(VLOOKUP(B2442,'Data Pull Sheet'!$C:$H,6,FALSE))),"DC")</f>
        <v>1.6297271428571429E-5</v>
      </c>
      <c r="O2442" s="23" t="s">
        <v>63</v>
      </c>
      <c r="P2442" s="92" t="s">
        <v>632</v>
      </c>
      <c r="Q2442" s="92" t="s">
        <v>637</v>
      </c>
      <c r="R2442" s="372" t="str">
        <f t="shared" si="73"/>
        <v/>
      </c>
    </row>
    <row r="2443" spans="1:18" x14ac:dyDescent="0.25">
      <c r="A2443" s="23" t="s">
        <v>8778</v>
      </c>
      <c r="B2443" s="18" t="str">
        <f>VLOOKUP(A2443, 'Data Pull Sheet'!$B$2:$C$552,2,FALSE)</f>
        <v>SYMC</v>
      </c>
      <c r="C2443" s="59" t="s">
        <v>457</v>
      </c>
      <c r="D2443" s="356" t="s">
        <v>9072</v>
      </c>
      <c r="E2443" s="356" t="s">
        <v>9041</v>
      </c>
      <c r="F2443" s="23" t="s">
        <v>9327</v>
      </c>
      <c r="G2443" s="92" t="s">
        <v>417</v>
      </c>
      <c r="H2443" s="353">
        <v>743327.49</v>
      </c>
      <c r="I2443" s="59"/>
      <c r="J2443" s="18" t="s">
        <v>10215</v>
      </c>
      <c r="K2443" s="20"/>
      <c r="L2443" s="20">
        <v>1</v>
      </c>
      <c r="M2443" s="357">
        <f t="shared" si="74"/>
        <v>743327.49</v>
      </c>
      <c r="N2443" s="411">
        <f>IFERROR((M2443/(VLOOKUP(B2443,'Data Pull Sheet'!$C:$H,6,FALSE))),"DC")</f>
        <v>2.1237928285714285E-4</v>
      </c>
      <c r="O2443" s="23" t="s">
        <v>682</v>
      </c>
      <c r="P2443" s="92" t="s">
        <v>632</v>
      </c>
      <c r="Q2443" s="92" t="s">
        <v>633</v>
      </c>
      <c r="R2443" s="372" t="str">
        <f t="shared" si="73"/>
        <v/>
      </c>
    </row>
    <row r="2444" spans="1:18" x14ac:dyDescent="0.25">
      <c r="A2444" s="23" t="s">
        <v>8778</v>
      </c>
      <c r="B2444" s="18" t="str">
        <f>VLOOKUP(A2444, 'Data Pull Sheet'!$B$2:$C$552,2,FALSE)</f>
        <v>SYMC</v>
      </c>
      <c r="C2444" s="59" t="s">
        <v>457</v>
      </c>
      <c r="D2444" s="356" t="s">
        <v>9072</v>
      </c>
      <c r="E2444" s="356" t="s">
        <v>9041</v>
      </c>
      <c r="F2444" s="23" t="s">
        <v>7255</v>
      </c>
      <c r="G2444" s="92" t="s">
        <v>417</v>
      </c>
      <c r="H2444" s="353">
        <v>444947.5</v>
      </c>
      <c r="I2444" s="59"/>
      <c r="J2444" s="18" t="s">
        <v>10216</v>
      </c>
      <c r="K2444" s="20"/>
      <c r="L2444" s="20">
        <v>1</v>
      </c>
      <c r="M2444" s="357">
        <f t="shared" si="74"/>
        <v>444947.5</v>
      </c>
      <c r="N2444" s="411">
        <f>IFERROR((M2444/(VLOOKUP(B2444,'Data Pull Sheet'!$C:$H,6,FALSE))),"DC")</f>
        <v>1.2712785714285714E-4</v>
      </c>
      <c r="O2444" s="23" t="s">
        <v>7</v>
      </c>
      <c r="P2444" s="92" t="s">
        <v>632</v>
      </c>
      <c r="Q2444" s="92" t="s">
        <v>633</v>
      </c>
      <c r="R2444" s="372" t="str">
        <f t="shared" si="73"/>
        <v>FF</v>
      </c>
    </row>
    <row r="2445" spans="1:18" x14ac:dyDescent="0.25">
      <c r="A2445" s="23" t="s">
        <v>8778</v>
      </c>
      <c r="B2445" s="18" t="str">
        <f>VLOOKUP(A2445, 'Data Pull Sheet'!$B$2:$C$552,2,FALSE)</f>
        <v>SYMC</v>
      </c>
      <c r="C2445" s="59" t="s">
        <v>457</v>
      </c>
      <c r="D2445" s="356" t="s">
        <v>9072</v>
      </c>
      <c r="E2445" s="356" t="s">
        <v>9041</v>
      </c>
      <c r="F2445" s="23" t="s">
        <v>9328</v>
      </c>
      <c r="G2445" s="92" t="s">
        <v>403</v>
      </c>
      <c r="H2445" s="353">
        <v>15469</v>
      </c>
      <c r="I2445" s="59"/>
      <c r="J2445" s="18" t="s">
        <v>10217</v>
      </c>
      <c r="K2445" s="20"/>
      <c r="L2445" s="20">
        <v>1</v>
      </c>
      <c r="M2445" s="357">
        <f t="shared" si="74"/>
        <v>15469</v>
      </c>
      <c r="N2445" s="411">
        <f>IFERROR((M2445/(VLOOKUP(B2445,'Data Pull Sheet'!$C:$H,6,FALSE))),"DC")</f>
        <v>4.4197142857142854E-6</v>
      </c>
      <c r="O2445" s="23" t="s">
        <v>79</v>
      </c>
      <c r="P2445" s="92" t="s">
        <v>632</v>
      </c>
      <c r="Q2445" s="92" t="s">
        <v>637</v>
      </c>
      <c r="R2445" s="372" t="str">
        <f t="shared" si="73"/>
        <v/>
      </c>
    </row>
    <row r="2446" spans="1:18" x14ac:dyDescent="0.25">
      <c r="A2446" s="23" t="s">
        <v>8778</v>
      </c>
      <c r="B2446" s="18" t="str">
        <f>VLOOKUP(A2446, 'Data Pull Sheet'!$B$2:$C$552,2,FALSE)</f>
        <v>SYMC</v>
      </c>
      <c r="C2446" s="59" t="s">
        <v>457</v>
      </c>
      <c r="D2446" s="356" t="s">
        <v>9072</v>
      </c>
      <c r="E2446" s="356" t="s">
        <v>9041</v>
      </c>
      <c r="F2446" s="23" t="s">
        <v>6831</v>
      </c>
      <c r="G2446" s="92" t="s">
        <v>417</v>
      </c>
      <c r="H2446" s="353">
        <v>6108444.5599999996</v>
      </c>
      <c r="I2446" s="59" t="s">
        <v>413</v>
      </c>
      <c r="J2446" s="18" t="s">
        <v>10218</v>
      </c>
      <c r="K2446" s="20"/>
      <c r="L2446" s="20">
        <v>1</v>
      </c>
      <c r="M2446" s="357">
        <f t="shared" si="74"/>
        <v>6108444.5599999996</v>
      </c>
      <c r="N2446" s="411">
        <f>IFERROR((M2446/(VLOOKUP(B2446,'Data Pull Sheet'!$C:$H,6,FALSE))),"DC")</f>
        <v>1.7452698742857142E-3</v>
      </c>
      <c r="O2446" s="23" t="s">
        <v>1</v>
      </c>
      <c r="P2446" s="92" t="s">
        <v>632</v>
      </c>
      <c r="Q2446" s="92" t="s">
        <v>633</v>
      </c>
      <c r="R2446" s="372" t="str">
        <f t="shared" si="73"/>
        <v>FF</v>
      </c>
    </row>
    <row r="2447" spans="1:18" x14ac:dyDescent="0.25">
      <c r="A2447" s="23" t="s">
        <v>8889</v>
      </c>
      <c r="B2447" s="18" t="str">
        <f>VLOOKUP(A2447, 'Data Pull Sheet'!$B$2:$C$552,2,FALSE)</f>
        <v>PPG</v>
      </c>
      <c r="C2447" s="59" t="s">
        <v>446</v>
      </c>
      <c r="D2447" s="356" t="s">
        <v>9070</v>
      </c>
      <c r="E2447" s="356" t="s">
        <v>9043</v>
      </c>
      <c r="F2447" s="23" t="s">
        <v>9324</v>
      </c>
      <c r="G2447" s="92" t="s">
        <v>403</v>
      </c>
      <c r="H2447" s="353">
        <v>32.950000000000003</v>
      </c>
      <c r="I2447" s="59"/>
      <c r="J2447" s="18" t="s">
        <v>10219</v>
      </c>
      <c r="K2447" s="20">
        <v>2</v>
      </c>
      <c r="L2447" s="20">
        <v>1</v>
      </c>
      <c r="M2447" s="357">
        <f t="shared" si="74"/>
        <v>32.950000000000003</v>
      </c>
      <c r="N2447" s="411">
        <f>IFERROR((M2447/(VLOOKUP(B2447,'Data Pull Sheet'!$C:$H,6,FALSE))),"DC")</f>
        <v>5.7807017543859657E-8</v>
      </c>
      <c r="O2447" s="23" t="s">
        <v>682</v>
      </c>
      <c r="P2447" s="92" t="s">
        <v>632</v>
      </c>
      <c r="Q2447" s="92" t="s">
        <v>637</v>
      </c>
      <c r="R2447" s="372" t="str">
        <f t="shared" si="73"/>
        <v/>
      </c>
    </row>
    <row r="2448" spans="1:18" x14ac:dyDescent="0.25">
      <c r="A2448" s="23" t="s">
        <v>8889</v>
      </c>
      <c r="B2448" s="18" t="str">
        <f>VLOOKUP(A2448, 'Data Pull Sheet'!$B$2:$C$552,2,FALSE)</f>
        <v>PPG</v>
      </c>
      <c r="C2448" s="59" t="s">
        <v>446</v>
      </c>
      <c r="D2448" s="356" t="s">
        <v>9070</v>
      </c>
      <c r="E2448" s="356" t="s">
        <v>9043</v>
      </c>
      <c r="F2448" s="23" t="s">
        <v>9325</v>
      </c>
      <c r="G2448" s="92" t="s">
        <v>403</v>
      </c>
      <c r="H2448" s="353">
        <v>4059.63</v>
      </c>
      <c r="I2448" s="59" t="s">
        <v>406</v>
      </c>
      <c r="J2448" s="18" t="s">
        <v>10221</v>
      </c>
      <c r="K2448" s="20"/>
      <c r="L2448" s="20">
        <v>1</v>
      </c>
      <c r="M2448" s="357">
        <f t="shared" si="74"/>
        <v>4059.63</v>
      </c>
      <c r="N2448" s="411">
        <f>IFERROR((M2448/(VLOOKUP(B2448,'Data Pull Sheet'!$C:$H,6,FALSE))),"DC")</f>
        <v>7.1221578947368426E-6</v>
      </c>
      <c r="O2448" s="23" t="s">
        <v>597</v>
      </c>
      <c r="P2448" s="92" t="s">
        <v>632</v>
      </c>
      <c r="Q2448" s="92" t="s">
        <v>637</v>
      </c>
      <c r="R2448" s="372" t="str">
        <f t="shared" si="73"/>
        <v/>
      </c>
    </row>
    <row r="2449" spans="1:18" x14ac:dyDescent="0.25">
      <c r="A2449" s="23" t="s">
        <v>8788</v>
      </c>
      <c r="B2449" s="18" t="str">
        <f>VLOOKUP(A2449, 'Data Pull Sheet'!$B$2:$C$552,2,FALSE)</f>
        <v>ADT</v>
      </c>
      <c r="C2449" s="59" t="s">
        <v>603</v>
      </c>
      <c r="D2449" s="356" t="s">
        <v>9069</v>
      </c>
      <c r="E2449" s="356" t="s">
        <v>9163</v>
      </c>
      <c r="F2449" s="23" t="s">
        <v>9317</v>
      </c>
      <c r="G2449" s="92" t="s">
        <v>403</v>
      </c>
      <c r="H2449" s="353">
        <v>9400</v>
      </c>
      <c r="I2449" s="59"/>
      <c r="J2449" s="18" t="s">
        <v>10220</v>
      </c>
      <c r="K2449" s="20">
        <v>5</v>
      </c>
      <c r="L2449" s="20">
        <v>1</v>
      </c>
      <c r="M2449" s="357">
        <f t="shared" si="74"/>
        <v>9400</v>
      </c>
      <c r="N2449" s="411">
        <f>IFERROR((M2449/(VLOOKUP(B2449,'Data Pull Sheet'!$C:$H,6,FALSE))),"DC")</f>
        <v>1.119047619047619E-5</v>
      </c>
      <c r="O2449" s="23" t="s">
        <v>9759</v>
      </c>
      <c r="P2449" s="92" t="s">
        <v>632</v>
      </c>
      <c r="Q2449" s="92" t="s">
        <v>637</v>
      </c>
      <c r="R2449" s="372" t="str">
        <f t="shared" si="73"/>
        <v/>
      </c>
    </row>
    <row r="2450" spans="1:18" x14ac:dyDescent="0.25">
      <c r="A2450" s="23" t="s">
        <v>8788</v>
      </c>
      <c r="B2450" s="18" t="str">
        <f>VLOOKUP(A2450, 'Data Pull Sheet'!$B$2:$C$552,2,FALSE)</f>
        <v>ADT</v>
      </c>
      <c r="C2450" s="59" t="s">
        <v>603</v>
      </c>
      <c r="D2450" s="356" t="s">
        <v>9069</v>
      </c>
      <c r="E2450" s="356" t="s">
        <v>9163</v>
      </c>
      <c r="F2450" s="23" t="s">
        <v>9318</v>
      </c>
      <c r="G2450" s="92" t="s">
        <v>403</v>
      </c>
      <c r="H2450" s="353">
        <v>139148.5</v>
      </c>
      <c r="I2450" s="59"/>
      <c r="J2450" s="18" t="s">
        <v>10222</v>
      </c>
      <c r="K2450" s="20"/>
      <c r="L2450" s="20">
        <v>1</v>
      </c>
      <c r="M2450" s="357">
        <f t="shared" si="74"/>
        <v>139148.5</v>
      </c>
      <c r="N2450" s="411">
        <f>IFERROR((M2450/(VLOOKUP(B2450,'Data Pull Sheet'!$C:$H,6,FALSE))),"DC")</f>
        <v>1.6565297619047618E-4</v>
      </c>
      <c r="O2450" s="23" t="s">
        <v>3828</v>
      </c>
      <c r="P2450" s="92" t="s">
        <v>632</v>
      </c>
      <c r="Q2450" s="92" t="s">
        <v>637</v>
      </c>
      <c r="R2450" s="372" t="str">
        <f t="shared" si="73"/>
        <v/>
      </c>
    </row>
    <row r="2451" spans="1:18" x14ac:dyDescent="0.25">
      <c r="A2451" s="23" t="s">
        <v>8788</v>
      </c>
      <c r="B2451" s="18" t="str">
        <f>VLOOKUP(A2451, 'Data Pull Sheet'!$B$2:$C$552,2,FALSE)</f>
        <v>ADT</v>
      </c>
      <c r="C2451" s="59" t="s">
        <v>603</v>
      </c>
      <c r="D2451" s="356" t="s">
        <v>9069</v>
      </c>
      <c r="E2451" s="356" t="s">
        <v>9163</v>
      </c>
      <c r="F2451" s="23" t="s">
        <v>9319</v>
      </c>
      <c r="G2451" s="92" t="s">
        <v>403</v>
      </c>
      <c r="H2451" s="353">
        <v>4100</v>
      </c>
      <c r="I2451" s="59"/>
      <c r="J2451" s="18" t="s">
        <v>10223</v>
      </c>
      <c r="K2451" s="20"/>
      <c r="L2451" s="20">
        <v>2</v>
      </c>
      <c r="M2451" s="357">
        <f>SUM(H2451:H2452)</f>
        <v>7097.7199999999993</v>
      </c>
      <c r="N2451" s="411">
        <f>IFERROR((M2451/(VLOOKUP(B2451,'Data Pull Sheet'!$C:$H,6,FALSE))),"DC")</f>
        <v>8.4496666666666663E-6</v>
      </c>
      <c r="O2451" s="23" t="s">
        <v>3037</v>
      </c>
      <c r="P2451" s="92" t="s">
        <v>632</v>
      </c>
      <c r="Q2451" s="92" t="s">
        <v>646</v>
      </c>
      <c r="R2451" s="372" t="str">
        <f t="shared" si="73"/>
        <v/>
      </c>
    </row>
    <row r="2452" spans="1:18" x14ac:dyDescent="0.25">
      <c r="A2452" s="23" t="s">
        <v>8788</v>
      </c>
      <c r="B2452" s="18" t="str">
        <f>VLOOKUP(A2452, 'Data Pull Sheet'!$B$2:$C$552,2,FALSE)</f>
        <v>ADT</v>
      </c>
      <c r="C2452" s="59" t="s">
        <v>603</v>
      </c>
      <c r="D2452" s="356" t="s">
        <v>9069</v>
      </c>
      <c r="E2452" s="356" t="s">
        <v>9163</v>
      </c>
      <c r="F2452" s="23" t="s">
        <v>9320</v>
      </c>
      <c r="G2452" s="92" t="s">
        <v>403</v>
      </c>
      <c r="H2452" s="353">
        <v>2997.72</v>
      </c>
      <c r="I2452" s="59"/>
      <c r="J2452" s="18" t="s">
        <v>10224</v>
      </c>
      <c r="K2452" s="20"/>
      <c r="L2452" s="20"/>
      <c r="M2452" s="357"/>
      <c r="N2452" s="411"/>
      <c r="O2452" s="23" t="s">
        <v>3037</v>
      </c>
      <c r="P2452" s="92" t="s">
        <v>632</v>
      </c>
      <c r="Q2452" s="92" t="s">
        <v>646</v>
      </c>
      <c r="R2452" s="372" t="str">
        <f t="shared" si="73"/>
        <v/>
      </c>
    </row>
    <row r="2453" spans="1:18" x14ac:dyDescent="0.25">
      <c r="A2453" s="23" t="s">
        <v>8788</v>
      </c>
      <c r="B2453" s="18" t="str">
        <f>VLOOKUP(A2453, 'Data Pull Sheet'!$B$2:$C$552,2,FALSE)</f>
        <v>ADT</v>
      </c>
      <c r="C2453" s="59" t="s">
        <v>603</v>
      </c>
      <c r="D2453" s="356" t="s">
        <v>9069</v>
      </c>
      <c r="E2453" s="356" t="s">
        <v>9163</v>
      </c>
      <c r="F2453" s="23" t="s">
        <v>9321</v>
      </c>
      <c r="G2453" s="92" t="s">
        <v>403</v>
      </c>
      <c r="H2453" s="353">
        <v>88800</v>
      </c>
      <c r="I2453" s="59"/>
      <c r="J2453" s="18" t="s">
        <v>10225</v>
      </c>
      <c r="K2453" s="20"/>
      <c r="L2453" s="20">
        <v>1</v>
      </c>
      <c r="M2453" s="357">
        <f>+H2453</f>
        <v>88800</v>
      </c>
      <c r="N2453" s="411">
        <f>IFERROR((M2453/(VLOOKUP(B2453,'Data Pull Sheet'!$C:$H,6,FALSE))),"DC")</f>
        <v>1.0571428571428571E-4</v>
      </c>
      <c r="O2453" s="23" t="s">
        <v>9760</v>
      </c>
      <c r="P2453" s="92" t="s">
        <v>632</v>
      </c>
      <c r="Q2453" s="92" t="s">
        <v>637</v>
      </c>
      <c r="R2453" s="372" t="str">
        <f t="shared" si="73"/>
        <v/>
      </c>
    </row>
    <row r="2454" spans="1:18" x14ac:dyDescent="0.25">
      <c r="A2454" s="23" t="s">
        <v>8788</v>
      </c>
      <c r="B2454" s="18" t="str">
        <f>VLOOKUP(A2454, 'Data Pull Sheet'!$B$2:$C$552,2,FALSE)</f>
        <v>ADT</v>
      </c>
      <c r="C2454" s="59" t="s">
        <v>603</v>
      </c>
      <c r="D2454" s="356" t="s">
        <v>9069</v>
      </c>
      <c r="E2454" s="356" t="s">
        <v>9163</v>
      </c>
      <c r="F2454" s="23" t="s">
        <v>2687</v>
      </c>
      <c r="G2454" s="92" t="s">
        <v>403</v>
      </c>
      <c r="H2454" s="353">
        <v>4977</v>
      </c>
      <c r="I2454" s="59"/>
      <c r="J2454" s="18" t="s">
        <v>10226</v>
      </c>
      <c r="K2454" s="20"/>
      <c r="L2454" s="20">
        <v>3</v>
      </c>
      <c r="M2454" s="357">
        <f>SUM(H2454:H2456)</f>
        <v>19467</v>
      </c>
      <c r="N2454" s="411">
        <f>IFERROR((M2454/(VLOOKUP(B2454,'Data Pull Sheet'!$C:$H,6,FALSE))),"DC")</f>
        <v>2.3175000000000001E-5</v>
      </c>
      <c r="O2454" s="23" t="s">
        <v>9761</v>
      </c>
      <c r="P2454" s="92" t="s">
        <v>632</v>
      </c>
      <c r="Q2454" s="92" t="s">
        <v>646</v>
      </c>
      <c r="R2454" s="372" t="str">
        <f t="shared" si="73"/>
        <v>FF</v>
      </c>
    </row>
    <row r="2455" spans="1:18" x14ac:dyDescent="0.25">
      <c r="A2455" s="23" t="s">
        <v>8788</v>
      </c>
      <c r="B2455" s="18" t="str">
        <f>VLOOKUP(A2455, 'Data Pull Sheet'!$B$2:$C$552,2,FALSE)</f>
        <v>ADT</v>
      </c>
      <c r="C2455" s="59" t="s">
        <v>603</v>
      </c>
      <c r="D2455" s="356" t="s">
        <v>9069</v>
      </c>
      <c r="E2455" s="356" t="s">
        <v>9163</v>
      </c>
      <c r="F2455" s="23" t="s">
        <v>9322</v>
      </c>
      <c r="G2455" s="92" t="s">
        <v>403</v>
      </c>
      <c r="H2455" s="353">
        <v>7200</v>
      </c>
      <c r="I2455" s="59"/>
      <c r="J2455" s="18" t="s">
        <v>10227</v>
      </c>
      <c r="K2455" s="20"/>
      <c r="L2455" s="20"/>
      <c r="M2455" s="357"/>
      <c r="N2455" s="411"/>
      <c r="O2455" s="23" t="s">
        <v>9761</v>
      </c>
      <c r="P2455" s="92" t="s">
        <v>632</v>
      </c>
      <c r="Q2455" s="92" t="s">
        <v>646</v>
      </c>
      <c r="R2455" s="372" t="str">
        <f t="shared" si="73"/>
        <v/>
      </c>
    </row>
    <row r="2456" spans="1:18" x14ac:dyDescent="0.25">
      <c r="A2456" s="23" t="s">
        <v>8788</v>
      </c>
      <c r="B2456" s="18" t="str">
        <f>VLOOKUP(A2456, 'Data Pull Sheet'!$B$2:$C$552,2,FALSE)</f>
        <v>ADT</v>
      </c>
      <c r="C2456" s="59" t="s">
        <v>603</v>
      </c>
      <c r="D2456" s="356" t="s">
        <v>9069</v>
      </c>
      <c r="E2456" s="356" t="s">
        <v>9163</v>
      </c>
      <c r="F2456" s="23" t="s">
        <v>9323</v>
      </c>
      <c r="G2456" s="92" t="s">
        <v>403</v>
      </c>
      <c r="H2456" s="353">
        <v>7290</v>
      </c>
      <c r="I2456" s="59"/>
      <c r="J2456" s="18" t="s">
        <v>10228</v>
      </c>
      <c r="K2456" s="20"/>
      <c r="L2456" s="20"/>
      <c r="M2456" s="357"/>
      <c r="N2456" s="411"/>
      <c r="O2456" s="23" t="s">
        <v>9761</v>
      </c>
      <c r="P2456" s="92" t="s">
        <v>632</v>
      </c>
      <c r="Q2456" s="92" t="s">
        <v>646</v>
      </c>
      <c r="R2456" s="372" t="str">
        <f t="shared" si="73"/>
        <v/>
      </c>
    </row>
    <row r="2457" spans="1:18" x14ac:dyDescent="0.25">
      <c r="A2457" s="23" t="s">
        <v>8868</v>
      </c>
      <c r="B2457" s="18" t="str">
        <f>VLOOKUP(A2457, 'Data Pull Sheet'!$B$2:$C$552,2,FALSE)</f>
        <v>MFGP</v>
      </c>
      <c r="C2457" s="59" t="s">
        <v>418</v>
      </c>
      <c r="D2457" s="356" t="s">
        <v>9068</v>
      </c>
      <c r="E2457" s="356" t="s">
        <v>9162</v>
      </c>
      <c r="F2457" s="23" t="s">
        <v>210</v>
      </c>
      <c r="G2457" s="92" t="s">
        <v>417</v>
      </c>
      <c r="H2457" s="360" t="s">
        <v>10798</v>
      </c>
      <c r="I2457" s="59"/>
      <c r="J2457" s="18" t="s">
        <v>11870</v>
      </c>
      <c r="K2457" s="20">
        <v>1</v>
      </c>
      <c r="L2457" s="20">
        <v>1</v>
      </c>
      <c r="M2457" s="357" t="str">
        <f>+H2457</f>
        <v>NA</v>
      </c>
      <c r="N2457" s="411" t="str">
        <f>IFERROR((M2457/(VLOOKUP(B2457,'Data Pull Sheet'!$C:$H,6,FALSE))),"DC")</f>
        <v>DC</v>
      </c>
      <c r="O2457" s="23" t="s">
        <v>1</v>
      </c>
      <c r="P2457" s="92" t="s">
        <v>676</v>
      </c>
      <c r="Q2457" s="92" t="s">
        <v>633</v>
      </c>
      <c r="R2457" s="372" t="str">
        <f t="shared" si="73"/>
        <v>FF</v>
      </c>
    </row>
    <row r="2458" spans="1:18" x14ac:dyDescent="0.25">
      <c r="A2458" s="23" t="s">
        <v>8834</v>
      </c>
      <c r="B2458" s="18" t="str">
        <f>VLOOKUP(A2458, 'Data Pull Sheet'!$B$2:$C$552,2,FALSE)</f>
        <v>FLR</v>
      </c>
      <c r="C2458" s="59" t="s">
        <v>1815</v>
      </c>
      <c r="D2458" s="356" t="s">
        <v>9067</v>
      </c>
      <c r="E2458" s="356" t="s">
        <v>9039</v>
      </c>
      <c r="F2458" s="23" t="s">
        <v>9313</v>
      </c>
      <c r="G2458" s="92" t="s">
        <v>403</v>
      </c>
      <c r="H2458" s="353">
        <v>2246.34</v>
      </c>
      <c r="I2458" s="59"/>
      <c r="J2458" s="18" t="s">
        <v>10229</v>
      </c>
      <c r="K2458" s="20">
        <v>4</v>
      </c>
      <c r="L2458" s="20">
        <v>1</v>
      </c>
      <c r="M2458" s="357">
        <f>+H2458</f>
        <v>2246.34</v>
      </c>
      <c r="N2458" s="411">
        <f>IFERROR((M2458/(VLOOKUP(B2458,'Data Pull Sheet'!$C:$H,6,FALSE))),"DC")</f>
        <v>2.3645684210526316E-6</v>
      </c>
      <c r="O2458" s="23" t="s">
        <v>7269</v>
      </c>
      <c r="P2458" s="92" t="s">
        <v>632</v>
      </c>
      <c r="Q2458" s="92" t="s">
        <v>637</v>
      </c>
      <c r="R2458" s="372" t="str">
        <f t="shared" si="73"/>
        <v/>
      </c>
    </row>
    <row r="2459" spans="1:18" x14ac:dyDescent="0.25">
      <c r="A2459" s="23" t="s">
        <v>8834</v>
      </c>
      <c r="B2459" s="18" t="str">
        <f>VLOOKUP(A2459, 'Data Pull Sheet'!$B$2:$C$552,2,FALSE)</f>
        <v>FLR</v>
      </c>
      <c r="C2459" s="59" t="s">
        <v>1815</v>
      </c>
      <c r="D2459" s="356" t="s">
        <v>9067</v>
      </c>
      <c r="E2459" s="356" t="s">
        <v>9039</v>
      </c>
      <c r="F2459" s="23" t="s">
        <v>9314</v>
      </c>
      <c r="G2459" s="92" t="s">
        <v>417</v>
      </c>
      <c r="H2459" s="353">
        <f>M2459/2</f>
        <v>61321.5</v>
      </c>
      <c r="I2459" s="59"/>
      <c r="J2459" s="18" t="s">
        <v>10230</v>
      </c>
      <c r="K2459" s="20"/>
      <c r="L2459" s="20">
        <v>2</v>
      </c>
      <c r="M2459" s="357">
        <v>122643</v>
      </c>
      <c r="N2459" s="411">
        <f>IFERROR((M2459/(VLOOKUP(B2459,'Data Pull Sheet'!$C:$H,6,FALSE))),"DC")</f>
        <v>1.290978947368421E-4</v>
      </c>
      <c r="O2459" s="23" t="s">
        <v>2858</v>
      </c>
      <c r="P2459" s="92" t="s">
        <v>632</v>
      </c>
      <c r="Q2459" s="92" t="s">
        <v>640</v>
      </c>
      <c r="R2459" s="372" t="str">
        <f t="shared" si="73"/>
        <v/>
      </c>
    </row>
    <row r="2460" spans="1:18" x14ac:dyDescent="0.25">
      <c r="A2460" s="23" t="s">
        <v>8834</v>
      </c>
      <c r="B2460" s="18" t="str">
        <f>VLOOKUP(A2460, 'Data Pull Sheet'!$B$2:$C$552,2,FALSE)</f>
        <v>FLR</v>
      </c>
      <c r="C2460" s="59" t="s">
        <v>1815</v>
      </c>
      <c r="D2460" s="356" t="s">
        <v>9067</v>
      </c>
      <c r="E2460" s="356">
        <v>43305</v>
      </c>
      <c r="F2460" s="23" t="s">
        <v>9315</v>
      </c>
      <c r="G2460" s="92" t="s">
        <v>417</v>
      </c>
      <c r="H2460" s="353">
        <f>M2459/2</f>
        <v>61321.5</v>
      </c>
      <c r="I2460" s="59"/>
      <c r="J2460" s="18" t="s">
        <v>10231</v>
      </c>
      <c r="K2460" s="20"/>
      <c r="L2460" s="20"/>
      <c r="M2460" s="357"/>
      <c r="N2460" s="411"/>
      <c r="O2460" s="23" t="s">
        <v>2858</v>
      </c>
      <c r="P2460" s="92" t="s">
        <v>632</v>
      </c>
      <c r="Q2460" s="92" t="s">
        <v>640</v>
      </c>
      <c r="R2460" s="372" t="str">
        <f t="shared" si="73"/>
        <v/>
      </c>
    </row>
    <row r="2461" spans="1:18" x14ac:dyDescent="0.25">
      <c r="A2461" s="23" t="s">
        <v>8834</v>
      </c>
      <c r="B2461" s="18" t="str">
        <f>VLOOKUP(A2461, 'Data Pull Sheet'!$B$2:$C$552,2,FALSE)</f>
        <v>FLR</v>
      </c>
      <c r="C2461" s="59" t="s">
        <v>1815</v>
      </c>
      <c r="D2461" s="356" t="s">
        <v>9067</v>
      </c>
      <c r="E2461" s="356" t="s">
        <v>9039</v>
      </c>
      <c r="F2461" s="23" t="s">
        <v>9316</v>
      </c>
      <c r="G2461" s="92" t="s">
        <v>403</v>
      </c>
      <c r="H2461" s="353">
        <v>37390.089999999997</v>
      </c>
      <c r="I2461" s="59" t="s">
        <v>406</v>
      </c>
      <c r="J2461" s="18" t="s">
        <v>10232</v>
      </c>
      <c r="K2461" s="20"/>
      <c r="L2461" s="20">
        <v>1</v>
      </c>
      <c r="M2461" s="357">
        <f>+H2461</f>
        <v>37390.089999999997</v>
      </c>
      <c r="N2461" s="411">
        <f>IFERROR((M2461/(VLOOKUP(B2461,'Data Pull Sheet'!$C:$H,6,FALSE))),"DC")</f>
        <v>3.9357989473684204E-5</v>
      </c>
      <c r="O2461" s="23" t="s">
        <v>9757</v>
      </c>
      <c r="P2461" s="92" t="s">
        <v>632</v>
      </c>
      <c r="Q2461" s="92" t="s">
        <v>637</v>
      </c>
      <c r="R2461" s="372" t="str">
        <f t="shared" si="73"/>
        <v/>
      </c>
    </row>
    <row r="2462" spans="1:18" ht="30" x14ac:dyDescent="0.25">
      <c r="A2462" s="23" t="s">
        <v>8834</v>
      </c>
      <c r="B2462" s="18" t="str">
        <f>VLOOKUP(A2462, 'Data Pull Sheet'!$B$2:$C$552,2,FALSE)</f>
        <v>FLR</v>
      </c>
      <c r="C2462" s="59" t="s">
        <v>1815</v>
      </c>
      <c r="D2462" s="356" t="s">
        <v>9067</v>
      </c>
      <c r="E2462" s="356" t="s">
        <v>9039</v>
      </c>
      <c r="F2462" s="23" t="s">
        <v>384</v>
      </c>
      <c r="G2462" s="92" t="s">
        <v>417</v>
      </c>
      <c r="H2462" s="353">
        <v>214183.14</v>
      </c>
      <c r="I2462" s="59"/>
      <c r="J2462" s="18" t="s">
        <v>10233</v>
      </c>
      <c r="K2462" s="20"/>
      <c r="L2462" s="20">
        <v>1</v>
      </c>
      <c r="M2462" s="357">
        <f>+H2462</f>
        <v>214183.14</v>
      </c>
      <c r="N2462" s="411">
        <f>IFERROR((M2462/(VLOOKUP(B2462,'Data Pull Sheet'!$C:$H,6,FALSE))),"DC")</f>
        <v>2.2545593684210528E-4</v>
      </c>
      <c r="O2462" s="23" t="s">
        <v>9758</v>
      </c>
      <c r="P2462" s="92" t="s">
        <v>632</v>
      </c>
      <c r="Q2462" s="92" t="s">
        <v>633</v>
      </c>
      <c r="R2462" s="372" t="str">
        <f t="shared" si="73"/>
        <v>FF</v>
      </c>
    </row>
    <row r="2463" spans="1:18" x14ac:dyDescent="0.25">
      <c r="A2463" s="23" t="s">
        <v>8781</v>
      </c>
      <c r="B2463" s="18" t="str">
        <f>VLOOKUP(A2463, 'Data Pull Sheet'!$B$2:$C$552,2,FALSE)</f>
        <v>ATEN</v>
      </c>
      <c r="C2463" s="59" t="s">
        <v>457</v>
      </c>
      <c r="D2463" s="356" t="s">
        <v>9066</v>
      </c>
      <c r="E2463" s="356" t="s">
        <v>9038</v>
      </c>
      <c r="F2463" s="23" t="s">
        <v>9309</v>
      </c>
      <c r="G2463" s="92" t="s">
        <v>403</v>
      </c>
      <c r="H2463" s="353">
        <v>485.68</v>
      </c>
      <c r="I2463" s="59" t="s">
        <v>476</v>
      </c>
      <c r="J2463" s="18" t="s">
        <v>10234</v>
      </c>
      <c r="K2463" s="20">
        <v>3</v>
      </c>
      <c r="L2463" s="20">
        <v>1</v>
      </c>
      <c r="M2463" s="357">
        <f>+H2463</f>
        <v>485.68</v>
      </c>
      <c r="N2463" s="411">
        <f>IFERROR((M2463/(VLOOKUP(B2463,'Data Pull Sheet'!$C:$H,6,FALSE))),"DC")</f>
        <v>1.0792888888888889E-5</v>
      </c>
      <c r="O2463" s="23" t="s">
        <v>682</v>
      </c>
      <c r="P2463" s="92" t="s">
        <v>632</v>
      </c>
      <c r="Q2463" s="92" t="s">
        <v>637</v>
      </c>
      <c r="R2463" s="372" t="str">
        <f t="shared" si="73"/>
        <v/>
      </c>
    </row>
    <row r="2464" spans="1:18" x14ac:dyDescent="0.25">
      <c r="A2464" s="23" t="s">
        <v>8781</v>
      </c>
      <c r="B2464" s="18" t="str">
        <f>VLOOKUP(A2464, 'Data Pull Sheet'!$B$2:$C$552,2,FALSE)</f>
        <v>ATEN</v>
      </c>
      <c r="C2464" s="59" t="s">
        <v>457</v>
      </c>
      <c r="D2464" s="356" t="s">
        <v>9066</v>
      </c>
      <c r="E2464" s="356" t="s">
        <v>9038</v>
      </c>
      <c r="F2464" s="23" t="s">
        <v>9310</v>
      </c>
      <c r="G2464" s="92" t="s">
        <v>403</v>
      </c>
      <c r="H2464" s="353">
        <v>1706.67</v>
      </c>
      <c r="I2464" s="59" t="s">
        <v>406</v>
      </c>
      <c r="J2464" s="18" t="s">
        <v>10235</v>
      </c>
      <c r="K2464" s="20"/>
      <c r="L2464" s="20">
        <v>2</v>
      </c>
      <c r="M2464" s="357">
        <f>SUM(H2464:H2465)</f>
        <v>2614.77</v>
      </c>
      <c r="N2464" s="411">
        <f>IFERROR((M2464/(VLOOKUP(B2464,'Data Pull Sheet'!$C:$H,6,FALSE))),"DC")</f>
        <v>5.8106000000000002E-5</v>
      </c>
      <c r="O2464" s="23" t="s">
        <v>9756</v>
      </c>
      <c r="P2464" s="92" t="s">
        <v>632</v>
      </c>
      <c r="Q2464" s="92" t="s">
        <v>646</v>
      </c>
      <c r="R2464" s="372" t="str">
        <f t="shared" si="73"/>
        <v/>
      </c>
    </row>
    <row r="2465" spans="1:18" x14ac:dyDescent="0.25">
      <c r="A2465" s="23" t="s">
        <v>8781</v>
      </c>
      <c r="B2465" s="18" t="str">
        <f>VLOOKUP(A2465, 'Data Pull Sheet'!$B$2:$C$552,2,FALSE)</f>
        <v>ATEN</v>
      </c>
      <c r="C2465" s="59" t="s">
        <v>457</v>
      </c>
      <c r="D2465" s="356" t="s">
        <v>9066</v>
      </c>
      <c r="E2465" s="356" t="s">
        <v>9038</v>
      </c>
      <c r="F2465" s="23" t="s">
        <v>9311</v>
      </c>
      <c r="G2465" s="92" t="s">
        <v>403</v>
      </c>
      <c r="H2465" s="353">
        <v>908.1</v>
      </c>
      <c r="I2465" s="59" t="s">
        <v>406</v>
      </c>
      <c r="J2465" s="18" t="s">
        <v>10236</v>
      </c>
      <c r="K2465" s="20"/>
      <c r="L2465" s="20"/>
      <c r="M2465" s="357"/>
      <c r="N2465" s="411"/>
      <c r="O2465" s="23" t="s">
        <v>9756</v>
      </c>
      <c r="P2465" s="92" t="s">
        <v>632</v>
      </c>
      <c r="Q2465" s="92" t="s">
        <v>646</v>
      </c>
      <c r="R2465" s="372" t="str">
        <f t="shared" si="73"/>
        <v/>
      </c>
    </row>
    <row r="2466" spans="1:18" x14ac:dyDescent="0.25">
      <c r="A2466" s="23" t="s">
        <v>8781</v>
      </c>
      <c r="B2466" s="18" t="str">
        <f>VLOOKUP(A2466, 'Data Pull Sheet'!$B$2:$C$552,2,FALSE)</f>
        <v>ATEN</v>
      </c>
      <c r="C2466" s="59" t="s">
        <v>457</v>
      </c>
      <c r="D2466" s="356" t="s">
        <v>9066</v>
      </c>
      <c r="E2466" s="356" t="s">
        <v>9038</v>
      </c>
      <c r="F2466" s="23" t="s">
        <v>9312</v>
      </c>
      <c r="G2466" s="92" t="s">
        <v>403</v>
      </c>
      <c r="H2466" s="353">
        <v>887.1</v>
      </c>
      <c r="I2466" s="59" t="s">
        <v>476</v>
      </c>
      <c r="J2466" s="18" t="s">
        <v>10237</v>
      </c>
      <c r="K2466" s="20"/>
      <c r="L2466" s="20">
        <v>1</v>
      </c>
      <c r="M2466" s="357">
        <f>+H2466</f>
        <v>887.1</v>
      </c>
      <c r="N2466" s="411">
        <f>IFERROR((M2466/(VLOOKUP(B2466,'Data Pull Sheet'!$C:$H,6,FALSE))),"DC")</f>
        <v>1.9713333333333333E-5</v>
      </c>
      <c r="O2466" s="23" t="s">
        <v>597</v>
      </c>
      <c r="P2466" s="92" t="s">
        <v>632</v>
      </c>
      <c r="Q2466" s="92" t="s">
        <v>637</v>
      </c>
      <c r="R2466" s="372" t="str">
        <f t="shared" si="73"/>
        <v/>
      </c>
    </row>
    <row r="2467" spans="1:18" x14ac:dyDescent="0.25">
      <c r="A2467" s="23" t="s">
        <v>8895</v>
      </c>
      <c r="B2467" s="18" t="str">
        <f>VLOOKUP(A2467, 'Data Pull Sheet'!$B$2:$C$552,2,FALSE)</f>
        <v>REPH</v>
      </c>
      <c r="C2467" s="59" t="s">
        <v>542</v>
      </c>
      <c r="D2467" s="356" t="s">
        <v>9065</v>
      </c>
      <c r="E2467" s="356" t="s">
        <v>9161</v>
      </c>
      <c r="F2467" s="23" t="s">
        <v>9303</v>
      </c>
      <c r="G2467" s="92" t="s">
        <v>403</v>
      </c>
      <c r="H2467" s="353">
        <v>36600</v>
      </c>
      <c r="I2467" s="59"/>
      <c r="J2467" s="18" t="s">
        <v>10244</v>
      </c>
      <c r="K2467" s="20">
        <v>1</v>
      </c>
      <c r="L2467" s="20">
        <v>4</v>
      </c>
      <c r="M2467" s="357">
        <f>SUM(H2467:H2470)</f>
        <v>130675</v>
      </c>
      <c r="N2467" s="411">
        <f>IFERROR((M2467/(VLOOKUP(B2467,'Data Pull Sheet'!$C:$H,6,FALSE))),"DC")</f>
        <v>3.7335714285714285E-3</v>
      </c>
      <c r="O2467" s="23" t="s">
        <v>9753</v>
      </c>
      <c r="P2467" s="92" t="s">
        <v>676</v>
      </c>
      <c r="Q2467" s="92" t="s">
        <v>646</v>
      </c>
      <c r="R2467" s="372" t="str">
        <f t="shared" si="73"/>
        <v/>
      </c>
    </row>
    <row r="2468" spans="1:18" x14ac:dyDescent="0.25">
      <c r="A2468" s="23" t="s">
        <v>8895</v>
      </c>
      <c r="B2468" s="18" t="str">
        <f>VLOOKUP(A2468, 'Data Pull Sheet'!$B$2:$C$552,2,FALSE)</f>
        <v>REPH</v>
      </c>
      <c r="C2468" s="59" t="s">
        <v>542</v>
      </c>
      <c r="D2468" s="356" t="s">
        <v>9065</v>
      </c>
      <c r="E2468" s="356" t="s">
        <v>9161</v>
      </c>
      <c r="F2468" s="23" t="s">
        <v>9304</v>
      </c>
      <c r="G2468" s="92" t="s">
        <v>403</v>
      </c>
      <c r="H2468" s="353">
        <v>42823</v>
      </c>
      <c r="I2468" s="59"/>
      <c r="J2468" s="18" t="s">
        <v>10170</v>
      </c>
      <c r="K2468" s="20"/>
      <c r="L2468" s="20"/>
      <c r="M2468" s="357"/>
      <c r="N2468" s="411"/>
      <c r="O2468" s="23" t="s">
        <v>9753</v>
      </c>
      <c r="P2468" s="92" t="s">
        <v>676</v>
      </c>
      <c r="Q2468" s="92" t="s">
        <v>646</v>
      </c>
      <c r="R2468" s="372" t="str">
        <f t="shared" si="73"/>
        <v/>
      </c>
    </row>
    <row r="2469" spans="1:18" x14ac:dyDescent="0.25">
      <c r="A2469" s="23" t="s">
        <v>8895</v>
      </c>
      <c r="B2469" s="18" t="str">
        <f>VLOOKUP(A2469, 'Data Pull Sheet'!$B$2:$C$552,2,FALSE)</f>
        <v>REPH</v>
      </c>
      <c r="C2469" s="59" t="s">
        <v>542</v>
      </c>
      <c r="D2469" s="356" t="s">
        <v>9065</v>
      </c>
      <c r="E2469" s="356" t="s">
        <v>9161</v>
      </c>
      <c r="F2469" s="23" t="s">
        <v>9305</v>
      </c>
      <c r="G2469" s="92" t="s">
        <v>403</v>
      </c>
      <c r="H2469" s="353">
        <v>20060</v>
      </c>
      <c r="I2469" s="59"/>
      <c r="J2469" s="18" t="s">
        <v>10245</v>
      </c>
      <c r="K2469" s="20"/>
      <c r="L2469" s="20"/>
      <c r="M2469" s="357"/>
      <c r="N2469" s="411"/>
      <c r="O2469" s="23" t="s">
        <v>9753</v>
      </c>
      <c r="P2469" s="92" t="s">
        <v>676</v>
      </c>
      <c r="Q2469" s="92" t="s">
        <v>646</v>
      </c>
      <c r="R2469" s="372" t="str">
        <f t="shared" si="73"/>
        <v/>
      </c>
    </row>
    <row r="2470" spans="1:18" x14ac:dyDescent="0.25">
      <c r="A2470" s="23" t="s">
        <v>8895</v>
      </c>
      <c r="B2470" s="18" t="str">
        <f>VLOOKUP(A2470, 'Data Pull Sheet'!$B$2:$C$552,2,FALSE)</f>
        <v>REPH</v>
      </c>
      <c r="C2470" s="59" t="s">
        <v>542</v>
      </c>
      <c r="D2470" s="356" t="s">
        <v>9065</v>
      </c>
      <c r="E2470" s="356" t="s">
        <v>9161</v>
      </c>
      <c r="F2470" s="23" t="s">
        <v>9306</v>
      </c>
      <c r="G2470" s="92" t="s">
        <v>403</v>
      </c>
      <c r="H2470" s="353">
        <v>31192</v>
      </c>
      <c r="I2470" s="59"/>
      <c r="J2470" s="18" t="s">
        <v>10246</v>
      </c>
      <c r="K2470" s="20"/>
      <c r="L2470" s="20"/>
      <c r="M2470" s="357"/>
      <c r="N2470" s="411"/>
      <c r="O2470" s="23" t="s">
        <v>9753</v>
      </c>
      <c r="P2470" s="92" t="s">
        <v>676</v>
      </c>
      <c r="Q2470" s="92" t="s">
        <v>646</v>
      </c>
      <c r="R2470" s="372" t="str">
        <f t="shared" si="73"/>
        <v/>
      </c>
    </row>
    <row r="2471" spans="1:18" x14ac:dyDescent="0.25">
      <c r="A2471" s="23" t="s">
        <v>8861</v>
      </c>
      <c r="B2471" s="18" t="str">
        <f>VLOOKUP(A2471, 'Data Pull Sheet'!$B$2:$C$552,2,FALSE)</f>
        <v>MBVX</v>
      </c>
      <c r="C2471" s="59" t="s">
        <v>557</v>
      </c>
      <c r="D2471" s="356" t="s">
        <v>9051</v>
      </c>
      <c r="E2471" s="356" t="s">
        <v>9159</v>
      </c>
      <c r="F2471" s="23" t="s">
        <v>9297</v>
      </c>
      <c r="G2471" s="92" t="s">
        <v>403</v>
      </c>
      <c r="H2471" s="353">
        <v>13821.51</v>
      </c>
      <c r="I2471" s="59"/>
      <c r="J2471" s="18" t="s">
        <v>10238</v>
      </c>
      <c r="K2471" s="20">
        <v>3</v>
      </c>
      <c r="L2471" s="20">
        <v>1</v>
      </c>
      <c r="M2471" s="357">
        <f>+H2471</f>
        <v>13821.51</v>
      </c>
      <c r="N2471" s="411">
        <f>IFERROR((M2471/(VLOOKUP(B2471,'Data Pull Sheet'!$C:$H,6,FALSE))),"DC")</f>
        <v>2.3035849999999999E-3</v>
      </c>
      <c r="O2471" s="23" t="s">
        <v>682</v>
      </c>
      <c r="P2471" s="92" t="s">
        <v>632</v>
      </c>
      <c r="Q2471" s="92" t="s">
        <v>637</v>
      </c>
      <c r="R2471" s="372" t="str">
        <f t="shared" si="73"/>
        <v/>
      </c>
    </row>
    <row r="2472" spans="1:18" x14ac:dyDescent="0.25">
      <c r="A2472" s="23" t="s">
        <v>8861</v>
      </c>
      <c r="B2472" s="18" t="str">
        <f>VLOOKUP(A2472, 'Data Pull Sheet'!$B$2:$C$552,2,FALSE)</f>
        <v>MBVX</v>
      </c>
      <c r="C2472" s="59" t="s">
        <v>557</v>
      </c>
      <c r="D2472" s="356" t="s">
        <v>9051</v>
      </c>
      <c r="E2472" s="356" t="s">
        <v>9159</v>
      </c>
      <c r="F2472" s="23" t="s">
        <v>9298</v>
      </c>
      <c r="G2472" s="92" t="s">
        <v>403</v>
      </c>
      <c r="H2472" s="353">
        <v>38923.08</v>
      </c>
      <c r="I2472" s="59"/>
      <c r="J2472" s="18" t="s">
        <v>10239</v>
      </c>
      <c r="K2472" s="20"/>
      <c r="L2472" s="20">
        <v>3</v>
      </c>
      <c r="M2472" s="357">
        <f>SUM(H2472:H2473)</f>
        <v>170480.24</v>
      </c>
      <c r="N2472" s="411">
        <f>IFERROR((M2472/(VLOOKUP(B2472,'Data Pull Sheet'!$C:$H,6,FALSE))),"DC")</f>
        <v>2.8413373333333332E-2</v>
      </c>
      <c r="O2472" s="23" t="s">
        <v>597</v>
      </c>
      <c r="P2472" s="92" t="s">
        <v>632</v>
      </c>
      <c r="Q2472" s="92" t="s">
        <v>662</v>
      </c>
      <c r="R2472" s="372" t="str">
        <f t="shared" si="73"/>
        <v/>
      </c>
    </row>
    <row r="2473" spans="1:18" x14ac:dyDescent="0.25">
      <c r="A2473" s="23" t="s">
        <v>8861</v>
      </c>
      <c r="B2473" s="18" t="str">
        <f>VLOOKUP(A2473, 'Data Pull Sheet'!$B$2:$C$552,2,FALSE)</f>
        <v>MBVX</v>
      </c>
      <c r="C2473" s="59" t="s">
        <v>557</v>
      </c>
      <c r="D2473" s="356" t="s">
        <v>9051</v>
      </c>
      <c r="E2473" s="356" t="s">
        <v>9159</v>
      </c>
      <c r="F2473" s="23" t="s">
        <v>9299</v>
      </c>
      <c r="G2473" s="92" t="s">
        <v>417</v>
      </c>
      <c r="H2473" s="353">
        <v>131557.16</v>
      </c>
      <c r="I2473" s="59"/>
      <c r="J2473" s="18" t="s">
        <v>10240</v>
      </c>
      <c r="K2473" s="20"/>
      <c r="L2473" s="20"/>
      <c r="M2473" s="357"/>
      <c r="N2473" s="411"/>
      <c r="O2473" s="23" t="s">
        <v>597</v>
      </c>
      <c r="P2473" s="92" t="s">
        <v>632</v>
      </c>
      <c r="Q2473" s="92" t="s">
        <v>662</v>
      </c>
      <c r="R2473" s="372" t="str">
        <f t="shared" si="73"/>
        <v/>
      </c>
    </row>
    <row r="2474" spans="1:18" x14ac:dyDescent="0.25">
      <c r="A2474" s="23" t="s">
        <v>8861</v>
      </c>
      <c r="B2474" s="18" t="str">
        <f>VLOOKUP(A2474, 'Data Pull Sheet'!$B$2:$C$552,2,FALSE)</f>
        <v>MBVX</v>
      </c>
      <c r="C2474" s="59" t="s">
        <v>557</v>
      </c>
      <c r="D2474" s="356" t="s">
        <v>9051</v>
      </c>
      <c r="E2474" s="356" t="s">
        <v>9159</v>
      </c>
      <c r="F2474" s="23" t="s">
        <v>9300</v>
      </c>
      <c r="G2474" s="92" t="s">
        <v>417</v>
      </c>
      <c r="H2474" s="353">
        <v>790805.98</v>
      </c>
      <c r="I2474" s="59"/>
      <c r="J2474" s="18" t="s">
        <v>10241</v>
      </c>
      <c r="K2474" s="20"/>
      <c r="L2474" s="20"/>
      <c r="M2474" s="357"/>
      <c r="N2474" s="411"/>
      <c r="O2474" s="23" t="s">
        <v>597</v>
      </c>
      <c r="P2474" s="92" t="s">
        <v>632</v>
      </c>
      <c r="Q2474" s="92" t="s">
        <v>662</v>
      </c>
      <c r="R2474" s="372" t="str">
        <f t="shared" si="73"/>
        <v/>
      </c>
    </row>
    <row r="2475" spans="1:18" x14ac:dyDescent="0.25">
      <c r="A2475" s="23" t="s">
        <v>8861</v>
      </c>
      <c r="B2475" s="18" t="str">
        <f>VLOOKUP(A2475, 'Data Pull Sheet'!$B$2:$C$552,2,FALSE)</f>
        <v>MBVX</v>
      </c>
      <c r="C2475" s="59" t="s">
        <v>557</v>
      </c>
      <c r="D2475" s="356" t="s">
        <v>9051</v>
      </c>
      <c r="E2475" s="356" t="s">
        <v>9159</v>
      </c>
      <c r="F2475" s="23" t="s">
        <v>9301</v>
      </c>
      <c r="G2475" s="92" t="s">
        <v>403</v>
      </c>
      <c r="H2475" s="353">
        <v>205576.66</v>
      </c>
      <c r="I2475" s="59"/>
      <c r="J2475" s="18" t="s">
        <v>10242</v>
      </c>
      <c r="K2475" s="20"/>
      <c r="L2475" s="20">
        <v>2</v>
      </c>
      <c r="M2475" s="357">
        <f>SUM(H2475:H2476)</f>
        <v>238365.1</v>
      </c>
      <c r="N2475" s="411">
        <f>IFERROR((M2475/(VLOOKUP(B2475,'Data Pull Sheet'!$C:$H,6,FALSE))),"DC")</f>
        <v>3.9727516666666671E-2</v>
      </c>
      <c r="O2475" s="23" t="s">
        <v>9752</v>
      </c>
      <c r="P2475" s="92" t="s">
        <v>632</v>
      </c>
      <c r="Q2475" s="92" t="s">
        <v>646</v>
      </c>
      <c r="R2475" s="372" t="str">
        <f t="shared" si="73"/>
        <v/>
      </c>
    </row>
    <row r="2476" spans="1:18" ht="30" x14ac:dyDescent="0.25">
      <c r="A2476" s="23" t="s">
        <v>8861</v>
      </c>
      <c r="B2476" s="18" t="str">
        <f>VLOOKUP(A2476, 'Data Pull Sheet'!$B$2:$C$552,2,FALSE)</f>
        <v>MBVX</v>
      </c>
      <c r="C2476" s="59" t="s">
        <v>557</v>
      </c>
      <c r="D2476" s="356" t="s">
        <v>9051</v>
      </c>
      <c r="E2476" s="356" t="s">
        <v>9159</v>
      </c>
      <c r="F2476" s="23" t="s">
        <v>9302</v>
      </c>
      <c r="G2476" s="92" t="s">
        <v>403</v>
      </c>
      <c r="H2476" s="353">
        <v>32788.44</v>
      </c>
      <c r="I2476" s="59"/>
      <c r="J2476" s="18" t="s">
        <v>10243</v>
      </c>
      <c r="K2476" s="20"/>
      <c r="L2476" s="20"/>
      <c r="M2476" s="357"/>
      <c r="N2476" s="411"/>
      <c r="O2476" s="23" t="s">
        <v>9752</v>
      </c>
      <c r="P2476" s="92" t="s">
        <v>632</v>
      </c>
      <c r="Q2476" s="92" t="s">
        <v>646</v>
      </c>
      <c r="R2476" s="372" t="str">
        <f t="shared" si="73"/>
        <v/>
      </c>
    </row>
    <row r="2477" spans="1:18" x14ac:dyDescent="0.25">
      <c r="A2477" s="23" t="s">
        <v>8791</v>
      </c>
      <c r="B2477" s="18" t="str">
        <f>VLOOKUP(A2477, 'Data Pull Sheet'!$B$2:$C$552,2,FALSE)</f>
        <v>ANW</v>
      </c>
      <c r="C2477" s="59" t="s">
        <v>418</v>
      </c>
      <c r="D2477" s="356" t="s">
        <v>9062</v>
      </c>
      <c r="E2477" s="356" t="s">
        <v>9158</v>
      </c>
      <c r="F2477" s="23" t="s">
        <v>9286</v>
      </c>
      <c r="G2477" s="92" t="s">
        <v>403</v>
      </c>
      <c r="H2477" s="353">
        <v>131842.07</v>
      </c>
      <c r="I2477" s="59"/>
      <c r="J2477" s="18" t="s">
        <v>10247</v>
      </c>
      <c r="K2477" s="20">
        <v>10</v>
      </c>
      <c r="L2477" s="20">
        <v>1</v>
      </c>
      <c r="M2477" s="357">
        <f t="shared" ref="M2477:M2485" si="75">+H2477</f>
        <v>131842.07</v>
      </c>
      <c r="N2477" s="411" t="str">
        <f>IFERROR((M2477/(VLOOKUP(B2477,'Data Pull Sheet'!$C:$H,6,FALSE))),"DC")</f>
        <v>DC</v>
      </c>
      <c r="O2477" s="23" t="s">
        <v>849</v>
      </c>
      <c r="P2477" s="92" t="s">
        <v>632</v>
      </c>
      <c r="Q2477" s="92" t="s">
        <v>637</v>
      </c>
      <c r="R2477" s="372" t="str">
        <f t="shared" si="73"/>
        <v/>
      </c>
    </row>
    <row r="2478" spans="1:18" x14ac:dyDescent="0.25">
      <c r="A2478" s="23" t="s">
        <v>8791</v>
      </c>
      <c r="B2478" s="18" t="str">
        <f>VLOOKUP(A2478, 'Data Pull Sheet'!$B$2:$C$552,2,FALSE)</f>
        <v>ANW</v>
      </c>
      <c r="C2478" s="59" t="s">
        <v>418</v>
      </c>
      <c r="D2478" s="356" t="s">
        <v>9062</v>
      </c>
      <c r="E2478" s="356" t="s">
        <v>9158</v>
      </c>
      <c r="F2478" s="23" t="s">
        <v>2647</v>
      </c>
      <c r="G2478" s="92" t="s">
        <v>417</v>
      </c>
      <c r="H2478" s="353">
        <v>543620</v>
      </c>
      <c r="I2478" s="59"/>
      <c r="J2478" s="18" t="s">
        <v>10258</v>
      </c>
      <c r="K2478" s="20"/>
      <c r="L2478" s="20">
        <v>1</v>
      </c>
      <c r="M2478" s="357">
        <f t="shared" si="75"/>
        <v>543620</v>
      </c>
      <c r="N2478" s="411" t="str">
        <f>IFERROR((M2478/(VLOOKUP(B2478,'Data Pull Sheet'!$C:$H,6,FALSE))),"DC")</f>
        <v>DC</v>
      </c>
      <c r="O2478" s="23" t="s">
        <v>79</v>
      </c>
      <c r="P2478" s="92" t="s">
        <v>632</v>
      </c>
      <c r="Q2478" s="92" t="s">
        <v>633</v>
      </c>
      <c r="R2478" s="372" t="str">
        <f t="shared" si="73"/>
        <v>FF</v>
      </c>
    </row>
    <row r="2479" spans="1:18" x14ac:dyDescent="0.25">
      <c r="A2479" s="23" t="s">
        <v>8791</v>
      </c>
      <c r="B2479" s="18" t="str">
        <f>VLOOKUP(A2479, 'Data Pull Sheet'!$B$2:$C$552,2,FALSE)</f>
        <v>ANW</v>
      </c>
      <c r="C2479" s="59" t="s">
        <v>418</v>
      </c>
      <c r="D2479" s="356" t="s">
        <v>9062</v>
      </c>
      <c r="E2479" s="356" t="s">
        <v>9158</v>
      </c>
      <c r="F2479" s="23" t="s">
        <v>9287</v>
      </c>
      <c r="G2479" s="92" t="s">
        <v>403</v>
      </c>
      <c r="H2479" s="353">
        <v>23820</v>
      </c>
      <c r="I2479" s="59"/>
      <c r="J2479" s="18" t="s">
        <v>10248</v>
      </c>
      <c r="K2479" s="20"/>
      <c r="L2479" s="20">
        <v>1</v>
      </c>
      <c r="M2479" s="357">
        <f t="shared" si="75"/>
        <v>23820</v>
      </c>
      <c r="N2479" s="411" t="str">
        <f>IFERROR((M2479/(VLOOKUP(B2479,'Data Pull Sheet'!$C:$H,6,FALSE))),"DC")</f>
        <v>DC</v>
      </c>
      <c r="O2479" s="23" t="s">
        <v>104</v>
      </c>
      <c r="P2479" s="92" t="s">
        <v>632</v>
      </c>
      <c r="Q2479" s="92" t="s">
        <v>637</v>
      </c>
      <c r="R2479" s="372" t="str">
        <f t="shared" si="73"/>
        <v/>
      </c>
    </row>
    <row r="2480" spans="1:18" x14ac:dyDescent="0.25">
      <c r="A2480" s="23" t="s">
        <v>8791</v>
      </c>
      <c r="B2480" s="18" t="str">
        <f>VLOOKUP(A2480, 'Data Pull Sheet'!$B$2:$C$552,2,FALSE)</f>
        <v>ANW</v>
      </c>
      <c r="C2480" s="59" t="s">
        <v>418</v>
      </c>
      <c r="D2480" s="356" t="s">
        <v>9062</v>
      </c>
      <c r="E2480" s="356" t="s">
        <v>9158</v>
      </c>
      <c r="F2480" s="23" t="s">
        <v>9288</v>
      </c>
      <c r="G2480" s="92" t="s">
        <v>403</v>
      </c>
      <c r="H2480" s="353">
        <v>51339.5</v>
      </c>
      <c r="I2480" s="59" t="s">
        <v>406</v>
      </c>
      <c r="J2480" s="18" t="s">
        <v>10250</v>
      </c>
      <c r="K2480" s="20"/>
      <c r="L2480" s="20">
        <v>1</v>
      </c>
      <c r="M2480" s="357">
        <f t="shared" si="75"/>
        <v>51339.5</v>
      </c>
      <c r="N2480" s="411" t="str">
        <f>IFERROR((M2480/(VLOOKUP(B2480,'Data Pull Sheet'!$C:$H,6,FALSE))),"DC")</f>
        <v>DC</v>
      </c>
      <c r="O2480" s="23" t="s">
        <v>4392</v>
      </c>
      <c r="P2480" s="92" t="s">
        <v>632</v>
      </c>
      <c r="Q2480" s="92" t="s">
        <v>637</v>
      </c>
      <c r="R2480" s="372" t="str">
        <f t="shared" si="73"/>
        <v/>
      </c>
    </row>
    <row r="2481" spans="1:18" x14ac:dyDescent="0.25">
      <c r="A2481" s="23" t="s">
        <v>8791</v>
      </c>
      <c r="B2481" s="18" t="str">
        <f>VLOOKUP(A2481, 'Data Pull Sheet'!$B$2:$C$552,2,FALSE)</f>
        <v>ANW</v>
      </c>
      <c r="C2481" s="59" t="s">
        <v>418</v>
      </c>
      <c r="D2481" s="356" t="s">
        <v>9062</v>
      </c>
      <c r="E2481" s="356" t="s">
        <v>9158</v>
      </c>
      <c r="F2481" s="23" t="s">
        <v>9289</v>
      </c>
      <c r="G2481" s="92" t="s">
        <v>403</v>
      </c>
      <c r="H2481" s="353">
        <v>275882</v>
      </c>
      <c r="I2481" s="59" t="s">
        <v>413</v>
      </c>
      <c r="J2481" s="18" t="s">
        <v>10254</v>
      </c>
      <c r="K2481" s="20"/>
      <c r="L2481" s="20">
        <v>1</v>
      </c>
      <c r="M2481" s="357">
        <f t="shared" si="75"/>
        <v>275882</v>
      </c>
      <c r="N2481" s="411" t="str">
        <f>IFERROR((M2481/(VLOOKUP(B2481,'Data Pull Sheet'!$C:$H,6,FALSE))),"DC")</f>
        <v>DC</v>
      </c>
      <c r="O2481" s="23" t="s">
        <v>9751</v>
      </c>
      <c r="P2481" s="92" t="s">
        <v>632</v>
      </c>
      <c r="Q2481" s="92" t="s">
        <v>637</v>
      </c>
      <c r="R2481" s="372" t="str">
        <f t="shared" si="73"/>
        <v/>
      </c>
    </row>
    <row r="2482" spans="1:18" x14ac:dyDescent="0.25">
      <c r="A2482" s="23" t="s">
        <v>8791</v>
      </c>
      <c r="B2482" s="18" t="str">
        <f>VLOOKUP(A2482, 'Data Pull Sheet'!$B$2:$C$552,2,FALSE)</f>
        <v>ANW</v>
      </c>
      <c r="C2482" s="59" t="s">
        <v>418</v>
      </c>
      <c r="D2482" s="356" t="s">
        <v>9062</v>
      </c>
      <c r="E2482" s="356" t="s">
        <v>9158</v>
      </c>
      <c r="F2482" s="23" t="s">
        <v>9290</v>
      </c>
      <c r="G2482" s="92" t="s">
        <v>403</v>
      </c>
      <c r="H2482" s="353">
        <v>126646.91</v>
      </c>
      <c r="I2482" s="59"/>
      <c r="J2482" s="18" t="s">
        <v>10249</v>
      </c>
      <c r="K2482" s="20"/>
      <c r="L2482" s="20">
        <v>1</v>
      </c>
      <c r="M2482" s="357">
        <f t="shared" si="75"/>
        <v>126646.91</v>
      </c>
      <c r="N2482" s="411" t="str">
        <f>IFERROR((M2482/(VLOOKUP(B2482,'Data Pull Sheet'!$C:$H,6,FALSE))),"DC")</f>
        <v>DC</v>
      </c>
      <c r="O2482" s="23" t="s">
        <v>597</v>
      </c>
      <c r="P2482" s="92" t="s">
        <v>632</v>
      </c>
      <c r="Q2482" s="92" t="s">
        <v>637</v>
      </c>
      <c r="R2482" s="372" t="str">
        <f t="shared" si="73"/>
        <v/>
      </c>
    </row>
    <row r="2483" spans="1:18" x14ac:dyDescent="0.25">
      <c r="A2483" s="23" t="s">
        <v>8791</v>
      </c>
      <c r="B2483" s="18" t="str">
        <f>VLOOKUP(A2483, 'Data Pull Sheet'!$B$2:$C$552,2,FALSE)</f>
        <v>ANW</v>
      </c>
      <c r="C2483" s="59" t="s">
        <v>418</v>
      </c>
      <c r="D2483" s="356" t="s">
        <v>9062</v>
      </c>
      <c r="E2483" s="356" t="s">
        <v>9158</v>
      </c>
      <c r="F2483" s="23" t="s">
        <v>9291</v>
      </c>
      <c r="G2483" s="92" t="s">
        <v>417</v>
      </c>
      <c r="H2483" s="353">
        <v>1099348.1299999999</v>
      </c>
      <c r="I2483" s="59"/>
      <c r="J2483" s="18" t="s">
        <v>10252</v>
      </c>
      <c r="K2483" s="20"/>
      <c r="L2483" s="20">
        <v>1</v>
      </c>
      <c r="M2483" s="357">
        <f t="shared" si="75"/>
        <v>1099348.1299999999</v>
      </c>
      <c r="N2483" s="411" t="str">
        <f>IFERROR((M2483/(VLOOKUP(B2483,'Data Pull Sheet'!$C:$H,6,FALSE))),"DC")</f>
        <v>DC</v>
      </c>
      <c r="O2483" s="23" t="s">
        <v>309</v>
      </c>
      <c r="P2483" s="92" t="s">
        <v>632</v>
      </c>
      <c r="Q2483" s="92" t="s">
        <v>633</v>
      </c>
      <c r="R2483" s="372" t="str">
        <f t="shared" si="73"/>
        <v/>
      </c>
    </row>
    <row r="2484" spans="1:18" x14ac:dyDescent="0.25">
      <c r="A2484" s="23" t="s">
        <v>8791</v>
      </c>
      <c r="B2484" s="18" t="str">
        <f>VLOOKUP(A2484, 'Data Pull Sheet'!$B$2:$C$552,2,FALSE)</f>
        <v>ANW</v>
      </c>
      <c r="C2484" s="59" t="s">
        <v>418</v>
      </c>
      <c r="D2484" s="356" t="s">
        <v>9062</v>
      </c>
      <c r="E2484" s="356" t="s">
        <v>9158</v>
      </c>
      <c r="F2484" s="23" t="s">
        <v>378</v>
      </c>
      <c r="G2484" s="92" t="s">
        <v>417</v>
      </c>
      <c r="H2484" s="353">
        <v>3636175</v>
      </c>
      <c r="I2484" s="59" t="s">
        <v>413</v>
      </c>
      <c r="J2484" s="18" t="s">
        <v>10253</v>
      </c>
      <c r="K2484" s="20"/>
      <c r="L2484" s="20">
        <v>1</v>
      </c>
      <c r="M2484" s="357">
        <f t="shared" si="75"/>
        <v>3636175</v>
      </c>
      <c r="N2484" s="411" t="str">
        <f>IFERROR((M2484/(VLOOKUP(B2484,'Data Pull Sheet'!$C:$H,6,FALSE))),"DC")</f>
        <v>DC</v>
      </c>
      <c r="O2484" s="23" t="s">
        <v>6882</v>
      </c>
      <c r="P2484" s="92" t="s">
        <v>632</v>
      </c>
      <c r="Q2484" s="92" t="s">
        <v>633</v>
      </c>
      <c r="R2484" s="372" t="str">
        <f t="shared" si="73"/>
        <v>FF</v>
      </c>
    </row>
    <row r="2485" spans="1:18" x14ac:dyDescent="0.25">
      <c r="A2485" s="23" t="s">
        <v>8791</v>
      </c>
      <c r="B2485" s="18" t="str">
        <f>VLOOKUP(A2485, 'Data Pull Sheet'!$B$2:$C$552,2,FALSE)</f>
        <v>ANW</v>
      </c>
      <c r="C2485" s="59" t="s">
        <v>418</v>
      </c>
      <c r="D2485" s="356" t="s">
        <v>9062</v>
      </c>
      <c r="E2485" s="356" t="s">
        <v>9158</v>
      </c>
      <c r="F2485" s="23" t="s">
        <v>9292</v>
      </c>
      <c r="G2485" s="92" t="s">
        <v>417</v>
      </c>
      <c r="H2485" s="353">
        <v>320742.48</v>
      </c>
      <c r="I2485" s="59" t="s">
        <v>413</v>
      </c>
      <c r="J2485" s="18" t="s">
        <v>10251</v>
      </c>
      <c r="K2485" s="20"/>
      <c r="L2485" s="20">
        <v>1</v>
      </c>
      <c r="M2485" s="357">
        <f t="shared" si="75"/>
        <v>320742.48</v>
      </c>
      <c r="N2485" s="411" t="str">
        <f>IFERROR((M2485/(VLOOKUP(B2485,'Data Pull Sheet'!$C:$H,6,FALSE))),"DC")</f>
        <v>DC</v>
      </c>
      <c r="O2485" s="23" t="s">
        <v>7</v>
      </c>
      <c r="P2485" s="92" t="s">
        <v>632</v>
      </c>
      <c r="Q2485" s="92" t="s">
        <v>633</v>
      </c>
      <c r="R2485" s="372" t="str">
        <f t="shared" si="73"/>
        <v/>
      </c>
    </row>
    <row r="2486" spans="1:18" ht="30" x14ac:dyDescent="0.25">
      <c r="A2486" s="23" t="s">
        <v>8791</v>
      </c>
      <c r="B2486" s="18" t="str">
        <f>VLOOKUP(A2486, 'Data Pull Sheet'!$B$2:$C$552,2,FALSE)</f>
        <v>ANW</v>
      </c>
      <c r="C2486" s="59" t="s">
        <v>418</v>
      </c>
      <c r="D2486" s="356" t="s">
        <v>9062</v>
      </c>
      <c r="E2486" s="356" t="s">
        <v>9158</v>
      </c>
      <c r="F2486" s="23" t="s">
        <v>201</v>
      </c>
      <c r="G2486" s="92" t="s">
        <v>417</v>
      </c>
      <c r="H2486" s="353">
        <v>175302.13</v>
      </c>
      <c r="I2486" s="59" t="s">
        <v>406</v>
      </c>
      <c r="J2486" s="18" t="s">
        <v>10255</v>
      </c>
      <c r="K2486" s="20"/>
      <c r="L2486" s="20">
        <v>3</v>
      </c>
      <c r="M2486" s="357">
        <f>SUM(H2486:H2488)</f>
        <v>647112.13000000012</v>
      </c>
      <c r="N2486" s="411" t="str">
        <f>IFERROR((M2486/(VLOOKUP(B2486,'Data Pull Sheet'!$C:$H,6,FALSE))),"DC")</f>
        <v>DC</v>
      </c>
      <c r="O2486" s="23" t="s">
        <v>8996</v>
      </c>
      <c r="P2486" s="92" t="s">
        <v>632</v>
      </c>
      <c r="Q2486" s="92" t="s">
        <v>662</v>
      </c>
      <c r="R2486" s="372" t="str">
        <f t="shared" si="73"/>
        <v>FF</v>
      </c>
    </row>
    <row r="2487" spans="1:18" x14ac:dyDescent="0.25">
      <c r="A2487" s="23" t="s">
        <v>8791</v>
      </c>
      <c r="B2487" s="18" t="str">
        <f>VLOOKUP(A2487, 'Data Pull Sheet'!$B$2:$C$552,2,FALSE)</f>
        <v>ANW</v>
      </c>
      <c r="C2487" s="59" t="s">
        <v>418</v>
      </c>
      <c r="D2487" s="356" t="s">
        <v>9062</v>
      </c>
      <c r="E2487" s="356" t="s">
        <v>9158</v>
      </c>
      <c r="F2487" s="23" t="s">
        <v>10864</v>
      </c>
      <c r="G2487" s="92" t="s">
        <v>417</v>
      </c>
      <c r="H2487" s="353">
        <v>191847.04000000001</v>
      </c>
      <c r="I2487" s="59" t="s">
        <v>406</v>
      </c>
      <c r="J2487" s="18" t="s">
        <v>10256</v>
      </c>
      <c r="K2487" s="20"/>
      <c r="L2487" s="20"/>
      <c r="M2487" s="357"/>
      <c r="N2487" s="411"/>
      <c r="O2487" s="23" t="s">
        <v>8996</v>
      </c>
      <c r="P2487" s="92" t="s">
        <v>632</v>
      </c>
      <c r="Q2487" s="92" t="s">
        <v>662</v>
      </c>
      <c r="R2487" s="372" t="str">
        <f t="shared" si="73"/>
        <v/>
      </c>
    </row>
    <row r="2488" spans="1:18" x14ac:dyDescent="0.25">
      <c r="A2488" s="23" t="s">
        <v>8791</v>
      </c>
      <c r="B2488" s="18" t="str">
        <f>VLOOKUP(A2488, 'Data Pull Sheet'!$B$2:$C$552,2,FALSE)</f>
        <v>ANW</v>
      </c>
      <c r="C2488" s="59" t="s">
        <v>418</v>
      </c>
      <c r="D2488" s="356" t="s">
        <v>9062</v>
      </c>
      <c r="E2488" s="356" t="s">
        <v>9158</v>
      </c>
      <c r="F2488" s="23" t="s">
        <v>9293</v>
      </c>
      <c r="G2488" s="92" t="s">
        <v>403</v>
      </c>
      <c r="H2488" s="353">
        <v>279962.96000000002</v>
      </c>
      <c r="I2488" s="59" t="s">
        <v>406</v>
      </c>
      <c r="J2488" s="18" t="s">
        <v>10257</v>
      </c>
      <c r="K2488" s="20"/>
      <c r="L2488" s="20"/>
      <c r="M2488" s="357"/>
      <c r="N2488" s="411"/>
      <c r="O2488" s="23" t="s">
        <v>8996</v>
      </c>
      <c r="P2488" s="92" t="s">
        <v>632</v>
      </c>
      <c r="Q2488" s="92" t="s">
        <v>662</v>
      </c>
      <c r="R2488" s="372" t="str">
        <f t="shared" si="73"/>
        <v/>
      </c>
    </row>
    <row r="2489" spans="1:18" x14ac:dyDescent="0.25">
      <c r="A2489" s="23" t="s">
        <v>8822</v>
      </c>
      <c r="B2489" s="18" t="str">
        <f>VLOOKUP(A2489, 'Data Pull Sheet'!$B$2:$C$552,2,FALSE)</f>
        <v>CALI</v>
      </c>
      <c r="C2489" s="59" t="s">
        <v>424</v>
      </c>
      <c r="D2489" s="356" t="s">
        <v>9062</v>
      </c>
      <c r="E2489" s="356" t="s">
        <v>9158</v>
      </c>
      <c r="F2489" s="23" t="s">
        <v>9282</v>
      </c>
      <c r="G2489" s="92" t="s">
        <v>403</v>
      </c>
      <c r="H2489" s="353">
        <v>411.7</v>
      </c>
      <c r="I2489" s="59"/>
      <c r="J2489" s="18" t="s">
        <v>10260</v>
      </c>
      <c r="K2489" s="20">
        <v>2</v>
      </c>
      <c r="L2489" s="20">
        <v>1</v>
      </c>
      <c r="M2489" s="357">
        <f>+H2489</f>
        <v>411.7</v>
      </c>
      <c r="N2489" s="411">
        <f>IFERROR((M2489/(VLOOKUP(B2489,'Data Pull Sheet'!$C:$H,6,FALSE))),"DC")</f>
        <v>2.0584999999999999E-4</v>
      </c>
      <c r="O2489" s="23" t="s">
        <v>192</v>
      </c>
      <c r="P2489" s="92" t="s">
        <v>632</v>
      </c>
      <c r="Q2489" s="92" t="s">
        <v>637</v>
      </c>
      <c r="R2489" s="372" t="str">
        <f t="shared" si="73"/>
        <v/>
      </c>
    </row>
    <row r="2490" spans="1:18" ht="30" x14ac:dyDescent="0.25">
      <c r="A2490" s="23" t="s">
        <v>8822</v>
      </c>
      <c r="B2490" s="18" t="str">
        <f>VLOOKUP(A2490, 'Data Pull Sheet'!$B$2:$C$552,2,FALSE)</f>
        <v>CALI</v>
      </c>
      <c r="C2490" s="59" t="s">
        <v>424</v>
      </c>
      <c r="D2490" s="356" t="s">
        <v>9062</v>
      </c>
      <c r="E2490" s="356" t="s">
        <v>9158</v>
      </c>
      <c r="F2490" s="23" t="s">
        <v>9283</v>
      </c>
      <c r="G2490" s="92" t="s">
        <v>403</v>
      </c>
      <c r="H2490" s="353">
        <v>3272.43</v>
      </c>
      <c r="I2490" s="59"/>
      <c r="J2490" s="18" t="s">
        <v>10265</v>
      </c>
      <c r="K2490" s="20"/>
      <c r="L2490" s="20">
        <v>3</v>
      </c>
      <c r="M2490" s="357">
        <f>SUM(H2490:H2492)</f>
        <v>16023.009999999998</v>
      </c>
      <c r="N2490" s="411">
        <f>IFERROR((M2490/(VLOOKUP(B2490,'Data Pull Sheet'!$C:$H,6,FALSE))),"DC")</f>
        <v>8.0115049999999986E-3</v>
      </c>
      <c r="O2490" s="23" t="s">
        <v>2174</v>
      </c>
      <c r="P2490" s="92" t="s">
        <v>632</v>
      </c>
      <c r="Q2490" s="92" t="s">
        <v>646</v>
      </c>
      <c r="R2490" s="372" t="str">
        <f t="shared" si="73"/>
        <v/>
      </c>
    </row>
    <row r="2491" spans="1:18" ht="30" x14ac:dyDescent="0.25">
      <c r="A2491" s="23" t="s">
        <v>8822</v>
      </c>
      <c r="B2491" s="18" t="str">
        <f>VLOOKUP(A2491, 'Data Pull Sheet'!$B$2:$C$552,2,FALSE)</f>
        <v>CALI</v>
      </c>
      <c r="C2491" s="59" t="s">
        <v>424</v>
      </c>
      <c r="D2491" s="356" t="s">
        <v>9062</v>
      </c>
      <c r="E2491" s="356" t="s">
        <v>9158</v>
      </c>
      <c r="F2491" s="23" t="s">
        <v>9284</v>
      </c>
      <c r="G2491" s="92" t="s">
        <v>403</v>
      </c>
      <c r="H2491" s="353">
        <v>6123.39</v>
      </c>
      <c r="I2491" s="59"/>
      <c r="J2491" s="18" t="s">
        <v>10266</v>
      </c>
      <c r="K2491" s="20"/>
      <c r="L2491" s="20"/>
      <c r="M2491" s="357"/>
      <c r="N2491" s="411"/>
      <c r="O2491" s="23" t="s">
        <v>2174</v>
      </c>
      <c r="P2491" s="92" t="s">
        <v>632</v>
      </c>
      <c r="Q2491" s="92" t="s">
        <v>646</v>
      </c>
      <c r="R2491" s="372" t="str">
        <f t="shared" si="73"/>
        <v/>
      </c>
    </row>
    <row r="2492" spans="1:18" x14ac:dyDescent="0.25">
      <c r="A2492" s="23" t="s">
        <v>8822</v>
      </c>
      <c r="B2492" s="18" t="str">
        <f>VLOOKUP(A2492, 'Data Pull Sheet'!$B$2:$C$552,2,FALSE)</f>
        <v>CALI</v>
      </c>
      <c r="C2492" s="59" t="s">
        <v>424</v>
      </c>
      <c r="D2492" s="356" t="s">
        <v>9062</v>
      </c>
      <c r="E2492" s="356" t="s">
        <v>9158</v>
      </c>
      <c r="F2492" s="23" t="s">
        <v>9285</v>
      </c>
      <c r="G2492" s="92" t="s">
        <v>403</v>
      </c>
      <c r="H2492" s="353">
        <v>6627.19</v>
      </c>
      <c r="I2492" s="59"/>
      <c r="J2492" s="18" t="s">
        <v>10259</v>
      </c>
      <c r="K2492" s="20"/>
      <c r="L2492" s="20"/>
      <c r="M2492" s="357"/>
      <c r="N2492" s="411"/>
      <c r="O2492" s="23" t="s">
        <v>4615</v>
      </c>
      <c r="P2492" s="92" t="s">
        <v>632</v>
      </c>
      <c r="Q2492" s="92" t="s">
        <v>646</v>
      </c>
      <c r="R2492" s="372" t="str">
        <f t="shared" si="73"/>
        <v/>
      </c>
    </row>
    <row r="2493" spans="1:18" x14ac:dyDescent="0.25">
      <c r="A2493" s="23" t="s">
        <v>98</v>
      </c>
      <c r="B2493" s="18" t="s">
        <v>10763</v>
      </c>
      <c r="C2493" s="59" t="s">
        <v>418</v>
      </c>
      <c r="D2493" s="356" t="s">
        <v>9063</v>
      </c>
      <c r="E2493" s="356" t="s">
        <v>9158</v>
      </c>
      <c r="F2493" s="23" t="s">
        <v>9294</v>
      </c>
      <c r="G2493" s="92" t="s">
        <v>403</v>
      </c>
      <c r="H2493" s="353">
        <v>142777.15</v>
      </c>
      <c r="I2493" s="59"/>
      <c r="J2493" s="18" t="s">
        <v>10764</v>
      </c>
      <c r="K2493" s="20">
        <v>3</v>
      </c>
      <c r="L2493" s="20">
        <v>1</v>
      </c>
      <c r="M2493" s="357">
        <f t="shared" ref="M2493:M2498" si="76">+H2493</f>
        <v>142777.15</v>
      </c>
      <c r="N2493" s="411">
        <f>IFERROR((M2493/(VLOOKUP(B2493,'Data Pull Sheet'!$C:$H,6,FALSE))),"DC")</f>
        <v>1.0576085185185185E-3</v>
      </c>
      <c r="O2493" s="23" t="s">
        <v>63</v>
      </c>
      <c r="P2493" s="92" t="s">
        <v>632</v>
      </c>
      <c r="Q2493" s="92" t="s">
        <v>637</v>
      </c>
      <c r="R2493" s="372" t="str">
        <f t="shared" si="73"/>
        <v/>
      </c>
    </row>
    <row r="2494" spans="1:18" x14ac:dyDescent="0.25">
      <c r="A2494" s="23" t="s">
        <v>98</v>
      </c>
      <c r="B2494" s="18" t="s">
        <v>10763</v>
      </c>
      <c r="C2494" s="59" t="s">
        <v>418</v>
      </c>
      <c r="D2494" s="356" t="s">
        <v>9063</v>
      </c>
      <c r="E2494" s="356" t="s">
        <v>9158</v>
      </c>
      <c r="F2494" s="23" t="s">
        <v>9295</v>
      </c>
      <c r="G2494" s="92" t="s">
        <v>403</v>
      </c>
      <c r="H2494" s="353">
        <v>549804.07999999996</v>
      </c>
      <c r="I2494" s="59"/>
      <c r="J2494" s="18" t="s">
        <v>10765</v>
      </c>
      <c r="K2494" s="20"/>
      <c r="L2494" s="20">
        <v>1</v>
      </c>
      <c r="M2494" s="357">
        <f t="shared" si="76"/>
        <v>549804.07999999996</v>
      </c>
      <c r="N2494" s="411">
        <f>IFERROR((M2494/(VLOOKUP(B2494,'Data Pull Sheet'!$C:$H,6,FALSE))),"DC")</f>
        <v>4.0726228148148143E-3</v>
      </c>
      <c r="O2494" s="23" t="s">
        <v>682</v>
      </c>
      <c r="P2494" s="92" t="s">
        <v>632</v>
      </c>
      <c r="Q2494" s="92" t="s">
        <v>637</v>
      </c>
      <c r="R2494" s="372" t="str">
        <f t="shared" si="73"/>
        <v/>
      </c>
    </row>
    <row r="2495" spans="1:18" x14ac:dyDescent="0.25">
      <c r="A2495" s="23" t="s">
        <v>98</v>
      </c>
      <c r="B2495" s="18" t="s">
        <v>10763</v>
      </c>
      <c r="C2495" s="59" t="s">
        <v>418</v>
      </c>
      <c r="D2495" s="356" t="s">
        <v>9063</v>
      </c>
      <c r="E2495" s="356" t="s">
        <v>9158</v>
      </c>
      <c r="F2495" s="23" t="s">
        <v>9296</v>
      </c>
      <c r="G2495" s="92" t="s">
        <v>403</v>
      </c>
      <c r="H2495" s="353">
        <v>340884</v>
      </c>
      <c r="I2495" s="59"/>
      <c r="J2495" s="18" t="s">
        <v>10766</v>
      </c>
      <c r="K2495" s="20"/>
      <c r="L2495" s="20">
        <v>1</v>
      </c>
      <c r="M2495" s="357">
        <f t="shared" si="76"/>
        <v>340884</v>
      </c>
      <c r="N2495" s="411">
        <f>IFERROR((M2495/(VLOOKUP(B2495,'Data Pull Sheet'!$C:$H,6,FALSE))),"DC")</f>
        <v>2.5250666666666666E-3</v>
      </c>
      <c r="O2495" s="23" t="s">
        <v>79</v>
      </c>
      <c r="P2495" s="92" t="s">
        <v>632</v>
      </c>
      <c r="Q2495" s="92" t="s">
        <v>637</v>
      </c>
      <c r="R2495" s="372" t="str">
        <f t="shared" si="73"/>
        <v/>
      </c>
    </row>
    <row r="2496" spans="1:18" x14ac:dyDescent="0.25">
      <c r="A2496" s="23" t="s">
        <v>246</v>
      </c>
      <c r="B2496" s="18" t="s">
        <v>10661</v>
      </c>
      <c r="C2496" s="59" t="s">
        <v>557</v>
      </c>
      <c r="D2496" s="356" t="s">
        <v>9061</v>
      </c>
      <c r="E2496" s="356" t="s">
        <v>9157</v>
      </c>
      <c r="F2496" s="23" t="s">
        <v>9278</v>
      </c>
      <c r="G2496" s="92" t="s">
        <v>403</v>
      </c>
      <c r="H2496" s="353">
        <v>37065.19</v>
      </c>
      <c r="I2496" s="59"/>
      <c r="J2496" s="18" t="s">
        <v>10671</v>
      </c>
      <c r="K2496" s="20">
        <v>4</v>
      </c>
      <c r="L2496" s="20">
        <v>1</v>
      </c>
      <c r="M2496" s="357">
        <f t="shared" si="76"/>
        <v>37065.19</v>
      </c>
      <c r="N2496" s="411">
        <f>IFERROR((M2496/(VLOOKUP(B2496,'Data Pull Sheet'!$C:$H,6,FALSE))),"DC")</f>
        <v>3.9015989473684213E-5</v>
      </c>
      <c r="O2496" s="23" t="s">
        <v>63</v>
      </c>
      <c r="P2496" s="92" t="s">
        <v>632</v>
      </c>
      <c r="Q2496" s="92" t="s">
        <v>637</v>
      </c>
      <c r="R2496" s="372" t="str">
        <f t="shared" si="73"/>
        <v/>
      </c>
    </row>
    <row r="2497" spans="1:18" x14ac:dyDescent="0.25">
      <c r="A2497" s="23" t="s">
        <v>246</v>
      </c>
      <c r="B2497" s="18" t="s">
        <v>10661</v>
      </c>
      <c r="C2497" s="59" t="s">
        <v>557</v>
      </c>
      <c r="D2497" s="356" t="s">
        <v>9061</v>
      </c>
      <c r="E2497" s="356" t="s">
        <v>9157</v>
      </c>
      <c r="F2497" s="23" t="s">
        <v>3477</v>
      </c>
      <c r="G2497" s="92" t="s">
        <v>403</v>
      </c>
      <c r="H2497" s="353">
        <v>340877.48</v>
      </c>
      <c r="I2497" s="59"/>
      <c r="J2497" s="18" t="s">
        <v>10672</v>
      </c>
      <c r="K2497" s="20"/>
      <c r="L2497" s="20">
        <v>1</v>
      </c>
      <c r="M2497" s="357">
        <f t="shared" si="76"/>
        <v>340877.48</v>
      </c>
      <c r="N2497" s="411">
        <f>IFERROR((M2497/(VLOOKUP(B2497,'Data Pull Sheet'!$C:$H,6,FALSE))),"DC")</f>
        <v>3.5881839999999998E-4</v>
      </c>
      <c r="O2497" s="23" t="s">
        <v>682</v>
      </c>
      <c r="P2497" s="92" t="s">
        <v>632</v>
      </c>
      <c r="Q2497" s="92" t="s">
        <v>637</v>
      </c>
      <c r="R2497" s="372" t="str">
        <f t="shared" si="73"/>
        <v>FF</v>
      </c>
    </row>
    <row r="2498" spans="1:18" ht="30" x14ac:dyDescent="0.25">
      <c r="A2498" s="23" t="s">
        <v>246</v>
      </c>
      <c r="B2498" s="18" t="s">
        <v>10661</v>
      </c>
      <c r="C2498" s="59" t="s">
        <v>557</v>
      </c>
      <c r="D2498" s="356" t="s">
        <v>9061</v>
      </c>
      <c r="E2498" s="356" t="s">
        <v>9157</v>
      </c>
      <c r="F2498" s="23" t="s">
        <v>9279</v>
      </c>
      <c r="G2498" s="92" t="s">
        <v>403</v>
      </c>
      <c r="H2498" s="353">
        <v>75564.09</v>
      </c>
      <c r="I2498" s="59" t="s">
        <v>406</v>
      </c>
      <c r="J2498" s="18" t="s">
        <v>10673</v>
      </c>
      <c r="K2498" s="20"/>
      <c r="L2498" s="20">
        <v>1</v>
      </c>
      <c r="M2498" s="357">
        <f t="shared" si="76"/>
        <v>75564.09</v>
      </c>
      <c r="N2498" s="411">
        <f>IFERROR((M2498/(VLOOKUP(B2498,'Data Pull Sheet'!$C:$H,6,FALSE))),"DC")</f>
        <v>7.9541147368421045E-5</v>
      </c>
      <c r="O2498" s="23" t="s">
        <v>10856</v>
      </c>
      <c r="P2498" s="92" t="s">
        <v>632</v>
      </c>
      <c r="Q2498" s="92" t="s">
        <v>637</v>
      </c>
      <c r="R2498" s="372" t="str">
        <f t="shared" ref="R2498:R2561" si="77">IF(COUNTIF(F:F,F2498)&gt;=2,"FF","")</f>
        <v/>
      </c>
    </row>
    <row r="2499" spans="1:18" x14ac:dyDescent="0.25">
      <c r="A2499" s="23" t="s">
        <v>246</v>
      </c>
      <c r="B2499" s="18" t="s">
        <v>10661</v>
      </c>
      <c r="C2499" s="59" t="s">
        <v>557</v>
      </c>
      <c r="D2499" s="356" t="s">
        <v>9061</v>
      </c>
      <c r="E2499" s="356" t="s">
        <v>9157</v>
      </c>
      <c r="F2499" s="23" t="s">
        <v>9280</v>
      </c>
      <c r="G2499" s="92" t="s">
        <v>403</v>
      </c>
      <c r="H2499" s="353">
        <v>44000</v>
      </c>
      <c r="I2499" s="59"/>
      <c r="J2499" s="18" t="s">
        <v>10674</v>
      </c>
      <c r="K2499" s="20"/>
      <c r="L2499" s="20">
        <v>2</v>
      </c>
      <c r="M2499" s="357">
        <f>SUM(H2499:H2500)</f>
        <v>160500</v>
      </c>
      <c r="N2499" s="411">
        <f>IFERROR((M2499/(VLOOKUP(B2499,'Data Pull Sheet'!$C:$H,6,FALSE))),"DC")</f>
        <v>1.6894736842105264E-4</v>
      </c>
      <c r="O2499" s="23" t="s">
        <v>1204</v>
      </c>
      <c r="P2499" s="92" t="s">
        <v>632</v>
      </c>
      <c r="Q2499" s="92" t="s">
        <v>646</v>
      </c>
      <c r="R2499" s="372" t="str">
        <f t="shared" si="77"/>
        <v/>
      </c>
    </row>
    <row r="2500" spans="1:18" x14ac:dyDescent="0.25">
      <c r="A2500" s="23" t="s">
        <v>246</v>
      </c>
      <c r="B2500" s="18" t="s">
        <v>10661</v>
      </c>
      <c r="C2500" s="59" t="s">
        <v>557</v>
      </c>
      <c r="D2500" s="356" t="s">
        <v>9061</v>
      </c>
      <c r="E2500" s="356" t="s">
        <v>9157</v>
      </c>
      <c r="F2500" s="23" t="s">
        <v>9281</v>
      </c>
      <c r="G2500" s="92" t="s">
        <v>403</v>
      </c>
      <c r="H2500" s="353">
        <v>116500</v>
      </c>
      <c r="I2500" s="59"/>
      <c r="J2500" s="18" t="s">
        <v>10675</v>
      </c>
      <c r="K2500" s="20"/>
      <c r="L2500" s="20"/>
      <c r="M2500" s="357"/>
      <c r="N2500" s="411"/>
      <c r="O2500" s="23" t="s">
        <v>1204</v>
      </c>
      <c r="P2500" s="92" t="s">
        <v>632</v>
      </c>
      <c r="Q2500" s="92" t="s">
        <v>646</v>
      </c>
      <c r="R2500" s="372" t="str">
        <f t="shared" si="77"/>
        <v/>
      </c>
    </row>
    <row r="2501" spans="1:18" ht="30" x14ac:dyDescent="0.25">
      <c r="A2501" s="23" t="s">
        <v>8897</v>
      </c>
      <c r="B2501" s="18" t="str">
        <f>VLOOKUP(A2501, 'Data Pull Sheet'!$B$2:$C$552,2,FALSE)</f>
        <v>REVG</v>
      </c>
      <c r="C2501" s="59" t="s">
        <v>570</v>
      </c>
      <c r="D2501" s="356" t="s">
        <v>9061</v>
      </c>
      <c r="E2501" s="356" t="s">
        <v>9157</v>
      </c>
      <c r="F2501" s="23" t="s">
        <v>189</v>
      </c>
      <c r="G2501" s="92" t="s">
        <v>417</v>
      </c>
      <c r="H2501" s="353">
        <v>595744.09</v>
      </c>
      <c r="I2501" s="59"/>
      <c r="J2501" s="18" t="s">
        <v>10268</v>
      </c>
      <c r="K2501" s="20">
        <v>5</v>
      </c>
      <c r="L2501" s="20">
        <v>1</v>
      </c>
      <c r="M2501" s="357">
        <f t="shared" ref="M2501:M2511" si="78">+H2501</f>
        <v>595744.09</v>
      </c>
      <c r="N2501" s="411">
        <f>IFERROR((M2501/(VLOOKUP(B2501,'Data Pull Sheet'!$C:$H,6,FALSE))),"DC")</f>
        <v>1.4893602249999999E-2</v>
      </c>
      <c r="O2501" s="23" t="s">
        <v>9748</v>
      </c>
      <c r="P2501" s="92" t="s">
        <v>632</v>
      </c>
      <c r="Q2501" s="92" t="s">
        <v>633</v>
      </c>
      <c r="R2501" s="372" t="str">
        <f t="shared" si="77"/>
        <v>FF</v>
      </c>
    </row>
    <row r="2502" spans="1:18" x14ac:dyDescent="0.25">
      <c r="A2502" s="23" t="s">
        <v>8897</v>
      </c>
      <c r="B2502" s="18" t="str">
        <f>VLOOKUP(A2502, 'Data Pull Sheet'!$B$2:$C$552,2,FALSE)</f>
        <v>REVG</v>
      </c>
      <c r="C2502" s="59" t="s">
        <v>570</v>
      </c>
      <c r="D2502" s="356" t="s">
        <v>9061</v>
      </c>
      <c r="E2502" s="356" t="s">
        <v>9157</v>
      </c>
      <c r="F2502" s="23" t="s">
        <v>9275</v>
      </c>
      <c r="G2502" s="92" t="s">
        <v>403</v>
      </c>
      <c r="H2502" s="353">
        <v>690</v>
      </c>
      <c r="I2502" s="59"/>
      <c r="J2502" s="18" t="s">
        <v>10267</v>
      </c>
      <c r="K2502" s="20"/>
      <c r="L2502" s="20">
        <v>1</v>
      </c>
      <c r="M2502" s="357">
        <f t="shared" si="78"/>
        <v>690</v>
      </c>
      <c r="N2502" s="411">
        <f>IFERROR((M2502/(VLOOKUP(B2502,'Data Pull Sheet'!$C:$H,6,FALSE))),"DC")</f>
        <v>1.7249999999999999E-5</v>
      </c>
      <c r="O2502" s="23" t="s">
        <v>682</v>
      </c>
      <c r="P2502" s="92" t="s">
        <v>632</v>
      </c>
      <c r="Q2502" s="92" t="s">
        <v>637</v>
      </c>
      <c r="R2502" s="372" t="str">
        <f t="shared" si="77"/>
        <v/>
      </c>
    </row>
    <row r="2503" spans="1:18" x14ac:dyDescent="0.25">
      <c r="A2503" s="23" t="s">
        <v>8897</v>
      </c>
      <c r="B2503" s="18" t="str">
        <f>VLOOKUP(A2503, 'Data Pull Sheet'!$B$2:$C$552,2,FALSE)</f>
        <v>REVG</v>
      </c>
      <c r="C2503" s="59" t="s">
        <v>570</v>
      </c>
      <c r="D2503" s="356" t="s">
        <v>9061</v>
      </c>
      <c r="E2503" s="356" t="s">
        <v>9157</v>
      </c>
      <c r="F2503" s="23" t="s">
        <v>9276</v>
      </c>
      <c r="G2503" s="92" t="s">
        <v>403</v>
      </c>
      <c r="H2503" s="353">
        <v>243.25</v>
      </c>
      <c r="I2503" s="59"/>
      <c r="J2503" s="18" t="s">
        <v>10262</v>
      </c>
      <c r="K2503" s="20"/>
      <c r="L2503" s="20">
        <v>1</v>
      </c>
      <c r="M2503" s="357">
        <f t="shared" si="78"/>
        <v>243.25</v>
      </c>
      <c r="N2503" s="411">
        <f>IFERROR((M2503/(VLOOKUP(B2503,'Data Pull Sheet'!$C:$H,6,FALSE))),"DC")</f>
        <v>6.0812499999999996E-6</v>
      </c>
      <c r="O2503" s="23" t="s">
        <v>9749</v>
      </c>
      <c r="P2503" s="92" t="s">
        <v>632</v>
      </c>
      <c r="Q2503" s="92" t="s">
        <v>637</v>
      </c>
      <c r="R2503" s="372" t="str">
        <f t="shared" si="77"/>
        <v/>
      </c>
    </row>
    <row r="2504" spans="1:18" ht="30" x14ac:dyDescent="0.25">
      <c r="A2504" s="23" t="s">
        <v>8897</v>
      </c>
      <c r="B2504" s="18" t="str">
        <f>VLOOKUP(A2504, 'Data Pull Sheet'!$B$2:$C$552,2,FALSE)</f>
        <v>REVG</v>
      </c>
      <c r="C2504" s="59" t="s">
        <v>570</v>
      </c>
      <c r="D2504" s="356" t="s">
        <v>9061</v>
      </c>
      <c r="E2504" s="356" t="s">
        <v>9157</v>
      </c>
      <c r="F2504" s="23" t="s">
        <v>9277</v>
      </c>
      <c r="G2504" s="92" t="s">
        <v>403</v>
      </c>
      <c r="H2504" s="353">
        <v>238240</v>
      </c>
      <c r="I2504" s="59"/>
      <c r="J2504" s="18" t="s">
        <v>10261</v>
      </c>
      <c r="K2504" s="20"/>
      <c r="L2504" s="20">
        <v>1</v>
      </c>
      <c r="M2504" s="357">
        <f t="shared" si="78"/>
        <v>238240</v>
      </c>
      <c r="N2504" s="411">
        <f>IFERROR((M2504/(VLOOKUP(B2504,'Data Pull Sheet'!$C:$H,6,FALSE))),"DC")</f>
        <v>5.9560000000000004E-3</v>
      </c>
      <c r="O2504" s="23" t="s">
        <v>2285</v>
      </c>
      <c r="P2504" s="92" t="s">
        <v>632</v>
      </c>
      <c r="Q2504" s="92" t="s">
        <v>637</v>
      </c>
      <c r="R2504" s="372" t="str">
        <f t="shared" si="77"/>
        <v/>
      </c>
    </row>
    <row r="2505" spans="1:18" x14ac:dyDescent="0.25">
      <c r="A2505" s="23" t="s">
        <v>8897</v>
      </c>
      <c r="B2505" s="18" t="str">
        <f>VLOOKUP(A2505, 'Data Pull Sheet'!$B$2:$C$552,2,FALSE)</f>
        <v>REVG</v>
      </c>
      <c r="C2505" s="59" t="s">
        <v>570</v>
      </c>
      <c r="D2505" s="356" t="s">
        <v>9061</v>
      </c>
      <c r="E2505" s="356" t="s">
        <v>9157</v>
      </c>
      <c r="F2505" s="23" t="s">
        <v>839</v>
      </c>
      <c r="G2505" s="92" t="s">
        <v>417</v>
      </c>
      <c r="H2505" s="353">
        <v>694174.71999999997</v>
      </c>
      <c r="I2505" s="59"/>
      <c r="J2505" s="18" t="s">
        <v>10269</v>
      </c>
      <c r="K2505" s="20"/>
      <c r="L2505" s="20">
        <v>1</v>
      </c>
      <c r="M2505" s="357">
        <f t="shared" si="78"/>
        <v>694174.71999999997</v>
      </c>
      <c r="N2505" s="411">
        <f>IFERROR((M2505/(VLOOKUP(B2505,'Data Pull Sheet'!$C:$H,6,FALSE))),"DC")</f>
        <v>1.7354367999999998E-2</v>
      </c>
      <c r="O2505" s="23" t="s">
        <v>9750</v>
      </c>
      <c r="P2505" s="92" t="s">
        <v>632</v>
      </c>
      <c r="Q2505" s="92" t="s">
        <v>633</v>
      </c>
      <c r="R2505" s="372" t="str">
        <f t="shared" si="77"/>
        <v>FF</v>
      </c>
    </row>
    <row r="2506" spans="1:18" ht="30" x14ac:dyDescent="0.25">
      <c r="A2506" s="23" t="s">
        <v>8881</v>
      </c>
      <c r="B2506" s="18" t="str">
        <f>VLOOKUP(A2506, 'Data Pull Sheet'!$B$2:$C$552,2,FALSE)</f>
        <v>ORA</v>
      </c>
      <c r="C2506" s="59" t="s">
        <v>3449</v>
      </c>
      <c r="D2506" s="356" t="s">
        <v>9060</v>
      </c>
      <c r="E2506" s="356" t="s">
        <v>9156</v>
      </c>
      <c r="F2506" s="23" t="s">
        <v>9272</v>
      </c>
      <c r="G2506" s="92" t="s">
        <v>403</v>
      </c>
      <c r="H2506" s="353">
        <v>5761.2</v>
      </c>
      <c r="I2506" s="59"/>
      <c r="J2506" s="18" t="s">
        <v>10264</v>
      </c>
      <c r="K2506" s="20">
        <v>4</v>
      </c>
      <c r="L2506" s="20">
        <v>1</v>
      </c>
      <c r="M2506" s="357">
        <f t="shared" si="78"/>
        <v>5761.2</v>
      </c>
      <c r="N2506" s="411">
        <f>IFERROR((M2506/(VLOOKUP(B2506,'Data Pull Sheet'!$C:$H,6,FALSE))),"DC")</f>
        <v>7.2014999999999994E-5</v>
      </c>
      <c r="O2506" s="23" t="s">
        <v>9744</v>
      </c>
      <c r="P2506" s="92" t="s">
        <v>632</v>
      </c>
      <c r="Q2506" s="92" t="s">
        <v>637</v>
      </c>
      <c r="R2506" s="372" t="str">
        <f t="shared" si="77"/>
        <v/>
      </c>
    </row>
    <row r="2507" spans="1:18" x14ac:dyDescent="0.25">
      <c r="A2507" s="23" t="s">
        <v>8881</v>
      </c>
      <c r="B2507" s="18" t="str">
        <f>VLOOKUP(A2507, 'Data Pull Sheet'!$B$2:$C$552,2,FALSE)</f>
        <v>ORA</v>
      </c>
      <c r="C2507" s="59" t="s">
        <v>3449</v>
      </c>
      <c r="D2507" s="356" t="s">
        <v>9060</v>
      </c>
      <c r="E2507" s="356" t="s">
        <v>9156</v>
      </c>
      <c r="F2507" s="23" t="s">
        <v>2739</v>
      </c>
      <c r="G2507" s="92" t="s">
        <v>417</v>
      </c>
      <c r="H2507" s="353">
        <v>4725022</v>
      </c>
      <c r="I2507" s="59"/>
      <c r="J2507" s="18" t="s">
        <v>10263</v>
      </c>
      <c r="K2507" s="20"/>
      <c r="L2507" s="20">
        <v>1</v>
      </c>
      <c r="M2507" s="357">
        <f t="shared" si="78"/>
        <v>4725022</v>
      </c>
      <c r="N2507" s="411">
        <f>IFERROR((M2507/(VLOOKUP(B2507,'Data Pull Sheet'!$C:$H,6,FALSE))),"DC")</f>
        <v>5.9062774999999998E-2</v>
      </c>
      <c r="O2507" s="23" t="s">
        <v>9745</v>
      </c>
      <c r="P2507" s="92" t="s">
        <v>632</v>
      </c>
      <c r="Q2507" s="92" t="s">
        <v>633</v>
      </c>
      <c r="R2507" s="372" t="str">
        <f t="shared" si="77"/>
        <v>FF</v>
      </c>
    </row>
    <row r="2508" spans="1:18" x14ac:dyDescent="0.25">
      <c r="A2508" s="23" t="s">
        <v>8881</v>
      </c>
      <c r="B2508" s="18" t="str">
        <f>VLOOKUP(A2508, 'Data Pull Sheet'!$B$2:$C$552,2,FALSE)</f>
        <v>ORA</v>
      </c>
      <c r="C2508" s="59" t="s">
        <v>3449</v>
      </c>
      <c r="D2508" s="356" t="s">
        <v>9060</v>
      </c>
      <c r="E2508" s="356" t="s">
        <v>9156</v>
      </c>
      <c r="F2508" s="23" t="s">
        <v>9273</v>
      </c>
      <c r="G2508" s="92" t="s">
        <v>403</v>
      </c>
      <c r="H2508" s="353">
        <v>627.29999999999995</v>
      </c>
      <c r="I2508" s="59"/>
      <c r="J2508" s="18" t="s">
        <v>10270</v>
      </c>
      <c r="K2508" s="20"/>
      <c r="L2508" s="20">
        <v>1</v>
      </c>
      <c r="M2508" s="357">
        <f t="shared" si="78"/>
        <v>627.29999999999995</v>
      </c>
      <c r="N2508" s="411">
        <f>IFERROR((M2508/(VLOOKUP(B2508,'Data Pull Sheet'!$C:$H,6,FALSE))),"DC")</f>
        <v>7.8412499999999988E-6</v>
      </c>
      <c r="O2508" s="23" t="s">
        <v>9746</v>
      </c>
      <c r="P2508" s="92" t="s">
        <v>632</v>
      </c>
      <c r="Q2508" s="92" t="s">
        <v>637</v>
      </c>
      <c r="R2508" s="372" t="str">
        <f t="shared" si="77"/>
        <v/>
      </c>
    </row>
    <row r="2509" spans="1:18" ht="30" x14ac:dyDescent="0.25">
      <c r="A2509" s="23" t="s">
        <v>8881</v>
      </c>
      <c r="B2509" s="18" t="str">
        <f>VLOOKUP(A2509, 'Data Pull Sheet'!$B$2:$C$552,2,FALSE)</f>
        <v>ORA</v>
      </c>
      <c r="C2509" s="59" t="s">
        <v>3449</v>
      </c>
      <c r="D2509" s="356" t="s">
        <v>9060</v>
      </c>
      <c r="E2509" s="356" t="s">
        <v>9156</v>
      </c>
      <c r="F2509" s="23" t="s">
        <v>9274</v>
      </c>
      <c r="G2509" s="92" t="s">
        <v>417</v>
      </c>
      <c r="H2509" s="353">
        <v>31416.42</v>
      </c>
      <c r="I2509" s="59"/>
      <c r="J2509" s="18" t="s">
        <v>10279</v>
      </c>
      <c r="K2509" s="20"/>
      <c r="L2509" s="20">
        <v>1</v>
      </c>
      <c r="M2509" s="357">
        <f t="shared" si="78"/>
        <v>31416.42</v>
      </c>
      <c r="N2509" s="411">
        <f>IFERROR((M2509/(VLOOKUP(B2509,'Data Pull Sheet'!$C:$H,6,FALSE))),"DC")</f>
        <v>3.9270524999999995E-4</v>
      </c>
      <c r="O2509" s="23" t="s">
        <v>9747</v>
      </c>
      <c r="P2509" s="92" t="s">
        <v>632</v>
      </c>
      <c r="Q2509" s="92" t="s">
        <v>633</v>
      </c>
      <c r="R2509" s="372" t="str">
        <f t="shared" si="77"/>
        <v/>
      </c>
    </row>
    <row r="2510" spans="1:18" x14ac:dyDescent="0.25">
      <c r="A2510" s="23" t="s">
        <v>8779</v>
      </c>
      <c r="B2510" s="18" t="str">
        <f>VLOOKUP(A2510, 'Data Pull Sheet'!$B$2:$C$552,2,FALSE)</f>
        <v>SWCH</v>
      </c>
      <c r="C2510" s="59" t="s">
        <v>3449</v>
      </c>
      <c r="D2510" s="356" t="s">
        <v>9060</v>
      </c>
      <c r="E2510" s="356" t="s">
        <v>9156</v>
      </c>
      <c r="F2510" s="23" t="s">
        <v>9268</v>
      </c>
      <c r="G2510" s="92" t="s">
        <v>403</v>
      </c>
      <c r="H2510" s="353">
        <v>190140</v>
      </c>
      <c r="I2510" s="59"/>
      <c r="J2510" s="18" t="s">
        <v>10280</v>
      </c>
      <c r="K2510" s="20">
        <v>3</v>
      </c>
      <c r="L2510" s="20">
        <v>1</v>
      </c>
      <c r="M2510" s="357">
        <f t="shared" si="78"/>
        <v>190140</v>
      </c>
      <c r="N2510" s="411">
        <f>IFERROR((M2510/(VLOOKUP(B2510,'Data Pull Sheet'!$C:$H,6,FALSE))),"DC")</f>
        <v>2.5018421052631578E-3</v>
      </c>
      <c r="O2510" s="23" t="s">
        <v>9742</v>
      </c>
      <c r="P2510" s="92" t="s">
        <v>632</v>
      </c>
      <c r="Q2510" s="92" t="s">
        <v>637</v>
      </c>
      <c r="R2510" s="372" t="str">
        <f t="shared" si="77"/>
        <v/>
      </c>
    </row>
    <row r="2511" spans="1:18" ht="30" x14ac:dyDescent="0.25">
      <c r="A2511" s="23" t="s">
        <v>8779</v>
      </c>
      <c r="B2511" s="18" t="str">
        <f>VLOOKUP(A2511, 'Data Pull Sheet'!$B$2:$C$552,2,FALSE)</f>
        <v>SWCH</v>
      </c>
      <c r="C2511" s="59" t="s">
        <v>3449</v>
      </c>
      <c r="D2511" s="356" t="s">
        <v>9060</v>
      </c>
      <c r="E2511" s="356" t="s">
        <v>9156</v>
      </c>
      <c r="F2511" s="23" t="s">
        <v>9269</v>
      </c>
      <c r="G2511" s="92" t="s">
        <v>417</v>
      </c>
      <c r="H2511" s="353">
        <v>17320.16</v>
      </c>
      <c r="I2511" s="59"/>
      <c r="J2511" s="18" t="s">
        <v>10281</v>
      </c>
      <c r="K2511" s="20"/>
      <c r="L2511" s="20">
        <v>1</v>
      </c>
      <c r="M2511" s="357">
        <f t="shared" si="78"/>
        <v>17320.16</v>
      </c>
      <c r="N2511" s="411">
        <f>IFERROR((M2511/(VLOOKUP(B2511,'Data Pull Sheet'!$C:$H,6,FALSE))),"DC")</f>
        <v>2.2789684210526315E-4</v>
      </c>
      <c r="O2511" s="23" t="s">
        <v>11195</v>
      </c>
      <c r="P2511" s="92" t="s">
        <v>632</v>
      </c>
      <c r="Q2511" s="92" t="s">
        <v>633</v>
      </c>
      <c r="R2511" s="372" t="str">
        <f t="shared" si="77"/>
        <v/>
      </c>
    </row>
    <row r="2512" spans="1:18" ht="30" x14ac:dyDescent="0.25">
      <c r="A2512" s="23" t="s">
        <v>8779</v>
      </c>
      <c r="B2512" s="18" t="str">
        <f>VLOOKUP(A2512, 'Data Pull Sheet'!$B$2:$C$552,2,FALSE)</f>
        <v>SWCH</v>
      </c>
      <c r="C2512" s="59" t="s">
        <v>3449</v>
      </c>
      <c r="D2512" s="356" t="s">
        <v>9060</v>
      </c>
      <c r="E2512" s="356" t="s">
        <v>9156</v>
      </c>
      <c r="F2512" s="23" t="s">
        <v>9270</v>
      </c>
      <c r="G2512" s="92" t="s">
        <v>403</v>
      </c>
      <c r="H2512" s="353">
        <v>36360</v>
      </c>
      <c r="I2512" s="59"/>
      <c r="J2512" s="18" t="s">
        <v>10282</v>
      </c>
      <c r="K2512" s="20"/>
      <c r="L2512" s="20">
        <v>2</v>
      </c>
      <c r="M2512" s="357">
        <f>SUM(H2512:H2513)</f>
        <v>66778.47</v>
      </c>
      <c r="N2512" s="411">
        <f>IFERROR((M2512/(VLOOKUP(B2512,'Data Pull Sheet'!$C:$H,6,FALSE))),"DC")</f>
        <v>8.7866407894736842E-4</v>
      </c>
      <c r="O2512" s="23" t="s">
        <v>9743</v>
      </c>
      <c r="P2512" s="92" t="s">
        <v>632</v>
      </c>
      <c r="Q2512" s="92" t="s">
        <v>646</v>
      </c>
      <c r="R2512" s="372" t="str">
        <f t="shared" si="77"/>
        <v/>
      </c>
    </row>
    <row r="2513" spans="1:18" ht="30" x14ac:dyDescent="0.25">
      <c r="A2513" s="23" t="s">
        <v>8779</v>
      </c>
      <c r="B2513" s="18" t="str">
        <f>VLOOKUP(A2513, 'Data Pull Sheet'!$B$2:$C$552,2,FALSE)</f>
        <v>SWCH</v>
      </c>
      <c r="C2513" s="59" t="s">
        <v>3449</v>
      </c>
      <c r="D2513" s="356" t="s">
        <v>9060</v>
      </c>
      <c r="E2513" s="356" t="s">
        <v>9156</v>
      </c>
      <c r="F2513" s="23" t="s">
        <v>9271</v>
      </c>
      <c r="G2513" s="92" t="s">
        <v>403</v>
      </c>
      <c r="H2513" s="353">
        <v>30418.47</v>
      </c>
      <c r="I2513" s="59"/>
      <c r="J2513" s="18" t="s">
        <v>10283</v>
      </c>
      <c r="K2513" s="20"/>
      <c r="L2513" s="20"/>
      <c r="M2513" s="357"/>
      <c r="N2513" s="411"/>
      <c r="O2513" s="23" t="s">
        <v>9743</v>
      </c>
      <c r="P2513" s="92" t="s">
        <v>632</v>
      </c>
      <c r="Q2513" s="92" t="s">
        <v>646</v>
      </c>
      <c r="R2513" s="372" t="str">
        <f t="shared" si="77"/>
        <v/>
      </c>
    </row>
    <row r="2514" spans="1:18" x14ac:dyDescent="0.25">
      <c r="A2514" s="23" t="s">
        <v>8794</v>
      </c>
      <c r="B2514" s="18" t="str">
        <f>VLOOKUP(A2514, 'Data Pull Sheet'!$B$2:$C$552,2,FALSE)</f>
        <v>AKER</v>
      </c>
      <c r="C2514" s="59" t="s">
        <v>424</v>
      </c>
      <c r="D2514" s="356" t="s">
        <v>9059</v>
      </c>
      <c r="E2514" s="356" t="s">
        <v>9155</v>
      </c>
      <c r="F2514" s="23" t="s">
        <v>9263</v>
      </c>
      <c r="G2514" s="92" t="s">
        <v>403</v>
      </c>
      <c r="H2514" s="353">
        <v>22620</v>
      </c>
      <c r="I2514" s="59"/>
      <c r="J2514" s="18" t="s">
        <v>10284</v>
      </c>
      <c r="K2514" s="20">
        <v>5</v>
      </c>
      <c r="L2514" s="20">
        <v>1</v>
      </c>
      <c r="M2514" s="357">
        <f t="shared" ref="M2514:M2523" si="79">+H2514</f>
        <v>22620</v>
      </c>
      <c r="N2514" s="411" t="str">
        <f>IFERROR((M2514/(VLOOKUP(B2514,'Data Pull Sheet'!$C:$H,6,FALSE))),"DC")</f>
        <v>DC</v>
      </c>
      <c r="O2514" s="23" t="s">
        <v>192</v>
      </c>
      <c r="P2514" s="92" t="s">
        <v>632</v>
      </c>
      <c r="Q2514" s="92" t="s">
        <v>637</v>
      </c>
      <c r="R2514" s="372" t="str">
        <f t="shared" si="77"/>
        <v/>
      </c>
    </row>
    <row r="2515" spans="1:18" ht="30" x14ac:dyDescent="0.25">
      <c r="A2515" s="23" t="s">
        <v>8794</v>
      </c>
      <c r="B2515" s="18" t="str">
        <f>VLOOKUP(A2515, 'Data Pull Sheet'!$B$2:$C$552,2,FALSE)</f>
        <v>AKER</v>
      </c>
      <c r="C2515" s="59" t="s">
        <v>424</v>
      </c>
      <c r="D2515" s="356" t="s">
        <v>9059</v>
      </c>
      <c r="E2515" s="356" t="s">
        <v>9155</v>
      </c>
      <c r="F2515" s="23" t="s">
        <v>9264</v>
      </c>
      <c r="G2515" s="92" t="s">
        <v>403</v>
      </c>
      <c r="H2515" s="353">
        <v>37309.03</v>
      </c>
      <c r="I2515" s="59"/>
      <c r="J2515" s="18" t="s">
        <v>10272</v>
      </c>
      <c r="K2515" s="20"/>
      <c r="L2515" s="20">
        <v>1</v>
      </c>
      <c r="M2515" s="357">
        <f t="shared" si="79"/>
        <v>37309.03</v>
      </c>
      <c r="N2515" s="411" t="str">
        <f>IFERROR((M2515/(VLOOKUP(B2515,'Data Pull Sheet'!$C:$H,6,FALSE))),"DC")</f>
        <v>DC</v>
      </c>
      <c r="O2515" s="23" t="s">
        <v>687</v>
      </c>
      <c r="P2515" s="92" t="s">
        <v>632</v>
      </c>
      <c r="Q2515" s="92" t="s">
        <v>637</v>
      </c>
      <c r="R2515" s="372" t="str">
        <f t="shared" si="77"/>
        <v/>
      </c>
    </row>
    <row r="2516" spans="1:18" x14ac:dyDescent="0.25">
      <c r="A2516" s="23" t="s">
        <v>8794</v>
      </c>
      <c r="B2516" s="18" t="str">
        <f>VLOOKUP(A2516, 'Data Pull Sheet'!$B$2:$C$552,2,FALSE)</f>
        <v>AKER</v>
      </c>
      <c r="C2516" s="59" t="s">
        <v>424</v>
      </c>
      <c r="D2516" s="356" t="s">
        <v>9059</v>
      </c>
      <c r="E2516" s="356" t="s">
        <v>9155</v>
      </c>
      <c r="F2516" s="23" t="s">
        <v>9265</v>
      </c>
      <c r="G2516" s="92" t="s">
        <v>403</v>
      </c>
      <c r="H2516" s="353">
        <v>9034</v>
      </c>
      <c r="I2516" s="59"/>
      <c r="J2516" s="18" t="s">
        <v>10287</v>
      </c>
      <c r="K2516" s="20"/>
      <c r="L2516" s="20">
        <v>1</v>
      </c>
      <c r="M2516" s="357">
        <f t="shared" si="79"/>
        <v>9034</v>
      </c>
      <c r="N2516" s="411" t="str">
        <f>IFERROR((M2516/(VLOOKUP(B2516,'Data Pull Sheet'!$C:$H,6,FALSE))),"DC")</f>
        <v>DC</v>
      </c>
      <c r="O2516" s="23" t="s">
        <v>2897</v>
      </c>
      <c r="P2516" s="92" t="s">
        <v>632</v>
      </c>
      <c r="Q2516" s="92" t="s">
        <v>637</v>
      </c>
      <c r="R2516" s="372" t="str">
        <f t="shared" si="77"/>
        <v/>
      </c>
    </row>
    <row r="2517" spans="1:18" ht="30" x14ac:dyDescent="0.25">
      <c r="A2517" s="23" t="s">
        <v>8794</v>
      </c>
      <c r="B2517" s="18" t="str">
        <f>VLOOKUP(A2517, 'Data Pull Sheet'!$B$2:$C$552,2,FALSE)</f>
        <v>AKER</v>
      </c>
      <c r="C2517" s="59" t="s">
        <v>424</v>
      </c>
      <c r="D2517" s="356" t="s">
        <v>9059</v>
      </c>
      <c r="E2517" s="356" t="s">
        <v>9155</v>
      </c>
      <c r="F2517" s="23" t="s">
        <v>9266</v>
      </c>
      <c r="G2517" s="92" t="s">
        <v>403</v>
      </c>
      <c r="H2517" s="353">
        <v>13190</v>
      </c>
      <c r="I2517" s="59" t="s">
        <v>2643</v>
      </c>
      <c r="J2517" s="18" t="s">
        <v>10271</v>
      </c>
      <c r="K2517" s="20"/>
      <c r="L2517" s="20">
        <v>1</v>
      </c>
      <c r="M2517" s="357">
        <f t="shared" si="79"/>
        <v>13190</v>
      </c>
      <c r="N2517" s="411" t="str">
        <f>IFERROR((M2517/(VLOOKUP(B2517,'Data Pull Sheet'!$C:$H,6,FALSE))),"DC")</f>
        <v>DC</v>
      </c>
      <c r="O2517" s="23" t="s">
        <v>9741</v>
      </c>
      <c r="P2517" s="92" t="s">
        <v>632</v>
      </c>
      <c r="Q2517" s="92" t="s">
        <v>637</v>
      </c>
      <c r="R2517" s="372" t="str">
        <f t="shared" si="77"/>
        <v/>
      </c>
    </row>
    <row r="2518" spans="1:18" x14ac:dyDescent="0.25">
      <c r="A2518" s="23" t="s">
        <v>8794</v>
      </c>
      <c r="B2518" s="18" t="str">
        <f>VLOOKUP(A2518, 'Data Pull Sheet'!$B$2:$C$552,2,FALSE)</f>
        <v>AKER</v>
      </c>
      <c r="C2518" s="59" t="s">
        <v>424</v>
      </c>
      <c r="D2518" s="356" t="s">
        <v>9059</v>
      </c>
      <c r="E2518" s="356" t="s">
        <v>9155</v>
      </c>
      <c r="F2518" s="23" t="s">
        <v>9267</v>
      </c>
      <c r="G2518" s="92" t="s">
        <v>403</v>
      </c>
      <c r="H2518" s="353">
        <v>105642.15</v>
      </c>
      <c r="I2518" s="59"/>
      <c r="J2518" s="18" t="s">
        <v>10288</v>
      </c>
      <c r="K2518" s="20"/>
      <c r="L2518" s="20">
        <v>1</v>
      </c>
      <c r="M2518" s="357">
        <f t="shared" si="79"/>
        <v>105642.15</v>
      </c>
      <c r="N2518" s="411" t="str">
        <f>IFERROR((M2518/(VLOOKUP(B2518,'Data Pull Sheet'!$C:$H,6,FALSE))),"DC")</f>
        <v>DC</v>
      </c>
      <c r="O2518" s="23" t="s">
        <v>682</v>
      </c>
      <c r="P2518" s="92" t="s">
        <v>632</v>
      </c>
      <c r="Q2518" s="92" t="s">
        <v>637</v>
      </c>
      <c r="R2518" s="372" t="str">
        <f t="shared" si="77"/>
        <v/>
      </c>
    </row>
    <row r="2519" spans="1:18" x14ac:dyDescent="0.25">
      <c r="A2519" s="23" t="s">
        <v>8885</v>
      </c>
      <c r="B2519" s="18" t="str">
        <f>VLOOKUP(A2519, 'Data Pull Sheet'!$B$2:$C$552,2,FALSE)</f>
        <v>PCG</v>
      </c>
      <c r="C2519" s="59" t="s">
        <v>457</v>
      </c>
      <c r="D2519" s="356" t="s">
        <v>9058</v>
      </c>
      <c r="E2519" s="356" t="s">
        <v>9155</v>
      </c>
      <c r="F2519" s="23" t="s">
        <v>9255</v>
      </c>
      <c r="G2519" s="92" t="s">
        <v>403</v>
      </c>
      <c r="H2519" s="353">
        <v>214773.65</v>
      </c>
      <c r="I2519" s="59"/>
      <c r="J2519" s="18" t="s">
        <v>10285</v>
      </c>
      <c r="K2519" s="20">
        <v>6</v>
      </c>
      <c r="L2519" s="20">
        <v>1</v>
      </c>
      <c r="M2519" s="357">
        <f t="shared" si="79"/>
        <v>214773.65</v>
      </c>
      <c r="N2519" s="411">
        <f>IFERROR((M2519/(VLOOKUP(B2519,'Data Pull Sheet'!$C:$H,6,FALSE))),"DC")</f>
        <v>2.1477365E-5</v>
      </c>
      <c r="O2519" s="23" t="s">
        <v>682</v>
      </c>
      <c r="P2519" s="92" t="s">
        <v>632</v>
      </c>
      <c r="Q2519" s="92" t="s">
        <v>637</v>
      </c>
      <c r="R2519" s="372" t="str">
        <f t="shared" si="77"/>
        <v/>
      </c>
    </row>
    <row r="2520" spans="1:18" x14ac:dyDescent="0.25">
      <c r="A2520" s="23" t="s">
        <v>8885</v>
      </c>
      <c r="B2520" s="18" t="str">
        <f>VLOOKUP(A2520, 'Data Pull Sheet'!$B$2:$C$552,2,FALSE)</f>
        <v>PCG</v>
      </c>
      <c r="C2520" s="59" t="s">
        <v>457</v>
      </c>
      <c r="D2520" s="356" t="s">
        <v>9058</v>
      </c>
      <c r="E2520" s="356" t="s">
        <v>9155</v>
      </c>
      <c r="F2520" s="23" t="s">
        <v>9256</v>
      </c>
      <c r="G2520" s="92" t="s">
        <v>403</v>
      </c>
      <c r="H2520" s="353">
        <v>25955.26</v>
      </c>
      <c r="I2520" s="59" t="s">
        <v>406</v>
      </c>
      <c r="J2520" s="18" t="s">
        <v>10286</v>
      </c>
      <c r="K2520" s="20"/>
      <c r="L2520" s="20">
        <v>1</v>
      </c>
      <c r="M2520" s="357">
        <f t="shared" si="79"/>
        <v>25955.26</v>
      </c>
      <c r="N2520" s="411">
        <f>IFERROR((M2520/(VLOOKUP(B2520,'Data Pull Sheet'!$C:$H,6,FALSE))),"DC")</f>
        <v>2.5955259999999998E-6</v>
      </c>
      <c r="O2520" s="23" t="s">
        <v>63</v>
      </c>
      <c r="P2520" s="92" t="s">
        <v>632</v>
      </c>
      <c r="Q2520" s="92" t="s">
        <v>637</v>
      </c>
      <c r="R2520" s="372" t="str">
        <f t="shared" si="77"/>
        <v/>
      </c>
    </row>
    <row r="2521" spans="1:18" x14ac:dyDescent="0.25">
      <c r="A2521" s="23" t="s">
        <v>8885</v>
      </c>
      <c r="B2521" s="18" t="str">
        <f>VLOOKUP(A2521, 'Data Pull Sheet'!$B$2:$C$552,2,FALSE)</f>
        <v>PCG</v>
      </c>
      <c r="C2521" s="59" t="s">
        <v>457</v>
      </c>
      <c r="D2521" s="356" t="s">
        <v>9058</v>
      </c>
      <c r="E2521" s="356" t="s">
        <v>9155</v>
      </c>
      <c r="F2521" s="23" t="s">
        <v>9257</v>
      </c>
      <c r="G2521" s="92" t="s">
        <v>403</v>
      </c>
      <c r="H2521" s="353">
        <v>300160.5</v>
      </c>
      <c r="I2521" s="59" t="s">
        <v>406</v>
      </c>
      <c r="J2521" s="18" t="s">
        <v>10273</v>
      </c>
      <c r="K2521" s="20"/>
      <c r="L2521" s="20">
        <v>1</v>
      </c>
      <c r="M2521" s="357">
        <f t="shared" si="79"/>
        <v>300160.5</v>
      </c>
      <c r="N2521" s="411">
        <f>IFERROR((M2521/(VLOOKUP(B2521,'Data Pull Sheet'!$C:$H,6,FALSE))),"DC")</f>
        <v>3.0016049999999999E-5</v>
      </c>
      <c r="O2521" s="23" t="s">
        <v>849</v>
      </c>
      <c r="P2521" s="92" t="s">
        <v>632</v>
      </c>
      <c r="Q2521" s="92" t="s">
        <v>637</v>
      </c>
      <c r="R2521" s="372" t="str">
        <f t="shared" si="77"/>
        <v/>
      </c>
    </row>
    <row r="2522" spans="1:18" ht="30" x14ac:dyDescent="0.25">
      <c r="A2522" s="23" t="s">
        <v>8885</v>
      </c>
      <c r="B2522" s="18" t="str">
        <f>VLOOKUP(A2522, 'Data Pull Sheet'!$B$2:$C$552,2,FALSE)</f>
        <v>PCG</v>
      </c>
      <c r="C2522" s="59" t="s">
        <v>457</v>
      </c>
      <c r="D2522" s="356" t="s">
        <v>9058</v>
      </c>
      <c r="E2522" s="356" t="s">
        <v>9155</v>
      </c>
      <c r="F2522" s="23" t="s">
        <v>9258</v>
      </c>
      <c r="G2522" s="92" t="s">
        <v>417</v>
      </c>
      <c r="H2522" s="353">
        <v>3921415.95</v>
      </c>
      <c r="I2522" s="59" t="s">
        <v>406</v>
      </c>
      <c r="J2522" s="18" t="s">
        <v>10289</v>
      </c>
      <c r="K2522" s="20"/>
      <c r="L2522" s="20">
        <v>1</v>
      </c>
      <c r="M2522" s="357">
        <f t="shared" si="79"/>
        <v>3921415.95</v>
      </c>
      <c r="N2522" s="411">
        <f>IFERROR((M2522/(VLOOKUP(B2522,'Data Pull Sheet'!$C:$H,6,FALSE))),"DC")</f>
        <v>3.9214159499999999E-4</v>
      </c>
      <c r="O2522" s="23" t="s">
        <v>9739</v>
      </c>
      <c r="P2522" s="92" t="s">
        <v>632</v>
      </c>
      <c r="Q2522" s="92" t="s">
        <v>633</v>
      </c>
      <c r="R2522" s="372" t="str">
        <f t="shared" si="77"/>
        <v>FF</v>
      </c>
    </row>
    <row r="2523" spans="1:18" ht="30" x14ac:dyDescent="0.25">
      <c r="A2523" s="23" t="s">
        <v>8885</v>
      </c>
      <c r="B2523" s="18" t="str">
        <f>VLOOKUP(A2523, 'Data Pull Sheet'!$B$2:$C$552,2,FALSE)</f>
        <v>PCG</v>
      </c>
      <c r="C2523" s="59" t="s">
        <v>457</v>
      </c>
      <c r="D2523" s="356" t="s">
        <v>9058</v>
      </c>
      <c r="E2523" s="356" t="s">
        <v>9155</v>
      </c>
      <c r="F2523" s="23" t="s">
        <v>9259</v>
      </c>
      <c r="G2523" s="92" t="s">
        <v>417</v>
      </c>
      <c r="H2523" s="353">
        <v>1921134.67</v>
      </c>
      <c r="I2523" s="59" t="s">
        <v>406</v>
      </c>
      <c r="J2523" s="18" t="s">
        <v>10290</v>
      </c>
      <c r="K2523" s="20"/>
      <c r="L2523" s="20">
        <v>1</v>
      </c>
      <c r="M2523" s="357">
        <f t="shared" si="79"/>
        <v>1921134.67</v>
      </c>
      <c r="N2523" s="411">
        <f>IFERROR((M2523/(VLOOKUP(B2523,'Data Pull Sheet'!$C:$H,6,FALSE))),"DC")</f>
        <v>1.92113467E-4</v>
      </c>
      <c r="O2523" s="23" t="s">
        <v>9740</v>
      </c>
      <c r="P2523" s="92" t="s">
        <v>632</v>
      </c>
      <c r="Q2523" s="92" t="s">
        <v>633</v>
      </c>
      <c r="R2523" s="372" t="str">
        <f t="shared" si="77"/>
        <v/>
      </c>
    </row>
    <row r="2524" spans="1:18" x14ac:dyDescent="0.25">
      <c r="A2524" s="23" t="s">
        <v>8885</v>
      </c>
      <c r="B2524" s="18" t="str">
        <f>VLOOKUP(A2524, 'Data Pull Sheet'!$B$2:$C$552,2,FALSE)</f>
        <v>PCG</v>
      </c>
      <c r="C2524" s="59" t="s">
        <v>457</v>
      </c>
      <c r="D2524" s="356" t="s">
        <v>9058</v>
      </c>
      <c r="E2524" s="356" t="s">
        <v>9155</v>
      </c>
      <c r="F2524" s="23" t="s">
        <v>9260</v>
      </c>
      <c r="G2524" s="92" t="s">
        <v>403</v>
      </c>
      <c r="H2524" s="353">
        <v>55</v>
      </c>
      <c r="I2524" s="59"/>
      <c r="J2524" s="18" t="s">
        <v>10291</v>
      </c>
      <c r="K2524" s="20"/>
      <c r="L2524" s="20">
        <v>3</v>
      </c>
      <c r="M2524" s="357">
        <f>SUM(H2524:H2526)</f>
        <v>43144</v>
      </c>
      <c r="N2524" s="411">
        <f>IFERROR((M2524/(VLOOKUP(B2524,'Data Pull Sheet'!$C:$H,6,FALSE))),"DC")</f>
        <v>4.3143999999999997E-6</v>
      </c>
      <c r="O2524" s="23" t="s">
        <v>1204</v>
      </c>
      <c r="P2524" s="92" t="s">
        <v>632</v>
      </c>
      <c r="Q2524" s="92" t="s">
        <v>646</v>
      </c>
      <c r="R2524" s="372" t="str">
        <f t="shared" si="77"/>
        <v/>
      </c>
    </row>
    <row r="2525" spans="1:18" x14ac:dyDescent="0.25">
      <c r="A2525" s="23" t="s">
        <v>8885</v>
      </c>
      <c r="B2525" s="18" t="str">
        <f>VLOOKUP(A2525, 'Data Pull Sheet'!$B$2:$C$552,2,FALSE)</f>
        <v>PCG</v>
      </c>
      <c r="C2525" s="59" t="s">
        <v>457</v>
      </c>
      <c r="D2525" s="356" t="s">
        <v>9058</v>
      </c>
      <c r="E2525" s="356" t="s">
        <v>9155</v>
      </c>
      <c r="F2525" s="23" t="s">
        <v>9261</v>
      </c>
      <c r="G2525" s="92" t="s">
        <v>403</v>
      </c>
      <c r="H2525" s="353">
        <v>409</v>
      </c>
      <c r="I2525" s="59"/>
      <c r="J2525" s="18" t="s">
        <v>10292</v>
      </c>
      <c r="K2525" s="20"/>
      <c r="L2525" s="20"/>
      <c r="M2525" s="357"/>
      <c r="N2525" s="411"/>
      <c r="O2525" s="23" t="s">
        <v>1204</v>
      </c>
      <c r="P2525" s="92" t="s">
        <v>632</v>
      </c>
      <c r="Q2525" s="92" t="s">
        <v>646</v>
      </c>
      <c r="R2525" s="372" t="str">
        <f t="shared" si="77"/>
        <v/>
      </c>
    </row>
    <row r="2526" spans="1:18" x14ac:dyDescent="0.25">
      <c r="A2526" s="23" t="s">
        <v>8885</v>
      </c>
      <c r="B2526" s="18" t="str">
        <f>VLOOKUP(A2526, 'Data Pull Sheet'!$B$2:$C$552,2,FALSE)</f>
        <v>PCG</v>
      </c>
      <c r="C2526" s="59" t="s">
        <v>457</v>
      </c>
      <c r="D2526" s="356" t="s">
        <v>9058</v>
      </c>
      <c r="E2526" s="356" t="s">
        <v>9155</v>
      </c>
      <c r="F2526" s="23" t="s">
        <v>9262</v>
      </c>
      <c r="G2526" s="92" t="s">
        <v>403</v>
      </c>
      <c r="H2526" s="353">
        <v>42680</v>
      </c>
      <c r="I2526" s="59"/>
      <c r="J2526" s="18" t="s">
        <v>10293</v>
      </c>
      <c r="K2526" s="20"/>
      <c r="L2526" s="20"/>
      <c r="M2526" s="357"/>
      <c r="N2526" s="411"/>
      <c r="O2526" s="23" t="s">
        <v>1204</v>
      </c>
      <c r="P2526" s="92" t="s">
        <v>632</v>
      </c>
      <c r="Q2526" s="92" t="s">
        <v>646</v>
      </c>
      <c r="R2526" s="372" t="str">
        <f t="shared" si="77"/>
        <v/>
      </c>
    </row>
    <row r="2527" spans="1:18" ht="30" x14ac:dyDescent="0.25">
      <c r="A2527" s="23" t="s">
        <v>8916</v>
      </c>
      <c r="B2527" s="18" t="str">
        <f>VLOOKUP(A2527, 'Data Pull Sheet'!$B$2:$C$552,2,FALSE)</f>
        <v>UNM</v>
      </c>
      <c r="C2527" s="59" t="s">
        <v>515</v>
      </c>
      <c r="D2527" s="356" t="s">
        <v>9059</v>
      </c>
      <c r="E2527" s="356" t="s">
        <v>9155</v>
      </c>
      <c r="F2527" s="23" t="s">
        <v>6968</v>
      </c>
      <c r="G2527" s="92" t="s">
        <v>417</v>
      </c>
      <c r="H2527" s="353">
        <v>38588.03</v>
      </c>
      <c r="I2527" s="59"/>
      <c r="J2527" s="18" t="s">
        <v>10294</v>
      </c>
      <c r="K2527" s="20">
        <v>1</v>
      </c>
      <c r="L2527" s="20">
        <v>1</v>
      </c>
      <c r="M2527" s="357">
        <f>+H2527</f>
        <v>38588.03</v>
      </c>
      <c r="N2527" s="411">
        <f>IFERROR((M2527/(VLOOKUP(B2527,'Data Pull Sheet'!$C:$H,6,FALSE))),"DC")</f>
        <v>7.492821359223301E-5</v>
      </c>
      <c r="O2527" s="23" t="s">
        <v>1640</v>
      </c>
      <c r="P2527" s="92" t="s">
        <v>676</v>
      </c>
      <c r="Q2527" s="92" t="s">
        <v>633</v>
      </c>
      <c r="R2527" s="372" t="str">
        <f t="shared" si="77"/>
        <v>FF</v>
      </c>
    </row>
    <row r="2528" spans="1:18" x14ac:dyDescent="0.25">
      <c r="A2528" s="23" t="s">
        <v>8904</v>
      </c>
      <c r="B2528" s="18" t="str">
        <f>VLOOKUP(A2528, 'Data Pull Sheet'!$B$2:$C$552,2,FALSE)</f>
        <v>TAL</v>
      </c>
      <c r="C2528" s="59" t="s">
        <v>418</v>
      </c>
      <c r="D2528" s="356" t="s">
        <v>9057</v>
      </c>
      <c r="E2528" s="356" t="s">
        <v>9154</v>
      </c>
      <c r="F2528" s="23" t="s">
        <v>9253</v>
      </c>
      <c r="G2528" s="92" t="s">
        <v>403</v>
      </c>
      <c r="H2528" s="353">
        <v>7832.09</v>
      </c>
      <c r="I2528" s="59"/>
      <c r="J2528" s="18" t="s">
        <v>10296</v>
      </c>
      <c r="K2528" s="20">
        <v>1</v>
      </c>
      <c r="L2528" s="20">
        <v>2</v>
      </c>
      <c r="M2528" s="357">
        <f>SUM(H2528:H2529)</f>
        <v>14202.82</v>
      </c>
      <c r="N2528" s="411">
        <f>IFERROR((M2528/(VLOOKUP(B2528,'Data Pull Sheet'!$C:$H,6,FALSE))),"DC")</f>
        <v>1.8937093333333332E-4</v>
      </c>
      <c r="O2528" s="23" t="s">
        <v>597</v>
      </c>
      <c r="P2528" s="92" t="s">
        <v>676</v>
      </c>
      <c r="Q2528" s="92" t="s">
        <v>662</v>
      </c>
      <c r="R2528" s="372" t="str">
        <f t="shared" si="77"/>
        <v/>
      </c>
    </row>
    <row r="2529" spans="1:18" x14ac:dyDescent="0.25">
      <c r="A2529" s="23" t="s">
        <v>8904</v>
      </c>
      <c r="B2529" s="18" t="str">
        <f>VLOOKUP(A2529, 'Data Pull Sheet'!$B$2:$C$552,2,FALSE)</f>
        <v>TAL</v>
      </c>
      <c r="C2529" s="59" t="s">
        <v>418</v>
      </c>
      <c r="D2529" s="356" t="s">
        <v>9057</v>
      </c>
      <c r="E2529" s="356" t="s">
        <v>9154</v>
      </c>
      <c r="F2529" s="23" t="s">
        <v>9254</v>
      </c>
      <c r="G2529" s="92" t="s">
        <v>417</v>
      </c>
      <c r="H2529" s="353">
        <v>6370.73</v>
      </c>
      <c r="I2529" s="59"/>
      <c r="J2529" s="18" t="s">
        <v>10171</v>
      </c>
      <c r="K2529" s="20"/>
      <c r="L2529" s="20"/>
      <c r="M2529" s="357"/>
      <c r="N2529" s="411"/>
      <c r="O2529" s="23" t="s">
        <v>597</v>
      </c>
      <c r="P2529" s="92" t="s">
        <v>676</v>
      </c>
      <c r="Q2529" s="92" t="s">
        <v>662</v>
      </c>
      <c r="R2529" s="372" t="str">
        <f t="shared" si="77"/>
        <v/>
      </c>
    </row>
    <row r="2530" spans="1:18" x14ac:dyDescent="0.25">
      <c r="A2530" s="23" t="s">
        <v>8833</v>
      </c>
      <c r="B2530" s="18" t="str">
        <f>VLOOKUP(A2530, 'Data Pull Sheet'!$B$2:$C$552,2,FALSE)</f>
        <v>FLKS</v>
      </c>
      <c r="C2530" s="59" t="s">
        <v>418</v>
      </c>
      <c r="D2530" s="356" t="s">
        <v>9056</v>
      </c>
      <c r="E2530" s="356" t="s">
        <v>9153</v>
      </c>
      <c r="F2530" s="23" t="s">
        <v>9243</v>
      </c>
      <c r="G2530" s="92" t="s">
        <v>403</v>
      </c>
      <c r="H2530" s="353">
        <v>3149.9</v>
      </c>
      <c r="I2530" s="59" t="s">
        <v>406</v>
      </c>
      <c r="J2530" s="18" t="s">
        <v>10297</v>
      </c>
      <c r="K2530" s="20">
        <v>3</v>
      </c>
      <c r="L2530" s="20">
        <v>2</v>
      </c>
      <c r="M2530" s="357">
        <f>SUM(H2530:H2531)</f>
        <v>14897.48</v>
      </c>
      <c r="N2530" s="411">
        <f>IFERROR((M2530/(VLOOKUP(B2530,'Data Pull Sheet'!$C:$H,6,FALSE))),"DC")</f>
        <v>7.4487399999999997E-4</v>
      </c>
      <c r="O2530" s="23" t="s">
        <v>63</v>
      </c>
      <c r="P2530" s="92" t="s">
        <v>632</v>
      </c>
      <c r="Q2530" s="92" t="s">
        <v>646</v>
      </c>
      <c r="R2530" s="372" t="str">
        <f t="shared" si="77"/>
        <v/>
      </c>
    </row>
    <row r="2531" spans="1:18" x14ac:dyDescent="0.25">
      <c r="A2531" s="23" t="s">
        <v>8833</v>
      </c>
      <c r="B2531" s="18" t="str">
        <f>VLOOKUP(A2531, 'Data Pull Sheet'!$B$2:$C$552,2,FALSE)</f>
        <v>FLKS</v>
      </c>
      <c r="C2531" s="59" t="s">
        <v>418</v>
      </c>
      <c r="D2531" s="356" t="s">
        <v>9056</v>
      </c>
      <c r="E2531" s="356" t="s">
        <v>9153</v>
      </c>
      <c r="F2531" s="23" t="s">
        <v>9244</v>
      </c>
      <c r="G2531" s="92" t="s">
        <v>403</v>
      </c>
      <c r="H2531" s="353">
        <v>11747.58</v>
      </c>
      <c r="I2531" s="59" t="s">
        <v>406</v>
      </c>
      <c r="J2531" s="18" t="s">
        <v>10172</v>
      </c>
      <c r="K2531" s="20"/>
      <c r="L2531" s="20"/>
      <c r="M2531" s="357"/>
      <c r="N2531" s="411"/>
      <c r="O2531" s="23" t="s">
        <v>63</v>
      </c>
      <c r="P2531" s="92" t="s">
        <v>632</v>
      </c>
      <c r="Q2531" s="92" t="s">
        <v>646</v>
      </c>
      <c r="R2531" s="372" t="str">
        <f t="shared" si="77"/>
        <v/>
      </c>
    </row>
    <row r="2532" spans="1:18" x14ac:dyDescent="0.25">
      <c r="A2532" s="23" t="s">
        <v>8833</v>
      </c>
      <c r="B2532" s="18" t="str">
        <f>VLOOKUP(A2532, 'Data Pull Sheet'!$B$2:$C$552,2,FALSE)</f>
        <v>FLKS</v>
      </c>
      <c r="C2532" s="59" t="s">
        <v>418</v>
      </c>
      <c r="D2532" s="356" t="s">
        <v>9056</v>
      </c>
      <c r="E2532" s="356" t="s">
        <v>9153</v>
      </c>
      <c r="F2532" s="23" t="s">
        <v>9245</v>
      </c>
      <c r="G2532" s="92" t="s">
        <v>403</v>
      </c>
      <c r="H2532" s="353">
        <v>4050</v>
      </c>
      <c r="I2532" s="59"/>
      <c r="J2532" s="18" t="s">
        <v>10300</v>
      </c>
      <c r="K2532" s="20"/>
      <c r="L2532" s="20">
        <v>1</v>
      </c>
      <c r="M2532" s="357">
        <f>+H2532</f>
        <v>4050</v>
      </c>
      <c r="N2532" s="411">
        <f>IFERROR((M2532/(VLOOKUP(B2532,'Data Pull Sheet'!$C:$H,6,FALSE))),"DC")</f>
        <v>2.0249999999999999E-4</v>
      </c>
      <c r="O2532" s="23" t="s">
        <v>682</v>
      </c>
      <c r="P2532" s="92" t="s">
        <v>632</v>
      </c>
      <c r="Q2532" s="92" t="s">
        <v>637</v>
      </c>
      <c r="R2532" s="372" t="str">
        <f t="shared" si="77"/>
        <v/>
      </c>
    </row>
    <row r="2533" spans="1:18" x14ac:dyDescent="0.25">
      <c r="A2533" s="23" t="s">
        <v>8833</v>
      </c>
      <c r="B2533" s="18" t="str">
        <f>VLOOKUP(A2533, 'Data Pull Sheet'!$B$2:$C$552,2,FALSE)</f>
        <v>FLKS</v>
      </c>
      <c r="C2533" s="59" t="s">
        <v>418</v>
      </c>
      <c r="D2533" s="356" t="s">
        <v>9056</v>
      </c>
      <c r="E2533" s="356" t="s">
        <v>9153</v>
      </c>
      <c r="F2533" s="23" t="s">
        <v>9246</v>
      </c>
      <c r="G2533" s="92" t="s">
        <v>403</v>
      </c>
      <c r="H2533" s="353">
        <v>81191</v>
      </c>
      <c r="I2533" s="59"/>
      <c r="J2533" s="18" t="s">
        <v>10301</v>
      </c>
      <c r="K2533" s="20"/>
      <c r="L2533" s="20">
        <v>1</v>
      </c>
      <c r="M2533" s="357">
        <f>+H2533</f>
        <v>81191</v>
      </c>
      <c r="N2533" s="411">
        <f>IFERROR((M2533/(VLOOKUP(B2533,'Data Pull Sheet'!$C:$H,6,FALSE))),"DC")</f>
        <v>4.0595500000000003E-3</v>
      </c>
      <c r="O2533" s="23" t="s">
        <v>1204</v>
      </c>
      <c r="P2533" s="92" t="s">
        <v>632</v>
      </c>
      <c r="Q2533" s="92" t="s">
        <v>637</v>
      </c>
      <c r="R2533" s="372" t="str">
        <f t="shared" si="77"/>
        <v/>
      </c>
    </row>
    <row r="2534" spans="1:18" ht="30" x14ac:dyDescent="0.25">
      <c r="A2534" s="23" t="s">
        <v>8874</v>
      </c>
      <c r="B2534" s="18" t="str">
        <f>VLOOKUP(A2534, 'Data Pull Sheet'!$B$2:$C$552,2,FALSE)</f>
        <v>NWL</v>
      </c>
      <c r="C2534" s="59" t="s">
        <v>424</v>
      </c>
      <c r="D2534" s="356" t="s">
        <v>9054</v>
      </c>
      <c r="E2534" s="356" t="s">
        <v>9153</v>
      </c>
      <c r="F2534" s="23" t="s">
        <v>9247</v>
      </c>
      <c r="G2534" s="92" t="s">
        <v>417</v>
      </c>
      <c r="H2534" s="353">
        <v>11041802</v>
      </c>
      <c r="I2534" s="59" t="s">
        <v>9718</v>
      </c>
      <c r="J2534" s="18" t="s">
        <v>10274</v>
      </c>
      <c r="K2534" s="20">
        <v>6</v>
      </c>
      <c r="L2534" s="20">
        <v>1</v>
      </c>
      <c r="M2534" s="357">
        <f>+H2534</f>
        <v>11041802</v>
      </c>
      <c r="N2534" s="411">
        <f>IFERROR((M2534/(VLOOKUP(B2534,'Data Pull Sheet'!$C:$H,6,FALSE))),"DC")</f>
        <v>2.349319574468085E-3</v>
      </c>
      <c r="O2534" s="23" t="s">
        <v>4634</v>
      </c>
      <c r="P2534" s="92" t="s">
        <v>632</v>
      </c>
      <c r="Q2534" s="92" t="s">
        <v>633</v>
      </c>
      <c r="R2534" s="372" t="str">
        <f t="shared" si="77"/>
        <v/>
      </c>
    </row>
    <row r="2535" spans="1:18" ht="30" x14ac:dyDescent="0.25">
      <c r="A2535" s="23" t="s">
        <v>8874</v>
      </c>
      <c r="B2535" s="18" t="str">
        <f>VLOOKUP(A2535, 'Data Pull Sheet'!$B$2:$C$552,2,FALSE)</f>
        <v>NWL</v>
      </c>
      <c r="C2535" s="59" t="s">
        <v>424</v>
      </c>
      <c r="D2535" s="356" t="s">
        <v>9054</v>
      </c>
      <c r="E2535" s="356" t="s">
        <v>9153</v>
      </c>
      <c r="F2535" s="23" t="s">
        <v>201</v>
      </c>
      <c r="G2535" s="92" t="s">
        <v>417</v>
      </c>
      <c r="H2535" s="353">
        <v>246302.81</v>
      </c>
      <c r="I2535" s="59" t="s">
        <v>406</v>
      </c>
      <c r="J2535" s="18" t="s">
        <v>10275</v>
      </c>
      <c r="K2535" s="20"/>
      <c r="L2535" s="20">
        <v>1</v>
      </c>
      <c r="M2535" s="357">
        <f>+H2535</f>
        <v>246302.81</v>
      </c>
      <c r="N2535" s="411">
        <f>IFERROR((M2535/(VLOOKUP(B2535,'Data Pull Sheet'!$C:$H,6,FALSE))),"DC")</f>
        <v>5.2404853191489364E-5</v>
      </c>
      <c r="O2535" s="23" t="s">
        <v>4392</v>
      </c>
      <c r="P2535" s="92" t="s">
        <v>632</v>
      </c>
      <c r="Q2535" s="92" t="s">
        <v>633</v>
      </c>
      <c r="R2535" s="372" t="str">
        <f t="shared" si="77"/>
        <v>FF</v>
      </c>
    </row>
    <row r="2536" spans="1:18" x14ac:dyDescent="0.25">
      <c r="A2536" s="23" t="s">
        <v>8874</v>
      </c>
      <c r="B2536" s="18" t="str">
        <f>VLOOKUP(A2536, 'Data Pull Sheet'!$B$2:$C$552,2,FALSE)</f>
        <v>NWL</v>
      </c>
      <c r="C2536" s="59" t="s">
        <v>424</v>
      </c>
      <c r="D2536" s="356" t="s">
        <v>9054</v>
      </c>
      <c r="E2536" s="356" t="s">
        <v>9153</v>
      </c>
      <c r="F2536" s="23" t="s">
        <v>1858</v>
      </c>
      <c r="G2536" s="92" t="s">
        <v>403</v>
      </c>
      <c r="H2536" s="353">
        <v>433821.54</v>
      </c>
      <c r="I2536" s="59" t="s">
        <v>406</v>
      </c>
      <c r="J2536" s="18" t="s">
        <v>10276</v>
      </c>
      <c r="K2536" s="20"/>
      <c r="L2536" s="20">
        <v>1</v>
      </c>
      <c r="M2536" s="357">
        <f>+H2536</f>
        <v>433821.54</v>
      </c>
      <c r="N2536" s="411">
        <f>IFERROR((M2536/(VLOOKUP(B2536,'Data Pull Sheet'!$C:$H,6,FALSE))),"DC")</f>
        <v>9.2302455319148932E-5</v>
      </c>
      <c r="O2536" s="23" t="s">
        <v>309</v>
      </c>
      <c r="P2536" s="92" t="s">
        <v>632</v>
      </c>
      <c r="Q2536" s="92" t="s">
        <v>637</v>
      </c>
      <c r="R2536" s="372" t="str">
        <f t="shared" si="77"/>
        <v>FF</v>
      </c>
    </row>
    <row r="2537" spans="1:18" ht="30" x14ac:dyDescent="0.25">
      <c r="A2537" s="23" t="s">
        <v>8874</v>
      </c>
      <c r="B2537" s="18" t="str">
        <f>VLOOKUP(A2537, 'Data Pull Sheet'!$B$2:$C$552,2,FALSE)</f>
        <v>NWL</v>
      </c>
      <c r="C2537" s="59" t="s">
        <v>424</v>
      </c>
      <c r="D2537" s="356" t="s">
        <v>9054</v>
      </c>
      <c r="E2537" s="356" t="s">
        <v>9153</v>
      </c>
      <c r="F2537" s="23" t="s">
        <v>9248</v>
      </c>
      <c r="G2537" s="92" t="s">
        <v>417</v>
      </c>
      <c r="H2537" s="353">
        <v>456582.84</v>
      </c>
      <c r="I2537" s="59" t="s">
        <v>406</v>
      </c>
      <c r="J2537" s="18" t="s">
        <v>10302</v>
      </c>
      <c r="K2537" s="20"/>
      <c r="L2537" s="20">
        <v>2</v>
      </c>
      <c r="M2537" s="357">
        <f>SUM(H2537:H2538)</f>
        <v>2294980.75</v>
      </c>
      <c r="N2537" s="411">
        <f>IFERROR((M2537/(VLOOKUP(B2537,'Data Pull Sheet'!$C:$H,6,FALSE))),"DC")</f>
        <v>4.8829377659574463E-4</v>
      </c>
      <c r="O2537" s="23" t="s">
        <v>9738</v>
      </c>
      <c r="P2537" s="92" t="s">
        <v>632</v>
      </c>
      <c r="Q2537" s="92" t="s">
        <v>640</v>
      </c>
      <c r="R2537" s="372" t="str">
        <f t="shared" si="77"/>
        <v>FF</v>
      </c>
    </row>
    <row r="2538" spans="1:18" ht="30" x14ac:dyDescent="0.25">
      <c r="A2538" s="23" t="s">
        <v>8874</v>
      </c>
      <c r="B2538" s="18" t="str">
        <f>VLOOKUP(A2538, 'Data Pull Sheet'!$B$2:$C$552,2,FALSE)</f>
        <v>NWL</v>
      </c>
      <c r="C2538" s="59" t="s">
        <v>424</v>
      </c>
      <c r="D2538" s="356" t="s">
        <v>9054</v>
      </c>
      <c r="E2538" s="356" t="s">
        <v>9153</v>
      </c>
      <c r="F2538" s="23" t="s">
        <v>9249</v>
      </c>
      <c r="G2538" s="92" t="s">
        <v>417</v>
      </c>
      <c r="H2538" s="353">
        <v>1838397.91</v>
      </c>
      <c r="I2538" s="59" t="s">
        <v>406</v>
      </c>
      <c r="J2538" s="18" t="s">
        <v>10298</v>
      </c>
      <c r="K2538" s="20"/>
      <c r="L2538" s="20"/>
      <c r="M2538" s="357"/>
      <c r="N2538" s="411"/>
      <c r="O2538" s="23" t="s">
        <v>9738</v>
      </c>
      <c r="P2538" s="92" t="s">
        <v>632</v>
      </c>
      <c r="Q2538" s="92" t="s">
        <v>640</v>
      </c>
      <c r="R2538" s="372" t="str">
        <f t="shared" si="77"/>
        <v/>
      </c>
    </row>
    <row r="2539" spans="1:18" x14ac:dyDescent="0.25">
      <c r="A2539" s="23" t="s">
        <v>8874</v>
      </c>
      <c r="B2539" s="18" t="str">
        <f>VLOOKUP(A2539, 'Data Pull Sheet'!$B$2:$C$552,2,FALSE)</f>
        <v>NWL</v>
      </c>
      <c r="C2539" s="59" t="s">
        <v>424</v>
      </c>
      <c r="D2539" s="356" t="s">
        <v>9054</v>
      </c>
      <c r="E2539" s="356" t="s">
        <v>9153</v>
      </c>
      <c r="F2539" s="23" t="s">
        <v>9250</v>
      </c>
      <c r="G2539" s="92" t="s">
        <v>417</v>
      </c>
      <c r="H2539" s="353">
        <v>431273.75</v>
      </c>
      <c r="I2539" s="59"/>
      <c r="J2539" s="18" t="s">
        <v>10303</v>
      </c>
      <c r="K2539" s="20"/>
      <c r="L2539" s="20">
        <v>2</v>
      </c>
      <c r="M2539" s="357">
        <f>SUM(H2539:H2540)</f>
        <v>980273.75</v>
      </c>
      <c r="N2539" s="411">
        <f>IFERROR((M2539/(VLOOKUP(B2539,'Data Pull Sheet'!$C:$H,6,FALSE))),"DC")</f>
        <v>2.0856888297872341E-4</v>
      </c>
      <c r="O2539" s="23" t="s">
        <v>554</v>
      </c>
      <c r="P2539" s="92" t="s">
        <v>632</v>
      </c>
      <c r="Q2539" s="92" t="s">
        <v>662</v>
      </c>
      <c r="R2539" s="372" t="str">
        <f t="shared" si="77"/>
        <v/>
      </c>
    </row>
    <row r="2540" spans="1:18" x14ac:dyDescent="0.25">
      <c r="A2540" s="23" t="s">
        <v>8874</v>
      </c>
      <c r="B2540" s="18" t="str">
        <f>VLOOKUP(A2540, 'Data Pull Sheet'!$B$2:$C$552,2,FALSE)</f>
        <v>NWL</v>
      </c>
      <c r="C2540" s="59" t="s">
        <v>424</v>
      </c>
      <c r="D2540" s="356" t="s">
        <v>9054</v>
      </c>
      <c r="E2540" s="356" t="s">
        <v>9153</v>
      </c>
      <c r="F2540" s="23" t="s">
        <v>9251</v>
      </c>
      <c r="G2540" s="92" t="s">
        <v>403</v>
      </c>
      <c r="H2540" s="353">
        <v>549000</v>
      </c>
      <c r="I2540" s="59"/>
      <c r="J2540" s="18" t="s">
        <v>10299</v>
      </c>
      <c r="K2540" s="20"/>
      <c r="L2540" s="20"/>
      <c r="M2540" s="357"/>
      <c r="N2540" s="411"/>
      <c r="O2540" s="23" t="s">
        <v>554</v>
      </c>
      <c r="P2540" s="92" t="s">
        <v>632</v>
      </c>
      <c r="Q2540" s="92" t="s">
        <v>662</v>
      </c>
      <c r="R2540" s="372" t="str">
        <f t="shared" si="77"/>
        <v/>
      </c>
    </row>
    <row r="2541" spans="1:18" x14ac:dyDescent="0.25">
      <c r="A2541" s="23" t="s">
        <v>8874</v>
      </c>
      <c r="B2541" s="18" t="str">
        <f>VLOOKUP(A2541, 'Data Pull Sheet'!$B$2:$C$552,2,FALSE)</f>
        <v>NWL</v>
      </c>
      <c r="C2541" s="59" t="s">
        <v>424</v>
      </c>
      <c r="D2541" s="356" t="s">
        <v>9054</v>
      </c>
      <c r="E2541" s="356" t="s">
        <v>9153</v>
      </c>
      <c r="F2541" s="23" t="s">
        <v>9252</v>
      </c>
      <c r="G2541" s="92" t="s">
        <v>417</v>
      </c>
      <c r="H2541" s="353">
        <v>2863681.04</v>
      </c>
      <c r="I2541" s="59" t="s">
        <v>406</v>
      </c>
      <c r="J2541" s="18" t="s">
        <v>10304</v>
      </c>
      <c r="K2541" s="20"/>
      <c r="L2541" s="20">
        <v>1</v>
      </c>
      <c r="M2541" s="357">
        <f t="shared" ref="M2541:M2548" si="80">+H2541</f>
        <v>2863681.04</v>
      </c>
      <c r="N2541" s="411">
        <f>IFERROR((M2541/(VLOOKUP(B2541,'Data Pull Sheet'!$C:$H,6,FALSE))),"DC")</f>
        <v>6.0929383829787232E-4</v>
      </c>
      <c r="O2541" s="23" t="s">
        <v>34</v>
      </c>
      <c r="P2541" s="92" t="s">
        <v>632</v>
      </c>
      <c r="Q2541" s="92" t="s">
        <v>633</v>
      </c>
      <c r="R2541" s="372" t="str">
        <f t="shared" si="77"/>
        <v/>
      </c>
    </row>
    <row r="2542" spans="1:18" x14ac:dyDescent="0.25">
      <c r="A2542" s="23" t="s">
        <v>8896</v>
      </c>
      <c r="B2542" s="18" t="str">
        <f>VLOOKUP(A2542, 'Data Pull Sheet'!$B$2:$C$552,2,FALSE)</f>
        <v>HAIR</v>
      </c>
      <c r="C2542" s="59" t="s">
        <v>457</v>
      </c>
      <c r="D2542" s="356" t="s">
        <v>9054</v>
      </c>
      <c r="E2542" s="356" t="s">
        <v>9152</v>
      </c>
      <c r="F2542" s="23" t="s">
        <v>9236</v>
      </c>
      <c r="G2542" s="92" t="s">
        <v>403</v>
      </c>
      <c r="H2542" s="353">
        <v>161530</v>
      </c>
      <c r="I2542" s="59"/>
      <c r="J2542" s="18" t="s">
        <v>10295</v>
      </c>
      <c r="K2542" s="20">
        <v>2</v>
      </c>
      <c r="L2542" s="20">
        <v>1</v>
      </c>
      <c r="M2542" s="357">
        <f t="shared" si="80"/>
        <v>161530</v>
      </c>
      <c r="N2542" s="411">
        <f>IFERROR((M2542/(VLOOKUP(B2542,'Data Pull Sheet'!$C:$H,6,FALSE))),"DC")</f>
        <v>8.0765000000000003E-3</v>
      </c>
      <c r="O2542" s="23" t="s">
        <v>63</v>
      </c>
      <c r="P2542" s="92" t="s">
        <v>632</v>
      </c>
      <c r="Q2542" s="92" t="s">
        <v>637</v>
      </c>
      <c r="R2542" s="372" t="str">
        <f t="shared" si="77"/>
        <v/>
      </c>
    </row>
    <row r="2543" spans="1:18" x14ac:dyDescent="0.25">
      <c r="A2543" s="23" t="s">
        <v>8896</v>
      </c>
      <c r="B2543" s="18" t="str">
        <f>VLOOKUP(A2543, 'Data Pull Sheet'!$B$2:$C$552,2,FALSE)</f>
        <v>HAIR</v>
      </c>
      <c r="C2543" s="59" t="s">
        <v>457</v>
      </c>
      <c r="D2543" s="356" t="s">
        <v>9054</v>
      </c>
      <c r="E2543" s="356" t="s">
        <v>9152</v>
      </c>
      <c r="F2543" s="23" t="s">
        <v>9237</v>
      </c>
      <c r="G2543" s="92" t="s">
        <v>403</v>
      </c>
      <c r="H2543" s="353">
        <v>30496</v>
      </c>
      <c r="I2543" s="59"/>
      <c r="J2543" s="18" t="s">
        <v>10308</v>
      </c>
      <c r="K2543" s="20"/>
      <c r="L2543" s="20">
        <v>1</v>
      </c>
      <c r="M2543" s="357">
        <f t="shared" si="80"/>
        <v>30496</v>
      </c>
      <c r="N2543" s="411">
        <f>IFERROR((M2543/(VLOOKUP(B2543,'Data Pull Sheet'!$C:$H,6,FALSE))),"DC")</f>
        <v>1.5248E-3</v>
      </c>
      <c r="O2543" s="23" t="s">
        <v>1204</v>
      </c>
      <c r="P2543" s="92" t="s">
        <v>632</v>
      </c>
      <c r="Q2543" s="92" t="s">
        <v>637</v>
      </c>
      <c r="R2543" s="372" t="str">
        <f t="shared" si="77"/>
        <v/>
      </c>
    </row>
    <row r="2544" spans="1:18" x14ac:dyDescent="0.25">
      <c r="A2544" s="23" t="s">
        <v>8888</v>
      </c>
      <c r="B2544" s="18" t="str">
        <f>VLOOKUP(A2544, 'Data Pull Sheet'!$B$2:$C$552,2,FALSE)</f>
        <v>COOL</v>
      </c>
      <c r="C2544" s="59" t="s">
        <v>536</v>
      </c>
      <c r="D2544" s="356" t="s">
        <v>9052</v>
      </c>
      <c r="E2544" s="356" t="s">
        <v>9151</v>
      </c>
      <c r="F2544" s="23" t="s">
        <v>9221</v>
      </c>
      <c r="G2544" s="92" t="s">
        <v>403</v>
      </c>
      <c r="H2544" s="353">
        <v>10783.8</v>
      </c>
      <c r="I2544" s="59"/>
      <c r="J2544" s="18" t="s">
        <v>10306</v>
      </c>
      <c r="K2544" s="20">
        <v>2</v>
      </c>
      <c r="L2544" s="20">
        <v>1</v>
      </c>
      <c r="M2544" s="357">
        <f t="shared" si="80"/>
        <v>10783.8</v>
      </c>
      <c r="N2544" s="411">
        <f>IFERROR((M2544/(VLOOKUP(B2544,'Data Pull Sheet'!$C:$H,6,FALSE))),"DC")</f>
        <v>3.0810857142857142E-4</v>
      </c>
      <c r="O2544" s="23" t="s">
        <v>9732</v>
      </c>
      <c r="P2544" s="92" t="s">
        <v>632</v>
      </c>
      <c r="Q2544" s="92" t="s">
        <v>637</v>
      </c>
      <c r="R2544" s="372" t="str">
        <f t="shared" si="77"/>
        <v/>
      </c>
    </row>
    <row r="2545" spans="1:18" x14ac:dyDescent="0.25">
      <c r="A2545" s="23" t="s">
        <v>8888</v>
      </c>
      <c r="B2545" s="18" t="str">
        <f>VLOOKUP(A2545, 'Data Pull Sheet'!$B$2:$C$552,2,FALSE)</f>
        <v>COOL</v>
      </c>
      <c r="C2545" s="59" t="s">
        <v>536</v>
      </c>
      <c r="D2545" s="356" t="s">
        <v>9052</v>
      </c>
      <c r="E2545" s="356" t="s">
        <v>9151</v>
      </c>
      <c r="F2545" s="23" t="s">
        <v>9222</v>
      </c>
      <c r="G2545" s="92" t="s">
        <v>403</v>
      </c>
      <c r="H2545" s="353">
        <v>21470</v>
      </c>
      <c r="I2545" s="59"/>
      <c r="J2545" s="18" t="s">
        <v>10307</v>
      </c>
      <c r="K2545" s="20"/>
      <c r="L2545" s="20">
        <v>1</v>
      </c>
      <c r="M2545" s="357">
        <f t="shared" si="80"/>
        <v>21470</v>
      </c>
      <c r="N2545" s="411">
        <f>IFERROR((M2545/(VLOOKUP(B2545,'Data Pull Sheet'!$C:$H,6,FALSE))),"DC")</f>
        <v>6.1342857142857141E-4</v>
      </c>
      <c r="O2545" s="23" t="s">
        <v>9733</v>
      </c>
      <c r="P2545" s="92" t="s">
        <v>632</v>
      </c>
      <c r="Q2545" s="92" t="s">
        <v>637</v>
      </c>
      <c r="R2545" s="372" t="str">
        <f t="shared" si="77"/>
        <v/>
      </c>
    </row>
    <row r="2546" spans="1:18" x14ac:dyDescent="0.25">
      <c r="A2546" s="23" t="s">
        <v>8836</v>
      </c>
      <c r="B2546" s="18" t="str">
        <f>VLOOKUP(A2546, 'Data Pull Sheet'!$B$2:$C$552,2,FALSE)</f>
        <v>FNKO</v>
      </c>
      <c r="C2546" s="59" t="s">
        <v>480</v>
      </c>
      <c r="D2546" s="356" t="s">
        <v>9051</v>
      </c>
      <c r="E2546" s="356" t="s">
        <v>9151</v>
      </c>
      <c r="F2546" s="23" t="s">
        <v>9219</v>
      </c>
      <c r="G2546" s="92" t="s">
        <v>403</v>
      </c>
      <c r="H2546" s="353">
        <v>814.57</v>
      </c>
      <c r="I2546" s="59"/>
      <c r="J2546" s="18" t="s">
        <v>10311</v>
      </c>
      <c r="K2546" s="20">
        <v>2</v>
      </c>
      <c r="L2546" s="20">
        <v>1</v>
      </c>
      <c r="M2546" s="357">
        <f t="shared" si="80"/>
        <v>814.57</v>
      </c>
      <c r="N2546" s="411">
        <f>IFERROR((M2546/(VLOOKUP(B2546,'Data Pull Sheet'!$C:$H,6,FALSE))),"DC")</f>
        <v>1.7331276595744681E-5</v>
      </c>
      <c r="O2546" s="23" t="s">
        <v>9731</v>
      </c>
      <c r="P2546" s="92" t="s">
        <v>632</v>
      </c>
      <c r="Q2546" s="92" t="s">
        <v>637</v>
      </c>
      <c r="R2546" s="372" t="str">
        <f t="shared" si="77"/>
        <v/>
      </c>
    </row>
    <row r="2547" spans="1:18" x14ac:dyDescent="0.25">
      <c r="A2547" s="23" t="s">
        <v>8836</v>
      </c>
      <c r="B2547" s="18" t="str">
        <f>VLOOKUP(A2547, 'Data Pull Sheet'!$B$2:$C$552,2,FALSE)</f>
        <v>FNKO</v>
      </c>
      <c r="C2547" s="59" t="s">
        <v>480</v>
      </c>
      <c r="D2547" s="356" t="s">
        <v>9051</v>
      </c>
      <c r="E2547" s="356" t="s">
        <v>9151</v>
      </c>
      <c r="F2547" s="23" t="s">
        <v>9220</v>
      </c>
      <c r="G2547" s="92" t="s">
        <v>403</v>
      </c>
      <c r="H2547" s="353">
        <v>41404.5</v>
      </c>
      <c r="I2547" s="59"/>
      <c r="J2547" s="18" t="s">
        <v>10309</v>
      </c>
      <c r="K2547" s="20"/>
      <c r="L2547" s="20">
        <v>1</v>
      </c>
      <c r="M2547" s="357">
        <f t="shared" si="80"/>
        <v>41404.5</v>
      </c>
      <c r="N2547" s="411">
        <f>IFERROR((M2547/(VLOOKUP(B2547,'Data Pull Sheet'!$C:$H,6,FALSE))),"DC")</f>
        <v>8.8094680851063829E-4</v>
      </c>
      <c r="O2547" s="23" t="s">
        <v>10857</v>
      </c>
      <c r="P2547" s="92" t="s">
        <v>632</v>
      </c>
      <c r="Q2547" s="92" t="s">
        <v>637</v>
      </c>
      <c r="R2547" s="372" t="str">
        <f t="shared" si="77"/>
        <v/>
      </c>
    </row>
    <row r="2548" spans="1:18" x14ac:dyDescent="0.25">
      <c r="A2548" s="23" t="s">
        <v>8841</v>
      </c>
      <c r="B2548" s="18" t="str">
        <f>VLOOKUP(A2548, 'Data Pull Sheet'!$B$2:$C$552,2,FALSE)</f>
        <v>GOGO</v>
      </c>
      <c r="C2548" s="59" t="s">
        <v>465</v>
      </c>
      <c r="D2548" s="356" t="s">
        <v>9053</v>
      </c>
      <c r="E2548" s="356" t="s">
        <v>9151</v>
      </c>
      <c r="F2548" s="23" t="s">
        <v>9232</v>
      </c>
      <c r="G2548" s="92" t="s">
        <v>403</v>
      </c>
      <c r="H2548" s="353">
        <v>91421.46</v>
      </c>
      <c r="I2548" s="59"/>
      <c r="J2548" s="18" t="s">
        <v>10312</v>
      </c>
      <c r="K2548" s="20">
        <v>3</v>
      </c>
      <c r="L2548" s="20">
        <v>1</v>
      </c>
      <c r="M2548" s="357">
        <f t="shared" si="80"/>
        <v>91421.46</v>
      </c>
      <c r="N2548" s="411">
        <f>IFERROR((M2548/(VLOOKUP(B2548,'Data Pull Sheet'!$C:$H,6,FALSE))),"DC")</f>
        <v>1.015794E-3</v>
      </c>
      <c r="O2548" s="23" t="s">
        <v>9734</v>
      </c>
      <c r="P2548" s="92" t="s">
        <v>632</v>
      </c>
      <c r="Q2548" s="92" t="s">
        <v>637</v>
      </c>
      <c r="R2548" s="372" t="str">
        <f t="shared" si="77"/>
        <v/>
      </c>
    </row>
    <row r="2549" spans="1:18" ht="30" x14ac:dyDescent="0.25">
      <c r="A2549" s="23" t="s">
        <v>8841</v>
      </c>
      <c r="B2549" s="18" t="str">
        <f>VLOOKUP(A2549, 'Data Pull Sheet'!$B$2:$C$552,2,FALSE)</f>
        <v>GOGO</v>
      </c>
      <c r="C2549" s="59" t="s">
        <v>465</v>
      </c>
      <c r="D2549" s="356" t="s">
        <v>9053</v>
      </c>
      <c r="E2549" s="356" t="s">
        <v>9151</v>
      </c>
      <c r="F2549" s="23" t="s">
        <v>9233</v>
      </c>
      <c r="G2549" s="92" t="s">
        <v>403</v>
      </c>
      <c r="H2549" s="353">
        <v>21982.9</v>
      </c>
      <c r="I2549" s="59"/>
      <c r="J2549" s="18" t="s">
        <v>10313</v>
      </c>
      <c r="K2549" s="20"/>
      <c r="L2549" s="20">
        <v>2</v>
      </c>
      <c r="M2549" s="357">
        <f>SUM(H2549:H2550)</f>
        <v>52026.45</v>
      </c>
      <c r="N2549" s="411">
        <f>IFERROR((M2549/(VLOOKUP(B2549,'Data Pull Sheet'!$C:$H,6,FALSE))),"DC")</f>
        <v>5.7807166666666663E-4</v>
      </c>
      <c r="O2549" s="23" t="s">
        <v>11196</v>
      </c>
      <c r="P2549" s="92" t="s">
        <v>632</v>
      </c>
      <c r="Q2549" s="92" t="s">
        <v>646</v>
      </c>
      <c r="R2549" s="372" t="str">
        <f t="shared" si="77"/>
        <v/>
      </c>
    </row>
    <row r="2550" spans="1:18" ht="30" x14ac:dyDescent="0.25">
      <c r="A2550" s="23" t="s">
        <v>8841</v>
      </c>
      <c r="B2550" s="18" t="str">
        <f>VLOOKUP(A2550, 'Data Pull Sheet'!$B$2:$C$552,2,FALSE)</f>
        <v>GOGO</v>
      </c>
      <c r="C2550" s="59" t="s">
        <v>465</v>
      </c>
      <c r="D2550" s="356" t="s">
        <v>9053</v>
      </c>
      <c r="E2550" s="356" t="s">
        <v>9151</v>
      </c>
      <c r="F2550" s="23" t="s">
        <v>9234</v>
      </c>
      <c r="G2550" s="92" t="s">
        <v>403</v>
      </c>
      <c r="H2550" s="353">
        <v>30043.55</v>
      </c>
      <c r="I2550" s="59"/>
      <c r="J2550" s="18" t="s">
        <v>10314</v>
      </c>
      <c r="K2550" s="20"/>
      <c r="L2550" s="20"/>
      <c r="M2550" s="357"/>
      <c r="N2550" s="411"/>
      <c r="O2550" s="23" t="s">
        <v>11196</v>
      </c>
      <c r="P2550" s="92" t="s">
        <v>632</v>
      </c>
      <c r="Q2550" s="92" t="s">
        <v>646</v>
      </c>
      <c r="R2550" s="372" t="str">
        <f t="shared" si="77"/>
        <v/>
      </c>
    </row>
    <row r="2551" spans="1:18" x14ac:dyDescent="0.25">
      <c r="A2551" s="23" t="s">
        <v>8841</v>
      </c>
      <c r="B2551" s="18" t="str">
        <f>VLOOKUP(A2551, 'Data Pull Sheet'!$B$2:$C$552,2,FALSE)</f>
        <v>GOGO</v>
      </c>
      <c r="C2551" s="59" t="s">
        <v>465</v>
      </c>
      <c r="D2551" s="356" t="s">
        <v>9053</v>
      </c>
      <c r="E2551" s="356" t="s">
        <v>9151</v>
      </c>
      <c r="F2551" s="23" t="s">
        <v>9235</v>
      </c>
      <c r="G2551" s="92" t="s">
        <v>403</v>
      </c>
      <c r="H2551" s="353">
        <v>83243.77</v>
      </c>
      <c r="I2551" s="59"/>
      <c r="J2551" s="18" t="s">
        <v>10305</v>
      </c>
      <c r="K2551" s="20"/>
      <c r="L2551" s="20">
        <v>1</v>
      </c>
      <c r="M2551" s="357">
        <f>+H2551</f>
        <v>83243.77</v>
      </c>
      <c r="N2551" s="411">
        <f>IFERROR((M2551/(VLOOKUP(B2551,'Data Pull Sheet'!$C:$H,6,FALSE))),"DC")</f>
        <v>9.2493077777777786E-4</v>
      </c>
      <c r="O2551" s="23" t="s">
        <v>9735</v>
      </c>
      <c r="P2551" s="92" t="s">
        <v>632</v>
      </c>
      <c r="Q2551" s="92" t="s">
        <v>637</v>
      </c>
      <c r="R2551" s="372" t="str">
        <f t="shared" si="77"/>
        <v/>
      </c>
    </row>
    <row r="2552" spans="1:18" x14ac:dyDescent="0.25">
      <c r="A2552" s="23" t="s">
        <v>8900</v>
      </c>
      <c r="B2552" s="18" t="str">
        <f>VLOOKUP(A2552, 'Data Pull Sheet'!$B$2:$C$552,2,FALSE)</f>
        <v>SBGL</v>
      </c>
      <c r="C2552" s="59" t="s">
        <v>1008</v>
      </c>
      <c r="D2552" s="356" t="s">
        <v>9053</v>
      </c>
      <c r="E2552" s="356" t="s">
        <v>9151</v>
      </c>
      <c r="F2552" s="23" t="s">
        <v>9223</v>
      </c>
      <c r="G2552" s="92" t="s">
        <v>403</v>
      </c>
      <c r="H2552" s="353">
        <v>37220.400000000001</v>
      </c>
      <c r="I2552" s="59"/>
      <c r="J2552" s="18" t="s">
        <v>10277</v>
      </c>
      <c r="K2552" s="20">
        <v>4</v>
      </c>
      <c r="L2552" s="20">
        <v>1</v>
      </c>
      <c r="M2552" s="357">
        <f>+H2552</f>
        <v>37220.400000000001</v>
      </c>
      <c r="N2552" s="411">
        <f>IFERROR((M2552/(VLOOKUP(B2552,'Data Pull Sheet'!$C:$H,6,FALSE))),"DC")</f>
        <v>6.7673454545454548E-4</v>
      </c>
      <c r="O2552" s="23" t="s">
        <v>192</v>
      </c>
      <c r="P2552" s="92" t="s">
        <v>632</v>
      </c>
      <c r="Q2552" s="92" t="s">
        <v>637</v>
      </c>
      <c r="R2552" s="372" t="str">
        <f t="shared" si="77"/>
        <v/>
      </c>
    </row>
    <row r="2553" spans="1:18" x14ac:dyDescent="0.25">
      <c r="A2553" s="23" t="s">
        <v>8900</v>
      </c>
      <c r="B2553" s="18" t="str">
        <f>VLOOKUP(A2553, 'Data Pull Sheet'!$B$2:$C$552,2,FALSE)</f>
        <v>SBGL</v>
      </c>
      <c r="C2553" s="59" t="s">
        <v>1008</v>
      </c>
      <c r="D2553" s="356" t="s">
        <v>9053</v>
      </c>
      <c r="E2553" s="356" t="s">
        <v>9151</v>
      </c>
      <c r="F2553" s="23" t="s">
        <v>9224</v>
      </c>
      <c r="G2553" s="92" t="s">
        <v>403</v>
      </c>
      <c r="H2553" s="353">
        <v>4290.75</v>
      </c>
      <c r="I2553" s="59"/>
      <c r="J2553" s="18" t="s">
        <v>10310</v>
      </c>
      <c r="K2553" s="20"/>
      <c r="L2553" s="20">
        <v>1</v>
      </c>
      <c r="M2553" s="357">
        <f>+H2553</f>
        <v>4290.75</v>
      </c>
      <c r="N2553" s="411">
        <f>IFERROR((M2553/(VLOOKUP(B2553,'Data Pull Sheet'!$C:$H,6,FALSE))),"DC")</f>
        <v>7.801363636363636E-5</v>
      </c>
      <c r="O2553" s="23" t="s">
        <v>7</v>
      </c>
      <c r="P2553" s="92" t="s">
        <v>632</v>
      </c>
      <c r="Q2553" s="92" t="s">
        <v>637</v>
      </c>
      <c r="R2553" s="372" t="str">
        <f t="shared" si="77"/>
        <v/>
      </c>
    </row>
    <row r="2554" spans="1:18" x14ac:dyDescent="0.25">
      <c r="A2554" s="23" t="s">
        <v>8900</v>
      </c>
      <c r="B2554" s="18" t="str">
        <f>VLOOKUP(A2554, 'Data Pull Sheet'!$B$2:$C$552,2,FALSE)</f>
        <v>SBGL</v>
      </c>
      <c r="C2554" s="59" t="s">
        <v>1008</v>
      </c>
      <c r="D2554" s="356" t="s">
        <v>9053</v>
      </c>
      <c r="E2554" s="356" t="s">
        <v>9151</v>
      </c>
      <c r="F2554" s="23" t="s">
        <v>9225</v>
      </c>
      <c r="G2554" s="92" t="s">
        <v>403</v>
      </c>
      <c r="H2554" s="353">
        <v>19057.09</v>
      </c>
      <c r="I2554" s="59" t="s">
        <v>406</v>
      </c>
      <c r="J2554" s="18" t="s">
        <v>10315</v>
      </c>
      <c r="K2554" s="20"/>
      <c r="L2554" s="20">
        <v>4</v>
      </c>
      <c r="M2554" s="357">
        <f>SUM(H2554:H2557)</f>
        <v>85152.569999999992</v>
      </c>
      <c r="N2554" s="411">
        <f>IFERROR((M2554/(VLOOKUP(B2554,'Data Pull Sheet'!$C:$H,6,FALSE))),"DC")</f>
        <v>1.5482285454545453E-3</v>
      </c>
      <c r="O2554" s="23" t="s">
        <v>10822</v>
      </c>
      <c r="P2554" s="92" t="s">
        <v>632</v>
      </c>
      <c r="Q2554" s="92" t="s">
        <v>646</v>
      </c>
      <c r="R2554" s="372" t="str">
        <f t="shared" si="77"/>
        <v/>
      </c>
    </row>
    <row r="2555" spans="1:18" x14ac:dyDescent="0.25">
      <c r="A2555" s="23" t="s">
        <v>8900</v>
      </c>
      <c r="B2555" s="18" t="str">
        <f>VLOOKUP(A2555, 'Data Pull Sheet'!$B$2:$C$552,2,FALSE)</f>
        <v>SBGL</v>
      </c>
      <c r="C2555" s="59" t="s">
        <v>1008</v>
      </c>
      <c r="D2555" s="356" t="s">
        <v>9053</v>
      </c>
      <c r="E2555" s="356" t="s">
        <v>9151</v>
      </c>
      <c r="F2555" s="23" t="s">
        <v>9226</v>
      </c>
      <c r="G2555" s="92" t="s">
        <v>403</v>
      </c>
      <c r="H2555" s="353">
        <v>16768</v>
      </c>
      <c r="I2555" s="59" t="s">
        <v>406</v>
      </c>
      <c r="J2555" s="18" t="s">
        <v>10316</v>
      </c>
      <c r="K2555" s="20"/>
      <c r="L2555" s="20"/>
      <c r="M2555" s="357"/>
      <c r="N2555" s="411"/>
      <c r="O2555" s="23" t="s">
        <v>10822</v>
      </c>
      <c r="P2555" s="92" t="s">
        <v>632</v>
      </c>
      <c r="Q2555" s="92" t="s">
        <v>646</v>
      </c>
      <c r="R2555" s="372" t="str">
        <f t="shared" si="77"/>
        <v/>
      </c>
    </row>
    <row r="2556" spans="1:18" x14ac:dyDescent="0.25">
      <c r="A2556" s="23" t="s">
        <v>8900</v>
      </c>
      <c r="B2556" s="18" t="str">
        <f>VLOOKUP(A2556, 'Data Pull Sheet'!$B$2:$C$552,2,FALSE)</f>
        <v>SBGL</v>
      </c>
      <c r="C2556" s="59" t="s">
        <v>1008</v>
      </c>
      <c r="D2556" s="356" t="s">
        <v>9053</v>
      </c>
      <c r="E2556" s="356" t="s">
        <v>9151</v>
      </c>
      <c r="F2556" s="23" t="s">
        <v>9227</v>
      </c>
      <c r="G2556" s="92" t="s">
        <v>403</v>
      </c>
      <c r="H2556" s="353">
        <v>26999.67</v>
      </c>
      <c r="I2556" s="59" t="s">
        <v>406</v>
      </c>
      <c r="J2556" s="18" t="s">
        <v>10317</v>
      </c>
      <c r="K2556" s="20"/>
      <c r="L2556" s="20"/>
      <c r="M2556" s="357"/>
      <c r="N2556" s="411"/>
      <c r="O2556" s="23" t="s">
        <v>10822</v>
      </c>
      <c r="P2556" s="92" t="s">
        <v>632</v>
      </c>
      <c r="Q2556" s="92" t="s">
        <v>646</v>
      </c>
      <c r="R2556" s="372" t="str">
        <f t="shared" si="77"/>
        <v/>
      </c>
    </row>
    <row r="2557" spans="1:18" x14ac:dyDescent="0.25">
      <c r="A2557" s="23" t="s">
        <v>8900</v>
      </c>
      <c r="B2557" s="18" t="str">
        <f>VLOOKUP(A2557, 'Data Pull Sheet'!$B$2:$C$552,2,FALSE)</f>
        <v>SBGL</v>
      </c>
      <c r="C2557" s="59" t="s">
        <v>1008</v>
      </c>
      <c r="D2557" s="356" t="s">
        <v>9053</v>
      </c>
      <c r="E2557" s="356" t="s">
        <v>9151</v>
      </c>
      <c r="F2557" s="23" t="s">
        <v>9228</v>
      </c>
      <c r="G2557" s="92" t="s">
        <v>403</v>
      </c>
      <c r="H2557" s="353">
        <v>22327.81</v>
      </c>
      <c r="I2557" s="59" t="s">
        <v>406</v>
      </c>
      <c r="J2557" s="18" t="s">
        <v>10318</v>
      </c>
      <c r="K2557" s="20"/>
      <c r="L2557" s="20"/>
      <c r="M2557" s="357"/>
      <c r="N2557" s="411"/>
      <c r="O2557" s="23" t="s">
        <v>10822</v>
      </c>
      <c r="P2557" s="92" t="s">
        <v>632</v>
      </c>
      <c r="Q2557" s="92" t="s">
        <v>646</v>
      </c>
      <c r="R2557" s="372" t="str">
        <f t="shared" si="77"/>
        <v/>
      </c>
    </row>
    <row r="2558" spans="1:18" x14ac:dyDescent="0.25">
      <c r="A2558" s="23" t="s">
        <v>8900</v>
      </c>
      <c r="B2558" s="18" t="str">
        <f>VLOOKUP(A2558, 'Data Pull Sheet'!$B$2:$C$552,2,FALSE)</f>
        <v>SBGL</v>
      </c>
      <c r="C2558" s="59" t="s">
        <v>1008</v>
      </c>
      <c r="D2558" s="356" t="s">
        <v>9053</v>
      </c>
      <c r="E2558" s="356" t="s">
        <v>9151</v>
      </c>
      <c r="F2558" s="23" t="s">
        <v>9229</v>
      </c>
      <c r="G2558" s="92" t="s">
        <v>403</v>
      </c>
      <c r="H2558" s="353">
        <v>122444.74</v>
      </c>
      <c r="I2558" s="59"/>
      <c r="J2558" s="18" t="s">
        <v>10319</v>
      </c>
      <c r="K2558" s="20"/>
      <c r="L2558" s="20">
        <v>3</v>
      </c>
      <c r="M2558" s="357">
        <f>SUM(H2558:H2560)</f>
        <v>370941.7</v>
      </c>
      <c r="N2558" s="411">
        <f>IFERROR((M2558/(VLOOKUP(B2558,'Data Pull Sheet'!$C:$H,6,FALSE))),"DC")</f>
        <v>6.744394545454546E-3</v>
      </c>
      <c r="O2558" s="23" t="s">
        <v>554</v>
      </c>
      <c r="P2558" s="92" t="s">
        <v>632</v>
      </c>
      <c r="Q2558" s="92" t="s">
        <v>646</v>
      </c>
      <c r="R2558" s="372" t="str">
        <f t="shared" si="77"/>
        <v/>
      </c>
    </row>
    <row r="2559" spans="1:18" x14ac:dyDescent="0.25">
      <c r="A2559" s="23" t="s">
        <v>8900</v>
      </c>
      <c r="B2559" s="18" t="str">
        <f>VLOOKUP(A2559, 'Data Pull Sheet'!$B$2:$C$552,2,FALSE)</f>
        <v>SBGL</v>
      </c>
      <c r="C2559" s="59" t="s">
        <v>1008</v>
      </c>
      <c r="D2559" s="356" t="s">
        <v>9053</v>
      </c>
      <c r="E2559" s="356" t="s">
        <v>9151</v>
      </c>
      <c r="F2559" s="23" t="s">
        <v>9230</v>
      </c>
      <c r="G2559" s="92" t="s">
        <v>403</v>
      </c>
      <c r="H2559" s="353">
        <v>139071.44</v>
      </c>
      <c r="I2559" s="59"/>
      <c r="J2559" s="18" t="s">
        <v>10320</v>
      </c>
      <c r="K2559" s="20"/>
      <c r="L2559" s="20"/>
      <c r="M2559" s="357"/>
      <c r="N2559" s="411"/>
      <c r="O2559" s="23" t="s">
        <v>554</v>
      </c>
      <c r="P2559" s="92" t="s">
        <v>632</v>
      </c>
      <c r="Q2559" s="92" t="s">
        <v>646</v>
      </c>
      <c r="R2559" s="372" t="str">
        <f t="shared" si="77"/>
        <v/>
      </c>
    </row>
    <row r="2560" spans="1:18" x14ac:dyDescent="0.25">
      <c r="A2560" s="23" t="s">
        <v>8900</v>
      </c>
      <c r="B2560" s="18" t="str">
        <f>VLOOKUP(A2560, 'Data Pull Sheet'!$B$2:$C$552,2,FALSE)</f>
        <v>SBGL</v>
      </c>
      <c r="C2560" s="59" t="s">
        <v>1008</v>
      </c>
      <c r="D2560" s="356" t="s">
        <v>9053</v>
      </c>
      <c r="E2560" s="356" t="s">
        <v>9151</v>
      </c>
      <c r="F2560" s="23" t="s">
        <v>9231</v>
      </c>
      <c r="G2560" s="92" t="s">
        <v>403</v>
      </c>
      <c r="H2560" s="353">
        <v>109425.52</v>
      </c>
      <c r="I2560" s="59"/>
      <c r="J2560" s="18" t="s">
        <v>10321</v>
      </c>
      <c r="K2560" s="20"/>
      <c r="L2560" s="20"/>
      <c r="M2560" s="357"/>
      <c r="N2560" s="411"/>
      <c r="O2560" s="23" t="s">
        <v>554</v>
      </c>
      <c r="P2560" s="92" t="s">
        <v>632</v>
      </c>
      <c r="Q2560" s="92" t="s">
        <v>646</v>
      </c>
      <c r="R2560" s="372" t="str">
        <f t="shared" si="77"/>
        <v/>
      </c>
    </row>
    <row r="2561" spans="1:18" x14ac:dyDescent="0.25">
      <c r="A2561" s="23" t="s">
        <v>8840</v>
      </c>
      <c r="B2561" s="18" t="str">
        <f>VLOOKUP(A2561, 'Data Pull Sheet'!$B$2:$C$552,2,FALSE)</f>
        <v>GLCNF</v>
      </c>
      <c r="C2561" s="59" t="s">
        <v>424</v>
      </c>
      <c r="D2561" s="356" t="s">
        <v>9047</v>
      </c>
      <c r="E2561" s="356" t="s">
        <v>9149</v>
      </c>
      <c r="F2561" s="23" t="s">
        <v>9212</v>
      </c>
      <c r="G2561" s="92" t="s">
        <v>403</v>
      </c>
      <c r="H2561" s="353">
        <v>11930.91</v>
      </c>
      <c r="I2561" s="59"/>
      <c r="J2561" s="18" t="s">
        <v>10322</v>
      </c>
      <c r="K2561" s="20">
        <v>3</v>
      </c>
      <c r="L2561" s="20">
        <v>1</v>
      </c>
      <c r="M2561" s="357">
        <f>+H2561</f>
        <v>11930.91</v>
      </c>
      <c r="N2561" s="411">
        <f>IFERROR((M2561/(VLOOKUP(B2561,'Data Pull Sheet'!$C:$H,6,FALSE))),"DC")</f>
        <v>2.6513133333333331E-4</v>
      </c>
      <c r="O2561" s="23" t="s">
        <v>63</v>
      </c>
      <c r="P2561" s="92" t="s">
        <v>632</v>
      </c>
      <c r="Q2561" s="18" t="s">
        <v>637</v>
      </c>
      <c r="R2561" s="372" t="str">
        <f t="shared" si="77"/>
        <v/>
      </c>
    </row>
    <row r="2562" spans="1:18" x14ac:dyDescent="0.25">
      <c r="A2562" s="23" t="s">
        <v>8840</v>
      </c>
      <c r="B2562" s="18" t="str">
        <f>VLOOKUP(A2562, 'Data Pull Sheet'!$B$2:$C$552,2,FALSE)</f>
        <v>GLCNF</v>
      </c>
      <c r="C2562" s="59" t="s">
        <v>424</v>
      </c>
      <c r="D2562" s="356" t="s">
        <v>9047</v>
      </c>
      <c r="E2562" s="356" t="s">
        <v>9149</v>
      </c>
      <c r="F2562" s="23" t="s">
        <v>9213</v>
      </c>
      <c r="G2562" s="92" t="s">
        <v>403</v>
      </c>
      <c r="H2562" s="353">
        <v>1486.44</v>
      </c>
      <c r="I2562" s="59"/>
      <c r="J2562" s="18" t="s">
        <v>10329</v>
      </c>
      <c r="K2562" s="20"/>
      <c r="L2562" s="20">
        <v>1</v>
      </c>
      <c r="M2562" s="357">
        <f>+H2562</f>
        <v>1486.44</v>
      </c>
      <c r="N2562" s="411">
        <f>IFERROR((M2562/(VLOOKUP(B2562,'Data Pull Sheet'!$C:$H,6,FALSE))),"DC")</f>
        <v>3.3031999999999998E-5</v>
      </c>
      <c r="O2562" s="23" t="s">
        <v>682</v>
      </c>
      <c r="P2562" s="92" t="s">
        <v>632</v>
      </c>
      <c r="Q2562" s="18" t="s">
        <v>637</v>
      </c>
      <c r="R2562" s="372" t="str">
        <f t="shared" ref="R2562:R2625" si="81">IF(COUNTIF(F:F,F2562)&gt;=2,"FF","")</f>
        <v/>
      </c>
    </row>
    <row r="2563" spans="1:18" ht="30" x14ac:dyDescent="0.25">
      <c r="A2563" s="23" t="s">
        <v>8840</v>
      </c>
      <c r="B2563" s="18" t="str">
        <f>VLOOKUP(A2563, 'Data Pull Sheet'!$B$2:$C$552,2,FALSE)</f>
        <v>GLCNF</v>
      </c>
      <c r="C2563" s="59" t="s">
        <v>424</v>
      </c>
      <c r="D2563" s="356" t="s">
        <v>9047</v>
      </c>
      <c r="E2563" s="356" t="s">
        <v>9149</v>
      </c>
      <c r="F2563" s="23" t="s">
        <v>9214</v>
      </c>
      <c r="G2563" s="92" t="s">
        <v>403</v>
      </c>
      <c r="H2563" s="353">
        <v>4025.28</v>
      </c>
      <c r="I2563" s="59"/>
      <c r="J2563" s="18" t="s">
        <v>10330</v>
      </c>
      <c r="K2563" s="20"/>
      <c r="L2563" s="20">
        <v>1</v>
      </c>
      <c r="M2563" s="357">
        <f>+H2563</f>
        <v>4025.28</v>
      </c>
      <c r="N2563" s="411">
        <f>IFERROR((M2563/(VLOOKUP(B2563,'Data Pull Sheet'!$C:$H,6,FALSE))),"DC")</f>
        <v>8.9450666666666674E-5</v>
      </c>
      <c r="O2563" s="23" t="s">
        <v>687</v>
      </c>
      <c r="P2563" s="92" t="s">
        <v>632</v>
      </c>
      <c r="Q2563" s="18" t="s">
        <v>637</v>
      </c>
      <c r="R2563" s="372" t="str">
        <f t="shared" si="81"/>
        <v/>
      </c>
    </row>
    <row r="2564" spans="1:18" x14ac:dyDescent="0.25">
      <c r="A2564" s="23" t="s">
        <v>8830</v>
      </c>
      <c r="B2564" s="18" t="str">
        <f>VLOOKUP(A2564, 'Data Pull Sheet'!$B$2:$C$552,2,FALSE)</f>
        <v>FPI</v>
      </c>
      <c r="C2564" s="59" t="s">
        <v>545</v>
      </c>
      <c r="D2564" s="356" t="s">
        <v>9046</v>
      </c>
      <c r="E2564" s="356" t="s">
        <v>9148</v>
      </c>
      <c r="F2564" s="23" t="s">
        <v>9205</v>
      </c>
      <c r="G2564" s="92" t="s">
        <v>403</v>
      </c>
      <c r="H2564" s="353">
        <v>2510</v>
      </c>
      <c r="I2564" s="59"/>
      <c r="J2564" s="18" t="s">
        <v>10324</v>
      </c>
      <c r="K2564" s="20">
        <v>4</v>
      </c>
      <c r="L2564" s="20">
        <v>1</v>
      </c>
      <c r="M2564" s="357">
        <f>+H2564</f>
        <v>2510</v>
      </c>
      <c r="N2564" s="411">
        <f>IFERROR((M2564/(VLOOKUP(B2564,'Data Pull Sheet'!$C:$H,6,FALSE))),"DC")</f>
        <v>3.8615384615384614E-5</v>
      </c>
      <c r="O2564" s="23" t="s">
        <v>682</v>
      </c>
      <c r="P2564" s="92" t="s">
        <v>632</v>
      </c>
      <c r="Q2564" s="18" t="s">
        <v>637</v>
      </c>
      <c r="R2564" s="372" t="str">
        <f t="shared" si="81"/>
        <v/>
      </c>
    </row>
    <row r="2565" spans="1:18" x14ac:dyDescent="0.25">
      <c r="A2565" s="23" t="s">
        <v>8830</v>
      </c>
      <c r="B2565" s="18" t="str">
        <f>VLOOKUP(A2565, 'Data Pull Sheet'!$B$2:$C$552,2,FALSE)</f>
        <v>FPI</v>
      </c>
      <c r="C2565" s="59" t="s">
        <v>545</v>
      </c>
      <c r="D2565" s="356" t="s">
        <v>9046</v>
      </c>
      <c r="E2565" s="356" t="s">
        <v>9148</v>
      </c>
      <c r="F2565" s="23" t="s">
        <v>9206</v>
      </c>
      <c r="G2565" s="92" t="s">
        <v>403</v>
      </c>
      <c r="H2565" s="353">
        <v>22366.33</v>
      </c>
      <c r="I2565" s="59" t="s">
        <v>406</v>
      </c>
      <c r="J2565" s="18" t="s">
        <v>10325</v>
      </c>
      <c r="K2565" s="20"/>
      <c r="L2565" s="20">
        <v>1</v>
      </c>
      <c r="M2565" s="357">
        <f>+H2565</f>
        <v>22366.33</v>
      </c>
      <c r="N2565" s="411">
        <f>IFERROR((M2565/(VLOOKUP(B2565,'Data Pull Sheet'!$C:$H,6,FALSE))),"DC")</f>
        <v>3.4409738461538465E-4</v>
      </c>
      <c r="O2565" s="23" t="s">
        <v>9726</v>
      </c>
      <c r="P2565" s="92" t="s">
        <v>632</v>
      </c>
      <c r="Q2565" s="18" t="s">
        <v>637</v>
      </c>
      <c r="R2565" s="372" t="str">
        <f t="shared" si="81"/>
        <v/>
      </c>
    </row>
    <row r="2566" spans="1:18" x14ac:dyDescent="0.25">
      <c r="A2566" s="23" t="s">
        <v>8830</v>
      </c>
      <c r="B2566" s="18" t="str">
        <f>VLOOKUP(A2566, 'Data Pull Sheet'!$B$2:$C$552,2,FALSE)</f>
        <v>FPI</v>
      </c>
      <c r="C2566" s="59" t="s">
        <v>545</v>
      </c>
      <c r="D2566" s="356" t="s">
        <v>9046</v>
      </c>
      <c r="E2566" s="356" t="s">
        <v>9148</v>
      </c>
      <c r="F2566" s="23" t="s">
        <v>9207</v>
      </c>
      <c r="G2566" s="92" t="s">
        <v>403</v>
      </c>
      <c r="H2566" s="353">
        <v>4693.3</v>
      </c>
      <c r="I2566" s="59"/>
      <c r="J2566" s="18" t="s">
        <v>10333</v>
      </c>
      <c r="K2566" s="20"/>
      <c r="L2566" s="20">
        <v>2</v>
      </c>
      <c r="M2566" s="357">
        <f>SUM(H2566:H2567)</f>
        <v>104253.3</v>
      </c>
      <c r="N2566" s="411">
        <f>IFERROR((M2566/(VLOOKUP(B2566,'Data Pull Sheet'!$C:$H,6,FALSE))),"DC")</f>
        <v>1.6038969230769231E-3</v>
      </c>
      <c r="O2566" s="23" t="s">
        <v>9727</v>
      </c>
      <c r="P2566" s="92" t="s">
        <v>632</v>
      </c>
      <c r="Q2566" s="18" t="s">
        <v>637</v>
      </c>
      <c r="R2566" s="372" t="str">
        <f t="shared" si="81"/>
        <v/>
      </c>
    </row>
    <row r="2567" spans="1:18" x14ac:dyDescent="0.25">
      <c r="A2567" s="23" t="s">
        <v>8830</v>
      </c>
      <c r="B2567" s="18" t="str">
        <f>VLOOKUP(A2567, 'Data Pull Sheet'!$B$2:$C$552,2,FALSE)</f>
        <v>FPI</v>
      </c>
      <c r="C2567" s="59" t="s">
        <v>545</v>
      </c>
      <c r="D2567" s="356" t="s">
        <v>9046</v>
      </c>
      <c r="E2567" s="356" t="s">
        <v>9148</v>
      </c>
      <c r="F2567" s="23" t="s">
        <v>9208</v>
      </c>
      <c r="G2567" s="92" t="s">
        <v>417</v>
      </c>
      <c r="H2567" s="353">
        <v>99560</v>
      </c>
      <c r="I2567" s="59"/>
      <c r="J2567" s="18" t="s">
        <v>10334</v>
      </c>
      <c r="K2567" s="20"/>
      <c r="L2567" s="20"/>
      <c r="M2567" s="357"/>
      <c r="N2567" s="411"/>
      <c r="O2567" s="23" t="s">
        <v>9727</v>
      </c>
      <c r="P2567" s="92" t="s">
        <v>632</v>
      </c>
      <c r="Q2567" s="18" t="s">
        <v>633</v>
      </c>
      <c r="R2567" s="372" t="str">
        <f t="shared" si="81"/>
        <v/>
      </c>
    </row>
    <row r="2568" spans="1:18" ht="30" x14ac:dyDescent="0.25">
      <c r="A2568" s="23" t="s">
        <v>8830</v>
      </c>
      <c r="B2568" s="18" t="str">
        <f>VLOOKUP(A2568, 'Data Pull Sheet'!$B$2:$C$552,2,FALSE)</f>
        <v>FPI</v>
      </c>
      <c r="C2568" s="59" t="s">
        <v>545</v>
      </c>
      <c r="D2568" s="356" t="s">
        <v>9046</v>
      </c>
      <c r="E2568" s="356" t="s">
        <v>9148</v>
      </c>
      <c r="F2568" s="23" t="s">
        <v>9209</v>
      </c>
      <c r="G2568" s="92" t="s">
        <v>403</v>
      </c>
      <c r="H2568" s="353">
        <v>64125.440000000002</v>
      </c>
      <c r="I2568" s="59"/>
      <c r="J2568" s="18" t="s">
        <v>10335</v>
      </c>
      <c r="K2568" s="20"/>
      <c r="L2568" s="20">
        <v>3</v>
      </c>
      <c r="M2568" s="357">
        <f>SUM(H2568:H2570)</f>
        <v>88514.880000000005</v>
      </c>
      <c r="N2568" s="411">
        <f>IFERROR((M2568/(VLOOKUP(B2568,'Data Pull Sheet'!$C:$H,6,FALSE))),"DC")</f>
        <v>1.3617673846153847E-3</v>
      </c>
      <c r="O2568" s="23" t="s">
        <v>9728</v>
      </c>
      <c r="P2568" s="92" t="s">
        <v>632</v>
      </c>
      <c r="Q2568" s="18" t="s">
        <v>637</v>
      </c>
      <c r="R2568" s="372" t="str">
        <f t="shared" si="81"/>
        <v/>
      </c>
    </row>
    <row r="2569" spans="1:18" ht="30" x14ac:dyDescent="0.25">
      <c r="A2569" s="23" t="s">
        <v>8830</v>
      </c>
      <c r="B2569" s="18" t="str">
        <f>VLOOKUP(A2569, 'Data Pull Sheet'!$B$2:$C$552,2,FALSE)</f>
        <v>FPI</v>
      </c>
      <c r="C2569" s="59" t="s">
        <v>545</v>
      </c>
      <c r="D2569" s="356" t="s">
        <v>9046</v>
      </c>
      <c r="E2569" s="356" t="s">
        <v>9148</v>
      </c>
      <c r="F2569" s="23" t="s">
        <v>9210</v>
      </c>
      <c r="G2569" s="92" t="s">
        <v>403</v>
      </c>
      <c r="H2569" s="353">
        <v>1901.88</v>
      </c>
      <c r="I2569" s="59"/>
      <c r="J2569" s="18" t="s">
        <v>10336</v>
      </c>
      <c r="K2569" s="20"/>
      <c r="L2569" s="20"/>
      <c r="M2569" s="357"/>
      <c r="N2569" s="411"/>
      <c r="O2569" s="23" t="s">
        <v>9728</v>
      </c>
      <c r="P2569" s="92" t="s">
        <v>632</v>
      </c>
      <c r="Q2569" s="18" t="s">
        <v>637</v>
      </c>
      <c r="R2569" s="372" t="str">
        <f t="shared" si="81"/>
        <v/>
      </c>
    </row>
    <row r="2570" spans="1:18" ht="30" x14ac:dyDescent="0.25">
      <c r="A2570" s="23" t="s">
        <v>8830</v>
      </c>
      <c r="B2570" s="18" t="str">
        <f>VLOOKUP(A2570, 'Data Pull Sheet'!$B$2:$C$552,2,FALSE)</f>
        <v>FPI</v>
      </c>
      <c r="C2570" s="59" t="s">
        <v>545</v>
      </c>
      <c r="D2570" s="356" t="s">
        <v>9046</v>
      </c>
      <c r="E2570" s="356" t="s">
        <v>9148</v>
      </c>
      <c r="F2570" s="23" t="s">
        <v>9211</v>
      </c>
      <c r="G2570" s="92" t="s">
        <v>403</v>
      </c>
      <c r="H2570" s="353">
        <v>22487.56</v>
      </c>
      <c r="I2570" s="59"/>
      <c r="J2570" s="18" t="s">
        <v>10337</v>
      </c>
      <c r="K2570" s="20"/>
      <c r="L2570" s="20"/>
      <c r="M2570" s="357"/>
      <c r="N2570" s="411"/>
      <c r="O2570" s="23" t="s">
        <v>9728</v>
      </c>
      <c r="P2570" s="92" t="s">
        <v>632</v>
      </c>
      <c r="Q2570" s="18" t="s">
        <v>637</v>
      </c>
      <c r="R2570" s="372" t="str">
        <f t="shared" si="81"/>
        <v/>
      </c>
    </row>
    <row r="2571" spans="1:18" ht="30" x14ac:dyDescent="0.25">
      <c r="A2571" s="23" t="s">
        <v>8864</v>
      </c>
      <c r="B2571" s="18" t="str">
        <f>VLOOKUP(A2571, 'Data Pull Sheet'!$B$2:$C$552,2,FALSE)</f>
        <v>MD</v>
      </c>
      <c r="C2571" s="59" t="s">
        <v>603</v>
      </c>
      <c r="D2571" s="356" t="s">
        <v>9045</v>
      </c>
      <c r="E2571" s="356" t="s">
        <v>9148</v>
      </c>
      <c r="F2571" s="23" t="s">
        <v>9204</v>
      </c>
      <c r="G2571" s="92" t="s">
        <v>417</v>
      </c>
      <c r="H2571" s="353">
        <v>1534349.46</v>
      </c>
      <c r="I2571" s="59" t="s">
        <v>406</v>
      </c>
      <c r="J2571" s="18" t="s">
        <v>10326</v>
      </c>
      <c r="K2571" s="20">
        <v>3</v>
      </c>
      <c r="L2571" s="20">
        <v>1</v>
      </c>
      <c r="M2571" s="357">
        <f>+H2571</f>
        <v>1534349.46</v>
      </c>
      <c r="N2571" s="411">
        <f>IFERROR((M2571/(VLOOKUP(B2571,'Data Pull Sheet'!$C:$H,6,FALSE))),"DC")</f>
        <v>1.6151046947368421E-3</v>
      </c>
      <c r="O2571" s="23" t="s">
        <v>9724</v>
      </c>
      <c r="P2571" s="92" t="s">
        <v>632</v>
      </c>
      <c r="Q2571" s="18" t="s">
        <v>633</v>
      </c>
      <c r="R2571" s="372" t="str">
        <f t="shared" si="81"/>
        <v/>
      </c>
    </row>
    <row r="2572" spans="1:18" ht="30" x14ac:dyDescent="0.25">
      <c r="A2572" s="23" t="s">
        <v>8864</v>
      </c>
      <c r="B2572" s="18" t="str">
        <f>VLOOKUP(A2572, 'Data Pull Sheet'!$B$2:$C$552,2,FALSE)</f>
        <v>MD</v>
      </c>
      <c r="C2572" s="59" t="s">
        <v>603</v>
      </c>
      <c r="D2572" s="356" t="s">
        <v>9045</v>
      </c>
      <c r="E2572" s="356" t="s">
        <v>9148</v>
      </c>
      <c r="F2572" s="23" t="s">
        <v>1183</v>
      </c>
      <c r="G2572" s="92" t="s">
        <v>417</v>
      </c>
      <c r="H2572" s="353">
        <v>1006892.26</v>
      </c>
      <c r="I2572" s="59" t="s">
        <v>413</v>
      </c>
      <c r="J2572" s="18" t="s">
        <v>10338</v>
      </c>
      <c r="K2572" s="20"/>
      <c r="L2572" s="20">
        <v>2</v>
      </c>
      <c r="M2572" s="357">
        <f>SUM(H2572:H2573)</f>
        <v>4239580.93</v>
      </c>
      <c r="N2572" s="411">
        <f>IFERROR((M2572/(VLOOKUP(B2572,'Data Pull Sheet'!$C:$H,6,FALSE))),"DC")</f>
        <v>4.4627167684210527E-3</v>
      </c>
      <c r="O2572" s="23" t="s">
        <v>9725</v>
      </c>
      <c r="P2572" s="92" t="s">
        <v>632</v>
      </c>
      <c r="Q2572" s="18" t="s">
        <v>633</v>
      </c>
      <c r="R2572" s="372" t="str">
        <f t="shared" si="81"/>
        <v>FF</v>
      </c>
    </row>
    <row r="2573" spans="1:18" ht="30" x14ac:dyDescent="0.25">
      <c r="A2573" s="23" t="s">
        <v>8864</v>
      </c>
      <c r="B2573" s="18" t="str">
        <f>VLOOKUP(A2573, 'Data Pull Sheet'!$B$2:$C$552,2,FALSE)</f>
        <v>MD</v>
      </c>
      <c r="C2573" s="59" t="s">
        <v>603</v>
      </c>
      <c r="D2573" s="356" t="s">
        <v>9045</v>
      </c>
      <c r="E2573" s="356" t="s">
        <v>9148</v>
      </c>
      <c r="F2573" s="23" t="s">
        <v>249</v>
      </c>
      <c r="G2573" s="92" t="s">
        <v>417</v>
      </c>
      <c r="H2573" s="353">
        <v>3232688.67</v>
      </c>
      <c r="I2573" s="59" t="s">
        <v>406</v>
      </c>
      <c r="J2573" s="18" t="s">
        <v>10339</v>
      </c>
      <c r="K2573" s="20"/>
      <c r="L2573" s="20"/>
      <c r="M2573" s="357"/>
      <c r="N2573" s="411"/>
      <c r="O2573" s="23" t="s">
        <v>9725</v>
      </c>
      <c r="P2573" s="92" t="s">
        <v>632</v>
      </c>
      <c r="Q2573" s="18" t="s">
        <v>633</v>
      </c>
      <c r="R2573" s="372" t="str">
        <f t="shared" si="81"/>
        <v>FF</v>
      </c>
    </row>
    <row r="2574" spans="1:18" x14ac:dyDescent="0.25">
      <c r="A2574" s="23" t="s">
        <v>8865</v>
      </c>
      <c r="B2574" s="18" t="str">
        <f>VLOOKUP(A2574, 'Data Pull Sheet'!$B$2:$C$552,2,FALSE)</f>
        <v>MRCY</v>
      </c>
      <c r="C2574" s="59" t="s">
        <v>409</v>
      </c>
      <c r="D2574" s="356" t="s">
        <v>9045</v>
      </c>
      <c r="E2574" s="356" t="s">
        <v>9148</v>
      </c>
      <c r="F2574" s="23" t="s">
        <v>2121</v>
      </c>
      <c r="G2574" s="92" t="s">
        <v>417</v>
      </c>
      <c r="H2574" s="353">
        <v>28878.98</v>
      </c>
      <c r="I2574" s="59" t="s">
        <v>406</v>
      </c>
      <c r="J2574" s="18" t="s">
        <v>10327</v>
      </c>
      <c r="K2574" s="20">
        <v>1</v>
      </c>
      <c r="L2574" s="20">
        <v>1</v>
      </c>
      <c r="M2574" s="357">
        <f t="shared" ref="M2574:M2583" si="82">+H2574</f>
        <v>28878.98</v>
      </c>
      <c r="N2574" s="411">
        <f>IFERROR((M2574/(VLOOKUP(B2574,'Data Pull Sheet'!$C:$H,6,FALSE))),"DC")</f>
        <v>2.22146E-4</v>
      </c>
      <c r="O2574" s="23" t="s">
        <v>63</v>
      </c>
      <c r="P2574" s="92" t="s">
        <v>676</v>
      </c>
      <c r="Q2574" s="18" t="s">
        <v>633</v>
      </c>
      <c r="R2574" s="372" t="str">
        <f t="shared" si="81"/>
        <v>FF</v>
      </c>
    </row>
    <row r="2575" spans="1:18" x14ac:dyDescent="0.25">
      <c r="A2575" s="23" t="s">
        <v>8240</v>
      </c>
      <c r="B2575" s="18" t="str">
        <f>VLOOKUP(A2575, 'Data Pull Sheet'!$B$2:$C$552,2,FALSE)</f>
        <v>ACAD</v>
      </c>
      <c r="C2575" s="59" t="s">
        <v>557</v>
      </c>
      <c r="D2575" s="356" t="s">
        <v>9043</v>
      </c>
      <c r="E2575" s="356" t="s">
        <v>9147</v>
      </c>
      <c r="F2575" s="23" t="s">
        <v>9197</v>
      </c>
      <c r="G2575" s="92" t="s">
        <v>403</v>
      </c>
      <c r="H2575" s="353">
        <v>71637.91</v>
      </c>
      <c r="I2575" s="59" t="s">
        <v>406</v>
      </c>
      <c r="J2575" s="18" t="s">
        <v>10328</v>
      </c>
      <c r="K2575" s="20">
        <v>8</v>
      </c>
      <c r="L2575" s="20">
        <v>1</v>
      </c>
      <c r="M2575" s="357">
        <f t="shared" si="82"/>
        <v>71637.91</v>
      </c>
      <c r="N2575" s="411">
        <f>IFERROR((M2575/(VLOOKUP(B2575,'Data Pull Sheet'!$C:$H,6,FALSE))),"DC")</f>
        <v>7.5408326315789474E-5</v>
      </c>
      <c r="O2575" s="23" t="s">
        <v>63</v>
      </c>
      <c r="P2575" s="92" t="s">
        <v>632</v>
      </c>
      <c r="Q2575" s="18" t="s">
        <v>637</v>
      </c>
      <c r="R2575" s="372" t="str">
        <f t="shared" si="81"/>
        <v/>
      </c>
    </row>
    <row r="2576" spans="1:18" x14ac:dyDescent="0.25">
      <c r="A2576" s="23" t="s">
        <v>8240</v>
      </c>
      <c r="B2576" s="18" t="str">
        <f>VLOOKUP(A2576, 'Data Pull Sheet'!$B$2:$C$552,2,FALSE)</f>
        <v>ACAD</v>
      </c>
      <c r="C2576" s="59" t="s">
        <v>557</v>
      </c>
      <c r="D2576" s="356" t="s">
        <v>9043</v>
      </c>
      <c r="E2576" s="356" t="s">
        <v>9147</v>
      </c>
      <c r="F2576" s="23" t="s">
        <v>6814</v>
      </c>
      <c r="G2576" s="92" t="s">
        <v>403</v>
      </c>
      <c r="H2576" s="353">
        <v>131683</v>
      </c>
      <c r="I2576" s="59" t="s">
        <v>406</v>
      </c>
      <c r="J2576" s="18" t="s">
        <v>10331</v>
      </c>
      <c r="K2576" s="20"/>
      <c r="L2576" s="20">
        <v>1</v>
      </c>
      <c r="M2576" s="357">
        <f t="shared" si="82"/>
        <v>131683</v>
      </c>
      <c r="N2576" s="411">
        <f>IFERROR((M2576/(VLOOKUP(B2576,'Data Pull Sheet'!$C:$H,6,FALSE))),"DC")</f>
        <v>1.3861368421052631E-4</v>
      </c>
      <c r="O2576" s="23" t="s">
        <v>4392</v>
      </c>
      <c r="P2576" s="92" t="s">
        <v>632</v>
      </c>
      <c r="Q2576" s="18" t="s">
        <v>637</v>
      </c>
      <c r="R2576" s="372" t="str">
        <f t="shared" si="81"/>
        <v>FF</v>
      </c>
    </row>
    <row r="2577" spans="1:18" x14ac:dyDescent="0.25">
      <c r="A2577" s="23" t="s">
        <v>8240</v>
      </c>
      <c r="B2577" s="18" t="str">
        <f>VLOOKUP(A2577, 'Data Pull Sheet'!$B$2:$C$552,2,FALSE)</f>
        <v>ACAD</v>
      </c>
      <c r="C2577" s="59" t="s">
        <v>557</v>
      </c>
      <c r="D2577" s="356" t="s">
        <v>9043</v>
      </c>
      <c r="E2577" s="356" t="s">
        <v>9147</v>
      </c>
      <c r="F2577" s="23" t="s">
        <v>9198</v>
      </c>
      <c r="G2577" s="92" t="s">
        <v>403</v>
      </c>
      <c r="H2577" s="353">
        <v>263254</v>
      </c>
      <c r="I2577" s="59" t="s">
        <v>406</v>
      </c>
      <c r="J2577" s="18" t="s">
        <v>10332</v>
      </c>
      <c r="K2577" s="20"/>
      <c r="L2577" s="20">
        <v>1</v>
      </c>
      <c r="M2577" s="357">
        <f t="shared" si="82"/>
        <v>263254</v>
      </c>
      <c r="N2577" s="411">
        <f>IFERROR((M2577/(VLOOKUP(B2577,'Data Pull Sheet'!$C:$H,6,FALSE))),"DC")</f>
        <v>2.771094736842105E-4</v>
      </c>
      <c r="O2577" s="23" t="s">
        <v>157</v>
      </c>
      <c r="P2577" s="92" t="s">
        <v>632</v>
      </c>
      <c r="Q2577" s="18" t="s">
        <v>637</v>
      </c>
      <c r="R2577" s="372" t="str">
        <f t="shared" si="81"/>
        <v/>
      </c>
    </row>
    <row r="2578" spans="1:18" x14ac:dyDescent="0.25">
      <c r="A2578" s="23" t="s">
        <v>8240</v>
      </c>
      <c r="B2578" s="18" t="str">
        <f>VLOOKUP(A2578, 'Data Pull Sheet'!$B$2:$C$552,2,FALSE)</f>
        <v>ACAD</v>
      </c>
      <c r="C2578" s="59" t="s">
        <v>557</v>
      </c>
      <c r="D2578" s="356" t="s">
        <v>9043</v>
      </c>
      <c r="E2578" s="356" t="s">
        <v>9147</v>
      </c>
      <c r="F2578" s="23" t="s">
        <v>9199</v>
      </c>
      <c r="G2578" s="92" t="s">
        <v>403</v>
      </c>
      <c r="H2578" s="353">
        <v>81210.990000000005</v>
      </c>
      <c r="I2578" s="59"/>
      <c r="J2578" s="18" t="s">
        <v>10340</v>
      </c>
      <c r="K2578" s="20"/>
      <c r="L2578" s="20">
        <v>1</v>
      </c>
      <c r="M2578" s="357">
        <f t="shared" si="82"/>
        <v>81210.990000000005</v>
      </c>
      <c r="N2578" s="411">
        <f>IFERROR((M2578/(VLOOKUP(B2578,'Data Pull Sheet'!$C:$H,6,FALSE))),"DC")</f>
        <v>8.5485252631578958E-5</v>
      </c>
      <c r="O2578" s="23" t="s">
        <v>849</v>
      </c>
      <c r="P2578" s="92" t="s">
        <v>632</v>
      </c>
      <c r="Q2578" s="18" t="s">
        <v>637</v>
      </c>
      <c r="R2578" s="372" t="str">
        <f t="shared" si="81"/>
        <v/>
      </c>
    </row>
    <row r="2579" spans="1:18" x14ac:dyDescent="0.25">
      <c r="A2579" s="23" t="s">
        <v>8240</v>
      </c>
      <c r="B2579" s="18" t="str">
        <f>VLOOKUP(A2579, 'Data Pull Sheet'!$B$2:$C$552,2,FALSE)</f>
        <v>ACAD</v>
      </c>
      <c r="C2579" s="59" t="s">
        <v>557</v>
      </c>
      <c r="D2579" s="356" t="s">
        <v>9043</v>
      </c>
      <c r="E2579" s="356" t="s">
        <v>9147</v>
      </c>
      <c r="F2579" s="23" t="s">
        <v>9200</v>
      </c>
      <c r="G2579" s="92" t="s">
        <v>403</v>
      </c>
      <c r="H2579" s="353">
        <v>106191.57</v>
      </c>
      <c r="I2579" s="59"/>
      <c r="J2579" s="18" t="s">
        <v>10341</v>
      </c>
      <c r="K2579" s="20"/>
      <c r="L2579" s="20">
        <v>1</v>
      </c>
      <c r="M2579" s="357">
        <f t="shared" si="82"/>
        <v>106191.57</v>
      </c>
      <c r="N2579" s="411">
        <f>IFERROR((M2579/(VLOOKUP(B2579,'Data Pull Sheet'!$C:$H,6,FALSE))),"DC")</f>
        <v>1.1178060000000001E-4</v>
      </c>
      <c r="O2579" s="23" t="s">
        <v>597</v>
      </c>
      <c r="P2579" s="92" t="s">
        <v>632</v>
      </c>
      <c r="Q2579" s="18" t="s">
        <v>637</v>
      </c>
      <c r="R2579" s="372" t="str">
        <f t="shared" si="81"/>
        <v/>
      </c>
    </row>
    <row r="2580" spans="1:18" x14ac:dyDescent="0.25">
      <c r="A2580" s="23" t="s">
        <v>8240</v>
      </c>
      <c r="B2580" s="18" t="str">
        <f>VLOOKUP(A2580, 'Data Pull Sheet'!$B$2:$C$552,2,FALSE)</f>
        <v>ACAD</v>
      </c>
      <c r="C2580" s="59" t="s">
        <v>557</v>
      </c>
      <c r="D2580" s="356" t="s">
        <v>9043</v>
      </c>
      <c r="E2580" s="356" t="s">
        <v>9147</v>
      </c>
      <c r="F2580" s="23" t="s">
        <v>9201</v>
      </c>
      <c r="G2580" s="92" t="s">
        <v>403</v>
      </c>
      <c r="H2580" s="353">
        <v>260519.6</v>
      </c>
      <c r="I2580" s="59"/>
      <c r="J2580" s="18" t="s">
        <v>10342</v>
      </c>
      <c r="K2580" s="20"/>
      <c r="L2580" s="20">
        <v>1</v>
      </c>
      <c r="M2580" s="357">
        <f t="shared" si="82"/>
        <v>260519.6</v>
      </c>
      <c r="N2580" s="411">
        <f>IFERROR((M2580/(VLOOKUP(B2580,'Data Pull Sheet'!$C:$H,6,FALSE))),"DC")</f>
        <v>2.7423115789473683E-4</v>
      </c>
      <c r="O2580" s="23" t="s">
        <v>682</v>
      </c>
      <c r="P2580" s="92" t="s">
        <v>632</v>
      </c>
      <c r="Q2580" s="18" t="s">
        <v>637</v>
      </c>
      <c r="R2580" s="372" t="str">
        <f t="shared" si="81"/>
        <v/>
      </c>
    </row>
    <row r="2581" spans="1:18" x14ac:dyDescent="0.25">
      <c r="A2581" s="23" t="s">
        <v>8240</v>
      </c>
      <c r="B2581" s="18" t="str">
        <f>VLOOKUP(A2581, 'Data Pull Sheet'!$B$2:$C$552,2,FALSE)</f>
        <v>ACAD</v>
      </c>
      <c r="C2581" s="59" t="s">
        <v>557</v>
      </c>
      <c r="D2581" s="356" t="s">
        <v>9043</v>
      </c>
      <c r="E2581" s="356" t="s">
        <v>9147</v>
      </c>
      <c r="F2581" s="23" t="s">
        <v>9202</v>
      </c>
      <c r="G2581" s="92" t="s">
        <v>417</v>
      </c>
      <c r="H2581" s="353">
        <v>257543.96</v>
      </c>
      <c r="I2581" s="59"/>
      <c r="J2581" s="18" t="s">
        <v>10343</v>
      </c>
      <c r="K2581" s="20"/>
      <c r="L2581" s="20">
        <v>1</v>
      </c>
      <c r="M2581" s="357">
        <f t="shared" si="82"/>
        <v>257543.96</v>
      </c>
      <c r="N2581" s="411">
        <f>IFERROR((M2581/(VLOOKUP(B2581,'Data Pull Sheet'!$C:$H,6,FALSE))),"DC")</f>
        <v>2.7109890526315789E-4</v>
      </c>
      <c r="O2581" s="23" t="s">
        <v>7</v>
      </c>
      <c r="P2581" s="92" t="s">
        <v>632</v>
      </c>
      <c r="Q2581" s="18" t="s">
        <v>633</v>
      </c>
      <c r="R2581" s="372" t="str">
        <f t="shared" si="81"/>
        <v/>
      </c>
    </row>
    <row r="2582" spans="1:18" x14ac:dyDescent="0.25">
      <c r="A2582" s="23" t="s">
        <v>8240</v>
      </c>
      <c r="B2582" s="18" t="str">
        <f>VLOOKUP(A2582, 'Data Pull Sheet'!$B$2:$C$552,2,FALSE)</f>
        <v>ACAD</v>
      </c>
      <c r="C2582" s="59" t="s">
        <v>557</v>
      </c>
      <c r="D2582" s="356" t="s">
        <v>9043</v>
      </c>
      <c r="E2582" s="356" t="s">
        <v>9147</v>
      </c>
      <c r="F2582" s="23" t="s">
        <v>9203</v>
      </c>
      <c r="G2582" s="92" t="s">
        <v>403</v>
      </c>
      <c r="H2582" s="353">
        <v>812129</v>
      </c>
      <c r="I2582" s="59" t="s">
        <v>413</v>
      </c>
      <c r="J2582" s="18" t="s">
        <v>10344</v>
      </c>
      <c r="K2582" s="20"/>
      <c r="L2582" s="20">
        <v>1</v>
      </c>
      <c r="M2582" s="357">
        <f t="shared" si="82"/>
        <v>812129</v>
      </c>
      <c r="N2582" s="411">
        <f>IFERROR((M2582/(VLOOKUP(B2582,'Data Pull Sheet'!$C:$H,6,FALSE))),"DC")</f>
        <v>8.5487263157894735E-4</v>
      </c>
      <c r="O2582" s="23" t="s">
        <v>1204</v>
      </c>
      <c r="P2582" s="92" t="s">
        <v>632</v>
      </c>
      <c r="Q2582" s="18" t="s">
        <v>637</v>
      </c>
      <c r="R2582" s="372" t="str">
        <f t="shared" si="81"/>
        <v/>
      </c>
    </row>
    <row r="2583" spans="1:18" x14ac:dyDescent="0.25">
      <c r="A2583" s="23" t="s">
        <v>2768</v>
      </c>
      <c r="B2583" s="18" t="s">
        <v>10775</v>
      </c>
      <c r="C2583" s="59" t="s">
        <v>603</v>
      </c>
      <c r="D2583" s="356" t="s">
        <v>9042</v>
      </c>
      <c r="E2583" s="356" t="s">
        <v>9147</v>
      </c>
      <c r="F2583" s="23" t="s">
        <v>9196</v>
      </c>
      <c r="G2583" s="92" t="s">
        <v>403</v>
      </c>
      <c r="H2583" s="353">
        <v>597436</v>
      </c>
      <c r="I2583" s="59"/>
      <c r="J2583" s="18" t="s">
        <v>10777</v>
      </c>
      <c r="K2583" s="20">
        <v>1</v>
      </c>
      <c r="L2583" s="20">
        <v>1</v>
      </c>
      <c r="M2583" s="357">
        <f t="shared" si="82"/>
        <v>597436</v>
      </c>
      <c r="N2583" s="411">
        <f>IFERROR((M2583/(VLOOKUP(B2583,'Data Pull Sheet'!$C:$H,6,FALSE))),"DC")</f>
        <v>1.9914533333333335E-2</v>
      </c>
      <c r="O2583" s="23" t="s">
        <v>9723</v>
      </c>
      <c r="P2583" s="92" t="s">
        <v>676</v>
      </c>
      <c r="Q2583" s="18" t="s">
        <v>637</v>
      </c>
      <c r="R2583" s="372" t="str">
        <f t="shared" si="81"/>
        <v/>
      </c>
    </row>
    <row r="2584" spans="1:18" x14ac:dyDescent="0.25">
      <c r="A2584" s="23" t="s">
        <v>8890</v>
      </c>
      <c r="B2584" s="18" t="str">
        <f>VLOOKUP(A2584, 'Data Pull Sheet'!$B$2:$C$552,2,FALSE)</f>
        <v>PRTA</v>
      </c>
      <c r="C2584" s="59" t="s">
        <v>418</v>
      </c>
      <c r="D2584" s="356" t="s">
        <v>9041</v>
      </c>
      <c r="E2584" s="356" t="s">
        <v>9147</v>
      </c>
      <c r="F2584" s="23" t="s">
        <v>9194</v>
      </c>
      <c r="G2584" s="92" t="s">
        <v>417</v>
      </c>
      <c r="H2584" s="353">
        <v>1528721.46</v>
      </c>
      <c r="I2584" s="59" t="s">
        <v>406</v>
      </c>
      <c r="J2584" s="18" t="s">
        <v>10345</v>
      </c>
      <c r="K2584" s="20">
        <v>1</v>
      </c>
      <c r="L2584" s="20">
        <v>2</v>
      </c>
      <c r="M2584" s="357">
        <f>SUM(H2584:H2585)</f>
        <v>2021926.3199999998</v>
      </c>
      <c r="N2584" s="411">
        <f>IFERROR((M2584/(VLOOKUP(B2584,'Data Pull Sheet'!$C:$H,6,FALSE))),"DC")</f>
        <v>2.3107729371428568E-3</v>
      </c>
      <c r="O2584" s="23" t="s">
        <v>9722</v>
      </c>
      <c r="P2584" s="92" t="s">
        <v>676</v>
      </c>
      <c r="Q2584" s="18" t="s">
        <v>633</v>
      </c>
      <c r="R2584" s="372" t="str">
        <f t="shared" si="81"/>
        <v/>
      </c>
    </row>
    <row r="2585" spans="1:18" x14ac:dyDescent="0.25">
      <c r="A2585" s="23" t="s">
        <v>8890</v>
      </c>
      <c r="B2585" s="18" t="str">
        <f>VLOOKUP(A2585, 'Data Pull Sheet'!$B$2:$C$552,2,FALSE)</f>
        <v>PRTA</v>
      </c>
      <c r="C2585" s="59" t="s">
        <v>418</v>
      </c>
      <c r="D2585" s="356" t="s">
        <v>9041</v>
      </c>
      <c r="E2585" s="356" t="s">
        <v>9147</v>
      </c>
      <c r="F2585" s="23" t="s">
        <v>9195</v>
      </c>
      <c r="G2585" s="92" t="s">
        <v>403</v>
      </c>
      <c r="H2585" s="353">
        <v>493204.86</v>
      </c>
      <c r="I2585" s="59" t="s">
        <v>406</v>
      </c>
      <c r="J2585" s="18" t="s">
        <v>10346</v>
      </c>
      <c r="K2585" s="20"/>
      <c r="L2585" s="20"/>
      <c r="M2585" s="357"/>
      <c r="N2585" s="411"/>
      <c r="O2585" s="23" t="s">
        <v>9722</v>
      </c>
      <c r="P2585" s="92" t="s">
        <v>676</v>
      </c>
      <c r="Q2585" s="18" t="s">
        <v>637</v>
      </c>
      <c r="R2585" s="372" t="str">
        <f t="shared" si="81"/>
        <v/>
      </c>
    </row>
    <row r="2586" spans="1:18" x14ac:dyDescent="0.25">
      <c r="A2586" s="23" t="s">
        <v>8782</v>
      </c>
      <c r="B2586" s="18" t="str">
        <f>VLOOKUP(A2586, 'Data Pull Sheet'!$B$2:$C$552,2,FALSE)</f>
        <v>ABBV</v>
      </c>
      <c r="C2586" s="59" t="s">
        <v>465</v>
      </c>
      <c r="D2586" s="356" t="s">
        <v>9040</v>
      </c>
      <c r="E2586" s="356" t="s">
        <v>9146</v>
      </c>
      <c r="F2586" s="23" t="s">
        <v>9193</v>
      </c>
      <c r="G2586" s="92" t="s">
        <v>417</v>
      </c>
      <c r="H2586" s="353">
        <v>819065.15</v>
      </c>
      <c r="I2586" s="59"/>
      <c r="J2586" s="18" t="s">
        <v>10347</v>
      </c>
      <c r="K2586" s="20">
        <v>1</v>
      </c>
      <c r="L2586" s="20">
        <v>1</v>
      </c>
      <c r="M2586" s="357">
        <f t="shared" ref="M2586:M2593" si="83">+H2586</f>
        <v>819065.15</v>
      </c>
      <c r="N2586" s="411">
        <f>IFERROR((M2586/(VLOOKUP(B2586,'Data Pull Sheet'!$C:$H,6,FALSE))),"DC")</f>
        <v>1.0238314375E-3</v>
      </c>
      <c r="O2586" s="23" t="s">
        <v>9721</v>
      </c>
      <c r="P2586" s="92" t="s">
        <v>676</v>
      </c>
      <c r="Q2586" s="18" t="s">
        <v>633</v>
      </c>
      <c r="R2586" s="372" t="str">
        <f t="shared" si="81"/>
        <v>FF</v>
      </c>
    </row>
    <row r="2587" spans="1:18" x14ac:dyDescent="0.25">
      <c r="A2587" s="23" t="s">
        <v>8922</v>
      </c>
      <c r="B2587" s="18" t="str">
        <f>VLOOKUP(A2587, 'Data Pull Sheet'!$B$2:$C$552,2,FALSE)</f>
        <v>VUZI</v>
      </c>
      <c r="C2587" s="59" t="s">
        <v>418</v>
      </c>
      <c r="D2587" s="356" t="s">
        <v>9039</v>
      </c>
      <c r="E2587" s="356" t="s">
        <v>9146</v>
      </c>
      <c r="F2587" s="23" t="s">
        <v>9191</v>
      </c>
      <c r="G2587" s="92" t="s">
        <v>403</v>
      </c>
      <c r="H2587" s="353">
        <v>39982.89</v>
      </c>
      <c r="I2587" s="59"/>
      <c r="J2587" s="18" t="s">
        <v>10348</v>
      </c>
      <c r="K2587" s="20">
        <v>2</v>
      </c>
      <c r="L2587" s="20">
        <v>1</v>
      </c>
      <c r="M2587" s="357">
        <f t="shared" si="83"/>
        <v>39982.89</v>
      </c>
      <c r="N2587" s="411">
        <f>IFERROR((M2587/(VLOOKUP(B2587,'Data Pull Sheet'!$C:$H,6,FALSE))),"DC")</f>
        <v>2.2212716666666667E-3</v>
      </c>
      <c r="O2587" s="23" t="s">
        <v>682</v>
      </c>
      <c r="P2587" s="92" t="s">
        <v>632</v>
      </c>
      <c r="Q2587" s="18" t="s">
        <v>637</v>
      </c>
      <c r="R2587" s="372" t="str">
        <f t="shared" si="81"/>
        <v/>
      </c>
    </row>
    <row r="2588" spans="1:18" x14ac:dyDescent="0.25">
      <c r="A2588" s="23" t="s">
        <v>8922</v>
      </c>
      <c r="B2588" s="18" t="str">
        <f>VLOOKUP(A2588, 'Data Pull Sheet'!$B$2:$C$552,2,FALSE)</f>
        <v>VUZI</v>
      </c>
      <c r="C2588" s="59" t="s">
        <v>418</v>
      </c>
      <c r="D2588" s="356" t="s">
        <v>9039</v>
      </c>
      <c r="E2588" s="356" t="s">
        <v>9146</v>
      </c>
      <c r="F2588" s="23" t="s">
        <v>9192</v>
      </c>
      <c r="G2588" s="92" t="s">
        <v>403</v>
      </c>
      <c r="H2588" s="353">
        <v>120905</v>
      </c>
      <c r="I2588" s="59"/>
      <c r="J2588" s="18" t="s">
        <v>10278</v>
      </c>
      <c r="K2588" s="20"/>
      <c r="L2588" s="20">
        <v>1</v>
      </c>
      <c r="M2588" s="357">
        <f t="shared" si="83"/>
        <v>120905</v>
      </c>
      <c r="N2588" s="411">
        <f>IFERROR((M2588/(VLOOKUP(B2588,'Data Pull Sheet'!$C:$H,6,FALSE))),"DC")</f>
        <v>6.7169444444444447E-3</v>
      </c>
      <c r="O2588" s="23" t="s">
        <v>2345</v>
      </c>
      <c r="P2588" s="92" t="s">
        <v>632</v>
      </c>
      <c r="Q2588" s="18" t="s">
        <v>637</v>
      </c>
      <c r="R2588" s="372" t="str">
        <f t="shared" si="81"/>
        <v/>
      </c>
    </row>
    <row r="2589" spans="1:18" x14ac:dyDescent="0.25">
      <c r="A2589" s="23" t="s">
        <v>3351</v>
      </c>
      <c r="B2589" s="18" t="s">
        <v>10680</v>
      </c>
      <c r="C2589" s="59" t="s">
        <v>1008</v>
      </c>
      <c r="D2589" s="356" t="s">
        <v>9038</v>
      </c>
      <c r="E2589" s="356" t="s">
        <v>9145</v>
      </c>
      <c r="F2589" s="23" t="s">
        <v>9184</v>
      </c>
      <c r="G2589" s="92" t="s">
        <v>417</v>
      </c>
      <c r="H2589" s="353">
        <v>27283.87</v>
      </c>
      <c r="I2589" s="59"/>
      <c r="J2589" s="18" t="s">
        <v>10681</v>
      </c>
      <c r="K2589" s="20">
        <v>4</v>
      </c>
      <c r="L2589" s="20">
        <v>1</v>
      </c>
      <c r="M2589" s="357">
        <f t="shared" si="83"/>
        <v>27283.87</v>
      </c>
      <c r="N2589" s="411">
        <f>IFERROR((M2589/(VLOOKUP(B2589,'Data Pull Sheet'!$C:$H,6,FALSE))),"DC")</f>
        <v>2.7283870000000001E-3</v>
      </c>
      <c r="O2589" s="23" t="s">
        <v>597</v>
      </c>
      <c r="P2589" s="92" t="s">
        <v>632</v>
      </c>
      <c r="Q2589" s="18" t="s">
        <v>633</v>
      </c>
      <c r="R2589" s="372" t="str">
        <f t="shared" si="81"/>
        <v/>
      </c>
    </row>
    <row r="2590" spans="1:18" x14ac:dyDescent="0.25">
      <c r="A2590" s="23" t="s">
        <v>3351</v>
      </c>
      <c r="B2590" s="18" t="s">
        <v>10680</v>
      </c>
      <c r="C2590" s="59" t="s">
        <v>1008</v>
      </c>
      <c r="D2590" s="356" t="s">
        <v>9038</v>
      </c>
      <c r="E2590" s="356" t="s">
        <v>9145</v>
      </c>
      <c r="F2590" s="23" t="s">
        <v>9185</v>
      </c>
      <c r="G2590" s="92" t="s">
        <v>403</v>
      </c>
      <c r="H2590" s="353">
        <v>5539.9</v>
      </c>
      <c r="I2590" s="59"/>
      <c r="J2590" s="18" t="s">
        <v>10682</v>
      </c>
      <c r="K2590" s="20"/>
      <c r="L2590" s="20">
        <v>1</v>
      </c>
      <c r="M2590" s="357">
        <f t="shared" si="83"/>
        <v>5539.9</v>
      </c>
      <c r="N2590" s="411">
        <f>IFERROR((M2590/(VLOOKUP(B2590,'Data Pull Sheet'!$C:$H,6,FALSE))),"DC")</f>
        <v>5.5398999999999997E-4</v>
      </c>
      <c r="O2590" s="23" t="s">
        <v>104</v>
      </c>
      <c r="P2590" s="92" t="s">
        <v>632</v>
      </c>
      <c r="Q2590" s="18" t="s">
        <v>637</v>
      </c>
      <c r="R2590" s="372" t="str">
        <f t="shared" si="81"/>
        <v/>
      </c>
    </row>
    <row r="2591" spans="1:18" x14ac:dyDescent="0.25">
      <c r="A2591" s="23" t="s">
        <v>3351</v>
      </c>
      <c r="B2591" s="18" t="s">
        <v>10680</v>
      </c>
      <c r="C2591" s="59" t="s">
        <v>1008</v>
      </c>
      <c r="D2591" s="356" t="s">
        <v>9038</v>
      </c>
      <c r="E2591" s="356" t="s">
        <v>9145</v>
      </c>
      <c r="F2591" s="23" t="s">
        <v>9186</v>
      </c>
      <c r="G2591" s="92" t="s">
        <v>403</v>
      </c>
      <c r="H2591" s="353">
        <v>710</v>
      </c>
      <c r="I2591" s="59"/>
      <c r="J2591" s="18" t="s">
        <v>10683</v>
      </c>
      <c r="K2591" s="20"/>
      <c r="L2591" s="20">
        <v>1</v>
      </c>
      <c r="M2591" s="357">
        <f t="shared" si="83"/>
        <v>710</v>
      </c>
      <c r="N2591" s="411">
        <f>IFERROR((M2591/(VLOOKUP(B2591,'Data Pull Sheet'!$C:$H,6,FALSE))),"DC")</f>
        <v>7.1000000000000005E-5</v>
      </c>
      <c r="O2591" s="23" t="s">
        <v>682</v>
      </c>
      <c r="P2591" s="92" t="s">
        <v>632</v>
      </c>
      <c r="Q2591" s="18" t="s">
        <v>637</v>
      </c>
      <c r="R2591" s="372" t="str">
        <f t="shared" si="81"/>
        <v/>
      </c>
    </row>
    <row r="2592" spans="1:18" x14ac:dyDescent="0.25">
      <c r="A2592" s="23" t="s">
        <v>3351</v>
      </c>
      <c r="B2592" s="18" t="s">
        <v>10680</v>
      </c>
      <c r="C2592" s="59" t="s">
        <v>1008</v>
      </c>
      <c r="D2592" s="356" t="s">
        <v>9038</v>
      </c>
      <c r="E2592" s="356" t="s">
        <v>9145</v>
      </c>
      <c r="F2592" s="23" t="s">
        <v>9187</v>
      </c>
      <c r="G2592" s="92" t="s">
        <v>403</v>
      </c>
      <c r="H2592" s="353">
        <v>25965</v>
      </c>
      <c r="I2592" s="59"/>
      <c r="J2592" s="18" t="s">
        <v>10684</v>
      </c>
      <c r="K2592" s="20"/>
      <c r="L2592" s="20">
        <v>1</v>
      </c>
      <c r="M2592" s="357">
        <f t="shared" si="83"/>
        <v>25965</v>
      </c>
      <c r="N2592" s="411">
        <f>IFERROR((M2592/(VLOOKUP(B2592,'Data Pull Sheet'!$C:$H,6,FALSE))),"DC")</f>
        <v>2.5964999999999998E-3</v>
      </c>
      <c r="O2592" s="23" t="s">
        <v>79</v>
      </c>
      <c r="P2592" s="92" t="s">
        <v>632</v>
      </c>
      <c r="Q2592" s="18" t="s">
        <v>637</v>
      </c>
      <c r="R2592" s="372" t="str">
        <f t="shared" si="81"/>
        <v/>
      </c>
    </row>
    <row r="2593" spans="1:18" x14ac:dyDescent="0.25">
      <c r="A2593" s="23" t="s">
        <v>296</v>
      </c>
      <c r="B2593" s="18" t="s">
        <v>10779</v>
      </c>
      <c r="C2593" s="59" t="s">
        <v>418</v>
      </c>
      <c r="D2593" s="356" t="s">
        <v>9038</v>
      </c>
      <c r="E2593" s="356" t="s">
        <v>9145</v>
      </c>
      <c r="F2593" s="23" t="s">
        <v>9188</v>
      </c>
      <c r="G2593" s="92" t="s">
        <v>403</v>
      </c>
      <c r="H2593" s="353">
        <v>437466.52</v>
      </c>
      <c r="I2593" s="59" t="s">
        <v>406</v>
      </c>
      <c r="J2593" s="18" t="s">
        <v>10780</v>
      </c>
      <c r="K2593" s="20">
        <v>2</v>
      </c>
      <c r="L2593" s="20">
        <v>1</v>
      </c>
      <c r="M2593" s="357">
        <f t="shared" si="83"/>
        <v>437466.52</v>
      </c>
      <c r="N2593" s="411">
        <f>IFERROR((M2593/(VLOOKUP(B2593,'Data Pull Sheet'!$C:$H,6,FALSE))),"DC")</f>
        <v>3.339439083969466E-3</v>
      </c>
      <c r="O2593" s="23" t="s">
        <v>9720</v>
      </c>
      <c r="P2593" s="92" t="s">
        <v>632</v>
      </c>
      <c r="Q2593" s="18" t="s">
        <v>637</v>
      </c>
      <c r="R2593" s="372" t="str">
        <f t="shared" si="81"/>
        <v/>
      </c>
    </row>
    <row r="2594" spans="1:18" x14ac:dyDescent="0.25">
      <c r="A2594" s="23" t="s">
        <v>296</v>
      </c>
      <c r="B2594" s="18" t="s">
        <v>10779</v>
      </c>
      <c r="C2594" s="59" t="s">
        <v>418</v>
      </c>
      <c r="D2594" s="356" t="s">
        <v>9038</v>
      </c>
      <c r="E2594" s="356" t="s">
        <v>9145</v>
      </c>
      <c r="F2594" s="23" t="s">
        <v>9189</v>
      </c>
      <c r="G2594" s="92" t="s">
        <v>403</v>
      </c>
      <c r="H2594" s="353">
        <v>6571</v>
      </c>
      <c r="I2594" s="59"/>
      <c r="J2594" s="18" t="s">
        <v>10781</v>
      </c>
      <c r="K2594" s="20"/>
      <c r="L2594" s="20">
        <v>2</v>
      </c>
      <c r="M2594" s="357">
        <f>SUM(H2594:H2595)</f>
        <v>22189</v>
      </c>
      <c r="N2594" s="411">
        <f>IFERROR((M2594/(VLOOKUP(B2594,'Data Pull Sheet'!$C:$H,6,FALSE))),"DC")</f>
        <v>1.6938167938931298E-4</v>
      </c>
      <c r="O2594" s="23" t="s">
        <v>1204</v>
      </c>
      <c r="P2594" s="92" t="s">
        <v>632</v>
      </c>
      <c r="Q2594" s="18" t="s">
        <v>637</v>
      </c>
      <c r="R2594" s="372" t="str">
        <f t="shared" si="81"/>
        <v/>
      </c>
    </row>
    <row r="2595" spans="1:18" x14ac:dyDescent="0.25">
      <c r="A2595" s="23" t="s">
        <v>296</v>
      </c>
      <c r="B2595" s="18" t="s">
        <v>10779</v>
      </c>
      <c r="C2595" s="59" t="s">
        <v>418</v>
      </c>
      <c r="D2595" s="356" t="s">
        <v>9038</v>
      </c>
      <c r="E2595" s="356" t="s">
        <v>9145</v>
      </c>
      <c r="F2595" s="23" t="s">
        <v>9190</v>
      </c>
      <c r="G2595" s="92" t="s">
        <v>403</v>
      </c>
      <c r="H2595" s="353">
        <v>15618</v>
      </c>
      <c r="I2595" s="59"/>
      <c r="J2595" s="18" t="s">
        <v>10782</v>
      </c>
      <c r="K2595" s="20"/>
      <c r="L2595" s="20"/>
      <c r="M2595" s="357"/>
      <c r="N2595" s="411"/>
      <c r="O2595" s="23" t="s">
        <v>1204</v>
      </c>
      <c r="P2595" s="92" t="s">
        <v>632</v>
      </c>
      <c r="Q2595" s="18" t="s">
        <v>637</v>
      </c>
      <c r="R2595" s="92" t="str">
        <f t="shared" si="81"/>
        <v/>
      </c>
    </row>
    <row r="2596" spans="1:18" x14ac:dyDescent="0.25">
      <c r="A2596" s="23" t="s">
        <v>8844</v>
      </c>
      <c r="B2596" s="18" t="str">
        <f>IF(ISNA(VLOOKUP($A2596,'Data Pull Sheet'!$B$2:$C$1795,2,0)),"",(VLOOKUP($A2596,'Data Pull Sheet'!$B$2:$C$1795,2,0)))</f>
        <v>HMNY</v>
      </c>
      <c r="C2596" s="59" t="s">
        <v>418</v>
      </c>
      <c r="D2596" s="356">
        <v>43314</v>
      </c>
      <c r="E2596" s="356">
        <v>43374</v>
      </c>
      <c r="F2596" s="23" t="s">
        <v>11000</v>
      </c>
      <c r="G2596" s="59" t="s">
        <v>403</v>
      </c>
      <c r="H2596" s="353">
        <v>641868.24</v>
      </c>
      <c r="I2596" s="59" t="s">
        <v>406</v>
      </c>
      <c r="J2596" s="59" t="s">
        <v>11005</v>
      </c>
      <c r="K2596" s="20">
        <v>8</v>
      </c>
      <c r="L2596" s="20">
        <v>5</v>
      </c>
      <c r="M2596" s="357">
        <f>SUM(H2596:H2600)</f>
        <v>2565525.73</v>
      </c>
      <c r="N2596" s="411">
        <f>IFERROR((M2596/(VLOOKUP(B2596,'Data Pull Sheet'!$C:$H,6,FALSE))),"DC")</f>
        <v>0.10262102920000001</v>
      </c>
      <c r="O2596" s="23" t="s">
        <v>63</v>
      </c>
      <c r="P2596" s="18" t="s">
        <v>632</v>
      </c>
      <c r="Q2596" s="18" t="s">
        <v>646</v>
      </c>
      <c r="R2596" s="92" t="str">
        <f t="shared" si="81"/>
        <v/>
      </c>
    </row>
    <row r="2597" spans="1:18" x14ac:dyDescent="0.25">
      <c r="A2597" s="23" t="s">
        <v>8844</v>
      </c>
      <c r="B2597" s="18" t="str">
        <f>IF(ISNA(VLOOKUP($A2597,'Data Pull Sheet'!$B$2:$C$1795,2,0)),"",(VLOOKUP($A2597,'Data Pull Sheet'!$B$2:$C$1795,2,0)))</f>
        <v>HMNY</v>
      </c>
      <c r="C2597" s="59" t="s">
        <v>418</v>
      </c>
      <c r="D2597" s="356">
        <v>43314</v>
      </c>
      <c r="E2597" s="356">
        <v>43374</v>
      </c>
      <c r="F2597" s="23" t="s">
        <v>11001</v>
      </c>
      <c r="G2597" s="59" t="s">
        <v>403</v>
      </c>
      <c r="H2597" s="353">
        <v>452252.44</v>
      </c>
      <c r="I2597" s="59" t="s">
        <v>406</v>
      </c>
      <c r="J2597" s="59" t="s">
        <v>11006</v>
      </c>
      <c r="K2597" s="20"/>
      <c r="L2597" s="20"/>
      <c r="M2597" s="357"/>
      <c r="N2597" s="411"/>
      <c r="O2597" s="23" t="s">
        <v>63</v>
      </c>
      <c r="P2597" s="18" t="s">
        <v>632</v>
      </c>
      <c r="Q2597" s="18" t="s">
        <v>646</v>
      </c>
      <c r="R2597" s="92" t="str">
        <f t="shared" si="81"/>
        <v/>
      </c>
    </row>
    <row r="2598" spans="1:18" x14ac:dyDescent="0.25">
      <c r="A2598" s="23" t="s">
        <v>8844</v>
      </c>
      <c r="B2598" s="18" t="str">
        <f>IF(ISNA(VLOOKUP($A2598,'Data Pull Sheet'!$B$2:$C$1795,2,0)),"",(VLOOKUP($A2598,'Data Pull Sheet'!$B$2:$C$1795,2,0)))</f>
        <v>HMNY</v>
      </c>
      <c r="C2598" s="59" t="s">
        <v>418</v>
      </c>
      <c r="D2598" s="356">
        <v>43314</v>
      </c>
      <c r="E2598" s="356">
        <v>43374</v>
      </c>
      <c r="F2598" s="23" t="s">
        <v>11002</v>
      </c>
      <c r="G2598" s="59" t="s">
        <v>403</v>
      </c>
      <c r="H2598" s="353">
        <v>493000.06</v>
      </c>
      <c r="I2598" s="59" t="s">
        <v>406</v>
      </c>
      <c r="J2598" s="59" t="s">
        <v>11007</v>
      </c>
      <c r="K2598" s="20"/>
      <c r="L2598" s="20"/>
      <c r="M2598" s="357"/>
      <c r="N2598" s="411"/>
      <c r="O2598" s="23" t="s">
        <v>63</v>
      </c>
      <c r="P2598" s="18" t="s">
        <v>632</v>
      </c>
      <c r="Q2598" s="18" t="s">
        <v>646</v>
      </c>
      <c r="R2598" s="92" t="str">
        <f t="shared" si="81"/>
        <v/>
      </c>
    </row>
    <row r="2599" spans="1:18" x14ac:dyDescent="0.25">
      <c r="A2599" s="23" t="s">
        <v>8844</v>
      </c>
      <c r="B2599" s="18" t="str">
        <f>IF(ISNA(VLOOKUP($A2599,'Data Pull Sheet'!$B$2:$C$1795,2,0)),"",(VLOOKUP($A2599,'Data Pull Sheet'!$B$2:$C$1795,2,0)))</f>
        <v>HMNY</v>
      </c>
      <c r="C2599" s="59" t="s">
        <v>418</v>
      </c>
      <c r="D2599" s="356">
        <v>43314</v>
      </c>
      <c r="E2599" s="356">
        <v>43374</v>
      </c>
      <c r="F2599" s="23" t="s">
        <v>11003</v>
      </c>
      <c r="G2599" s="59" t="s">
        <v>403</v>
      </c>
      <c r="H2599" s="353">
        <v>425662.47</v>
      </c>
      <c r="I2599" s="59" t="s">
        <v>406</v>
      </c>
      <c r="J2599" s="59" t="s">
        <v>11008</v>
      </c>
      <c r="K2599" s="20"/>
      <c r="L2599" s="20"/>
      <c r="M2599" s="357"/>
      <c r="N2599" s="411"/>
      <c r="O2599" s="23" t="s">
        <v>63</v>
      </c>
      <c r="P2599" s="18" t="s">
        <v>632</v>
      </c>
      <c r="Q2599" s="18" t="s">
        <v>646</v>
      </c>
      <c r="R2599" s="92" t="str">
        <f t="shared" si="81"/>
        <v/>
      </c>
    </row>
    <row r="2600" spans="1:18" x14ac:dyDescent="0.25">
      <c r="A2600" s="23" t="s">
        <v>8844</v>
      </c>
      <c r="B2600" s="18" t="str">
        <f>IF(ISNA(VLOOKUP($A2600,'Data Pull Sheet'!$B$2:$C$1795,2,0)),"",(VLOOKUP($A2600,'Data Pull Sheet'!$B$2:$C$1795,2,0)))</f>
        <v>HMNY</v>
      </c>
      <c r="C2600" s="59" t="s">
        <v>418</v>
      </c>
      <c r="D2600" s="356">
        <v>43314</v>
      </c>
      <c r="E2600" s="356">
        <v>43374</v>
      </c>
      <c r="F2600" s="23" t="s">
        <v>11004</v>
      </c>
      <c r="G2600" s="59" t="s">
        <v>403</v>
      </c>
      <c r="H2600" s="353">
        <v>552742.52</v>
      </c>
      <c r="I2600" s="59" t="s">
        <v>406</v>
      </c>
      <c r="J2600" s="59" t="s">
        <v>11009</v>
      </c>
      <c r="K2600" s="20"/>
      <c r="L2600" s="20"/>
      <c r="M2600" s="357"/>
      <c r="N2600" s="411"/>
      <c r="O2600" s="23" t="s">
        <v>63</v>
      </c>
      <c r="P2600" s="18" t="s">
        <v>632</v>
      </c>
      <c r="Q2600" s="18" t="s">
        <v>646</v>
      </c>
      <c r="R2600" s="92" t="str">
        <f t="shared" si="81"/>
        <v/>
      </c>
    </row>
    <row r="2601" spans="1:18" x14ac:dyDescent="0.25">
      <c r="A2601" s="23" t="s">
        <v>8844</v>
      </c>
      <c r="B2601" s="18" t="str">
        <f>IF(ISNA(VLOOKUP($A2601,'Data Pull Sheet'!$B$2:$C$1795,2,0)),"",(VLOOKUP($A2601,'Data Pull Sheet'!$B$2:$C$1795,2,0)))</f>
        <v>HMNY</v>
      </c>
      <c r="C2601" s="59" t="s">
        <v>418</v>
      </c>
      <c r="D2601" s="356">
        <v>43314</v>
      </c>
      <c r="E2601" s="356">
        <v>43374</v>
      </c>
      <c r="F2601" s="23" t="s">
        <v>11011</v>
      </c>
      <c r="G2601" s="59" t="s">
        <v>403</v>
      </c>
      <c r="H2601" s="353">
        <v>394761.59</v>
      </c>
      <c r="I2601" s="59"/>
      <c r="J2601" s="59" t="s">
        <v>11016</v>
      </c>
      <c r="K2601" s="20"/>
      <c r="L2601" s="20">
        <v>4</v>
      </c>
      <c r="M2601" s="357">
        <f>SUM(H2601:H2604)</f>
        <v>1256912.82</v>
      </c>
      <c r="N2601" s="411">
        <f>IFERROR((M2601/(VLOOKUP(B2601,'Data Pull Sheet'!$C:$H,6,FALSE))),"DC")</f>
        <v>5.0276512799999999E-2</v>
      </c>
      <c r="O2601" s="23" t="s">
        <v>597</v>
      </c>
      <c r="P2601" s="18" t="s">
        <v>632</v>
      </c>
      <c r="Q2601" s="18" t="s">
        <v>646</v>
      </c>
      <c r="R2601" s="92" t="str">
        <f t="shared" si="81"/>
        <v/>
      </c>
    </row>
    <row r="2602" spans="1:18" x14ac:dyDescent="0.25">
      <c r="A2602" s="23" t="s">
        <v>8844</v>
      </c>
      <c r="B2602" s="18" t="str">
        <f>IF(ISNA(VLOOKUP($A2602,'Data Pull Sheet'!$B$2:$C$1795,2,0)),"",(VLOOKUP($A2602,'Data Pull Sheet'!$B$2:$C$1795,2,0)))</f>
        <v>HMNY</v>
      </c>
      <c r="C2602" s="59" t="s">
        <v>418</v>
      </c>
      <c r="D2602" s="356">
        <v>43314</v>
      </c>
      <c r="E2602" s="356">
        <v>43374</v>
      </c>
      <c r="F2602" s="23" t="s">
        <v>11012</v>
      </c>
      <c r="G2602" s="59" t="s">
        <v>403</v>
      </c>
      <c r="H2602" s="353">
        <v>291731.71999999997</v>
      </c>
      <c r="I2602" s="59"/>
      <c r="J2602" s="59" t="s">
        <v>11017</v>
      </c>
      <c r="K2602" s="20"/>
      <c r="L2602" s="20"/>
      <c r="M2602" s="357"/>
      <c r="N2602" s="411"/>
      <c r="O2602" s="23" t="s">
        <v>597</v>
      </c>
      <c r="P2602" s="18" t="s">
        <v>632</v>
      </c>
      <c r="Q2602" s="18" t="s">
        <v>646</v>
      </c>
      <c r="R2602" s="92" t="str">
        <f t="shared" si="81"/>
        <v/>
      </c>
    </row>
    <row r="2603" spans="1:18" x14ac:dyDescent="0.25">
      <c r="A2603" s="23" t="s">
        <v>8844</v>
      </c>
      <c r="B2603" s="18" t="str">
        <f>IF(ISNA(VLOOKUP($A2603,'Data Pull Sheet'!$B$2:$C$1795,2,0)),"",(VLOOKUP($A2603,'Data Pull Sheet'!$B$2:$C$1795,2,0)))</f>
        <v>HMNY</v>
      </c>
      <c r="C2603" s="59" t="s">
        <v>418</v>
      </c>
      <c r="D2603" s="356">
        <v>43314</v>
      </c>
      <c r="E2603" s="356">
        <v>43374</v>
      </c>
      <c r="F2603" s="23" t="s">
        <v>11013</v>
      </c>
      <c r="G2603" s="59" t="s">
        <v>403</v>
      </c>
      <c r="H2603" s="353">
        <v>282050.61</v>
      </c>
      <c r="I2603" s="59"/>
      <c r="J2603" s="59" t="s">
        <v>11018</v>
      </c>
      <c r="K2603" s="20"/>
      <c r="L2603" s="20"/>
      <c r="M2603" s="357"/>
      <c r="N2603" s="411"/>
      <c r="O2603" s="23" t="s">
        <v>597</v>
      </c>
      <c r="P2603" s="18" t="s">
        <v>632</v>
      </c>
      <c r="Q2603" s="18" t="s">
        <v>646</v>
      </c>
      <c r="R2603" s="92" t="str">
        <f t="shared" si="81"/>
        <v/>
      </c>
    </row>
    <row r="2604" spans="1:18" x14ac:dyDescent="0.25">
      <c r="A2604" s="23" t="s">
        <v>8844</v>
      </c>
      <c r="B2604" s="18" t="str">
        <f>IF(ISNA(VLOOKUP($A2604,'Data Pull Sheet'!$B$2:$C$1795,2,0)),"",(VLOOKUP($A2604,'Data Pull Sheet'!$B$2:$C$1795,2,0)))</f>
        <v>HMNY</v>
      </c>
      <c r="C2604" s="59" t="s">
        <v>418</v>
      </c>
      <c r="D2604" s="356">
        <v>43314</v>
      </c>
      <c r="E2604" s="356">
        <v>43374</v>
      </c>
      <c r="F2604" s="23" t="s">
        <v>11014</v>
      </c>
      <c r="G2604" s="59" t="s">
        <v>403</v>
      </c>
      <c r="H2604" s="353">
        <v>288368.90000000002</v>
      </c>
      <c r="I2604" s="59"/>
      <c r="J2604" s="59" t="s">
        <v>11019</v>
      </c>
      <c r="K2604" s="20"/>
      <c r="L2604" s="20"/>
      <c r="M2604" s="357"/>
      <c r="N2604" s="411"/>
      <c r="O2604" s="23" t="s">
        <v>597</v>
      </c>
      <c r="P2604" s="18" t="s">
        <v>632</v>
      </c>
      <c r="Q2604" s="18" t="s">
        <v>646</v>
      </c>
      <c r="R2604" s="92" t="str">
        <f t="shared" si="81"/>
        <v/>
      </c>
    </row>
    <row r="2605" spans="1:18" ht="30" x14ac:dyDescent="0.25">
      <c r="A2605" s="23" t="s">
        <v>8844</v>
      </c>
      <c r="B2605" s="18" t="str">
        <f>IF(ISNA(VLOOKUP($A2605,'Data Pull Sheet'!$B$2:$C$1795,2,0)),"",(VLOOKUP($A2605,'Data Pull Sheet'!$B$2:$C$1795,2,0)))</f>
        <v>HMNY</v>
      </c>
      <c r="C2605" s="59" t="s">
        <v>418</v>
      </c>
      <c r="D2605" s="356">
        <v>43314</v>
      </c>
      <c r="E2605" s="356">
        <v>43374</v>
      </c>
      <c r="F2605" s="23" t="s">
        <v>11015</v>
      </c>
      <c r="G2605" s="59" t="s">
        <v>403</v>
      </c>
      <c r="H2605" s="353">
        <v>666138.87</v>
      </c>
      <c r="I2605" s="59"/>
      <c r="J2605" s="59" t="s">
        <v>11020</v>
      </c>
      <c r="K2605" s="20"/>
      <c r="L2605" s="20">
        <v>1</v>
      </c>
      <c r="M2605" s="357">
        <f>+H2605</f>
        <v>666138.87</v>
      </c>
      <c r="N2605" s="411">
        <f>IFERROR((M2605/(VLOOKUP(B2605,'Data Pull Sheet'!$C:$H,6,FALSE))),"DC")</f>
        <v>2.6645554799999999E-2</v>
      </c>
      <c r="O2605" s="23" t="s">
        <v>2174</v>
      </c>
      <c r="P2605" s="18" t="s">
        <v>632</v>
      </c>
      <c r="Q2605" s="18" t="s">
        <v>637</v>
      </c>
      <c r="R2605" s="92" t="str">
        <f t="shared" si="81"/>
        <v/>
      </c>
    </row>
    <row r="2606" spans="1:18" x14ac:dyDescent="0.25">
      <c r="A2606" s="23" t="s">
        <v>8844</v>
      </c>
      <c r="B2606" s="18" t="str">
        <f>IF(ISNA(VLOOKUP($A2606,'Data Pull Sheet'!$B$2:$C$1795,2,0)),"",(VLOOKUP($A2606,'Data Pull Sheet'!$B$2:$C$1795,2,0)))</f>
        <v>HMNY</v>
      </c>
      <c r="C2606" s="59" t="s">
        <v>418</v>
      </c>
      <c r="D2606" s="356">
        <v>43314</v>
      </c>
      <c r="E2606" s="356">
        <v>43374</v>
      </c>
      <c r="F2606" s="23" t="s">
        <v>11034</v>
      </c>
      <c r="G2606" s="59" t="s">
        <v>403</v>
      </c>
      <c r="H2606" s="353">
        <v>208371.98</v>
      </c>
      <c r="I2606" s="59"/>
      <c r="J2606" s="59" t="s">
        <v>11021</v>
      </c>
      <c r="K2606" s="20"/>
      <c r="L2606" s="20">
        <v>1</v>
      </c>
      <c r="M2606" s="357">
        <f>+H2606</f>
        <v>208371.98</v>
      </c>
      <c r="N2606" s="411">
        <f>IFERROR((M2606/(VLOOKUP(B2606,'Data Pull Sheet'!$C:$H,6,FALSE))),"DC")</f>
        <v>8.3348792000000008E-3</v>
      </c>
      <c r="O2606" s="23" t="s">
        <v>10936</v>
      </c>
      <c r="P2606" s="18" t="s">
        <v>632</v>
      </c>
      <c r="Q2606" s="18" t="s">
        <v>637</v>
      </c>
      <c r="R2606" s="92" t="str">
        <f t="shared" si="81"/>
        <v/>
      </c>
    </row>
    <row r="2607" spans="1:18" x14ac:dyDescent="0.25">
      <c r="A2607" s="23" t="s">
        <v>8844</v>
      </c>
      <c r="B2607" s="18" t="str">
        <f>IF(ISNA(VLOOKUP($A2607,'Data Pull Sheet'!$B$2:$C$1795,2,0)),"",(VLOOKUP($A2607,'Data Pull Sheet'!$B$2:$C$1795,2,0)))</f>
        <v>HMNY</v>
      </c>
      <c r="C2607" s="59" t="s">
        <v>418</v>
      </c>
      <c r="D2607" s="356">
        <v>43314</v>
      </c>
      <c r="E2607" s="356">
        <v>43374</v>
      </c>
      <c r="F2607" s="23" t="s">
        <v>11035</v>
      </c>
      <c r="G2607" s="59" t="s">
        <v>403</v>
      </c>
      <c r="H2607" s="353">
        <v>87023</v>
      </c>
      <c r="I2607" s="59"/>
      <c r="J2607" s="59" t="s">
        <v>11022</v>
      </c>
      <c r="K2607" s="20"/>
      <c r="L2607" s="20">
        <v>3</v>
      </c>
      <c r="M2607" s="357">
        <f>SUM(H2607:H2609)</f>
        <v>188644</v>
      </c>
      <c r="N2607" s="411">
        <f>IFERROR((M2607/(VLOOKUP(B2607,'Data Pull Sheet'!$C:$H,6,FALSE))),"DC")</f>
        <v>7.5457600000000003E-3</v>
      </c>
      <c r="O2607" s="23" t="s">
        <v>79</v>
      </c>
      <c r="P2607" s="18" t="s">
        <v>632</v>
      </c>
      <c r="Q2607" s="18" t="s">
        <v>646</v>
      </c>
      <c r="R2607" s="92" t="str">
        <f t="shared" si="81"/>
        <v/>
      </c>
    </row>
    <row r="2608" spans="1:18" x14ac:dyDescent="0.25">
      <c r="A2608" s="23" t="s">
        <v>8844</v>
      </c>
      <c r="B2608" s="18" t="str">
        <f>IF(ISNA(VLOOKUP($A2608,'Data Pull Sheet'!$B$2:$C$1795,2,0)),"",(VLOOKUP($A2608,'Data Pull Sheet'!$B$2:$C$1795,2,0)))</f>
        <v>HMNY</v>
      </c>
      <c r="C2608" s="59" t="s">
        <v>418</v>
      </c>
      <c r="D2608" s="356">
        <v>43314</v>
      </c>
      <c r="E2608" s="356">
        <v>43374</v>
      </c>
      <c r="F2608" s="23" t="s">
        <v>11036</v>
      </c>
      <c r="G2608" s="59" t="s">
        <v>403</v>
      </c>
      <c r="H2608" s="353">
        <v>43207</v>
      </c>
      <c r="I2608" s="59"/>
      <c r="J2608" s="59" t="s">
        <v>11023</v>
      </c>
      <c r="K2608" s="20"/>
      <c r="L2608" s="20"/>
      <c r="M2608" s="357"/>
      <c r="N2608" s="411"/>
      <c r="O2608" s="23" t="s">
        <v>79</v>
      </c>
      <c r="P2608" s="18" t="s">
        <v>632</v>
      </c>
      <c r="Q2608" s="18" t="s">
        <v>646</v>
      </c>
      <c r="R2608" s="92" t="str">
        <f t="shared" si="81"/>
        <v/>
      </c>
    </row>
    <row r="2609" spans="1:18" x14ac:dyDescent="0.25">
      <c r="A2609" s="23" t="s">
        <v>8844</v>
      </c>
      <c r="B2609" s="18" t="str">
        <f>IF(ISNA(VLOOKUP($A2609,'Data Pull Sheet'!$B$2:$C$1795,2,0)),"",(VLOOKUP($A2609,'Data Pull Sheet'!$B$2:$C$1795,2,0)))</f>
        <v>HMNY</v>
      </c>
      <c r="C2609" s="59" t="s">
        <v>418</v>
      </c>
      <c r="D2609" s="356">
        <v>43314</v>
      </c>
      <c r="E2609" s="356">
        <v>43374</v>
      </c>
      <c r="F2609" s="23" t="s">
        <v>11037</v>
      </c>
      <c r="G2609" s="59" t="s">
        <v>403</v>
      </c>
      <c r="H2609" s="353">
        <v>58414</v>
      </c>
      <c r="I2609" s="59"/>
      <c r="J2609" s="59" t="s">
        <v>11024</v>
      </c>
      <c r="K2609" s="20"/>
      <c r="L2609" s="20"/>
      <c r="M2609" s="357"/>
      <c r="N2609" s="411"/>
      <c r="O2609" s="23" t="s">
        <v>79</v>
      </c>
      <c r="P2609" s="18" t="s">
        <v>632</v>
      </c>
      <c r="Q2609" s="18" t="s">
        <v>646</v>
      </c>
      <c r="R2609" s="92" t="str">
        <f t="shared" si="81"/>
        <v/>
      </c>
    </row>
    <row r="2610" spans="1:18" x14ac:dyDescent="0.25">
      <c r="A2610" s="23" t="s">
        <v>8844</v>
      </c>
      <c r="B2610" s="18" t="str">
        <f>IF(ISNA(VLOOKUP($A2610,'Data Pull Sheet'!$B$2:$C$1795,2,0)),"",(VLOOKUP($A2610,'Data Pull Sheet'!$B$2:$C$1795,2,0)))</f>
        <v>HMNY</v>
      </c>
      <c r="C2610" s="59" t="s">
        <v>418</v>
      </c>
      <c r="D2610" s="356">
        <v>43314</v>
      </c>
      <c r="E2610" s="356">
        <v>43374</v>
      </c>
      <c r="F2610" s="23" t="s">
        <v>11038</v>
      </c>
      <c r="G2610" s="59" t="s">
        <v>403</v>
      </c>
      <c r="H2610" s="353">
        <v>22900</v>
      </c>
      <c r="I2610" s="59" t="s">
        <v>406</v>
      </c>
      <c r="J2610" s="59" t="s">
        <v>11025</v>
      </c>
      <c r="K2610" s="20"/>
      <c r="L2610" s="20">
        <v>6</v>
      </c>
      <c r="M2610" s="357">
        <f>SUM(H2610:H2615)</f>
        <v>163314</v>
      </c>
      <c r="N2610" s="411">
        <f>IFERROR((M2610/(VLOOKUP(B2610,'Data Pull Sheet'!$C:$H,6,FALSE))),"DC")</f>
        <v>6.5325599999999998E-3</v>
      </c>
      <c r="O2610" s="23" t="s">
        <v>60</v>
      </c>
      <c r="P2610" s="18" t="s">
        <v>632</v>
      </c>
      <c r="Q2610" s="18" t="s">
        <v>646</v>
      </c>
      <c r="R2610" s="92" t="str">
        <f t="shared" si="81"/>
        <v/>
      </c>
    </row>
    <row r="2611" spans="1:18" x14ac:dyDescent="0.25">
      <c r="A2611" s="23" t="s">
        <v>8844</v>
      </c>
      <c r="B2611" s="18" t="str">
        <f>IF(ISNA(VLOOKUP($A2611,'Data Pull Sheet'!$B$2:$C$1795,2,0)),"",(VLOOKUP($A2611,'Data Pull Sheet'!$B$2:$C$1795,2,0)))</f>
        <v>HMNY</v>
      </c>
      <c r="C2611" s="59" t="s">
        <v>418</v>
      </c>
      <c r="D2611" s="356">
        <v>43314</v>
      </c>
      <c r="E2611" s="356">
        <v>43374</v>
      </c>
      <c r="F2611" s="23" t="s">
        <v>11039</v>
      </c>
      <c r="G2611" s="59" t="s">
        <v>403</v>
      </c>
      <c r="H2611" s="353">
        <v>35976</v>
      </c>
      <c r="I2611" s="59" t="s">
        <v>406</v>
      </c>
      <c r="J2611" s="59" t="s">
        <v>11026</v>
      </c>
      <c r="K2611" s="20"/>
      <c r="L2611" s="20"/>
      <c r="M2611" s="357"/>
      <c r="N2611" s="411"/>
      <c r="O2611" s="23" t="s">
        <v>60</v>
      </c>
      <c r="P2611" s="18" t="s">
        <v>632</v>
      </c>
      <c r="Q2611" s="18" t="s">
        <v>646</v>
      </c>
      <c r="R2611" s="92" t="str">
        <f t="shared" si="81"/>
        <v/>
      </c>
    </row>
    <row r="2612" spans="1:18" x14ac:dyDescent="0.25">
      <c r="A2612" s="23" t="s">
        <v>8844</v>
      </c>
      <c r="B2612" s="18" t="str">
        <f>IF(ISNA(VLOOKUP($A2612,'Data Pull Sheet'!$B$2:$C$1795,2,0)),"",(VLOOKUP($A2612,'Data Pull Sheet'!$B$2:$C$1795,2,0)))</f>
        <v>HMNY</v>
      </c>
      <c r="C2612" s="59" t="s">
        <v>418</v>
      </c>
      <c r="D2612" s="356">
        <v>43314</v>
      </c>
      <c r="E2612" s="356">
        <v>43374</v>
      </c>
      <c r="F2612" s="23" t="s">
        <v>11040</v>
      </c>
      <c r="G2612" s="59" t="s">
        <v>403</v>
      </c>
      <c r="H2612" s="353">
        <v>5700</v>
      </c>
      <c r="I2612" s="59" t="s">
        <v>406</v>
      </c>
      <c r="J2612" s="59" t="s">
        <v>11027</v>
      </c>
      <c r="K2612" s="20"/>
      <c r="L2612" s="20"/>
      <c r="M2612" s="357"/>
      <c r="N2612" s="411"/>
      <c r="O2612" s="23" t="s">
        <v>60</v>
      </c>
      <c r="P2612" s="18" t="s">
        <v>632</v>
      </c>
      <c r="Q2612" s="18" t="s">
        <v>646</v>
      </c>
      <c r="R2612" s="92" t="str">
        <f t="shared" si="81"/>
        <v/>
      </c>
    </row>
    <row r="2613" spans="1:18" x14ac:dyDescent="0.25">
      <c r="A2613" s="23" t="s">
        <v>8844</v>
      </c>
      <c r="B2613" s="18" t="str">
        <f>IF(ISNA(VLOOKUP($A2613,'Data Pull Sheet'!$B$2:$C$1795,2,0)),"",(VLOOKUP($A2613,'Data Pull Sheet'!$B$2:$C$1795,2,0)))</f>
        <v>HMNY</v>
      </c>
      <c r="C2613" s="59" t="s">
        <v>418</v>
      </c>
      <c r="D2613" s="356">
        <v>43314</v>
      </c>
      <c r="E2613" s="356">
        <v>43374</v>
      </c>
      <c r="F2613" s="23" t="s">
        <v>11041</v>
      </c>
      <c r="G2613" s="59" t="s">
        <v>403</v>
      </c>
      <c r="H2613" s="353">
        <v>31599</v>
      </c>
      <c r="I2613" s="59" t="s">
        <v>406</v>
      </c>
      <c r="J2613" s="59" t="s">
        <v>11028</v>
      </c>
      <c r="K2613" s="20"/>
      <c r="L2613" s="20"/>
      <c r="M2613" s="357"/>
      <c r="N2613" s="411"/>
      <c r="O2613" s="23" t="s">
        <v>60</v>
      </c>
      <c r="P2613" s="18" t="s">
        <v>632</v>
      </c>
      <c r="Q2613" s="18" t="s">
        <v>646</v>
      </c>
      <c r="R2613" s="92" t="str">
        <f t="shared" si="81"/>
        <v/>
      </c>
    </row>
    <row r="2614" spans="1:18" x14ac:dyDescent="0.25">
      <c r="A2614" s="23" t="s">
        <v>8844</v>
      </c>
      <c r="B2614" s="18" t="str">
        <f>IF(ISNA(VLOOKUP($A2614,'Data Pull Sheet'!$B$2:$C$1795,2,0)),"",(VLOOKUP($A2614,'Data Pull Sheet'!$B$2:$C$1795,2,0)))</f>
        <v>HMNY</v>
      </c>
      <c r="C2614" s="59" t="s">
        <v>418</v>
      </c>
      <c r="D2614" s="356">
        <v>43314</v>
      </c>
      <c r="E2614" s="356">
        <v>43374</v>
      </c>
      <c r="F2614" s="23" t="s">
        <v>11042</v>
      </c>
      <c r="G2614" s="59" t="s">
        <v>403</v>
      </c>
      <c r="H2614" s="353">
        <v>18955</v>
      </c>
      <c r="I2614" s="59" t="s">
        <v>406</v>
      </c>
      <c r="J2614" s="59" t="s">
        <v>11029</v>
      </c>
      <c r="K2614" s="20"/>
      <c r="L2614" s="20"/>
      <c r="M2614" s="357"/>
      <c r="N2614" s="411"/>
      <c r="O2614" s="23" t="s">
        <v>60</v>
      </c>
      <c r="P2614" s="18" t="s">
        <v>632</v>
      </c>
      <c r="Q2614" s="18" t="s">
        <v>646</v>
      </c>
      <c r="R2614" s="92" t="str">
        <f t="shared" si="81"/>
        <v/>
      </c>
    </row>
    <row r="2615" spans="1:18" x14ac:dyDescent="0.25">
      <c r="A2615" s="23" t="s">
        <v>8844</v>
      </c>
      <c r="B2615" s="18" t="str">
        <f>IF(ISNA(VLOOKUP($A2615,'Data Pull Sheet'!$B$2:$C$1795,2,0)),"",(VLOOKUP($A2615,'Data Pull Sheet'!$B$2:$C$1795,2,0)))</f>
        <v>HMNY</v>
      </c>
      <c r="C2615" s="59" t="s">
        <v>418</v>
      </c>
      <c r="D2615" s="356">
        <v>43314</v>
      </c>
      <c r="E2615" s="356">
        <v>43374</v>
      </c>
      <c r="F2615" s="23" t="s">
        <v>11043</v>
      </c>
      <c r="G2615" s="59" t="s">
        <v>403</v>
      </c>
      <c r="H2615" s="353">
        <v>48184</v>
      </c>
      <c r="I2615" s="59" t="s">
        <v>406</v>
      </c>
      <c r="J2615" s="59" t="s">
        <v>11030</v>
      </c>
      <c r="K2615" s="20"/>
      <c r="L2615" s="20"/>
      <c r="M2615" s="357"/>
      <c r="N2615" s="411"/>
      <c r="O2615" s="23" t="s">
        <v>60</v>
      </c>
      <c r="P2615" s="18" t="s">
        <v>632</v>
      </c>
      <c r="Q2615" s="18" t="s">
        <v>646</v>
      </c>
      <c r="R2615" s="92" t="str">
        <f t="shared" si="81"/>
        <v/>
      </c>
    </row>
    <row r="2616" spans="1:18" x14ac:dyDescent="0.25">
      <c r="A2616" s="23" t="s">
        <v>8844</v>
      </c>
      <c r="B2616" s="18" t="str">
        <f>IF(ISNA(VLOOKUP($A2616,'Data Pull Sheet'!$B$2:$C$1795,2,0)),"",(VLOOKUP($A2616,'Data Pull Sheet'!$B$2:$C$1795,2,0)))</f>
        <v>HMNY</v>
      </c>
      <c r="C2616" s="59" t="s">
        <v>418</v>
      </c>
      <c r="D2616" s="356">
        <v>43314</v>
      </c>
      <c r="E2616" s="356">
        <v>43374</v>
      </c>
      <c r="F2616" s="23" t="s">
        <v>11044</v>
      </c>
      <c r="G2616" s="59" t="s">
        <v>403</v>
      </c>
      <c r="H2616" s="353">
        <v>21957.56</v>
      </c>
      <c r="I2616" s="59"/>
      <c r="J2616" s="59" t="s">
        <v>11031</v>
      </c>
      <c r="K2616" s="20"/>
      <c r="L2616" s="20">
        <v>2</v>
      </c>
      <c r="M2616" s="357">
        <f>SUM(H2616:H2617)</f>
        <v>160528.04999999999</v>
      </c>
      <c r="N2616" s="411">
        <f>IFERROR((M2616/(VLOOKUP(B2616,'Data Pull Sheet'!$C:$H,6,FALSE))),"DC")</f>
        <v>6.4211219999999996E-3</v>
      </c>
      <c r="O2616" s="23" t="s">
        <v>6997</v>
      </c>
      <c r="P2616" s="18" t="s">
        <v>632</v>
      </c>
      <c r="Q2616" s="18" t="s">
        <v>646</v>
      </c>
      <c r="R2616" s="92" t="str">
        <f t="shared" si="81"/>
        <v/>
      </c>
    </row>
    <row r="2617" spans="1:18" x14ac:dyDescent="0.25">
      <c r="A2617" s="23" t="s">
        <v>8844</v>
      </c>
      <c r="B2617" s="18" t="str">
        <f>IF(ISNA(VLOOKUP($A2617,'Data Pull Sheet'!$B$2:$C$1795,2,0)),"",(VLOOKUP($A2617,'Data Pull Sheet'!$B$2:$C$1795,2,0)))</f>
        <v>HMNY</v>
      </c>
      <c r="C2617" s="59" t="s">
        <v>418</v>
      </c>
      <c r="D2617" s="356">
        <v>43314</v>
      </c>
      <c r="E2617" s="356">
        <v>43374</v>
      </c>
      <c r="F2617" s="23" t="s">
        <v>11045</v>
      </c>
      <c r="G2617" s="59" t="s">
        <v>403</v>
      </c>
      <c r="H2617" s="353">
        <v>138570.49</v>
      </c>
      <c r="I2617" s="59"/>
      <c r="J2617" s="59" t="s">
        <v>11032</v>
      </c>
      <c r="K2617" s="20"/>
      <c r="L2617" s="20"/>
      <c r="M2617" s="357"/>
      <c r="N2617" s="411"/>
      <c r="O2617" s="23" t="s">
        <v>6997</v>
      </c>
      <c r="P2617" s="18" t="s">
        <v>632</v>
      </c>
      <c r="Q2617" s="18" t="s">
        <v>646</v>
      </c>
      <c r="R2617" s="92" t="str">
        <f t="shared" si="81"/>
        <v/>
      </c>
    </row>
    <row r="2618" spans="1:18" ht="30" x14ac:dyDescent="0.25">
      <c r="A2618" s="23" t="s">
        <v>8844</v>
      </c>
      <c r="B2618" s="18" t="str">
        <f>IF(ISNA(VLOOKUP($A2618,'Data Pull Sheet'!$B$2:$C$1795,2,0)),"",(VLOOKUP($A2618,'Data Pull Sheet'!$B$2:$C$1795,2,0)))</f>
        <v>HMNY</v>
      </c>
      <c r="C2618" s="59" t="s">
        <v>418</v>
      </c>
      <c r="D2618" s="356">
        <v>43314</v>
      </c>
      <c r="E2618" s="356">
        <v>43374</v>
      </c>
      <c r="F2618" s="23" t="s">
        <v>11046</v>
      </c>
      <c r="G2618" s="59" t="s">
        <v>403</v>
      </c>
      <c r="H2618" s="353">
        <v>148248.20000000001</v>
      </c>
      <c r="I2618" s="59" t="s">
        <v>406</v>
      </c>
      <c r="J2618" s="59" t="s">
        <v>11033</v>
      </c>
      <c r="K2618" s="20"/>
      <c r="L2618" s="20">
        <v>1</v>
      </c>
      <c r="M2618" s="357">
        <f>+H2618</f>
        <v>148248.20000000001</v>
      </c>
      <c r="N2618" s="411">
        <f>IFERROR((M2618/(VLOOKUP(B2618,'Data Pull Sheet'!$C:$H,6,FALSE))),"DC")</f>
        <v>5.9299280000000001E-3</v>
      </c>
      <c r="O2618" s="23" t="s">
        <v>11010</v>
      </c>
      <c r="P2618" s="18" t="s">
        <v>632</v>
      </c>
      <c r="Q2618" s="18" t="s">
        <v>637</v>
      </c>
      <c r="R2618" s="92" t="str">
        <f t="shared" si="81"/>
        <v/>
      </c>
    </row>
    <row r="2619" spans="1:18" x14ac:dyDescent="0.25">
      <c r="A2619" s="23" t="s">
        <v>8837</v>
      </c>
      <c r="B2619" s="18" t="str">
        <f>IF(ISNA(VLOOKUP($A2619,'Data Pull Sheet'!$B$2:$C$1795,2,0)),"",(VLOOKUP($A2619,'Data Pull Sheet'!$B$2:$C$1795,2,0)))</f>
        <v>GDS</v>
      </c>
      <c r="C2619" s="59" t="s">
        <v>414</v>
      </c>
      <c r="D2619" s="356">
        <v>43314</v>
      </c>
      <c r="E2619" s="356">
        <v>43375</v>
      </c>
      <c r="F2619" s="23" t="s">
        <v>10990</v>
      </c>
      <c r="G2619" s="59" t="s">
        <v>403</v>
      </c>
      <c r="H2619" s="353">
        <v>188361.48</v>
      </c>
      <c r="I2619" s="59"/>
      <c r="J2619" s="59" t="s">
        <v>10993</v>
      </c>
      <c r="K2619" s="20">
        <v>3</v>
      </c>
      <c r="L2619" s="20">
        <v>1</v>
      </c>
      <c r="M2619" s="357">
        <f>+H2619</f>
        <v>188361.48</v>
      </c>
      <c r="N2619" s="411">
        <f>IFERROR((M2619/(VLOOKUP(B2619,'Data Pull Sheet'!$C:$H,6,FALSE))),"DC")</f>
        <v>6.2787159999999999E-4</v>
      </c>
      <c r="O2619" s="23" t="s">
        <v>7269</v>
      </c>
      <c r="P2619" s="18" t="s">
        <v>632</v>
      </c>
      <c r="Q2619" s="18" t="s">
        <v>637</v>
      </c>
      <c r="R2619" s="92" t="str">
        <f t="shared" si="81"/>
        <v/>
      </c>
    </row>
    <row r="2620" spans="1:18" x14ac:dyDescent="0.25">
      <c r="A2620" s="23" t="s">
        <v>8837</v>
      </c>
      <c r="B2620" s="18" t="str">
        <f>IF(ISNA(VLOOKUP($A2620,'Data Pull Sheet'!$B$2:$C$1795,2,0)),"",(VLOOKUP($A2620,'Data Pull Sheet'!$B$2:$C$1795,2,0)))</f>
        <v>GDS</v>
      </c>
      <c r="C2620" s="59" t="s">
        <v>414</v>
      </c>
      <c r="D2620" s="356">
        <v>43314</v>
      </c>
      <c r="E2620" s="356">
        <v>43375</v>
      </c>
      <c r="F2620" s="23" t="s">
        <v>10992</v>
      </c>
      <c r="G2620" s="59" t="s">
        <v>403</v>
      </c>
      <c r="H2620" s="353">
        <v>57475</v>
      </c>
      <c r="I2620" s="59"/>
      <c r="J2620" s="59" t="s">
        <v>10994</v>
      </c>
      <c r="K2620" s="20"/>
      <c r="L2620" s="20">
        <v>1</v>
      </c>
      <c r="M2620" s="357">
        <f>+H2620</f>
        <v>57475</v>
      </c>
      <c r="N2620" s="411">
        <f>IFERROR((M2620/(VLOOKUP(B2620,'Data Pull Sheet'!$C:$H,6,FALSE))),"DC")</f>
        <v>1.9158333333333335E-4</v>
      </c>
      <c r="O2620" s="23" t="s">
        <v>104</v>
      </c>
      <c r="P2620" s="18" t="s">
        <v>632</v>
      </c>
      <c r="Q2620" s="18" t="s">
        <v>637</v>
      </c>
      <c r="R2620" s="92" t="str">
        <f t="shared" si="81"/>
        <v/>
      </c>
    </row>
    <row r="2621" spans="1:18" x14ac:dyDescent="0.25">
      <c r="A2621" s="23" t="s">
        <v>8837</v>
      </c>
      <c r="B2621" s="18" t="str">
        <f>IF(ISNA(VLOOKUP($A2621,'Data Pull Sheet'!$B$2:$C$1795,2,0)),"",(VLOOKUP($A2621,'Data Pull Sheet'!$B$2:$C$1795,2,0)))</f>
        <v>GDS</v>
      </c>
      <c r="C2621" s="59" t="s">
        <v>414</v>
      </c>
      <c r="D2621" s="356">
        <v>43314</v>
      </c>
      <c r="E2621" s="356">
        <v>43375</v>
      </c>
      <c r="F2621" s="23" t="s">
        <v>10991</v>
      </c>
      <c r="G2621" s="59" t="s">
        <v>403</v>
      </c>
      <c r="H2621" s="353">
        <v>809</v>
      </c>
      <c r="I2621" s="59"/>
      <c r="J2621" s="59" t="s">
        <v>10995</v>
      </c>
      <c r="K2621" s="20"/>
      <c r="L2621" s="20">
        <v>1</v>
      </c>
      <c r="M2621" s="357">
        <f>+H2621</f>
        <v>809</v>
      </c>
      <c r="N2621" s="411">
        <f>IFERROR((M2621/(VLOOKUP(B2621,'Data Pull Sheet'!$C:$H,6,FALSE))),"DC")</f>
        <v>2.6966666666666665E-6</v>
      </c>
      <c r="O2621" s="23" t="s">
        <v>2858</v>
      </c>
      <c r="P2621" s="18" t="s">
        <v>632</v>
      </c>
      <c r="Q2621" s="18" t="s">
        <v>637</v>
      </c>
      <c r="R2621" s="92" t="str">
        <f t="shared" si="81"/>
        <v/>
      </c>
    </row>
    <row r="2622" spans="1:18" x14ac:dyDescent="0.25">
      <c r="A2622" s="23" t="s">
        <v>8875</v>
      </c>
      <c r="B2622" s="18" t="str">
        <f>IF(ISNA(VLOOKUP(A2622,'Data Pull Sheet'!$B$2:$C$1795,2,0)),"",(VLOOKUP(A2622,'Data Pull Sheet'!$B$2:$C$1795,2,0)))</f>
        <v>NLSN</v>
      </c>
      <c r="C2622" s="59" t="s">
        <v>418</v>
      </c>
      <c r="D2622" s="356" t="s">
        <v>11365</v>
      </c>
      <c r="E2622" s="356" t="s">
        <v>10884</v>
      </c>
      <c r="F2622" s="23" t="s">
        <v>175</v>
      </c>
      <c r="G2622" s="59" t="s">
        <v>417</v>
      </c>
      <c r="H2622" s="353">
        <v>754766.23</v>
      </c>
      <c r="I2622" s="59" t="s">
        <v>406</v>
      </c>
      <c r="J2622" s="59" t="s">
        <v>11555</v>
      </c>
      <c r="K2622" s="20">
        <v>4</v>
      </c>
      <c r="L2622" s="20">
        <v>1</v>
      </c>
      <c r="M2622" s="357">
        <f>+H2622</f>
        <v>754766.23</v>
      </c>
      <c r="N2622" s="411">
        <f>IFERROR((M2622/(VLOOKUP(B2622,'Data Pull Sheet'!$C:$H,6,FALSE))),"DC")</f>
        <v>5.9197351372549019E-4</v>
      </c>
      <c r="O2622" s="23" t="s">
        <v>161</v>
      </c>
      <c r="P2622" s="18" t="s">
        <v>632</v>
      </c>
      <c r="Q2622" s="18" t="s">
        <v>633</v>
      </c>
      <c r="R2622" s="92" t="str">
        <f t="shared" si="81"/>
        <v>FF</v>
      </c>
    </row>
    <row r="2623" spans="1:18" ht="30" x14ac:dyDescent="0.25">
      <c r="A2623" s="23" t="s">
        <v>8875</v>
      </c>
      <c r="B2623" s="18" t="str">
        <f>IF(ISNA(VLOOKUP(A2623,'Data Pull Sheet'!$B$2:$C$1795,2,0)),"",(VLOOKUP(A2623,'Data Pull Sheet'!$B$2:$C$1795,2,0)))</f>
        <v>NLSN</v>
      </c>
      <c r="C2623" s="59" t="s">
        <v>418</v>
      </c>
      <c r="D2623" s="356" t="s">
        <v>11365</v>
      </c>
      <c r="E2623" s="356" t="s">
        <v>10884</v>
      </c>
      <c r="F2623" s="23" t="s">
        <v>11367</v>
      </c>
      <c r="G2623" s="59" t="s">
        <v>417</v>
      </c>
      <c r="H2623" s="353">
        <v>301362.08</v>
      </c>
      <c r="I2623" s="59"/>
      <c r="J2623" s="59" t="s">
        <v>11561</v>
      </c>
      <c r="K2623" s="20"/>
      <c r="L2623" s="20">
        <v>3</v>
      </c>
      <c r="M2623" s="357">
        <f>SUM(H2623:H2625)</f>
        <v>731293.83000000007</v>
      </c>
      <c r="N2623" s="411">
        <f>IFERROR((M2623/(VLOOKUP(B2623,'Data Pull Sheet'!$C:$H,6,FALSE))),"DC")</f>
        <v>5.7356378823529423E-4</v>
      </c>
      <c r="O2623" s="23" t="s">
        <v>11566</v>
      </c>
      <c r="P2623" s="18" t="s">
        <v>632</v>
      </c>
      <c r="Q2623" s="18" t="s">
        <v>640</v>
      </c>
      <c r="R2623" s="92" t="str">
        <f t="shared" si="81"/>
        <v/>
      </c>
    </row>
    <row r="2624" spans="1:18" ht="30" x14ac:dyDescent="0.25">
      <c r="A2624" s="23" t="s">
        <v>8875</v>
      </c>
      <c r="B2624" s="18" t="str">
        <f>IF(ISNA(VLOOKUP(A2624,'Data Pull Sheet'!$B$2:$C$1795,2,0)),"",(VLOOKUP(A2624,'Data Pull Sheet'!$B$2:$C$1795,2,0)))</f>
        <v>NLSN</v>
      </c>
      <c r="C2624" s="59" t="s">
        <v>418</v>
      </c>
      <c r="D2624" s="356" t="s">
        <v>11365</v>
      </c>
      <c r="E2624" s="356" t="s">
        <v>10884</v>
      </c>
      <c r="F2624" s="23" t="s">
        <v>11368</v>
      </c>
      <c r="G2624" s="59" t="s">
        <v>417</v>
      </c>
      <c r="H2624" s="353">
        <v>318120.09000000003</v>
      </c>
      <c r="I2624" s="59"/>
      <c r="J2624" s="59" t="s">
        <v>11562</v>
      </c>
      <c r="K2624" s="20"/>
      <c r="L2624" s="20"/>
      <c r="M2624" s="357"/>
      <c r="N2624" s="411"/>
      <c r="O2624" s="23" t="s">
        <v>11566</v>
      </c>
      <c r="P2624" s="18" t="s">
        <v>632</v>
      </c>
      <c r="Q2624" s="18" t="s">
        <v>640</v>
      </c>
      <c r="R2624" s="92" t="str">
        <f t="shared" si="81"/>
        <v/>
      </c>
    </row>
    <row r="2625" spans="1:18" ht="30" x14ac:dyDescent="0.25">
      <c r="A2625" s="23" t="s">
        <v>8875</v>
      </c>
      <c r="B2625" s="18" t="str">
        <f>IF(ISNA(VLOOKUP(A2625,'Data Pull Sheet'!$B$2:$C$1795,2,0)),"",(VLOOKUP(A2625,'Data Pull Sheet'!$B$2:$C$1795,2,0)))</f>
        <v>NLSN</v>
      </c>
      <c r="C2625" s="59" t="s">
        <v>418</v>
      </c>
      <c r="D2625" s="356" t="s">
        <v>11365</v>
      </c>
      <c r="E2625" s="356" t="s">
        <v>10884</v>
      </c>
      <c r="F2625" s="23" t="s">
        <v>11369</v>
      </c>
      <c r="G2625" s="59" t="s">
        <v>417</v>
      </c>
      <c r="H2625" s="353">
        <v>111811.66</v>
      </c>
      <c r="I2625" s="59"/>
      <c r="J2625" s="59" t="s">
        <v>11563</v>
      </c>
      <c r="K2625" s="20"/>
      <c r="L2625" s="20"/>
      <c r="M2625" s="357"/>
      <c r="N2625" s="411"/>
      <c r="O2625" s="23" t="s">
        <v>11566</v>
      </c>
      <c r="P2625" s="18" t="s">
        <v>632</v>
      </c>
      <c r="Q2625" s="18" t="s">
        <v>640</v>
      </c>
      <c r="R2625" s="92" t="str">
        <f t="shared" si="81"/>
        <v/>
      </c>
    </row>
    <row r="2626" spans="1:18" x14ac:dyDescent="0.25">
      <c r="A2626" s="23" t="s">
        <v>8875</v>
      </c>
      <c r="B2626" s="18" t="str">
        <f>IF(ISNA(VLOOKUP(A2626,'Data Pull Sheet'!$B$2:$C$1795,2,0)),"",(VLOOKUP(A2626,'Data Pull Sheet'!$B$2:$C$1795,2,0)))</f>
        <v>NLSN</v>
      </c>
      <c r="C2626" s="59" t="s">
        <v>418</v>
      </c>
      <c r="D2626" s="356" t="s">
        <v>11365</v>
      </c>
      <c r="E2626" s="356" t="s">
        <v>10884</v>
      </c>
      <c r="F2626" s="23" t="s">
        <v>249</v>
      </c>
      <c r="G2626" s="59" t="s">
        <v>417</v>
      </c>
      <c r="H2626" s="353">
        <v>4536195.21</v>
      </c>
      <c r="I2626" s="59" t="s">
        <v>406</v>
      </c>
      <c r="J2626" s="59" t="s">
        <v>11564</v>
      </c>
      <c r="K2626" s="20"/>
      <c r="L2626" s="20">
        <v>1</v>
      </c>
      <c r="M2626" s="357">
        <f t="shared" ref="M2626:M2632" si="84">+H2626</f>
        <v>4536195.21</v>
      </c>
      <c r="N2626" s="411">
        <f>IFERROR((M2626/(VLOOKUP(B2626,'Data Pull Sheet'!$C:$H,6,FALSE))),"DC")</f>
        <v>3.5578001647058825E-3</v>
      </c>
      <c r="O2626" s="23" t="s">
        <v>56</v>
      </c>
      <c r="P2626" s="18" t="s">
        <v>632</v>
      </c>
      <c r="Q2626" s="18" t="s">
        <v>633</v>
      </c>
      <c r="R2626" s="92" t="str">
        <f t="shared" ref="R2626:R2689" si="85">IF(COUNTIF(F:F,F2626)&gt;=2,"FF","")</f>
        <v>FF</v>
      </c>
    </row>
    <row r="2627" spans="1:18" x14ac:dyDescent="0.25">
      <c r="A2627" s="23" t="s">
        <v>8875</v>
      </c>
      <c r="B2627" s="18" t="str">
        <f>IF(ISNA(VLOOKUP(A2627,'Data Pull Sheet'!$B$2:$C$1795,2,0)),"",(VLOOKUP(A2627,'Data Pull Sheet'!$B$2:$C$1795,2,0)))</f>
        <v>NLSN</v>
      </c>
      <c r="C2627" s="59" t="s">
        <v>418</v>
      </c>
      <c r="D2627" s="356" t="s">
        <v>11365</v>
      </c>
      <c r="E2627" s="356" t="s">
        <v>10884</v>
      </c>
      <c r="F2627" s="23" t="s">
        <v>839</v>
      </c>
      <c r="G2627" s="59" t="s">
        <v>417</v>
      </c>
      <c r="H2627" s="353">
        <v>407259</v>
      </c>
      <c r="I2627" s="59" t="s">
        <v>413</v>
      </c>
      <c r="J2627" s="59" t="s">
        <v>11565</v>
      </c>
      <c r="K2627" s="20"/>
      <c r="L2627" s="20">
        <v>1</v>
      </c>
      <c r="M2627" s="357">
        <f t="shared" si="84"/>
        <v>407259</v>
      </c>
      <c r="N2627" s="411">
        <f>IFERROR((M2627/(VLOOKUP(B2627,'Data Pull Sheet'!$C:$H,6,FALSE))),"DC")</f>
        <v>3.1941882352941179E-4</v>
      </c>
      <c r="O2627" s="23" t="s">
        <v>79</v>
      </c>
      <c r="P2627" s="18" t="s">
        <v>632</v>
      </c>
      <c r="Q2627" s="18" t="s">
        <v>633</v>
      </c>
      <c r="R2627" s="92" t="str">
        <f t="shared" si="85"/>
        <v>FF</v>
      </c>
    </row>
    <row r="2628" spans="1:18" x14ac:dyDescent="0.25">
      <c r="A2628" s="23" t="s">
        <v>4234</v>
      </c>
      <c r="B2628" s="18" t="str">
        <f>IF(ISNA(VLOOKUP(A2628,'Data Pull Sheet'!$B$2:$C$1795,2,0)),"",(VLOOKUP(A2628,'Data Pull Sheet'!$B$2:$C$1795,2,0)))</f>
        <v>ORCL</v>
      </c>
      <c r="C2628" s="59" t="s">
        <v>457</v>
      </c>
      <c r="D2628" s="356" t="s">
        <v>9156</v>
      </c>
      <c r="E2628" s="356" t="s">
        <v>10884</v>
      </c>
      <c r="F2628" s="23" t="s">
        <v>373</v>
      </c>
      <c r="G2628" s="59" t="s">
        <v>417</v>
      </c>
      <c r="H2628" s="353">
        <v>7847117.8600000003</v>
      </c>
      <c r="I2628" s="59" t="s">
        <v>406</v>
      </c>
      <c r="J2628" s="59" t="s">
        <v>11557</v>
      </c>
      <c r="K2628" s="20">
        <v>1</v>
      </c>
      <c r="L2628" s="20">
        <v>1</v>
      </c>
      <c r="M2628" s="357">
        <f t="shared" si="84"/>
        <v>7847117.8600000003</v>
      </c>
      <c r="N2628" s="411">
        <f>IFERROR((M2628/(VLOOKUP(B2628,'Data Pull Sheet'!$C:$H,6,FALSE))),"DC")</f>
        <v>4.3595099222222223E-3</v>
      </c>
      <c r="O2628" s="23" t="s">
        <v>1</v>
      </c>
      <c r="P2628" s="18" t="s">
        <v>676</v>
      </c>
      <c r="Q2628" s="18" t="s">
        <v>633</v>
      </c>
      <c r="R2628" s="92" t="str">
        <f t="shared" si="85"/>
        <v>FF</v>
      </c>
    </row>
    <row r="2629" spans="1:18" ht="30" x14ac:dyDescent="0.25">
      <c r="A2629" s="23" t="s">
        <v>8847</v>
      </c>
      <c r="B2629" s="18" t="str">
        <f>IF(ISNA(VLOOKUP(A2629,'Data Pull Sheet'!$B$2:$C$1795,2,0)),"",(VLOOKUP(A2629,'Data Pull Sheet'!$B$2:$C$1795,2,0)))</f>
        <v>PI</v>
      </c>
      <c r="C2629" s="59" t="s">
        <v>480</v>
      </c>
      <c r="D2629" s="356" t="s">
        <v>9151</v>
      </c>
      <c r="E2629" s="356" t="s">
        <v>10884</v>
      </c>
      <c r="F2629" s="23" t="s">
        <v>11372</v>
      </c>
      <c r="G2629" s="59" t="s">
        <v>403</v>
      </c>
      <c r="H2629" s="353">
        <v>24595.040000000001</v>
      </c>
      <c r="I2629" s="59"/>
      <c r="J2629" s="59" t="s">
        <v>11558</v>
      </c>
      <c r="K2629" s="20">
        <v>3</v>
      </c>
      <c r="L2629" s="20">
        <v>1</v>
      </c>
      <c r="M2629" s="357">
        <f t="shared" si="84"/>
        <v>24595.040000000001</v>
      </c>
      <c r="N2629" s="411">
        <f>IFERROR((M2629/(VLOOKUP(B2629,'Data Pull Sheet'!$C:$H,6,FALSE))),"DC")</f>
        <v>9.8380160000000006E-4</v>
      </c>
      <c r="O2629" s="23" t="s">
        <v>11567</v>
      </c>
      <c r="P2629" s="18" t="s">
        <v>632</v>
      </c>
      <c r="Q2629" s="18" t="s">
        <v>637</v>
      </c>
      <c r="R2629" s="92" t="str">
        <f t="shared" si="85"/>
        <v/>
      </c>
    </row>
    <row r="2630" spans="1:18" ht="30" x14ac:dyDescent="0.25">
      <c r="A2630" s="23" t="s">
        <v>8847</v>
      </c>
      <c r="B2630" s="18" t="str">
        <f>IF(ISNA(VLOOKUP(A2630,'Data Pull Sheet'!$B$2:$C$1795,2,0)),"",(VLOOKUP(A2630,'Data Pull Sheet'!$B$2:$C$1795,2,0)))</f>
        <v>PI</v>
      </c>
      <c r="C2630" s="59" t="s">
        <v>480</v>
      </c>
      <c r="D2630" s="356" t="s">
        <v>9151</v>
      </c>
      <c r="E2630" s="356" t="s">
        <v>10884</v>
      </c>
      <c r="F2630" s="23" t="s">
        <v>11373</v>
      </c>
      <c r="G2630" s="59" t="s">
        <v>403</v>
      </c>
      <c r="H2630" s="353">
        <v>128810.1</v>
      </c>
      <c r="I2630" s="59"/>
      <c r="J2630" s="59" t="s">
        <v>11575</v>
      </c>
      <c r="K2630" s="20"/>
      <c r="L2630" s="20">
        <v>1</v>
      </c>
      <c r="M2630" s="357">
        <f t="shared" si="84"/>
        <v>128810.1</v>
      </c>
      <c r="N2630" s="411">
        <f>IFERROR((M2630/(VLOOKUP(B2630,'Data Pull Sheet'!$C:$H,6,FALSE))),"DC")</f>
        <v>5.1524040000000002E-3</v>
      </c>
      <c r="O2630" s="23" t="s">
        <v>11568</v>
      </c>
      <c r="P2630" s="18" t="s">
        <v>632</v>
      </c>
      <c r="Q2630" s="18" t="s">
        <v>637</v>
      </c>
      <c r="R2630" s="92" t="str">
        <f t="shared" si="85"/>
        <v/>
      </c>
    </row>
    <row r="2631" spans="1:18" ht="30" x14ac:dyDescent="0.25">
      <c r="A2631" s="23" t="s">
        <v>8847</v>
      </c>
      <c r="B2631" s="18" t="str">
        <f>IF(ISNA(VLOOKUP(A2631,'Data Pull Sheet'!$B$2:$C$1795,2,0)),"",(VLOOKUP(A2631,'Data Pull Sheet'!$B$2:$C$1795,2,0)))</f>
        <v>PI</v>
      </c>
      <c r="C2631" s="59" t="s">
        <v>480</v>
      </c>
      <c r="D2631" s="356" t="s">
        <v>9151</v>
      </c>
      <c r="E2631" s="356" t="s">
        <v>10884</v>
      </c>
      <c r="F2631" s="23" t="s">
        <v>10859</v>
      </c>
      <c r="G2631" s="59" t="s">
        <v>417</v>
      </c>
      <c r="H2631" s="353">
        <v>141905.57999999999</v>
      </c>
      <c r="I2631" s="59" t="s">
        <v>442</v>
      </c>
      <c r="J2631" s="59" t="s">
        <v>11578</v>
      </c>
      <c r="K2631" s="20"/>
      <c r="L2631" s="20">
        <v>1</v>
      </c>
      <c r="M2631" s="357">
        <f t="shared" si="84"/>
        <v>141905.57999999999</v>
      </c>
      <c r="N2631" s="411">
        <f>IFERROR((M2631/(VLOOKUP(B2631,'Data Pull Sheet'!$C:$H,6,FALSE))),"DC")</f>
        <v>5.6762231999999994E-3</v>
      </c>
      <c r="O2631" s="23" t="s">
        <v>11374</v>
      </c>
      <c r="P2631" s="18" t="s">
        <v>632</v>
      </c>
      <c r="Q2631" s="18" t="s">
        <v>633</v>
      </c>
      <c r="R2631" s="92" t="str">
        <f t="shared" si="85"/>
        <v>FF</v>
      </c>
    </row>
    <row r="2632" spans="1:18" ht="30" x14ac:dyDescent="0.25">
      <c r="A2632" s="23" t="s">
        <v>8901</v>
      </c>
      <c r="B2632" s="18" t="str">
        <f>IF(ISNA(VLOOKUP(A2632,'Data Pull Sheet'!$B$2:$C$1795,2,0)),"",(VLOOKUP(A2632,'Data Pull Sheet'!$B$2:$C$1795,2,0)))</f>
        <v>SBGI</v>
      </c>
      <c r="C2632" s="59" t="s">
        <v>817</v>
      </c>
      <c r="D2632" s="356" t="s">
        <v>10891</v>
      </c>
      <c r="E2632" s="356" t="s">
        <v>10884</v>
      </c>
      <c r="F2632" s="23" t="s">
        <v>94</v>
      </c>
      <c r="G2632" s="59" t="s">
        <v>417</v>
      </c>
      <c r="H2632" s="353">
        <v>73121.41</v>
      </c>
      <c r="I2632" s="59" t="s">
        <v>442</v>
      </c>
      <c r="J2632" s="59" t="s">
        <v>11556</v>
      </c>
      <c r="K2632" s="20">
        <v>2</v>
      </c>
      <c r="L2632" s="20">
        <v>1</v>
      </c>
      <c r="M2632" s="357">
        <f t="shared" si="84"/>
        <v>73121.41</v>
      </c>
      <c r="N2632" s="411">
        <f>IFERROR((M2632/(VLOOKUP(B2632,'Data Pull Sheet'!$C:$H,6,FALSE))),"DC")</f>
        <v>3.6560705000000002E-4</v>
      </c>
      <c r="O2632" s="23" t="s">
        <v>2641</v>
      </c>
      <c r="P2632" s="18" t="s">
        <v>632</v>
      </c>
      <c r="Q2632" s="18" t="s">
        <v>633</v>
      </c>
      <c r="R2632" s="92" t="str">
        <f t="shared" si="85"/>
        <v>FF</v>
      </c>
    </row>
    <row r="2633" spans="1:18" x14ac:dyDescent="0.25">
      <c r="A2633" s="23" t="s">
        <v>8901</v>
      </c>
      <c r="B2633" s="18" t="str">
        <f>IF(ISNA(VLOOKUP(A2633,'Data Pull Sheet'!$B$2:$C$1795,2,0)),"",(VLOOKUP(A2633,'Data Pull Sheet'!$B$2:$C$1795,2,0)))</f>
        <v>SBGI</v>
      </c>
      <c r="C2633" s="59" t="s">
        <v>817</v>
      </c>
      <c r="D2633" s="356" t="s">
        <v>10891</v>
      </c>
      <c r="E2633" s="356" t="s">
        <v>10884</v>
      </c>
      <c r="F2633" s="23" t="s">
        <v>10860</v>
      </c>
      <c r="G2633" s="59" t="s">
        <v>417</v>
      </c>
      <c r="H2633" s="353">
        <v>181951</v>
      </c>
      <c r="I2633" s="59" t="s">
        <v>406</v>
      </c>
      <c r="J2633" s="59" t="s">
        <v>11573</v>
      </c>
      <c r="K2633" s="20"/>
      <c r="L2633" s="20">
        <v>2</v>
      </c>
      <c r="M2633" s="357">
        <f>SUM(H2633:H2634)</f>
        <v>542865</v>
      </c>
      <c r="N2633" s="411">
        <f>IFERROR((M2633/(VLOOKUP(B2633,'Data Pull Sheet'!$C:$H,6,FALSE))),"DC")</f>
        <v>2.7143250000000001E-3</v>
      </c>
      <c r="O2633" s="23" t="s">
        <v>11370</v>
      </c>
      <c r="P2633" s="18" t="s">
        <v>632</v>
      </c>
      <c r="Q2633" s="18" t="s">
        <v>640</v>
      </c>
      <c r="R2633" s="92" t="str">
        <f t="shared" si="85"/>
        <v>FF</v>
      </c>
    </row>
    <row r="2634" spans="1:18" x14ac:dyDescent="0.25">
      <c r="A2634" s="23" t="s">
        <v>8901</v>
      </c>
      <c r="B2634" s="18" t="str">
        <f>IF(ISNA(VLOOKUP(A2634,'Data Pull Sheet'!$B$2:$C$1795,2,0)),"",(VLOOKUP(A2634,'Data Pull Sheet'!$B$2:$C$1795,2,0)))</f>
        <v>SBGI</v>
      </c>
      <c r="C2634" s="59" t="s">
        <v>817</v>
      </c>
      <c r="D2634" s="356" t="s">
        <v>10891</v>
      </c>
      <c r="E2634" s="356" t="s">
        <v>10884</v>
      </c>
      <c r="F2634" s="23" t="s">
        <v>111</v>
      </c>
      <c r="G2634" s="59" t="s">
        <v>417</v>
      </c>
      <c r="H2634" s="353">
        <v>360914</v>
      </c>
      <c r="I2634" s="59" t="s">
        <v>406</v>
      </c>
      <c r="J2634" s="59" t="s">
        <v>11574</v>
      </c>
      <c r="K2634" s="20"/>
      <c r="L2634" s="20"/>
      <c r="M2634" s="357"/>
      <c r="N2634" s="411"/>
      <c r="O2634" s="23" t="s">
        <v>11370</v>
      </c>
      <c r="P2634" s="18" t="s">
        <v>632</v>
      </c>
      <c r="Q2634" s="18" t="s">
        <v>640</v>
      </c>
      <c r="R2634" s="92" t="str">
        <f t="shared" si="85"/>
        <v>FF</v>
      </c>
    </row>
    <row r="2635" spans="1:18" x14ac:dyDescent="0.25">
      <c r="A2635" s="23" t="s">
        <v>7379</v>
      </c>
      <c r="B2635" s="18" t="s">
        <v>10689</v>
      </c>
      <c r="C2635" s="59" t="s">
        <v>457</v>
      </c>
      <c r="D2635" s="356">
        <v>43322</v>
      </c>
      <c r="E2635" s="356">
        <v>43382</v>
      </c>
      <c r="F2635" s="23" t="s">
        <v>11107</v>
      </c>
      <c r="G2635" s="59" t="s">
        <v>417</v>
      </c>
      <c r="H2635" s="353">
        <v>1011256.96</v>
      </c>
      <c r="I2635" s="59"/>
      <c r="J2635" s="59" t="s">
        <v>11127</v>
      </c>
      <c r="K2635" s="20">
        <v>9</v>
      </c>
      <c r="L2635" s="20">
        <v>2</v>
      </c>
      <c r="M2635" s="357">
        <f>SUM(H2635:H2636)</f>
        <v>15871345.780000001</v>
      </c>
      <c r="N2635" s="411">
        <f>IFERROR((M2635/(VLOOKUP(B2635,'Data Pull Sheet'!$C:$H,6,FALSE))),"DC")</f>
        <v>1.8672171505882355E-2</v>
      </c>
      <c r="O2635" s="23" t="s">
        <v>48</v>
      </c>
      <c r="P2635" s="18" t="s">
        <v>632</v>
      </c>
      <c r="Q2635" s="18" t="s">
        <v>640</v>
      </c>
      <c r="R2635" s="92" t="str">
        <f t="shared" si="85"/>
        <v/>
      </c>
    </row>
    <row r="2636" spans="1:18" x14ac:dyDescent="0.25">
      <c r="A2636" s="23" t="s">
        <v>7379</v>
      </c>
      <c r="B2636" s="18" t="s">
        <v>10689</v>
      </c>
      <c r="C2636" s="59" t="s">
        <v>457</v>
      </c>
      <c r="D2636" s="356">
        <v>43322</v>
      </c>
      <c r="E2636" s="356">
        <v>43382</v>
      </c>
      <c r="F2636" s="23" t="s">
        <v>11108</v>
      </c>
      <c r="G2636" s="59" t="s">
        <v>417</v>
      </c>
      <c r="H2636" s="353">
        <v>14860088.82</v>
      </c>
      <c r="I2636" s="59"/>
      <c r="J2636" s="59" t="s">
        <v>11128</v>
      </c>
      <c r="K2636" s="20"/>
      <c r="L2636" s="20"/>
      <c r="M2636" s="357"/>
      <c r="N2636" s="411"/>
      <c r="O2636" s="23" t="s">
        <v>48</v>
      </c>
      <c r="P2636" s="18" t="s">
        <v>632</v>
      </c>
      <c r="Q2636" s="18" t="s">
        <v>640</v>
      </c>
      <c r="R2636" s="92" t="str">
        <f t="shared" si="85"/>
        <v/>
      </c>
    </row>
    <row r="2637" spans="1:18" ht="30" x14ac:dyDescent="0.25">
      <c r="A2637" s="23" t="s">
        <v>7379</v>
      </c>
      <c r="B2637" s="18" t="s">
        <v>10689</v>
      </c>
      <c r="C2637" s="59" t="s">
        <v>457</v>
      </c>
      <c r="D2637" s="356">
        <v>43322</v>
      </c>
      <c r="E2637" s="356">
        <v>43382</v>
      </c>
      <c r="F2637" s="23" t="s">
        <v>11109</v>
      </c>
      <c r="G2637" s="59" t="s">
        <v>403</v>
      </c>
      <c r="H2637" s="353">
        <v>1682146.61</v>
      </c>
      <c r="I2637" s="59"/>
      <c r="J2637" s="59" t="s">
        <v>11129</v>
      </c>
      <c r="K2637" s="20"/>
      <c r="L2637" s="20">
        <v>5</v>
      </c>
      <c r="M2637" s="357">
        <f>SUM(H2637:H2641)</f>
        <v>4582035.74</v>
      </c>
      <c r="N2637" s="411">
        <f>IFERROR((M2637/(VLOOKUP(B2637,'Data Pull Sheet'!$C:$H,6,FALSE))),"DC")</f>
        <v>5.3906302823529418E-3</v>
      </c>
      <c r="O2637" s="23" t="s">
        <v>11147</v>
      </c>
      <c r="P2637" s="18" t="s">
        <v>632</v>
      </c>
      <c r="Q2637" s="18" t="s">
        <v>662</v>
      </c>
      <c r="R2637" s="92" t="str">
        <f t="shared" si="85"/>
        <v/>
      </c>
    </row>
    <row r="2638" spans="1:18" ht="30" x14ac:dyDescent="0.25">
      <c r="A2638" s="23" t="s">
        <v>7379</v>
      </c>
      <c r="B2638" s="18" t="s">
        <v>10689</v>
      </c>
      <c r="C2638" s="59" t="s">
        <v>457</v>
      </c>
      <c r="D2638" s="356">
        <v>43322</v>
      </c>
      <c r="E2638" s="356">
        <v>43382</v>
      </c>
      <c r="F2638" s="23" t="s">
        <v>11110</v>
      </c>
      <c r="G2638" s="59" t="s">
        <v>403</v>
      </c>
      <c r="H2638" s="353">
        <v>653321.96</v>
      </c>
      <c r="I2638" s="59"/>
      <c r="J2638" s="59" t="s">
        <v>11130</v>
      </c>
      <c r="K2638" s="20"/>
      <c r="L2638" s="20"/>
      <c r="M2638" s="357"/>
      <c r="N2638" s="411"/>
      <c r="O2638" s="23" t="s">
        <v>11147</v>
      </c>
      <c r="P2638" s="18" t="s">
        <v>632</v>
      </c>
      <c r="Q2638" s="18" t="s">
        <v>662</v>
      </c>
      <c r="R2638" s="92" t="str">
        <f t="shared" si="85"/>
        <v/>
      </c>
    </row>
    <row r="2639" spans="1:18" ht="30" x14ac:dyDescent="0.25">
      <c r="A2639" s="23" t="s">
        <v>7379</v>
      </c>
      <c r="B2639" s="18" t="s">
        <v>10689</v>
      </c>
      <c r="C2639" s="59" t="s">
        <v>457</v>
      </c>
      <c r="D2639" s="356">
        <v>43322</v>
      </c>
      <c r="E2639" s="356">
        <v>43382</v>
      </c>
      <c r="F2639" s="23" t="s">
        <v>11111</v>
      </c>
      <c r="G2639" s="59" t="s">
        <v>417</v>
      </c>
      <c r="H2639" s="353">
        <v>843564.71</v>
      </c>
      <c r="I2639" s="59"/>
      <c r="J2639" s="59" t="s">
        <v>11131</v>
      </c>
      <c r="K2639" s="20"/>
      <c r="L2639" s="20"/>
      <c r="M2639" s="357"/>
      <c r="N2639" s="411"/>
      <c r="O2639" s="23" t="s">
        <v>11147</v>
      </c>
      <c r="P2639" s="18" t="s">
        <v>632</v>
      </c>
      <c r="Q2639" s="18" t="s">
        <v>662</v>
      </c>
      <c r="R2639" s="92" t="str">
        <f t="shared" si="85"/>
        <v/>
      </c>
    </row>
    <row r="2640" spans="1:18" ht="30" x14ac:dyDescent="0.25">
      <c r="A2640" s="23" t="s">
        <v>7379</v>
      </c>
      <c r="B2640" s="18" t="s">
        <v>10689</v>
      </c>
      <c r="C2640" s="59" t="s">
        <v>457</v>
      </c>
      <c r="D2640" s="356">
        <v>43322</v>
      </c>
      <c r="E2640" s="356">
        <v>43382</v>
      </c>
      <c r="F2640" s="23" t="s">
        <v>11112</v>
      </c>
      <c r="G2640" s="59" t="s">
        <v>403</v>
      </c>
      <c r="H2640" s="353">
        <v>707921.77</v>
      </c>
      <c r="I2640" s="59"/>
      <c r="J2640" s="59" t="s">
        <v>11132</v>
      </c>
      <c r="K2640" s="20"/>
      <c r="L2640" s="20"/>
      <c r="M2640" s="357"/>
      <c r="N2640" s="411"/>
      <c r="O2640" s="23" t="s">
        <v>11147</v>
      </c>
      <c r="P2640" s="18" t="s">
        <v>632</v>
      </c>
      <c r="Q2640" s="18" t="s">
        <v>662</v>
      </c>
      <c r="R2640" s="92" t="str">
        <f t="shared" si="85"/>
        <v/>
      </c>
    </row>
    <row r="2641" spans="1:18" ht="30" x14ac:dyDescent="0.25">
      <c r="A2641" s="23" t="s">
        <v>7379</v>
      </c>
      <c r="B2641" s="18" t="s">
        <v>10689</v>
      </c>
      <c r="C2641" s="59" t="s">
        <v>457</v>
      </c>
      <c r="D2641" s="356">
        <v>43322</v>
      </c>
      <c r="E2641" s="356">
        <v>43382</v>
      </c>
      <c r="F2641" s="23" t="s">
        <v>11113</v>
      </c>
      <c r="G2641" s="59" t="s">
        <v>417</v>
      </c>
      <c r="H2641" s="353">
        <v>695080.69</v>
      </c>
      <c r="I2641" s="59"/>
      <c r="J2641" s="59" t="s">
        <v>11133</v>
      </c>
      <c r="K2641" s="20"/>
      <c r="L2641" s="20"/>
      <c r="M2641" s="357"/>
      <c r="N2641" s="411"/>
      <c r="O2641" s="23" t="s">
        <v>11147</v>
      </c>
      <c r="P2641" s="18" t="s">
        <v>632</v>
      </c>
      <c r="Q2641" s="18" t="s">
        <v>662</v>
      </c>
      <c r="R2641" s="92" t="str">
        <f t="shared" si="85"/>
        <v/>
      </c>
    </row>
    <row r="2642" spans="1:18" x14ac:dyDescent="0.25">
      <c r="A2642" s="23" t="s">
        <v>7379</v>
      </c>
      <c r="B2642" s="18" t="s">
        <v>10689</v>
      </c>
      <c r="C2642" s="59" t="s">
        <v>457</v>
      </c>
      <c r="D2642" s="356">
        <v>43322</v>
      </c>
      <c r="E2642" s="356">
        <v>43382</v>
      </c>
      <c r="F2642" s="23" t="s">
        <v>11114</v>
      </c>
      <c r="G2642" s="59" t="s">
        <v>403</v>
      </c>
      <c r="H2642" s="353">
        <v>3518478.68</v>
      </c>
      <c r="I2642" s="59"/>
      <c r="J2642" s="59" t="s">
        <v>11134</v>
      </c>
      <c r="K2642" s="20"/>
      <c r="L2642" s="20">
        <v>1</v>
      </c>
      <c r="M2642" s="357">
        <f>+H2642</f>
        <v>3518478.68</v>
      </c>
      <c r="N2642" s="411">
        <f>IFERROR((M2642/(VLOOKUP(B2642,'Data Pull Sheet'!$C:$H,6,FALSE))),"DC")</f>
        <v>4.1393866823529416E-3</v>
      </c>
      <c r="O2642" s="23" t="s">
        <v>63</v>
      </c>
      <c r="P2642" s="18" t="s">
        <v>632</v>
      </c>
      <c r="Q2642" s="18" t="s">
        <v>637</v>
      </c>
      <c r="R2642" s="92" t="str">
        <f t="shared" si="85"/>
        <v/>
      </c>
    </row>
    <row r="2643" spans="1:18" x14ac:dyDescent="0.25">
      <c r="A2643" s="23" t="s">
        <v>7379</v>
      </c>
      <c r="B2643" s="18" t="s">
        <v>10689</v>
      </c>
      <c r="C2643" s="59" t="s">
        <v>457</v>
      </c>
      <c r="D2643" s="356">
        <v>43322</v>
      </c>
      <c r="E2643" s="356">
        <v>43382</v>
      </c>
      <c r="F2643" s="23" t="s">
        <v>11115</v>
      </c>
      <c r="G2643" s="59" t="s">
        <v>417</v>
      </c>
      <c r="H2643" s="353">
        <v>2272864.2000000002</v>
      </c>
      <c r="I2643" s="59"/>
      <c r="J2643" s="59" t="s">
        <v>11135</v>
      </c>
      <c r="K2643" s="20"/>
      <c r="L2643" s="20">
        <v>1</v>
      </c>
      <c r="M2643" s="357">
        <f>+H2643</f>
        <v>2272864.2000000002</v>
      </c>
      <c r="N2643" s="411">
        <f>IFERROR((M2643/(VLOOKUP(B2643,'Data Pull Sheet'!$C:$H,6,FALSE))),"DC")</f>
        <v>2.6739578823529414E-3</v>
      </c>
      <c r="O2643" s="23" t="s">
        <v>849</v>
      </c>
      <c r="P2643" s="18" t="s">
        <v>632</v>
      </c>
      <c r="Q2643" s="18" t="s">
        <v>633</v>
      </c>
      <c r="R2643" s="92" t="str">
        <f t="shared" si="85"/>
        <v/>
      </c>
    </row>
    <row r="2644" spans="1:18" x14ac:dyDescent="0.25">
      <c r="A2644" s="23" t="s">
        <v>7379</v>
      </c>
      <c r="B2644" s="18" t="s">
        <v>10689</v>
      </c>
      <c r="C2644" s="59" t="s">
        <v>457</v>
      </c>
      <c r="D2644" s="356">
        <v>43322</v>
      </c>
      <c r="E2644" s="356">
        <v>43382</v>
      </c>
      <c r="F2644" s="23" t="s">
        <v>11116</v>
      </c>
      <c r="G2644" s="59" t="s">
        <v>403</v>
      </c>
      <c r="H2644" s="353">
        <v>70270</v>
      </c>
      <c r="I2644" s="59"/>
      <c r="J2644" s="59" t="s">
        <v>11136</v>
      </c>
      <c r="K2644" s="20"/>
      <c r="L2644" s="20">
        <v>5</v>
      </c>
      <c r="M2644" s="357">
        <f>SUM(H2644:H2648)</f>
        <v>1248004.49</v>
      </c>
      <c r="N2644" s="411">
        <f>IFERROR((M2644/(VLOOKUP(B2644,'Data Pull Sheet'!$C:$H,6,FALSE))),"DC")</f>
        <v>1.4682405764705883E-3</v>
      </c>
      <c r="O2644" s="23" t="s">
        <v>11148</v>
      </c>
      <c r="P2644" s="18" t="s">
        <v>632</v>
      </c>
      <c r="Q2644" s="18" t="s">
        <v>646</v>
      </c>
      <c r="R2644" s="92" t="str">
        <f t="shared" si="85"/>
        <v/>
      </c>
    </row>
    <row r="2645" spans="1:18" x14ac:dyDescent="0.25">
      <c r="A2645" s="23" t="s">
        <v>7379</v>
      </c>
      <c r="B2645" s="18" t="s">
        <v>10689</v>
      </c>
      <c r="C2645" s="59" t="s">
        <v>457</v>
      </c>
      <c r="D2645" s="356">
        <v>43322</v>
      </c>
      <c r="E2645" s="356">
        <v>43382</v>
      </c>
      <c r="F2645" s="23" t="s">
        <v>11117</v>
      </c>
      <c r="G2645" s="59" t="s">
        <v>403</v>
      </c>
      <c r="H2645" s="353">
        <v>131307.4</v>
      </c>
      <c r="I2645" s="59"/>
      <c r="J2645" s="59" t="s">
        <v>11137</v>
      </c>
      <c r="K2645" s="20"/>
      <c r="L2645" s="20"/>
      <c r="M2645" s="357"/>
      <c r="N2645" s="411"/>
      <c r="O2645" s="23" t="s">
        <v>11148</v>
      </c>
      <c r="P2645" s="18" t="s">
        <v>632</v>
      </c>
      <c r="Q2645" s="18" t="s">
        <v>646</v>
      </c>
      <c r="R2645" s="92" t="str">
        <f t="shared" si="85"/>
        <v/>
      </c>
    </row>
    <row r="2646" spans="1:18" x14ac:dyDescent="0.25">
      <c r="A2646" s="23" t="s">
        <v>7379</v>
      </c>
      <c r="B2646" s="18" t="s">
        <v>10689</v>
      </c>
      <c r="C2646" s="59" t="s">
        <v>457</v>
      </c>
      <c r="D2646" s="356">
        <v>43322</v>
      </c>
      <c r="E2646" s="356">
        <v>43382</v>
      </c>
      <c r="F2646" s="23" t="s">
        <v>11118</v>
      </c>
      <c r="G2646" s="59" t="s">
        <v>403</v>
      </c>
      <c r="H2646" s="353">
        <v>116870.35</v>
      </c>
      <c r="I2646" s="59"/>
      <c r="J2646" s="59" t="s">
        <v>11138</v>
      </c>
      <c r="K2646" s="20"/>
      <c r="L2646" s="20"/>
      <c r="M2646" s="357"/>
      <c r="N2646" s="411"/>
      <c r="O2646" s="23" t="s">
        <v>11148</v>
      </c>
      <c r="P2646" s="18" t="s">
        <v>632</v>
      </c>
      <c r="Q2646" s="18" t="s">
        <v>646</v>
      </c>
      <c r="R2646" s="92" t="str">
        <f t="shared" si="85"/>
        <v/>
      </c>
    </row>
    <row r="2647" spans="1:18" x14ac:dyDescent="0.25">
      <c r="A2647" s="23" t="s">
        <v>7379</v>
      </c>
      <c r="B2647" s="18" t="s">
        <v>10689</v>
      </c>
      <c r="C2647" s="59" t="s">
        <v>457</v>
      </c>
      <c r="D2647" s="356">
        <v>43322</v>
      </c>
      <c r="E2647" s="356">
        <v>43382</v>
      </c>
      <c r="F2647" s="23" t="s">
        <v>11119</v>
      </c>
      <c r="G2647" s="59" t="s">
        <v>403</v>
      </c>
      <c r="H2647" s="353">
        <v>717353.65</v>
      </c>
      <c r="I2647" s="59"/>
      <c r="J2647" s="59" t="s">
        <v>11139</v>
      </c>
      <c r="K2647" s="20"/>
      <c r="L2647" s="20"/>
      <c r="M2647" s="357"/>
      <c r="N2647" s="411"/>
      <c r="O2647" s="23" t="s">
        <v>11148</v>
      </c>
      <c r="P2647" s="18" t="s">
        <v>632</v>
      </c>
      <c r="Q2647" s="18" t="s">
        <v>646</v>
      </c>
      <c r="R2647" s="92" t="str">
        <f t="shared" si="85"/>
        <v/>
      </c>
    </row>
    <row r="2648" spans="1:18" x14ac:dyDescent="0.25">
      <c r="A2648" s="23" t="s">
        <v>7379</v>
      </c>
      <c r="B2648" s="18" t="s">
        <v>10689</v>
      </c>
      <c r="C2648" s="59" t="s">
        <v>457</v>
      </c>
      <c r="D2648" s="356">
        <v>43322</v>
      </c>
      <c r="E2648" s="356">
        <v>43382</v>
      </c>
      <c r="F2648" s="23" t="s">
        <v>11120</v>
      </c>
      <c r="G2648" s="59" t="s">
        <v>403</v>
      </c>
      <c r="H2648" s="353">
        <v>212203.09</v>
      </c>
      <c r="I2648" s="59"/>
      <c r="J2648" s="59" t="s">
        <v>11140</v>
      </c>
      <c r="K2648" s="20"/>
      <c r="L2648" s="20"/>
      <c r="M2648" s="357"/>
      <c r="N2648" s="411"/>
      <c r="O2648" s="23" t="s">
        <v>11148</v>
      </c>
      <c r="P2648" s="18" t="s">
        <v>632</v>
      </c>
      <c r="Q2648" s="18" t="s">
        <v>646</v>
      </c>
      <c r="R2648" s="92" t="str">
        <f t="shared" si="85"/>
        <v/>
      </c>
    </row>
    <row r="2649" spans="1:18" x14ac:dyDescent="0.25">
      <c r="A2649" s="23" t="s">
        <v>7379</v>
      </c>
      <c r="B2649" s="18" t="s">
        <v>10689</v>
      </c>
      <c r="C2649" s="59" t="s">
        <v>457</v>
      </c>
      <c r="D2649" s="356">
        <v>43322</v>
      </c>
      <c r="E2649" s="356">
        <v>43382</v>
      </c>
      <c r="F2649" s="23" t="s">
        <v>11121</v>
      </c>
      <c r="G2649" s="59" t="s">
        <v>403</v>
      </c>
      <c r="H2649" s="353">
        <v>272462</v>
      </c>
      <c r="I2649" s="59"/>
      <c r="J2649" s="59" t="s">
        <v>11141</v>
      </c>
      <c r="K2649" s="20"/>
      <c r="L2649" s="20">
        <v>4</v>
      </c>
      <c r="M2649" s="357">
        <f>SUM(H2649:H2652)</f>
        <v>790846</v>
      </c>
      <c r="N2649" s="411">
        <f>IFERROR((M2649/(VLOOKUP(B2649,'Data Pull Sheet'!$C:$H,6,FALSE))),"DC")</f>
        <v>9.3040705882352945E-4</v>
      </c>
      <c r="O2649" s="23" t="s">
        <v>11149</v>
      </c>
      <c r="P2649" s="18" t="s">
        <v>632</v>
      </c>
      <c r="Q2649" s="18" t="s">
        <v>646</v>
      </c>
      <c r="R2649" s="92" t="str">
        <f t="shared" si="85"/>
        <v/>
      </c>
    </row>
    <row r="2650" spans="1:18" x14ac:dyDescent="0.25">
      <c r="A2650" s="23" t="s">
        <v>7379</v>
      </c>
      <c r="B2650" s="18" t="s">
        <v>10689</v>
      </c>
      <c r="C2650" s="59" t="s">
        <v>457</v>
      </c>
      <c r="D2650" s="356">
        <v>43322</v>
      </c>
      <c r="E2650" s="356">
        <v>43382</v>
      </c>
      <c r="F2650" s="23" t="s">
        <v>11122</v>
      </c>
      <c r="G2650" s="59" t="s">
        <v>403</v>
      </c>
      <c r="H2650" s="353">
        <v>152114</v>
      </c>
      <c r="I2650" s="59"/>
      <c r="J2650" s="59" t="s">
        <v>11142</v>
      </c>
      <c r="K2650" s="20"/>
      <c r="L2650" s="20"/>
      <c r="M2650" s="357"/>
      <c r="N2650" s="411"/>
      <c r="O2650" s="23" t="s">
        <v>11149</v>
      </c>
      <c r="P2650" s="18" t="s">
        <v>632</v>
      </c>
      <c r="Q2650" s="18" t="s">
        <v>646</v>
      </c>
      <c r="R2650" s="92" t="str">
        <f t="shared" si="85"/>
        <v/>
      </c>
    </row>
    <row r="2651" spans="1:18" x14ac:dyDescent="0.25">
      <c r="A2651" s="23" t="s">
        <v>7379</v>
      </c>
      <c r="B2651" s="18" t="s">
        <v>10689</v>
      </c>
      <c r="C2651" s="59" t="s">
        <v>457</v>
      </c>
      <c r="D2651" s="356">
        <v>43322</v>
      </c>
      <c r="E2651" s="356">
        <v>43382</v>
      </c>
      <c r="F2651" s="23" t="s">
        <v>11123</v>
      </c>
      <c r="G2651" s="59" t="s">
        <v>403</v>
      </c>
      <c r="H2651" s="353">
        <v>260546</v>
      </c>
      <c r="I2651" s="59"/>
      <c r="J2651" s="59" t="s">
        <v>11143</v>
      </c>
      <c r="K2651" s="20"/>
      <c r="L2651" s="20"/>
      <c r="M2651" s="357"/>
      <c r="N2651" s="411"/>
      <c r="O2651" s="23" t="s">
        <v>11149</v>
      </c>
      <c r="P2651" s="18" t="s">
        <v>632</v>
      </c>
      <c r="Q2651" s="18" t="s">
        <v>646</v>
      </c>
      <c r="R2651" s="92" t="str">
        <f t="shared" si="85"/>
        <v/>
      </c>
    </row>
    <row r="2652" spans="1:18" x14ac:dyDescent="0.25">
      <c r="A2652" s="23" t="s">
        <v>7379</v>
      </c>
      <c r="B2652" s="18" t="s">
        <v>10689</v>
      </c>
      <c r="C2652" s="59" t="s">
        <v>457</v>
      </c>
      <c r="D2652" s="356">
        <v>43322</v>
      </c>
      <c r="E2652" s="356">
        <v>43382</v>
      </c>
      <c r="F2652" s="23" t="s">
        <v>11124</v>
      </c>
      <c r="G2652" s="59" t="s">
        <v>403</v>
      </c>
      <c r="H2652" s="353">
        <v>105724</v>
      </c>
      <c r="I2652" s="59"/>
      <c r="J2652" s="59" t="s">
        <v>11144</v>
      </c>
      <c r="K2652" s="20"/>
      <c r="L2652" s="20"/>
      <c r="M2652" s="357"/>
      <c r="N2652" s="411"/>
      <c r="O2652" s="23" t="s">
        <v>11149</v>
      </c>
      <c r="P2652" s="18" t="s">
        <v>632</v>
      </c>
      <c r="Q2652" s="18" t="s">
        <v>646</v>
      </c>
      <c r="R2652" s="92" t="str">
        <f t="shared" si="85"/>
        <v/>
      </c>
    </row>
    <row r="2653" spans="1:18" ht="30" x14ac:dyDescent="0.25">
      <c r="A2653" s="23" t="s">
        <v>7379</v>
      </c>
      <c r="B2653" s="18" t="s">
        <v>10689</v>
      </c>
      <c r="C2653" s="59" t="s">
        <v>457</v>
      </c>
      <c r="D2653" s="356">
        <v>43322</v>
      </c>
      <c r="E2653" s="356">
        <v>43382</v>
      </c>
      <c r="F2653" s="23" t="s">
        <v>11125</v>
      </c>
      <c r="G2653" s="59" t="s">
        <v>403</v>
      </c>
      <c r="H2653" s="353">
        <v>439399.85</v>
      </c>
      <c r="I2653" s="59"/>
      <c r="J2653" s="59" t="s">
        <v>11145</v>
      </c>
      <c r="K2653" s="20"/>
      <c r="L2653" s="20">
        <v>1</v>
      </c>
      <c r="M2653" s="357">
        <f>+H2653</f>
        <v>439399.85</v>
      </c>
      <c r="N2653" s="411">
        <f>IFERROR((M2653/(VLOOKUP(B2653,'Data Pull Sheet'!$C:$H,6,FALSE))),"DC")</f>
        <v>5.1694099999999993E-4</v>
      </c>
      <c r="O2653" s="23" t="s">
        <v>11151</v>
      </c>
      <c r="P2653" s="18" t="s">
        <v>632</v>
      </c>
      <c r="Q2653" s="18" t="s">
        <v>637</v>
      </c>
      <c r="R2653" s="92" t="str">
        <f t="shared" si="85"/>
        <v/>
      </c>
    </row>
    <row r="2654" spans="1:18" x14ac:dyDescent="0.25">
      <c r="A2654" s="23" t="s">
        <v>7379</v>
      </c>
      <c r="B2654" s="18" t="s">
        <v>10689</v>
      </c>
      <c r="C2654" s="59" t="s">
        <v>457</v>
      </c>
      <c r="D2654" s="356">
        <v>43322</v>
      </c>
      <c r="E2654" s="356">
        <v>43382</v>
      </c>
      <c r="F2654" s="23" t="s">
        <v>11126</v>
      </c>
      <c r="G2654" s="59" t="s">
        <v>403</v>
      </c>
      <c r="H2654" s="353">
        <v>333185.26</v>
      </c>
      <c r="I2654" s="59"/>
      <c r="J2654" s="59" t="s">
        <v>11146</v>
      </c>
      <c r="K2654" s="20"/>
      <c r="L2654" s="20">
        <v>1</v>
      </c>
      <c r="M2654" s="357">
        <f>+H2654</f>
        <v>333185.26</v>
      </c>
      <c r="N2654" s="411">
        <f>IFERROR((M2654/(VLOOKUP(B2654,'Data Pull Sheet'!$C:$H,6,FALSE))),"DC")</f>
        <v>3.919826588235294E-4</v>
      </c>
      <c r="O2654" s="23" t="s">
        <v>1002</v>
      </c>
      <c r="P2654" s="18" t="s">
        <v>632</v>
      </c>
      <c r="Q2654" s="18" t="s">
        <v>637</v>
      </c>
      <c r="R2654" s="92" t="str">
        <f t="shared" si="85"/>
        <v/>
      </c>
    </row>
    <row r="2655" spans="1:18" x14ac:dyDescent="0.25">
      <c r="A2655" s="23" t="s">
        <v>7379</v>
      </c>
      <c r="B2655" s="18" t="s">
        <v>10688</v>
      </c>
      <c r="C2655" s="59" t="s">
        <v>457</v>
      </c>
      <c r="D2655" s="356">
        <v>43322</v>
      </c>
      <c r="E2655" s="356">
        <v>43382</v>
      </c>
      <c r="F2655" s="23" t="s">
        <v>11153</v>
      </c>
      <c r="G2655" s="59" t="s">
        <v>417</v>
      </c>
      <c r="H2655" s="353">
        <v>304204.98</v>
      </c>
      <c r="I2655" s="59" t="s">
        <v>11154</v>
      </c>
      <c r="J2655" s="59" t="s">
        <v>11152</v>
      </c>
      <c r="K2655" s="20"/>
      <c r="L2655" s="20">
        <v>1</v>
      </c>
      <c r="M2655" s="357">
        <f>+H2655</f>
        <v>304204.98</v>
      </c>
      <c r="N2655" s="411">
        <f>IFERROR((M2655/(VLOOKUP(B2655,'Data Pull Sheet'!$C:$H,6,FALSE))),"DC")</f>
        <v>1.5210248999999998E-3</v>
      </c>
      <c r="O2655" s="23" t="s">
        <v>11150</v>
      </c>
      <c r="P2655" s="18" t="s">
        <v>632</v>
      </c>
      <c r="Q2655" s="18" t="s">
        <v>633</v>
      </c>
      <c r="R2655" s="92" t="str">
        <f t="shared" si="85"/>
        <v/>
      </c>
    </row>
    <row r="2656" spans="1:18" x14ac:dyDescent="0.25">
      <c r="A2656" s="23" t="s">
        <v>11095</v>
      </c>
      <c r="B2656" s="18" t="str">
        <f>IF(ISNA(VLOOKUP($A2656,'Data Pull Sheet'!$B$2:$C$1795,2,0)),"",(VLOOKUP($A2656,'Data Pull Sheet'!$B$2:$C$1795,2,0)))</f>
        <v>ZN</v>
      </c>
      <c r="C2656" s="59" t="s">
        <v>1815</v>
      </c>
      <c r="D2656" s="356">
        <v>43321</v>
      </c>
      <c r="E2656" s="356">
        <v>43382</v>
      </c>
      <c r="F2656" s="23" t="s">
        <v>11096</v>
      </c>
      <c r="G2656" s="59" t="s">
        <v>403</v>
      </c>
      <c r="H2656" s="353">
        <v>14191</v>
      </c>
      <c r="I2656" s="59"/>
      <c r="J2656" s="59" t="s">
        <v>11101</v>
      </c>
      <c r="K2656" s="20">
        <v>3</v>
      </c>
      <c r="L2656" s="20">
        <v>2</v>
      </c>
      <c r="M2656" s="357">
        <f>SUM(H2656:H2657)</f>
        <v>19150</v>
      </c>
      <c r="N2656" s="411">
        <f>IFERROR((M2656/(VLOOKUP(B2656,'Data Pull Sheet'!$C:$H,6,FALSE))),"DC")</f>
        <v>3.1916666666666669E-3</v>
      </c>
      <c r="O2656" s="23" t="s">
        <v>2858</v>
      </c>
      <c r="P2656" s="18" t="s">
        <v>632</v>
      </c>
      <c r="Q2656" s="18" t="s">
        <v>646</v>
      </c>
      <c r="R2656" s="92" t="str">
        <f t="shared" si="85"/>
        <v/>
      </c>
    </row>
    <row r="2657" spans="1:18" x14ac:dyDescent="0.25">
      <c r="A2657" s="23" t="s">
        <v>11095</v>
      </c>
      <c r="B2657" s="18" t="str">
        <f>IF(ISNA(VLOOKUP($A2657,'Data Pull Sheet'!$B$2:$C$1795,2,0)),"",(VLOOKUP($A2657,'Data Pull Sheet'!$B$2:$C$1795,2,0)))</f>
        <v>ZN</v>
      </c>
      <c r="C2657" s="59" t="s">
        <v>1815</v>
      </c>
      <c r="D2657" s="356">
        <v>43321</v>
      </c>
      <c r="E2657" s="356">
        <v>43382</v>
      </c>
      <c r="F2657" s="23" t="s">
        <v>11097</v>
      </c>
      <c r="G2657" s="59" t="s">
        <v>403</v>
      </c>
      <c r="H2657" s="353">
        <v>4959</v>
      </c>
      <c r="I2657" s="59"/>
      <c r="J2657" s="59" t="s">
        <v>11102</v>
      </c>
      <c r="K2657" s="20"/>
      <c r="L2657" s="20"/>
      <c r="M2657" s="357"/>
      <c r="N2657" s="411"/>
      <c r="O2657" s="23" t="s">
        <v>2858</v>
      </c>
      <c r="P2657" s="18" t="s">
        <v>632</v>
      </c>
      <c r="Q2657" s="18" t="s">
        <v>646</v>
      </c>
      <c r="R2657" s="92" t="str">
        <f t="shared" si="85"/>
        <v/>
      </c>
    </row>
    <row r="2658" spans="1:18" x14ac:dyDescent="0.25">
      <c r="A2658" s="23" t="s">
        <v>11095</v>
      </c>
      <c r="B2658" s="18" t="str">
        <f>IF(ISNA(VLOOKUP($A2658,'Data Pull Sheet'!$B$2:$C$1795,2,0)),"",(VLOOKUP($A2658,'Data Pull Sheet'!$B$2:$C$1795,2,0)))</f>
        <v>ZN</v>
      </c>
      <c r="C2658" s="59" t="s">
        <v>1815</v>
      </c>
      <c r="D2658" s="356">
        <v>43321</v>
      </c>
      <c r="E2658" s="356">
        <v>43382</v>
      </c>
      <c r="F2658" s="23" t="s">
        <v>11098</v>
      </c>
      <c r="G2658" s="59" t="s">
        <v>403</v>
      </c>
      <c r="H2658" s="353">
        <v>2990</v>
      </c>
      <c r="I2658" s="59"/>
      <c r="J2658" s="59" t="s">
        <v>11103</v>
      </c>
      <c r="K2658" s="20"/>
      <c r="L2658" s="20">
        <v>2</v>
      </c>
      <c r="M2658" s="357">
        <f>SUM(H2658:H2659)</f>
        <v>5260</v>
      </c>
      <c r="N2658" s="411">
        <f>IFERROR((M2658/(VLOOKUP(B2658,'Data Pull Sheet'!$C:$H,6,FALSE))),"DC")</f>
        <v>8.7666666666666665E-4</v>
      </c>
      <c r="O2658" s="23" t="s">
        <v>7269</v>
      </c>
      <c r="P2658" s="18" t="s">
        <v>632</v>
      </c>
      <c r="Q2658" s="18" t="s">
        <v>646</v>
      </c>
      <c r="R2658" s="92" t="str">
        <f t="shared" si="85"/>
        <v/>
      </c>
    </row>
    <row r="2659" spans="1:18" x14ac:dyDescent="0.25">
      <c r="A2659" s="23" t="s">
        <v>11095</v>
      </c>
      <c r="B2659" s="18" t="str">
        <f>IF(ISNA(VLOOKUP($A2659,'Data Pull Sheet'!$B$2:$C$1795,2,0)),"",(VLOOKUP($A2659,'Data Pull Sheet'!$B$2:$C$1795,2,0)))</f>
        <v>ZN</v>
      </c>
      <c r="C2659" s="59" t="s">
        <v>1815</v>
      </c>
      <c r="D2659" s="356">
        <v>43321</v>
      </c>
      <c r="E2659" s="356">
        <v>43382</v>
      </c>
      <c r="F2659" s="23" t="s">
        <v>11099</v>
      </c>
      <c r="G2659" s="59" t="s">
        <v>403</v>
      </c>
      <c r="H2659" s="353">
        <v>2270</v>
      </c>
      <c r="I2659" s="59"/>
      <c r="J2659" s="59" t="s">
        <v>11104</v>
      </c>
      <c r="K2659" s="20"/>
      <c r="L2659" s="20"/>
      <c r="M2659" s="357"/>
      <c r="N2659" s="411"/>
      <c r="O2659" s="23" t="s">
        <v>7269</v>
      </c>
      <c r="P2659" s="18" t="s">
        <v>632</v>
      </c>
      <c r="Q2659" s="18" t="s">
        <v>646</v>
      </c>
      <c r="R2659" s="92" t="str">
        <f t="shared" si="85"/>
        <v/>
      </c>
    </row>
    <row r="2660" spans="1:18" x14ac:dyDescent="0.25">
      <c r="A2660" s="23" t="s">
        <v>11095</v>
      </c>
      <c r="B2660" s="18" t="str">
        <f>IF(ISNA(VLOOKUP($A2660,'Data Pull Sheet'!$B$2:$C$1795,2,0)),"",(VLOOKUP($A2660,'Data Pull Sheet'!$B$2:$C$1795,2,0)))</f>
        <v>ZN</v>
      </c>
      <c r="C2660" s="59" t="s">
        <v>1815</v>
      </c>
      <c r="D2660" s="356">
        <v>43321</v>
      </c>
      <c r="E2660" s="356">
        <v>43382</v>
      </c>
      <c r="F2660" s="23" t="s">
        <v>11100</v>
      </c>
      <c r="G2660" s="59" t="s">
        <v>403</v>
      </c>
      <c r="H2660" s="353">
        <v>1485.81</v>
      </c>
      <c r="I2660" s="59"/>
      <c r="J2660" s="59" t="s">
        <v>11105</v>
      </c>
      <c r="K2660" s="20"/>
      <c r="L2660" s="20">
        <v>1</v>
      </c>
      <c r="M2660" s="357">
        <f>+H2660</f>
        <v>1485.81</v>
      </c>
      <c r="N2660" s="411">
        <f>IFERROR((M2660/(VLOOKUP(B2660,'Data Pull Sheet'!$C:$H,6,FALSE))),"DC")</f>
        <v>2.4763500000000001E-4</v>
      </c>
      <c r="O2660" s="23" t="s">
        <v>1921</v>
      </c>
      <c r="P2660" s="18" t="s">
        <v>632</v>
      </c>
      <c r="Q2660" s="18" t="s">
        <v>637</v>
      </c>
      <c r="R2660" s="92" t="str">
        <f t="shared" si="85"/>
        <v/>
      </c>
    </row>
    <row r="2661" spans="1:18" x14ac:dyDescent="0.25">
      <c r="A2661" s="23" t="s">
        <v>8860</v>
      </c>
      <c r="B2661" s="18" t="str">
        <f>IF(ISNA(VLOOKUP(A2661,'Data Pull Sheet'!$B$2:$C$1795,2,0)),"",(VLOOKUP(A2661,'Data Pull Sheet'!$B$2:$C$1795,2,0)))</f>
        <v>LOGM</v>
      </c>
      <c r="C2661" s="59" t="s">
        <v>409</v>
      </c>
      <c r="D2661" s="356" t="s">
        <v>9153</v>
      </c>
      <c r="E2661" s="356" t="s">
        <v>11227</v>
      </c>
      <c r="F2661" s="23" t="s">
        <v>11377</v>
      </c>
      <c r="G2661" s="59" t="s">
        <v>403</v>
      </c>
      <c r="H2661" s="353">
        <v>3041.31</v>
      </c>
      <c r="I2661" s="59"/>
      <c r="J2661" s="59" t="s">
        <v>11559</v>
      </c>
      <c r="K2661" s="20">
        <v>3</v>
      </c>
      <c r="L2661" s="20">
        <v>1</v>
      </c>
      <c r="M2661" s="357">
        <f>+H2661</f>
        <v>3041.31</v>
      </c>
      <c r="N2661" s="411">
        <f>IFERROR((M2661/(VLOOKUP(B2661,'Data Pull Sheet'!$C:$H,6,FALSE))),"DC")</f>
        <v>3.4560340909090911E-6</v>
      </c>
      <c r="O2661" s="23" t="s">
        <v>682</v>
      </c>
      <c r="P2661" s="18" t="s">
        <v>632</v>
      </c>
      <c r="Q2661" s="18" t="s">
        <v>637</v>
      </c>
      <c r="R2661" s="92" t="str">
        <f t="shared" si="85"/>
        <v/>
      </c>
    </row>
    <row r="2662" spans="1:18" x14ac:dyDescent="0.25">
      <c r="A2662" s="23" t="s">
        <v>8860</v>
      </c>
      <c r="B2662" s="18" t="str">
        <f>IF(ISNA(VLOOKUP(A2662,'Data Pull Sheet'!$B$2:$C$1795,2,0)),"",(VLOOKUP(A2662,'Data Pull Sheet'!$B$2:$C$1795,2,0)))</f>
        <v>LOGM</v>
      </c>
      <c r="C2662" s="59" t="s">
        <v>409</v>
      </c>
      <c r="D2662" s="356" t="s">
        <v>9153</v>
      </c>
      <c r="E2662" s="356" t="s">
        <v>11227</v>
      </c>
      <c r="F2662" s="23" t="s">
        <v>11378</v>
      </c>
      <c r="G2662" s="59" t="s">
        <v>403</v>
      </c>
      <c r="H2662" s="353">
        <v>6963</v>
      </c>
      <c r="I2662" s="59"/>
      <c r="J2662" s="59" t="s">
        <v>11576</v>
      </c>
      <c r="K2662" s="20"/>
      <c r="L2662" s="20">
        <v>1</v>
      </c>
      <c r="M2662" s="357">
        <f>+H2662</f>
        <v>6963</v>
      </c>
      <c r="N2662" s="411">
        <f>IFERROR((M2662/(VLOOKUP(B2662,'Data Pull Sheet'!$C:$H,6,FALSE))),"DC")</f>
        <v>7.9124999999999992E-6</v>
      </c>
      <c r="O2662" s="23" t="s">
        <v>79</v>
      </c>
      <c r="P2662" s="18" t="s">
        <v>632</v>
      </c>
      <c r="Q2662" s="18" t="s">
        <v>637</v>
      </c>
      <c r="R2662" s="92" t="str">
        <f t="shared" si="85"/>
        <v/>
      </c>
    </row>
    <row r="2663" spans="1:18" x14ac:dyDescent="0.25">
      <c r="A2663" s="23" t="s">
        <v>8860</v>
      </c>
      <c r="B2663" s="18" t="str">
        <f>IF(ISNA(VLOOKUP(A2663,'Data Pull Sheet'!$B$2:$C$1795,2,0)),"",(VLOOKUP(A2663,'Data Pull Sheet'!$B$2:$C$1795,2,0)))</f>
        <v>LOGM</v>
      </c>
      <c r="C2663" s="59" t="s">
        <v>409</v>
      </c>
      <c r="D2663" s="356" t="s">
        <v>9153</v>
      </c>
      <c r="E2663" s="356" t="s">
        <v>11227</v>
      </c>
      <c r="F2663" s="23" t="s">
        <v>11379</v>
      </c>
      <c r="G2663" s="59" t="s">
        <v>403</v>
      </c>
      <c r="H2663" s="353">
        <v>32330.86</v>
      </c>
      <c r="I2663" s="59"/>
      <c r="J2663" s="59" t="s">
        <v>11582</v>
      </c>
      <c r="K2663" s="20"/>
      <c r="L2663" s="20">
        <v>2</v>
      </c>
      <c r="M2663" s="357">
        <f>SUM(H2663:H2664)</f>
        <v>55300.86</v>
      </c>
      <c r="N2663" s="411">
        <f>IFERROR((M2663/(VLOOKUP(B2663,'Data Pull Sheet'!$C:$H,6,FALSE))),"DC")</f>
        <v>6.2841886363636368E-5</v>
      </c>
      <c r="O2663" s="23" t="s">
        <v>597</v>
      </c>
      <c r="P2663" s="18" t="s">
        <v>632</v>
      </c>
      <c r="Q2663" s="18" t="s">
        <v>646</v>
      </c>
      <c r="R2663" s="92" t="str">
        <f t="shared" si="85"/>
        <v/>
      </c>
    </row>
    <row r="2664" spans="1:18" x14ac:dyDescent="0.25">
      <c r="A2664" s="23" t="s">
        <v>8860</v>
      </c>
      <c r="B2664" s="18" t="str">
        <f>IF(ISNA(VLOOKUP(A2664,'Data Pull Sheet'!$B$2:$C$1795,2,0)),"",(VLOOKUP(A2664,'Data Pull Sheet'!$B$2:$C$1795,2,0)))</f>
        <v>LOGM</v>
      </c>
      <c r="C2664" s="59" t="s">
        <v>409</v>
      </c>
      <c r="D2664" s="356" t="s">
        <v>9153</v>
      </c>
      <c r="E2664" s="356" t="s">
        <v>11227</v>
      </c>
      <c r="F2664" s="23" t="s">
        <v>11380</v>
      </c>
      <c r="G2664" s="59" t="s">
        <v>403</v>
      </c>
      <c r="H2664" s="353">
        <v>22970</v>
      </c>
      <c r="I2664" s="59"/>
      <c r="J2664" s="59" t="s">
        <v>11583</v>
      </c>
      <c r="K2664" s="20"/>
      <c r="L2664" s="20"/>
      <c r="M2664" s="357"/>
      <c r="N2664" s="411"/>
      <c r="O2664" s="23" t="s">
        <v>597</v>
      </c>
      <c r="P2664" s="18" t="s">
        <v>632</v>
      </c>
      <c r="Q2664" s="18" t="s">
        <v>646</v>
      </c>
      <c r="R2664" s="92" t="str">
        <f t="shared" si="85"/>
        <v/>
      </c>
    </row>
    <row r="2665" spans="1:18" ht="30" x14ac:dyDescent="0.25">
      <c r="A2665" s="23" t="s">
        <v>8873</v>
      </c>
      <c r="B2665" s="18" t="str">
        <f>IF(ISNA(VLOOKUP(A2665,'Data Pull Sheet'!$B$2:$C$1795,2,0)),"",(VLOOKUP(A2665,'Data Pull Sheet'!$B$2:$C$1795,2,0)))</f>
        <v>NVRO</v>
      </c>
      <c r="C2665" s="59" t="s">
        <v>457</v>
      </c>
      <c r="D2665" s="356" t="s">
        <v>11388</v>
      </c>
      <c r="E2665" s="356" t="s">
        <v>11381</v>
      </c>
      <c r="F2665" s="23" t="s">
        <v>280</v>
      </c>
      <c r="G2665" s="59" t="s">
        <v>417</v>
      </c>
      <c r="H2665" s="353">
        <v>220774</v>
      </c>
      <c r="I2665" s="59" t="s">
        <v>406</v>
      </c>
      <c r="J2665" s="59" t="s">
        <v>11586</v>
      </c>
      <c r="K2665" s="20">
        <v>1</v>
      </c>
      <c r="L2665" s="20">
        <v>1</v>
      </c>
      <c r="M2665" s="357">
        <f>+H2665</f>
        <v>220774</v>
      </c>
      <c r="N2665" s="411">
        <f>IFERROR((M2665/(VLOOKUP(B2665,'Data Pull Sheet'!$C:$H,6,FALSE))),"DC")</f>
        <v>4.4154799999999999E-4</v>
      </c>
      <c r="O2665" s="23" t="s">
        <v>11389</v>
      </c>
      <c r="P2665" s="18" t="s">
        <v>676</v>
      </c>
      <c r="Q2665" s="18" t="s">
        <v>633</v>
      </c>
      <c r="R2665" s="92" t="str">
        <f t="shared" si="85"/>
        <v>FF</v>
      </c>
    </row>
    <row r="2666" spans="1:18" x14ac:dyDescent="0.25">
      <c r="A2666" s="23" t="s">
        <v>8887</v>
      </c>
      <c r="B2666" s="18" t="str">
        <f>IF(ISNA(VLOOKUP(A2666,'Data Pull Sheet'!$B$2:$C$1795,2,0)),"",(VLOOKUP(A2666,'Data Pull Sheet'!$B$2:$C$1795,2,0)))</f>
        <v>PDD</v>
      </c>
      <c r="C2666" s="59" t="s">
        <v>418</v>
      </c>
      <c r="D2666" s="356" t="s">
        <v>9152</v>
      </c>
      <c r="E2666" s="356" t="s">
        <v>11381</v>
      </c>
      <c r="F2666" s="23" t="s">
        <v>11382</v>
      </c>
      <c r="G2666" s="59" t="s">
        <v>403</v>
      </c>
      <c r="H2666" s="353">
        <v>279070.03999999998</v>
      </c>
      <c r="I2666" s="59"/>
      <c r="J2666" s="59" t="s">
        <v>11560</v>
      </c>
      <c r="K2666" s="20">
        <v>4</v>
      </c>
      <c r="L2666" s="20">
        <v>1</v>
      </c>
      <c r="M2666" s="357">
        <f>+H2666</f>
        <v>279070.03999999998</v>
      </c>
      <c r="N2666" s="411">
        <f>IFERROR((M2666/(VLOOKUP(B2666,'Data Pull Sheet'!$C:$H,6,FALSE))),"DC")</f>
        <v>1.3289049523809522E-2</v>
      </c>
      <c r="O2666" s="23" t="s">
        <v>597</v>
      </c>
      <c r="P2666" s="18" t="s">
        <v>632</v>
      </c>
      <c r="Q2666" s="18" t="s">
        <v>637</v>
      </c>
      <c r="R2666" s="92" t="str">
        <f t="shared" si="85"/>
        <v/>
      </c>
    </row>
    <row r="2667" spans="1:18" x14ac:dyDescent="0.25">
      <c r="A2667" s="23" t="s">
        <v>8887</v>
      </c>
      <c r="B2667" s="18" t="str">
        <f>IF(ISNA(VLOOKUP(A2667,'Data Pull Sheet'!$B$2:$C$1795,2,0)),"",(VLOOKUP(A2667,'Data Pull Sheet'!$B$2:$C$1795,2,0)))</f>
        <v>PDD</v>
      </c>
      <c r="C2667" s="59" t="s">
        <v>418</v>
      </c>
      <c r="D2667" s="356" t="s">
        <v>9152</v>
      </c>
      <c r="E2667" s="356" t="s">
        <v>11381</v>
      </c>
      <c r="F2667" s="23" t="s">
        <v>11383</v>
      </c>
      <c r="G2667" s="59" t="s">
        <v>403</v>
      </c>
      <c r="H2667" s="353">
        <v>45950.04</v>
      </c>
      <c r="I2667" s="59"/>
      <c r="J2667" s="59" t="s">
        <v>11577</v>
      </c>
      <c r="K2667" s="20"/>
      <c r="L2667" s="20">
        <v>1</v>
      </c>
      <c r="M2667" s="357">
        <f>+H2667</f>
        <v>45950.04</v>
      </c>
      <c r="N2667" s="411">
        <f>IFERROR((M2667/(VLOOKUP(B2667,'Data Pull Sheet'!$C:$H,6,FALSE))),"DC")</f>
        <v>2.1880971428571427E-3</v>
      </c>
      <c r="O2667" s="23" t="s">
        <v>11384</v>
      </c>
      <c r="P2667" s="18" t="s">
        <v>632</v>
      </c>
      <c r="Q2667" s="18" t="s">
        <v>637</v>
      </c>
      <c r="R2667" s="92" t="str">
        <f t="shared" si="85"/>
        <v/>
      </c>
    </row>
    <row r="2668" spans="1:18" x14ac:dyDescent="0.25">
      <c r="A2668" s="23" t="s">
        <v>8887</v>
      </c>
      <c r="B2668" s="18" t="str">
        <f>IF(ISNA(VLOOKUP(A2668,'Data Pull Sheet'!$B$2:$C$1795,2,0)),"",(VLOOKUP(A2668,'Data Pull Sheet'!$B$2:$C$1795,2,0)))</f>
        <v>PDD</v>
      </c>
      <c r="C2668" s="59" t="s">
        <v>418</v>
      </c>
      <c r="D2668" s="356" t="s">
        <v>9152</v>
      </c>
      <c r="E2668" s="356" t="s">
        <v>11381</v>
      </c>
      <c r="F2668" s="23" t="s">
        <v>11385</v>
      </c>
      <c r="G2668" s="59" t="s">
        <v>403</v>
      </c>
      <c r="H2668" s="353">
        <v>196950.42</v>
      </c>
      <c r="I2668" s="59"/>
      <c r="J2668" s="59" t="s">
        <v>11579</v>
      </c>
      <c r="K2668" s="20"/>
      <c r="L2668" s="20">
        <v>1</v>
      </c>
      <c r="M2668" s="357">
        <f>+H2668</f>
        <v>196950.42</v>
      </c>
      <c r="N2668" s="411">
        <f>IFERROR((M2668/(VLOOKUP(B2668,'Data Pull Sheet'!$C:$H,6,FALSE))),"DC")</f>
        <v>9.3785914285714287E-3</v>
      </c>
      <c r="O2668" s="23" t="s">
        <v>682</v>
      </c>
      <c r="P2668" s="18" t="s">
        <v>632</v>
      </c>
      <c r="Q2668" s="18" t="s">
        <v>637</v>
      </c>
      <c r="R2668" s="92" t="str">
        <f t="shared" si="85"/>
        <v/>
      </c>
    </row>
    <row r="2669" spans="1:18" x14ac:dyDescent="0.25">
      <c r="A2669" s="23" t="s">
        <v>8887</v>
      </c>
      <c r="B2669" s="18" t="str">
        <f>IF(ISNA(VLOOKUP(A2669,'Data Pull Sheet'!$B$2:$C$1795,2,0)),"",(VLOOKUP(A2669,'Data Pull Sheet'!$B$2:$C$1795,2,0)))</f>
        <v>PDD</v>
      </c>
      <c r="C2669" s="59" t="s">
        <v>418</v>
      </c>
      <c r="D2669" s="356" t="s">
        <v>9152</v>
      </c>
      <c r="E2669" s="356" t="s">
        <v>11381</v>
      </c>
      <c r="F2669" s="23" t="s">
        <v>11386</v>
      </c>
      <c r="G2669" s="59" t="s">
        <v>403</v>
      </c>
      <c r="H2669" s="353">
        <v>7617.65</v>
      </c>
      <c r="I2669" s="59" t="s">
        <v>406</v>
      </c>
      <c r="J2669" s="59" t="s">
        <v>11584</v>
      </c>
      <c r="K2669" s="20"/>
      <c r="L2669" s="20">
        <v>2</v>
      </c>
      <c r="M2669" s="357">
        <f>SUM(H2669:H2670)</f>
        <v>29538.85</v>
      </c>
      <c r="N2669" s="411">
        <f>IFERROR((M2669/(VLOOKUP(B2669,'Data Pull Sheet'!$C:$H,6,FALSE))),"DC")</f>
        <v>1.4066119047619046E-3</v>
      </c>
      <c r="O2669" s="23" t="s">
        <v>9756</v>
      </c>
      <c r="P2669" s="18" t="s">
        <v>632</v>
      </c>
      <c r="Q2669" s="18" t="s">
        <v>646</v>
      </c>
      <c r="R2669" s="92" t="str">
        <f t="shared" si="85"/>
        <v/>
      </c>
    </row>
    <row r="2670" spans="1:18" x14ac:dyDescent="0.25">
      <c r="A2670" s="23" t="s">
        <v>8887</v>
      </c>
      <c r="B2670" s="18" t="str">
        <f>IF(ISNA(VLOOKUP(A2670,'Data Pull Sheet'!$B$2:$C$1795,2,0)),"",(VLOOKUP(A2670,'Data Pull Sheet'!$B$2:$C$1795,2,0)))</f>
        <v>PDD</v>
      </c>
      <c r="C2670" s="59" t="s">
        <v>418</v>
      </c>
      <c r="D2670" s="356" t="s">
        <v>9152</v>
      </c>
      <c r="E2670" s="356" t="s">
        <v>11381</v>
      </c>
      <c r="F2670" s="23" t="s">
        <v>11387</v>
      </c>
      <c r="G2670" s="59" t="s">
        <v>403</v>
      </c>
      <c r="H2670" s="353">
        <v>21921.200000000001</v>
      </c>
      <c r="I2670" s="59" t="s">
        <v>406</v>
      </c>
      <c r="J2670" s="59" t="s">
        <v>11585</v>
      </c>
      <c r="K2670" s="20"/>
      <c r="L2670" s="20"/>
      <c r="M2670" s="357"/>
      <c r="N2670" s="411"/>
      <c r="O2670" s="23" t="s">
        <v>9756</v>
      </c>
      <c r="P2670" s="18" t="s">
        <v>632</v>
      </c>
      <c r="Q2670" s="18" t="s">
        <v>646</v>
      </c>
      <c r="R2670" s="92" t="str">
        <f t="shared" si="85"/>
        <v/>
      </c>
    </row>
    <row r="2671" spans="1:18" x14ac:dyDescent="0.25">
      <c r="A2671" s="23" t="s">
        <v>8826</v>
      </c>
      <c r="B2671" s="18" t="str">
        <f>IF(ISNA(VLOOKUP($A2671,'Data Pull Sheet'!$B$2:$C$1795,2,0)),"",(VLOOKUP($A2671,'Data Pull Sheet'!$B$2:$C$1795,2,0)))</f>
        <v>CVSI</v>
      </c>
      <c r="C2671" s="59" t="s">
        <v>3449</v>
      </c>
      <c r="D2671" s="356">
        <v>43336</v>
      </c>
      <c r="E2671" s="356">
        <v>43396</v>
      </c>
      <c r="F2671" s="23" t="s">
        <v>10968</v>
      </c>
      <c r="G2671" s="59" t="s">
        <v>403</v>
      </c>
      <c r="H2671" s="353">
        <v>134819.13</v>
      </c>
      <c r="I2671" s="59"/>
      <c r="J2671" s="59" t="s">
        <v>10974</v>
      </c>
      <c r="K2671" s="20">
        <v>3</v>
      </c>
      <c r="L2671" s="20">
        <v>1</v>
      </c>
      <c r="M2671" s="357">
        <f>+H2671</f>
        <v>134819.13</v>
      </c>
      <c r="N2671" s="411">
        <f>IFERROR((M2671/(VLOOKUP(B2671,'Data Pull Sheet'!$C:$H,6,FALSE))),"DC")</f>
        <v>3.3704782500000002E-2</v>
      </c>
      <c r="O2671" s="23" t="s">
        <v>10980</v>
      </c>
      <c r="P2671" s="18" t="s">
        <v>632</v>
      </c>
      <c r="Q2671" s="18" t="s">
        <v>637</v>
      </c>
      <c r="R2671" s="92" t="str">
        <f t="shared" si="85"/>
        <v/>
      </c>
    </row>
    <row r="2672" spans="1:18" x14ac:dyDescent="0.25">
      <c r="A2672" s="23" t="s">
        <v>8826</v>
      </c>
      <c r="B2672" s="18" t="str">
        <f>IF(ISNA(VLOOKUP($A2672,'Data Pull Sheet'!$B$2:$C$1795,2,0)),"",(VLOOKUP($A2672,'Data Pull Sheet'!$B$2:$C$1795,2,0)))</f>
        <v>CVSI</v>
      </c>
      <c r="C2672" s="59" t="s">
        <v>3449</v>
      </c>
      <c r="D2672" s="356">
        <v>43336</v>
      </c>
      <c r="E2672" s="356">
        <v>43396</v>
      </c>
      <c r="F2672" s="23" t="s">
        <v>10969</v>
      </c>
      <c r="G2672" s="59" t="s">
        <v>403</v>
      </c>
      <c r="H2672" s="353">
        <v>24614.15</v>
      </c>
      <c r="I2672" s="59"/>
      <c r="J2672" s="59" t="s">
        <v>10975</v>
      </c>
      <c r="K2672" s="20"/>
      <c r="L2672" s="20">
        <v>3</v>
      </c>
      <c r="M2672" s="357">
        <f>SUM(H2672:H2674)</f>
        <v>72755.12</v>
      </c>
      <c r="N2672" s="411">
        <f>IFERROR((M2672/(VLOOKUP(B2672,'Data Pull Sheet'!$C:$H,6,FALSE))),"DC")</f>
        <v>1.8188779999999998E-2</v>
      </c>
      <c r="O2672" s="23" t="s">
        <v>10981</v>
      </c>
      <c r="P2672" s="18" t="s">
        <v>632</v>
      </c>
      <c r="Q2672" s="18" t="s">
        <v>646</v>
      </c>
      <c r="R2672" s="92" t="str">
        <f t="shared" si="85"/>
        <v/>
      </c>
    </row>
    <row r="2673" spans="1:20" x14ac:dyDescent="0.25">
      <c r="A2673" s="23" t="s">
        <v>8826</v>
      </c>
      <c r="B2673" s="18" t="str">
        <f>IF(ISNA(VLOOKUP($A2673,'Data Pull Sheet'!$B$2:$C$1795,2,0)),"",(VLOOKUP($A2673,'Data Pull Sheet'!$B$2:$C$1795,2,0)))</f>
        <v>CVSI</v>
      </c>
      <c r="C2673" s="59" t="s">
        <v>3449</v>
      </c>
      <c r="D2673" s="356">
        <v>43336</v>
      </c>
      <c r="E2673" s="356">
        <v>43396</v>
      </c>
      <c r="F2673" s="23" t="s">
        <v>10970</v>
      </c>
      <c r="G2673" s="59" t="s">
        <v>403</v>
      </c>
      <c r="H2673" s="353">
        <v>30672.1</v>
      </c>
      <c r="I2673" s="59"/>
      <c r="J2673" s="59" t="s">
        <v>10976</v>
      </c>
      <c r="K2673" s="20"/>
      <c r="L2673" s="20"/>
      <c r="M2673" s="357"/>
      <c r="N2673" s="411"/>
      <c r="O2673" s="23" t="s">
        <v>10981</v>
      </c>
      <c r="P2673" s="18" t="s">
        <v>632</v>
      </c>
      <c r="Q2673" s="18" t="s">
        <v>646</v>
      </c>
      <c r="R2673" s="92" t="str">
        <f t="shared" si="85"/>
        <v/>
      </c>
    </row>
    <row r="2674" spans="1:20" x14ac:dyDescent="0.25">
      <c r="A2674" s="23" t="s">
        <v>8826</v>
      </c>
      <c r="B2674" s="18" t="str">
        <f>IF(ISNA(VLOOKUP($A2674,'Data Pull Sheet'!$B$2:$C$1795,2,0)),"",(VLOOKUP($A2674,'Data Pull Sheet'!$B$2:$C$1795,2,0)))</f>
        <v>CVSI</v>
      </c>
      <c r="C2674" s="59" t="s">
        <v>3449</v>
      </c>
      <c r="D2674" s="356">
        <v>43336</v>
      </c>
      <c r="E2674" s="356">
        <v>43396</v>
      </c>
      <c r="F2674" s="23" t="s">
        <v>10971</v>
      </c>
      <c r="G2674" s="59" t="s">
        <v>403</v>
      </c>
      <c r="H2674" s="353">
        <v>17468.87</v>
      </c>
      <c r="I2674" s="59"/>
      <c r="J2674" s="59" t="s">
        <v>10977</v>
      </c>
      <c r="K2674" s="20"/>
      <c r="L2674" s="20"/>
      <c r="M2674" s="357"/>
      <c r="N2674" s="411"/>
      <c r="O2674" s="23" t="s">
        <v>10981</v>
      </c>
      <c r="P2674" s="18" t="s">
        <v>632</v>
      </c>
      <c r="Q2674" s="18" t="s">
        <v>646</v>
      </c>
      <c r="R2674" s="92" t="str">
        <f t="shared" si="85"/>
        <v/>
      </c>
    </row>
    <row r="2675" spans="1:20" x14ac:dyDescent="0.25">
      <c r="A2675" s="23" t="s">
        <v>8826</v>
      </c>
      <c r="B2675" s="18" t="str">
        <f>IF(ISNA(VLOOKUP($A2675,'Data Pull Sheet'!$B$2:$C$1795,2,0)),"",(VLOOKUP($A2675,'Data Pull Sheet'!$B$2:$C$1795,2,0)))</f>
        <v>CVSI</v>
      </c>
      <c r="C2675" s="59" t="s">
        <v>3449</v>
      </c>
      <c r="D2675" s="356">
        <v>43336</v>
      </c>
      <c r="E2675" s="356">
        <v>43396</v>
      </c>
      <c r="F2675" s="23" t="s">
        <v>10972</v>
      </c>
      <c r="G2675" s="59" t="s">
        <v>403</v>
      </c>
      <c r="H2675" s="353">
        <v>16940</v>
      </c>
      <c r="I2675" s="59"/>
      <c r="J2675" s="59" t="s">
        <v>10978</v>
      </c>
      <c r="K2675" s="20"/>
      <c r="L2675" s="20">
        <v>2</v>
      </c>
      <c r="M2675" s="357">
        <f>SUM(H2675:H2676)</f>
        <v>35854</v>
      </c>
      <c r="N2675" s="411">
        <f>IFERROR((M2675/(VLOOKUP(B2675,'Data Pull Sheet'!$C:$H,6,FALSE))),"DC")</f>
        <v>8.9634999999999992E-3</v>
      </c>
      <c r="O2675" s="23" t="s">
        <v>9745</v>
      </c>
      <c r="P2675" s="18" t="s">
        <v>632</v>
      </c>
      <c r="Q2675" s="18" t="s">
        <v>646</v>
      </c>
      <c r="R2675" s="92" t="str">
        <f t="shared" si="85"/>
        <v/>
      </c>
    </row>
    <row r="2676" spans="1:20" x14ac:dyDescent="0.25">
      <c r="A2676" s="23" t="s">
        <v>8826</v>
      </c>
      <c r="B2676" s="18" t="str">
        <f>IF(ISNA(VLOOKUP($A2676,'Data Pull Sheet'!$B$2:$C$1795,2,0)),"",(VLOOKUP($A2676,'Data Pull Sheet'!$B$2:$C$1795,2,0)))</f>
        <v>CVSI</v>
      </c>
      <c r="C2676" s="59" t="s">
        <v>3449</v>
      </c>
      <c r="D2676" s="356">
        <v>43336</v>
      </c>
      <c r="E2676" s="356">
        <v>43396</v>
      </c>
      <c r="F2676" s="23" t="s">
        <v>10973</v>
      </c>
      <c r="G2676" s="59" t="s">
        <v>403</v>
      </c>
      <c r="H2676" s="353">
        <v>18914</v>
      </c>
      <c r="I2676" s="59"/>
      <c r="J2676" s="59" t="s">
        <v>10979</v>
      </c>
      <c r="K2676" s="20"/>
      <c r="L2676" s="20"/>
      <c r="M2676" s="357"/>
      <c r="N2676" s="411"/>
      <c r="O2676" s="23" t="s">
        <v>9745</v>
      </c>
      <c r="P2676" s="18" t="s">
        <v>632</v>
      </c>
      <c r="Q2676" s="18" t="s">
        <v>646</v>
      </c>
      <c r="R2676" s="92" t="str">
        <f t="shared" si="85"/>
        <v/>
      </c>
    </row>
    <row r="2677" spans="1:20" x14ac:dyDescent="0.25">
      <c r="A2677" s="23" t="s">
        <v>8831</v>
      </c>
      <c r="B2677" s="18" t="str">
        <f>IF(ISNA(VLOOKUP($A2677,'Data Pull Sheet'!$B$2:$C$1795,2,0)),"",(VLOOKUP($A2677,'Data Pull Sheet'!$B$2:$C$1795,2,0)))</f>
        <v>FAT</v>
      </c>
      <c r="C2677" s="59" t="s">
        <v>446</v>
      </c>
      <c r="D2677" s="356">
        <v>43336</v>
      </c>
      <c r="E2677" s="356">
        <v>43396</v>
      </c>
      <c r="F2677" s="23" t="s">
        <v>10982</v>
      </c>
      <c r="G2677" s="59" t="s">
        <v>403</v>
      </c>
      <c r="H2677" s="353">
        <v>62580</v>
      </c>
      <c r="I2677" s="59"/>
      <c r="J2677" s="59" t="s">
        <v>10985</v>
      </c>
      <c r="K2677" s="20">
        <v>2</v>
      </c>
      <c r="L2677" s="20">
        <v>2</v>
      </c>
      <c r="M2677" s="357">
        <f>SUM(H2677:H2678)</f>
        <v>86580</v>
      </c>
      <c r="N2677" s="411">
        <f>IFERROR((M2677/(VLOOKUP(B2677,'Data Pull Sheet'!$C:$H,6,FALSE))),"DC")</f>
        <v>1.0246153846153846E-2</v>
      </c>
      <c r="O2677" s="23" t="s">
        <v>10988</v>
      </c>
      <c r="P2677" s="18" t="s">
        <v>632</v>
      </c>
      <c r="Q2677" s="18" t="s">
        <v>646</v>
      </c>
      <c r="R2677" s="92" t="str">
        <f t="shared" si="85"/>
        <v/>
      </c>
    </row>
    <row r="2678" spans="1:20" x14ac:dyDescent="0.25">
      <c r="A2678" s="23" t="s">
        <v>8831</v>
      </c>
      <c r="B2678" s="18" t="str">
        <f>IF(ISNA(VLOOKUP($A2678,'Data Pull Sheet'!$B$2:$C$1795,2,0)),"",(VLOOKUP($A2678,'Data Pull Sheet'!$B$2:$C$1795,2,0)))</f>
        <v>FAT</v>
      </c>
      <c r="C2678" s="59" t="s">
        <v>446</v>
      </c>
      <c r="D2678" s="356">
        <v>43336</v>
      </c>
      <c r="E2678" s="356">
        <v>43396</v>
      </c>
      <c r="F2678" s="23" t="s">
        <v>10983</v>
      </c>
      <c r="G2678" s="59" t="s">
        <v>403</v>
      </c>
      <c r="H2678" s="353">
        <v>24000</v>
      </c>
      <c r="I2678" s="59"/>
      <c r="J2678" s="59" t="s">
        <v>10986</v>
      </c>
      <c r="K2678" s="20"/>
      <c r="L2678" s="20"/>
      <c r="M2678" s="357"/>
      <c r="N2678" s="411"/>
      <c r="O2678" s="23" t="s">
        <v>10988</v>
      </c>
      <c r="P2678" s="18" t="s">
        <v>632</v>
      </c>
      <c r="Q2678" s="18" t="s">
        <v>646</v>
      </c>
      <c r="R2678" s="92" t="str">
        <f t="shared" si="85"/>
        <v/>
      </c>
      <c r="S2678" s="291"/>
      <c r="T2678" s="291"/>
    </row>
    <row r="2679" spans="1:20" x14ac:dyDescent="0.25">
      <c r="A2679" s="23" t="s">
        <v>8831</v>
      </c>
      <c r="B2679" s="18" t="str">
        <f>IF(ISNA(VLOOKUP($A2679,'Data Pull Sheet'!$B$2:$C$1795,2,0)),"",(VLOOKUP($A2679,'Data Pull Sheet'!$B$2:$C$1795,2,0)))</f>
        <v>FAT</v>
      </c>
      <c r="C2679" s="59" t="s">
        <v>446</v>
      </c>
      <c r="D2679" s="356">
        <v>43336</v>
      </c>
      <c r="E2679" s="356">
        <v>43396</v>
      </c>
      <c r="F2679" s="23" t="s">
        <v>10984</v>
      </c>
      <c r="G2679" s="59" t="s">
        <v>403</v>
      </c>
      <c r="H2679" s="353">
        <v>6485.2</v>
      </c>
      <c r="I2679" s="59"/>
      <c r="J2679" s="59" t="s">
        <v>10987</v>
      </c>
      <c r="K2679" s="20"/>
      <c r="L2679" s="20">
        <v>1</v>
      </c>
      <c r="M2679" s="357">
        <f t="shared" ref="M2679:M2687" si="86">+H2679</f>
        <v>6485.2</v>
      </c>
      <c r="N2679" s="411">
        <f>IFERROR((M2679/(VLOOKUP(B2679,'Data Pull Sheet'!$C:$H,6,FALSE))),"DC")</f>
        <v>7.6747928994082835E-4</v>
      </c>
      <c r="O2679" s="23" t="s">
        <v>10989</v>
      </c>
      <c r="P2679" s="18" t="s">
        <v>632</v>
      </c>
      <c r="Q2679" s="18" t="s">
        <v>637</v>
      </c>
      <c r="R2679" s="92" t="str">
        <f t="shared" si="85"/>
        <v/>
      </c>
      <c r="S2679" s="291"/>
      <c r="T2679" s="291"/>
    </row>
    <row r="2680" spans="1:20" x14ac:dyDescent="0.25">
      <c r="A2680" s="23" t="s">
        <v>8801</v>
      </c>
      <c r="B2680" s="18" t="str">
        <f>IF(ISNA(VLOOKUP(A2680,'Data Pull Sheet'!$B$2:$C$1795,2,0)),"",(VLOOKUP(A2680,'Data Pull Sheet'!$B$2:$C$1795,2,0)))</f>
        <v>AMPE</v>
      </c>
      <c r="C2680" s="59" t="s">
        <v>446</v>
      </c>
      <c r="D2680" s="356" t="s">
        <v>11390</v>
      </c>
      <c r="E2680" s="356" t="s">
        <v>11230</v>
      </c>
      <c r="F2680" s="23" t="s">
        <v>11391</v>
      </c>
      <c r="G2680" s="59" t="s">
        <v>403</v>
      </c>
      <c r="H2680" s="353">
        <v>533682.17000000004</v>
      </c>
      <c r="I2680" s="59"/>
      <c r="J2680" s="59" t="s">
        <v>11587</v>
      </c>
      <c r="K2680" s="20">
        <v>6</v>
      </c>
      <c r="L2680" s="20">
        <v>1</v>
      </c>
      <c r="M2680" s="357">
        <f t="shared" si="86"/>
        <v>533682.17000000004</v>
      </c>
      <c r="N2680" s="411">
        <f>IFERROR((M2680/(VLOOKUP(B2680,'Data Pull Sheet'!$C:$H,6,FALSE))),"DC")</f>
        <v>5.3368217000000001E-3</v>
      </c>
      <c r="O2680" s="23" t="s">
        <v>682</v>
      </c>
      <c r="P2680" s="18" t="s">
        <v>632</v>
      </c>
      <c r="Q2680" s="18" t="s">
        <v>637</v>
      </c>
      <c r="R2680" s="92" t="str">
        <f t="shared" si="85"/>
        <v/>
      </c>
      <c r="S2680" s="291"/>
      <c r="T2680" s="291"/>
    </row>
    <row r="2681" spans="1:20" x14ac:dyDescent="0.25">
      <c r="A2681" s="23" t="s">
        <v>8801</v>
      </c>
      <c r="B2681" s="18" t="str">
        <f>IF(ISNA(VLOOKUP(A2681,'Data Pull Sheet'!$B$2:$C$1795,2,0)),"",(VLOOKUP(A2681,'Data Pull Sheet'!$B$2:$C$1795,2,0)))</f>
        <v>AMPE</v>
      </c>
      <c r="C2681" s="59" t="s">
        <v>446</v>
      </c>
      <c r="D2681" s="356" t="s">
        <v>11390</v>
      </c>
      <c r="E2681" s="356" t="s">
        <v>11230</v>
      </c>
      <c r="F2681" s="23" t="s">
        <v>11392</v>
      </c>
      <c r="G2681" s="59" t="s">
        <v>403</v>
      </c>
      <c r="H2681" s="353">
        <v>534478.22</v>
      </c>
      <c r="I2681" s="59" t="s">
        <v>406</v>
      </c>
      <c r="J2681" s="59" t="s">
        <v>11581</v>
      </c>
      <c r="K2681" s="20"/>
      <c r="L2681" s="20">
        <v>1</v>
      </c>
      <c r="M2681" s="357">
        <f t="shared" si="86"/>
        <v>534478.22</v>
      </c>
      <c r="N2681" s="411">
        <f>IFERROR((M2681/(VLOOKUP(B2681,'Data Pull Sheet'!$C:$H,6,FALSE))),"DC")</f>
        <v>5.3447821999999994E-3</v>
      </c>
      <c r="O2681" s="23" t="s">
        <v>63</v>
      </c>
      <c r="P2681" s="18" t="s">
        <v>632</v>
      </c>
      <c r="Q2681" s="18" t="s">
        <v>637</v>
      </c>
      <c r="R2681" s="92" t="str">
        <f t="shared" si="85"/>
        <v/>
      </c>
      <c r="S2681" s="291"/>
      <c r="T2681" s="291"/>
    </row>
    <row r="2682" spans="1:20" x14ac:dyDescent="0.25">
      <c r="A2682" s="23" t="s">
        <v>8801</v>
      </c>
      <c r="B2682" s="18" t="str">
        <f>IF(ISNA(VLOOKUP(A2682,'Data Pull Sheet'!$B$2:$C$1795,2,0)),"",(VLOOKUP(A2682,'Data Pull Sheet'!$B$2:$C$1795,2,0)))</f>
        <v>AMPE</v>
      </c>
      <c r="C2682" s="59" t="s">
        <v>446</v>
      </c>
      <c r="D2682" s="356" t="s">
        <v>11390</v>
      </c>
      <c r="E2682" s="356" t="s">
        <v>11230</v>
      </c>
      <c r="F2682" s="23" t="s">
        <v>11393</v>
      </c>
      <c r="G2682" s="59" t="s">
        <v>403</v>
      </c>
      <c r="H2682" s="353">
        <v>120893.3</v>
      </c>
      <c r="I2682" s="59" t="s">
        <v>406</v>
      </c>
      <c r="J2682" s="59" t="s">
        <v>11580</v>
      </c>
      <c r="K2682" s="20"/>
      <c r="L2682" s="20">
        <v>1</v>
      </c>
      <c r="M2682" s="357">
        <f t="shared" si="86"/>
        <v>120893.3</v>
      </c>
      <c r="N2682" s="411">
        <f>IFERROR((M2682/(VLOOKUP(B2682,'Data Pull Sheet'!$C:$H,6,FALSE))),"DC")</f>
        <v>1.2089329999999999E-3</v>
      </c>
      <c r="O2682" s="23" t="s">
        <v>407</v>
      </c>
      <c r="P2682" s="18" t="s">
        <v>632</v>
      </c>
      <c r="Q2682" s="18" t="s">
        <v>637</v>
      </c>
      <c r="R2682" s="92" t="str">
        <f t="shared" si="85"/>
        <v/>
      </c>
      <c r="S2682" s="291"/>
      <c r="T2682" s="291"/>
    </row>
    <row r="2683" spans="1:20" x14ac:dyDescent="0.25">
      <c r="A2683" s="23" t="s">
        <v>8801</v>
      </c>
      <c r="B2683" s="18" t="str">
        <f>IF(ISNA(VLOOKUP(A2683,'Data Pull Sheet'!$B$2:$C$1795,2,0)),"",(VLOOKUP(A2683,'Data Pull Sheet'!$B$2:$C$1795,2,0)))</f>
        <v>AMPE</v>
      </c>
      <c r="C2683" s="59" t="s">
        <v>446</v>
      </c>
      <c r="D2683" s="356" t="s">
        <v>11390</v>
      </c>
      <c r="E2683" s="356" t="s">
        <v>11230</v>
      </c>
      <c r="F2683" s="23" t="s">
        <v>11394</v>
      </c>
      <c r="G2683" s="59" t="s">
        <v>417</v>
      </c>
      <c r="H2683" s="353">
        <v>323012.63</v>
      </c>
      <c r="I2683" s="59"/>
      <c r="J2683" s="59" t="s">
        <v>11589</v>
      </c>
      <c r="K2683" s="20"/>
      <c r="L2683" s="20">
        <v>1</v>
      </c>
      <c r="M2683" s="357">
        <f t="shared" si="86"/>
        <v>323012.63</v>
      </c>
      <c r="N2683" s="411">
        <f>IFERROR((M2683/(VLOOKUP(B2683,'Data Pull Sheet'!$C:$H,6,FALSE))),"DC")</f>
        <v>3.2301262999999999E-3</v>
      </c>
      <c r="O2683" s="23" t="s">
        <v>597</v>
      </c>
      <c r="P2683" s="18" t="s">
        <v>632</v>
      </c>
      <c r="Q2683" s="18" t="s">
        <v>633</v>
      </c>
      <c r="R2683" s="92" t="str">
        <f t="shared" si="85"/>
        <v/>
      </c>
      <c r="S2683" s="291"/>
      <c r="T2683" s="291"/>
    </row>
    <row r="2684" spans="1:20" x14ac:dyDescent="0.25">
      <c r="A2684" s="23" t="s">
        <v>8801</v>
      </c>
      <c r="B2684" s="18" t="str">
        <f>IF(ISNA(VLOOKUP(A2684,'Data Pull Sheet'!$B$2:$C$1795,2,0)),"",(VLOOKUP(A2684,'Data Pull Sheet'!$B$2:$C$1795,2,0)))</f>
        <v>AMPE</v>
      </c>
      <c r="C2684" s="59" t="s">
        <v>446</v>
      </c>
      <c r="D2684" s="356" t="s">
        <v>11390</v>
      </c>
      <c r="E2684" s="356" t="s">
        <v>11230</v>
      </c>
      <c r="F2684" s="23" t="s">
        <v>11395</v>
      </c>
      <c r="G2684" s="59" t="s">
        <v>403</v>
      </c>
      <c r="H2684" s="353">
        <v>431479.61</v>
      </c>
      <c r="I2684" s="59"/>
      <c r="J2684" s="59" t="s">
        <v>11590</v>
      </c>
      <c r="K2684" s="20"/>
      <c r="L2684" s="20">
        <v>1</v>
      </c>
      <c r="M2684" s="357">
        <f t="shared" si="86"/>
        <v>431479.61</v>
      </c>
      <c r="N2684" s="411">
        <f>IFERROR((M2684/(VLOOKUP(B2684,'Data Pull Sheet'!$C:$H,6,FALSE))),"DC")</f>
        <v>4.3147960999999997E-3</v>
      </c>
      <c r="O2684" s="23" t="s">
        <v>11148</v>
      </c>
      <c r="P2684" s="18" t="s">
        <v>632</v>
      </c>
      <c r="Q2684" s="18" t="s">
        <v>637</v>
      </c>
      <c r="R2684" s="92" t="str">
        <f t="shared" si="85"/>
        <v/>
      </c>
      <c r="S2684" s="291"/>
      <c r="T2684" s="291"/>
    </row>
    <row r="2685" spans="1:20" x14ac:dyDescent="0.25">
      <c r="A2685" s="23" t="s">
        <v>8801</v>
      </c>
      <c r="B2685" s="18" t="str">
        <f>IF(ISNA(VLOOKUP(A2685,'Data Pull Sheet'!$B$2:$C$1795,2,0)),"",(VLOOKUP(A2685,'Data Pull Sheet'!$B$2:$C$1795,2,0)))</f>
        <v>AMPE</v>
      </c>
      <c r="C2685" s="59" t="s">
        <v>446</v>
      </c>
      <c r="D2685" s="356" t="s">
        <v>11390</v>
      </c>
      <c r="E2685" s="356" t="s">
        <v>11230</v>
      </c>
      <c r="F2685" s="23" t="s">
        <v>11396</v>
      </c>
      <c r="G2685" s="59" t="s">
        <v>403</v>
      </c>
      <c r="H2685" s="353">
        <v>10875</v>
      </c>
      <c r="I2685" s="59"/>
      <c r="J2685" s="59" t="s">
        <v>11588</v>
      </c>
      <c r="K2685" s="20"/>
      <c r="L2685" s="20">
        <v>1</v>
      </c>
      <c r="M2685" s="357">
        <f t="shared" si="86"/>
        <v>10875</v>
      </c>
      <c r="N2685" s="411">
        <f>IFERROR((M2685/(VLOOKUP(B2685,'Data Pull Sheet'!$C:$H,6,FALSE))),"DC")</f>
        <v>1.0875E-4</v>
      </c>
      <c r="O2685" s="23" t="s">
        <v>1204</v>
      </c>
      <c r="P2685" s="18" t="s">
        <v>632</v>
      </c>
      <c r="Q2685" s="18" t="s">
        <v>637</v>
      </c>
      <c r="R2685" s="92" t="str">
        <f t="shared" si="85"/>
        <v/>
      </c>
      <c r="S2685" s="291"/>
      <c r="T2685" s="291"/>
    </row>
    <row r="2686" spans="1:20" ht="30" x14ac:dyDescent="0.25">
      <c r="A2686" s="23" t="s">
        <v>8817</v>
      </c>
      <c r="B2686" s="18" t="str">
        <f>IF(ISNA(VLOOKUP($A2686,'Data Pull Sheet'!$B$2:$C$1795,2,0)),"",(VLOOKUP($A2686,'Data Pull Sheet'!$B$2:$C$1795,2,0)))</f>
        <v>CBS</v>
      </c>
      <c r="C2686" s="59" t="s">
        <v>418</v>
      </c>
      <c r="D2686" s="356">
        <v>43339</v>
      </c>
      <c r="E2686" s="356">
        <v>43399</v>
      </c>
      <c r="F2686" s="23" t="s">
        <v>9248</v>
      </c>
      <c r="G2686" s="59" t="s">
        <v>417</v>
      </c>
      <c r="H2686" s="353">
        <v>133541.16</v>
      </c>
      <c r="I2686" s="59"/>
      <c r="J2686" s="59" t="s">
        <v>10960</v>
      </c>
      <c r="K2686" s="20">
        <v>3</v>
      </c>
      <c r="L2686" s="20">
        <v>1</v>
      </c>
      <c r="M2686" s="357">
        <f t="shared" si="86"/>
        <v>133541.16</v>
      </c>
      <c r="N2686" s="411">
        <f>IFERROR((M2686/(VLOOKUP(B2686,'Data Pull Sheet'!$C:$H,6,FALSE))),"DC")</f>
        <v>2.2256860000000002E-4</v>
      </c>
      <c r="O2686" s="23" t="s">
        <v>7</v>
      </c>
      <c r="P2686" s="18" t="s">
        <v>632</v>
      </c>
      <c r="Q2686" s="18" t="s">
        <v>633</v>
      </c>
      <c r="R2686" s="92" t="str">
        <f t="shared" si="85"/>
        <v>FF</v>
      </c>
      <c r="S2686" s="291"/>
      <c r="T2686" s="291"/>
    </row>
    <row r="2687" spans="1:20" ht="30" x14ac:dyDescent="0.25">
      <c r="A2687" s="23" t="s">
        <v>8817</v>
      </c>
      <c r="B2687" s="18" t="str">
        <f>IF(ISNA(VLOOKUP($A2687,'Data Pull Sheet'!$B$2:$C$1795,2,0)),"",(VLOOKUP($A2687,'Data Pull Sheet'!$B$2:$C$1795,2,0)))</f>
        <v>CBS</v>
      </c>
      <c r="C2687" s="59" t="s">
        <v>418</v>
      </c>
      <c r="D2687" s="356">
        <v>43339</v>
      </c>
      <c r="E2687" s="356">
        <v>43399</v>
      </c>
      <c r="F2687" s="23" t="s">
        <v>201</v>
      </c>
      <c r="G2687" s="59" t="s">
        <v>417</v>
      </c>
      <c r="H2687" s="353">
        <v>75460.75</v>
      </c>
      <c r="I2687" s="59"/>
      <c r="J2687" s="59" t="s">
        <v>10961</v>
      </c>
      <c r="K2687" s="20"/>
      <c r="L2687" s="20">
        <v>1</v>
      </c>
      <c r="M2687" s="357">
        <f t="shared" si="86"/>
        <v>75460.75</v>
      </c>
      <c r="N2687" s="411">
        <f>IFERROR((M2687/(VLOOKUP(B2687,'Data Pull Sheet'!$C:$H,6,FALSE))),"DC")</f>
        <v>1.2576791666666666E-4</v>
      </c>
      <c r="O2687" s="23" t="s">
        <v>682</v>
      </c>
      <c r="P2687" s="18" t="s">
        <v>632</v>
      </c>
      <c r="Q2687" s="18" t="s">
        <v>633</v>
      </c>
      <c r="R2687" s="92" t="str">
        <f t="shared" si="85"/>
        <v>FF</v>
      </c>
      <c r="S2687" s="291"/>
      <c r="T2687" s="291"/>
    </row>
    <row r="2688" spans="1:20" x14ac:dyDescent="0.25">
      <c r="A2688" s="23" t="s">
        <v>8817</v>
      </c>
      <c r="B2688" s="18" t="str">
        <f>IF(ISNA(VLOOKUP($A2688,'Data Pull Sheet'!$B$2:$C$1795,2,0)),"",(VLOOKUP($A2688,'Data Pull Sheet'!$B$2:$C$1795,2,0)))</f>
        <v>CBS</v>
      </c>
      <c r="C2688" s="59" t="s">
        <v>418</v>
      </c>
      <c r="D2688" s="356">
        <v>43339</v>
      </c>
      <c r="E2688" s="356">
        <v>43399</v>
      </c>
      <c r="F2688" s="23" t="s">
        <v>10958</v>
      </c>
      <c r="G2688" s="59" t="s">
        <v>403</v>
      </c>
      <c r="H2688" s="353">
        <v>964</v>
      </c>
      <c r="I2688" s="59"/>
      <c r="J2688" s="59" t="s">
        <v>10962</v>
      </c>
      <c r="K2688" s="20"/>
      <c r="L2688" s="20">
        <v>2</v>
      </c>
      <c r="M2688" s="357">
        <f>SUM(H2688:H2689)</f>
        <v>2219</v>
      </c>
      <c r="N2688" s="411">
        <f>IFERROR((M2688/(VLOOKUP(B2688,'Data Pull Sheet'!$C:$H,6,FALSE))),"DC")</f>
        <v>3.6983333333333332E-6</v>
      </c>
      <c r="O2688" s="23" t="s">
        <v>79</v>
      </c>
      <c r="P2688" s="18" t="s">
        <v>632</v>
      </c>
      <c r="Q2688" s="18" t="s">
        <v>646</v>
      </c>
      <c r="R2688" s="92" t="str">
        <f t="shared" si="85"/>
        <v/>
      </c>
      <c r="S2688" s="291"/>
      <c r="T2688" s="291"/>
    </row>
    <row r="2689" spans="1:20" x14ac:dyDescent="0.25">
      <c r="A2689" s="23" t="s">
        <v>8817</v>
      </c>
      <c r="B2689" s="18" t="str">
        <f>IF(ISNA(VLOOKUP($A2689,'Data Pull Sheet'!$B$2:$C$1795,2,0)),"",(VLOOKUP($A2689,'Data Pull Sheet'!$B$2:$C$1795,2,0)))</f>
        <v>CBS</v>
      </c>
      <c r="C2689" s="59" t="s">
        <v>418</v>
      </c>
      <c r="D2689" s="356">
        <v>43339</v>
      </c>
      <c r="E2689" s="356">
        <v>43399</v>
      </c>
      <c r="F2689" s="23" t="s">
        <v>10959</v>
      </c>
      <c r="G2689" s="59" t="s">
        <v>403</v>
      </c>
      <c r="H2689" s="353">
        <v>1255</v>
      </c>
      <c r="I2689" s="59"/>
      <c r="J2689" s="59" t="s">
        <v>10963</v>
      </c>
      <c r="K2689" s="20"/>
      <c r="L2689" s="20"/>
      <c r="M2689" s="357"/>
      <c r="N2689" s="411"/>
      <c r="O2689" s="23" t="s">
        <v>79</v>
      </c>
      <c r="P2689" s="18" t="s">
        <v>632</v>
      </c>
      <c r="Q2689" s="18" t="s">
        <v>646</v>
      </c>
      <c r="R2689" s="92" t="str">
        <f t="shared" si="85"/>
        <v/>
      </c>
      <c r="S2689" s="291"/>
      <c r="T2689" s="291"/>
    </row>
    <row r="2690" spans="1:20" x14ac:dyDescent="0.25">
      <c r="A2690" s="23" t="s">
        <v>204</v>
      </c>
      <c r="B2690" s="18" t="s">
        <v>10577</v>
      </c>
      <c r="C2690" s="59" t="s">
        <v>542</v>
      </c>
      <c r="D2690" s="356">
        <v>43336</v>
      </c>
      <c r="E2690" s="356">
        <v>43399</v>
      </c>
      <c r="F2690" s="23" t="s">
        <v>11051</v>
      </c>
      <c r="G2690" s="59" t="s">
        <v>403</v>
      </c>
      <c r="H2690" s="353">
        <v>204043.21</v>
      </c>
      <c r="I2690" s="59"/>
      <c r="J2690" s="59" t="s">
        <v>11057</v>
      </c>
      <c r="K2690" s="20">
        <v>3</v>
      </c>
      <c r="L2690" s="20">
        <v>2</v>
      </c>
      <c r="M2690" s="357">
        <f>SUM(H2690:H2691)</f>
        <v>480164.18999999994</v>
      </c>
      <c r="N2690" s="411">
        <f>IFERROR((M2690/(VLOOKUP(B2690,'Data Pull Sheet'!$C:$H,6,FALSE))),"DC")</f>
        <v>3.8413135199999995E-3</v>
      </c>
      <c r="O2690" s="23" t="s">
        <v>6792</v>
      </c>
      <c r="P2690" s="18" t="s">
        <v>632</v>
      </c>
      <c r="Q2690" s="18" t="s">
        <v>646</v>
      </c>
      <c r="R2690" s="92" t="str">
        <f t="shared" ref="R2690:R2753" si="87">IF(COUNTIF(F:F,F2690)&gt;=2,"FF","")</f>
        <v/>
      </c>
      <c r="S2690" s="291"/>
      <c r="T2690" s="291"/>
    </row>
    <row r="2691" spans="1:20" x14ac:dyDescent="0.25">
      <c r="A2691" s="23" t="s">
        <v>204</v>
      </c>
      <c r="B2691" s="18" t="s">
        <v>10577</v>
      </c>
      <c r="C2691" s="59" t="s">
        <v>542</v>
      </c>
      <c r="D2691" s="356">
        <v>43336</v>
      </c>
      <c r="E2691" s="356">
        <v>43399</v>
      </c>
      <c r="F2691" s="23" t="s">
        <v>11052</v>
      </c>
      <c r="G2691" s="59" t="s">
        <v>403</v>
      </c>
      <c r="H2691" s="353">
        <v>276120.98</v>
      </c>
      <c r="I2691" s="59"/>
      <c r="J2691" s="59" t="s">
        <v>11058</v>
      </c>
      <c r="K2691" s="20"/>
      <c r="L2691" s="20"/>
      <c r="M2691" s="357"/>
      <c r="N2691" s="411"/>
      <c r="O2691" s="23" t="s">
        <v>6792</v>
      </c>
      <c r="P2691" s="18" t="s">
        <v>632</v>
      </c>
      <c r="Q2691" s="18" t="s">
        <v>646</v>
      </c>
      <c r="R2691" s="92" t="str">
        <f t="shared" si="87"/>
        <v/>
      </c>
      <c r="S2691" s="291"/>
      <c r="T2691" s="291"/>
    </row>
    <row r="2692" spans="1:20" x14ac:dyDescent="0.25">
      <c r="A2692" s="23" t="s">
        <v>204</v>
      </c>
      <c r="B2692" s="18" t="s">
        <v>10577</v>
      </c>
      <c r="C2692" s="59" t="s">
        <v>542</v>
      </c>
      <c r="D2692" s="356">
        <v>43336</v>
      </c>
      <c r="E2692" s="356">
        <v>43399</v>
      </c>
      <c r="F2692" s="23" t="s">
        <v>11053</v>
      </c>
      <c r="G2692" s="59" t="s">
        <v>403</v>
      </c>
      <c r="H2692" s="353">
        <v>26078</v>
      </c>
      <c r="I2692" s="59"/>
      <c r="J2692" s="59" t="s">
        <v>11059</v>
      </c>
      <c r="K2692" s="20"/>
      <c r="L2692" s="20">
        <v>4</v>
      </c>
      <c r="M2692" s="357">
        <f>SUM(H2692:H2695)</f>
        <v>200158</v>
      </c>
      <c r="N2692" s="411">
        <f>IFERROR((M2692/(VLOOKUP(B2692,'Data Pull Sheet'!$C:$H,6,FALSE))),"DC")</f>
        <v>1.601264E-3</v>
      </c>
      <c r="O2692" s="23" t="s">
        <v>554</v>
      </c>
      <c r="P2692" s="18" t="s">
        <v>632</v>
      </c>
      <c r="Q2692" s="18" t="s">
        <v>646</v>
      </c>
      <c r="R2692" s="92" t="str">
        <f t="shared" si="87"/>
        <v/>
      </c>
      <c r="S2692" s="291"/>
      <c r="T2692" s="291"/>
    </row>
    <row r="2693" spans="1:20" x14ac:dyDescent="0.25">
      <c r="A2693" s="23" t="s">
        <v>204</v>
      </c>
      <c r="B2693" s="18" t="s">
        <v>10577</v>
      </c>
      <c r="C2693" s="59" t="s">
        <v>542</v>
      </c>
      <c r="D2693" s="356">
        <v>43336</v>
      </c>
      <c r="E2693" s="356">
        <v>43399</v>
      </c>
      <c r="F2693" s="23" t="s">
        <v>11054</v>
      </c>
      <c r="G2693" s="59" t="s">
        <v>403</v>
      </c>
      <c r="H2693" s="353">
        <v>84918</v>
      </c>
      <c r="I2693" s="59"/>
      <c r="J2693" s="59" t="s">
        <v>11060</v>
      </c>
      <c r="K2693" s="20"/>
      <c r="L2693" s="20"/>
      <c r="M2693" s="357"/>
      <c r="N2693" s="411"/>
      <c r="O2693" s="23" t="s">
        <v>554</v>
      </c>
      <c r="P2693" s="18" t="s">
        <v>632</v>
      </c>
      <c r="Q2693" s="18" t="s">
        <v>646</v>
      </c>
      <c r="R2693" s="92" t="str">
        <f t="shared" si="87"/>
        <v/>
      </c>
      <c r="S2693" s="291"/>
      <c r="T2693" s="291"/>
    </row>
    <row r="2694" spans="1:20" x14ac:dyDescent="0.25">
      <c r="A2694" s="23" t="s">
        <v>204</v>
      </c>
      <c r="B2694" s="18" t="s">
        <v>10577</v>
      </c>
      <c r="C2694" s="59" t="s">
        <v>542</v>
      </c>
      <c r="D2694" s="356">
        <v>43336</v>
      </c>
      <c r="E2694" s="356">
        <v>43399</v>
      </c>
      <c r="F2694" s="23" t="s">
        <v>11055</v>
      </c>
      <c r="G2694" s="59" t="s">
        <v>403</v>
      </c>
      <c r="H2694" s="353">
        <v>41428</v>
      </c>
      <c r="I2694" s="59"/>
      <c r="J2694" s="59" t="s">
        <v>11061</v>
      </c>
      <c r="K2694" s="20"/>
      <c r="L2694" s="20"/>
      <c r="M2694" s="357"/>
      <c r="N2694" s="411"/>
      <c r="O2694" s="23" t="s">
        <v>554</v>
      </c>
      <c r="P2694" s="18" t="s">
        <v>632</v>
      </c>
      <c r="Q2694" s="18" t="s">
        <v>646</v>
      </c>
      <c r="R2694" s="92" t="str">
        <f t="shared" si="87"/>
        <v/>
      </c>
      <c r="S2694" s="291"/>
      <c r="T2694" s="291"/>
    </row>
    <row r="2695" spans="1:20" x14ac:dyDescent="0.25">
      <c r="A2695" s="23" t="s">
        <v>204</v>
      </c>
      <c r="B2695" s="18" t="s">
        <v>10577</v>
      </c>
      <c r="C2695" s="59" t="s">
        <v>542</v>
      </c>
      <c r="D2695" s="356">
        <v>43336</v>
      </c>
      <c r="E2695" s="356">
        <v>43399</v>
      </c>
      <c r="F2695" s="23" t="s">
        <v>11056</v>
      </c>
      <c r="G2695" s="59" t="s">
        <v>403</v>
      </c>
      <c r="H2695" s="353">
        <v>47734</v>
      </c>
      <c r="I2695" s="59"/>
      <c r="J2695" s="59" t="s">
        <v>11062</v>
      </c>
      <c r="K2695" s="20"/>
      <c r="L2695" s="20"/>
      <c r="M2695" s="357"/>
      <c r="N2695" s="411"/>
      <c r="O2695" s="23" t="s">
        <v>554</v>
      </c>
      <c r="P2695" s="18" t="s">
        <v>632</v>
      </c>
      <c r="Q2695" s="18" t="s">
        <v>646</v>
      </c>
      <c r="R2695" s="92" t="str">
        <f t="shared" si="87"/>
        <v/>
      </c>
      <c r="S2695" s="291"/>
      <c r="T2695" s="291"/>
    </row>
    <row r="2696" spans="1:20" ht="30" x14ac:dyDescent="0.25">
      <c r="A2696" s="23" t="s">
        <v>204</v>
      </c>
      <c r="B2696" s="18" t="s">
        <v>10577</v>
      </c>
      <c r="C2696" s="59" t="s">
        <v>542</v>
      </c>
      <c r="D2696" s="356">
        <v>43336</v>
      </c>
      <c r="E2696" s="356">
        <v>43399</v>
      </c>
      <c r="F2696" s="23" t="s">
        <v>2932</v>
      </c>
      <c r="G2696" s="59" t="s">
        <v>417</v>
      </c>
      <c r="H2696" s="353">
        <v>66125.69</v>
      </c>
      <c r="I2696" s="59"/>
      <c r="J2696" s="59" t="s">
        <v>11063</v>
      </c>
      <c r="K2696" s="20"/>
      <c r="L2696" s="20">
        <v>1</v>
      </c>
      <c r="M2696" s="357">
        <f t="shared" ref="M2696:M2705" si="88">+H2696</f>
        <v>66125.69</v>
      </c>
      <c r="N2696" s="411">
        <f>IFERROR((M2696/(VLOOKUP(B2696,'Data Pull Sheet'!$C:$H,6,FALSE))),"DC")</f>
        <v>5.2900552000000002E-4</v>
      </c>
      <c r="O2696" s="23" t="s">
        <v>11064</v>
      </c>
      <c r="P2696" s="18" t="s">
        <v>632</v>
      </c>
      <c r="Q2696" s="18" t="s">
        <v>633</v>
      </c>
      <c r="R2696" s="92" t="str">
        <f t="shared" si="87"/>
        <v>FF</v>
      </c>
      <c r="S2696" s="291"/>
      <c r="T2696" s="291"/>
    </row>
    <row r="2697" spans="1:20" x14ac:dyDescent="0.25">
      <c r="A2697" s="23" t="s">
        <v>8883</v>
      </c>
      <c r="B2697" s="18" t="str">
        <f>IF(ISNA(VLOOKUP(A2697,'Data Pull Sheet'!$B$2:$C$1795,2,0)),"",(VLOOKUP(A2697,'Data Pull Sheet'!$B$2:$C$1795,2,0)))</f>
        <v>PZZA</v>
      </c>
      <c r="C2697" s="59" t="s">
        <v>418</v>
      </c>
      <c r="D2697" s="356" t="s">
        <v>10908</v>
      </c>
      <c r="E2697" s="356" t="s">
        <v>11229</v>
      </c>
      <c r="F2697" s="23" t="s">
        <v>11397</v>
      </c>
      <c r="G2697" s="59" t="s">
        <v>403</v>
      </c>
      <c r="H2697" s="353">
        <v>8097</v>
      </c>
      <c r="I2697" s="59" t="s">
        <v>406</v>
      </c>
      <c r="J2697" s="59" t="s">
        <v>11591</v>
      </c>
      <c r="K2697" s="20">
        <v>3</v>
      </c>
      <c r="L2697" s="20">
        <v>1</v>
      </c>
      <c r="M2697" s="357">
        <f t="shared" si="88"/>
        <v>8097</v>
      </c>
      <c r="N2697" s="411">
        <f>IFERROR((M2697/(VLOOKUP(B2697,'Data Pull Sheet'!$C:$H,6,FALSE))),"DC")</f>
        <v>2.699E-4</v>
      </c>
      <c r="O2697" s="23" t="s">
        <v>63</v>
      </c>
      <c r="P2697" s="18" t="s">
        <v>632</v>
      </c>
      <c r="Q2697" s="18" t="s">
        <v>637</v>
      </c>
      <c r="R2697" s="92" t="str">
        <f t="shared" si="87"/>
        <v/>
      </c>
      <c r="S2697" s="291"/>
      <c r="T2697" s="291"/>
    </row>
    <row r="2698" spans="1:20" ht="30" x14ac:dyDescent="0.25">
      <c r="A2698" s="23" t="s">
        <v>8883</v>
      </c>
      <c r="B2698" s="18" t="str">
        <f>IF(ISNA(VLOOKUP(A2698,'Data Pull Sheet'!$B$2:$C$1795,2,0)),"",(VLOOKUP(A2698,'Data Pull Sheet'!$B$2:$C$1795,2,0)))</f>
        <v>PZZA</v>
      </c>
      <c r="C2698" s="59" t="s">
        <v>418</v>
      </c>
      <c r="D2698" s="356" t="s">
        <v>10908</v>
      </c>
      <c r="E2698" s="356" t="s">
        <v>11229</v>
      </c>
      <c r="F2698" s="23" t="s">
        <v>135</v>
      </c>
      <c r="G2698" s="59" t="s">
        <v>417</v>
      </c>
      <c r="H2698" s="353">
        <v>134563.60999999999</v>
      </c>
      <c r="I2698" s="59" t="s">
        <v>442</v>
      </c>
      <c r="J2698" s="59" t="s">
        <v>11592</v>
      </c>
      <c r="K2698" s="20"/>
      <c r="L2698" s="20">
        <v>1</v>
      </c>
      <c r="M2698" s="357">
        <f t="shared" si="88"/>
        <v>134563.60999999999</v>
      </c>
      <c r="N2698" s="411">
        <f>IFERROR((M2698/(VLOOKUP(B2698,'Data Pull Sheet'!$C:$H,6,FALSE))),"DC")</f>
        <v>4.4854536666666658E-3</v>
      </c>
      <c r="O2698" s="23" t="s">
        <v>18</v>
      </c>
      <c r="P2698" s="18" t="s">
        <v>632</v>
      </c>
      <c r="Q2698" s="18" t="s">
        <v>633</v>
      </c>
      <c r="R2698" s="92" t="str">
        <f t="shared" si="87"/>
        <v>FF</v>
      </c>
      <c r="S2698" s="291"/>
      <c r="T2698" s="291"/>
    </row>
    <row r="2699" spans="1:20" x14ac:dyDescent="0.25">
      <c r="A2699" s="23" t="s">
        <v>8883</v>
      </c>
      <c r="B2699" s="18" t="str">
        <f>IF(ISNA(VLOOKUP(A2699,'Data Pull Sheet'!$B$2:$C$1795,2,0)),"",(VLOOKUP(A2699,'Data Pull Sheet'!$B$2:$C$1795,2,0)))</f>
        <v>PZZA</v>
      </c>
      <c r="C2699" s="59" t="s">
        <v>418</v>
      </c>
      <c r="D2699" s="356" t="s">
        <v>10908</v>
      </c>
      <c r="E2699" s="356" t="s">
        <v>11229</v>
      </c>
      <c r="F2699" s="23" t="s">
        <v>3402</v>
      </c>
      <c r="G2699" s="59" t="s">
        <v>417</v>
      </c>
      <c r="H2699" s="353">
        <v>187010.27</v>
      </c>
      <c r="I2699" s="59"/>
      <c r="J2699" s="59" t="s">
        <v>11593</v>
      </c>
      <c r="K2699" s="20"/>
      <c r="L2699" s="20">
        <v>1</v>
      </c>
      <c r="M2699" s="357">
        <f t="shared" si="88"/>
        <v>187010.27</v>
      </c>
      <c r="N2699" s="411">
        <f>IFERROR((M2699/(VLOOKUP(B2699,'Data Pull Sheet'!$C:$H,6,FALSE))),"DC")</f>
        <v>6.2336756666666665E-3</v>
      </c>
      <c r="O2699" s="23" t="s">
        <v>7</v>
      </c>
      <c r="P2699" s="18" t="s">
        <v>632</v>
      </c>
      <c r="Q2699" s="18" t="s">
        <v>633</v>
      </c>
      <c r="R2699" s="92" t="str">
        <f t="shared" si="87"/>
        <v>FF</v>
      </c>
      <c r="S2699" s="291"/>
      <c r="T2699" s="291"/>
    </row>
    <row r="2700" spans="1:20" x14ac:dyDescent="0.25">
      <c r="A2700" s="23" t="s">
        <v>8825</v>
      </c>
      <c r="B2700" s="18" t="str">
        <f>IF(ISNA(VLOOKUP($A2700,'Data Pull Sheet'!$B$2:$C$1795,2,0)),"",(VLOOKUP($A2700,'Data Pull Sheet'!$B$2:$C$1795,2,0)))</f>
        <v>CRON</v>
      </c>
      <c r="C2700" s="59" t="s">
        <v>418</v>
      </c>
      <c r="D2700" s="356">
        <v>43347</v>
      </c>
      <c r="E2700" s="356">
        <v>43409</v>
      </c>
      <c r="F2700" s="23" t="s">
        <v>10964</v>
      </c>
      <c r="G2700" s="59" t="s">
        <v>403</v>
      </c>
      <c r="H2700" s="353">
        <v>98374.99</v>
      </c>
      <c r="I2700" s="59"/>
      <c r="J2700" s="59" t="s">
        <v>10965</v>
      </c>
      <c r="K2700" s="20">
        <v>1</v>
      </c>
      <c r="L2700" s="20">
        <v>1</v>
      </c>
      <c r="M2700" s="357">
        <f t="shared" si="88"/>
        <v>98374.99</v>
      </c>
      <c r="N2700" s="411">
        <f>IFERROR((M2700/(VLOOKUP(B2700,'Data Pull Sheet'!$C:$H,6,FALSE))),"DC")</f>
        <v>7.8699992000000004E-4</v>
      </c>
      <c r="O2700" s="23" t="s">
        <v>597</v>
      </c>
      <c r="P2700" s="18" t="s">
        <v>676</v>
      </c>
      <c r="Q2700" s="18" t="s">
        <v>637</v>
      </c>
      <c r="R2700" s="92" t="str">
        <f t="shared" si="87"/>
        <v/>
      </c>
      <c r="S2700" s="291"/>
      <c r="T2700" s="291"/>
    </row>
    <row r="2701" spans="1:20" x14ac:dyDescent="0.25">
      <c r="A2701" s="23" t="s">
        <v>8886</v>
      </c>
      <c r="B2701" s="18" t="s">
        <v>10652</v>
      </c>
      <c r="C2701" s="59" t="s">
        <v>418</v>
      </c>
      <c r="D2701" s="356" t="s">
        <v>9150</v>
      </c>
      <c r="E2701" s="356" t="s">
        <v>11242</v>
      </c>
      <c r="F2701" s="23" t="s">
        <v>1197</v>
      </c>
      <c r="G2701" s="59" t="s">
        <v>417</v>
      </c>
      <c r="H2701" s="353">
        <v>269471.67</v>
      </c>
      <c r="I2701" s="59" t="s">
        <v>406</v>
      </c>
      <c r="J2701" s="59" t="s">
        <v>11594</v>
      </c>
      <c r="K2701" s="20">
        <v>3</v>
      </c>
      <c r="L2701" s="20">
        <v>1</v>
      </c>
      <c r="M2701" s="357">
        <f t="shared" si="88"/>
        <v>269471.67</v>
      </c>
      <c r="N2701" s="411">
        <f>IFERROR((M2701/(VLOOKUP(B2701,'Data Pull Sheet'!$C:$H,6,FALSE))),"DC")</f>
        <v>1.5486877586206896E-4</v>
      </c>
      <c r="O2701" s="23" t="s">
        <v>56</v>
      </c>
      <c r="P2701" s="18" t="s">
        <v>632</v>
      </c>
      <c r="Q2701" s="18" t="s">
        <v>633</v>
      </c>
      <c r="R2701" s="92" t="str">
        <f t="shared" si="87"/>
        <v>FF</v>
      </c>
      <c r="S2701" s="291"/>
      <c r="T2701" s="291"/>
    </row>
    <row r="2702" spans="1:20" x14ac:dyDescent="0.25">
      <c r="A2702" s="23" t="s">
        <v>8886</v>
      </c>
      <c r="B2702" s="18" t="s">
        <v>10652</v>
      </c>
      <c r="C2702" s="59" t="s">
        <v>418</v>
      </c>
      <c r="D2702" s="356" t="s">
        <v>9150</v>
      </c>
      <c r="E2702" s="356" t="s">
        <v>11242</v>
      </c>
      <c r="F2702" s="23" t="s">
        <v>1782</v>
      </c>
      <c r="G2702" s="59" t="s">
        <v>417</v>
      </c>
      <c r="H2702" s="353">
        <v>304826.53000000003</v>
      </c>
      <c r="I2702" s="59"/>
      <c r="J2702" s="59" t="s">
        <v>11595</v>
      </c>
      <c r="K2702" s="20"/>
      <c r="L2702" s="20">
        <v>1</v>
      </c>
      <c r="M2702" s="357">
        <f t="shared" si="88"/>
        <v>304826.53000000003</v>
      </c>
      <c r="N2702" s="411">
        <f>IFERROR((M2702/(VLOOKUP(B2702,'Data Pull Sheet'!$C:$H,6,FALSE))),"DC")</f>
        <v>1.7518766091954025E-4</v>
      </c>
      <c r="O2702" s="23" t="s">
        <v>7</v>
      </c>
      <c r="P2702" s="18" t="s">
        <v>632</v>
      </c>
      <c r="Q2702" s="18" t="s">
        <v>633</v>
      </c>
      <c r="R2702" s="92" t="str">
        <f t="shared" si="87"/>
        <v>FF</v>
      </c>
      <c r="S2702" s="291"/>
      <c r="T2702" s="291"/>
    </row>
    <row r="2703" spans="1:20" x14ac:dyDescent="0.25">
      <c r="A2703" s="23" t="s">
        <v>8886</v>
      </c>
      <c r="B2703" s="18" t="s">
        <v>10652</v>
      </c>
      <c r="C2703" s="59" t="s">
        <v>418</v>
      </c>
      <c r="D2703" s="356" t="s">
        <v>9150</v>
      </c>
      <c r="E2703" s="356" t="s">
        <v>11242</v>
      </c>
      <c r="F2703" s="23" t="s">
        <v>373</v>
      </c>
      <c r="G2703" s="59" t="s">
        <v>417</v>
      </c>
      <c r="H2703" s="353">
        <v>6321274</v>
      </c>
      <c r="I2703" s="59" t="s">
        <v>413</v>
      </c>
      <c r="J2703" s="59" t="s">
        <v>11596</v>
      </c>
      <c r="K2703" s="20"/>
      <c r="L2703" s="20">
        <v>1</v>
      </c>
      <c r="M2703" s="357">
        <f t="shared" si="88"/>
        <v>6321274</v>
      </c>
      <c r="N2703" s="411">
        <f>IFERROR((M2703/(VLOOKUP(B2703,'Data Pull Sheet'!$C:$H,6,FALSE))),"DC")</f>
        <v>3.6329160919540229E-3</v>
      </c>
      <c r="O2703" s="23" t="s">
        <v>79</v>
      </c>
      <c r="P2703" s="18" t="s">
        <v>632</v>
      </c>
      <c r="Q2703" s="18" t="s">
        <v>633</v>
      </c>
      <c r="R2703" s="92" t="str">
        <f t="shared" si="87"/>
        <v>FF</v>
      </c>
      <c r="S2703" s="291"/>
      <c r="T2703" s="291"/>
    </row>
    <row r="2704" spans="1:20" x14ac:dyDescent="0.25">
      <c r="A2704" s="23" t="s">
        <v>8894</v>
      </c>
      <c r="B2704" s="18" t="str">
        <f>IF(ISNA(VLOOKUP($A2704,'Data Pull Sheet'!$B$2:$C$1795,2,0)),"",(VLOOKUP($A2704,'Data Pull Sheet'!$B$2:$C$1795,2,0)))</f>
        <v>QRTEA</v>
      </c>
      <c r="C2704" s="59" t="s">
        <v>545</v>
      </c>
      <c r="D2704" s="356">
        <v>43349</v>
      </c>
      <c r="E2704" s="356">
        <v>43409</v>
      </c>
      <c r="F2704" s="23" t="s">
        <v>11166</v>
      </c>
      <c r="G2704" s="59" t="s">
        <v>417</v>
      </c>
      <c r="H2704" s="353">
        <v>2700049.83</v>
      </c>
      <c r="I2704" s="59" t="s">
        <v>406</v>
      </c>
      <c r="J2704" s="59" t="s">
        <v>11167</v>
      </c>
      <c r="K2704" s="20">
        <v>2</v>
      </c>
      <c r="L2704" s="20">
        <v>1</v>
      </c>
      <c r="M2704" s="357">
        <f t="shared" si="88"/>
        <v>2700049.83</v>
      </c>
      <c r="N2704" s="411">
        <f>IFERROR((M2704/(VLOOKUP(B2704,'Data Pull Sheet'!$C:$H,6,FALSE))),"DC")</f>
        <v>1.5000276833333334E-3</v>
      </c>
      <c r="O2704" s="23" t="s">
        <v>11169</v>
      </c>
      <c r="P2704" s="18" t="s">
        <v>632</v>
      </c>
      <c r="Q2704" s="18" t="s">
        <v>633</v>
      </c>
      <c r="R2704" s="92" t="str">
        <f t="shared" si="87"/>
        <v/>
      </c>
      <c r="S2704" s="291"/>
      <c r="T2704" s="291"/>
    </row>
    <row r="2705" spans="1:20" ht="30" x14ac:dyDescent="0.25">
      <c r="A2705" s="23" t="s">
        <v>8894</v>
      </c>
      <c r="B2705" s="18" t="str">
        <f>IF(ISNA(VLOOKUP($A2705,'Data Pull Sheet'!$B$2:$C$1795,2,0)),"",(VLOOKUP($A2705,'Data Pull Sheet'!$B$2:$C$1795,2,0)))</f>
        <v>QRTEA</v>
      </c>
      <c r="C2705" s="59" t="s">
        <v>545</v>
      </c>
      <c r="D2705" s="356">
        <v>43349</v>
      </c>
      <c r="E2705" s="356">
        <v>43409</v>
      </c>
      <c r="F2705" s="23" t="s">
        <v>135</v>
      </c>
      <c r="G2705" s="59" t="s">
        <v>417</v>
      </c>
      <c r="H2705" s="353">
        <v>244266.4</v>
      </c>
      <c r="I2705" s="59"/>
      <c r="J2705" s="59" t="s">
        <v>11168</v>
      </c>
      <c r="K2705" s="20"/>
      <c r="L2705" s="20">
        <v>1</v>
      </c>
      <c r="M2705" s="357">
        <f t="shared" si="88"/>
        <v>244266.4</v>
      </c>
      <c r="N2705" s="411">
        <f>IFERROR((M2705/(VLOOKUP(B2705,'Data Pull Sheet'!$C:$H,6,FALSE))),"DC")</f>
        <v>1.3570355555555556E-4</v>
      </c>
      <c r="O2705" s="23" t="s">
        <v>2001</v>
      </c>
      <c r="P2705" s="18" t="s">
        <v>632</v>
      </c>
      <c r="Q2705" s="18" t="s">
        <v>633</v>
      </c>
      <c r="R2705" s="92" t="str">
        <f t="shared" si="87"/>
        <v>FF</v>
      </c>
      <c r="S2705" s="291"/>
      <c r="T2705" s="291"/>
    </row>
    <row r="2706" spans="1:20" x14ac:dyDescent="0.25">
      <c r="A2706" s="23" t="s">
        <v>7329</v>
      </c>
      <c r="B2706" s="18" t="s">
        <v>10790</v>
      </c>
      <c r="C2706" s="59" t="s">
        <v>418</v>
      </c>
      <c r="D2706" s="356">
        <v>43347</v>
      </c>
      <c r="E2706" s="356">
        <v>43409</v>
      </c>
      <c r="F2706" s="23" t="s">
        <v>94</v>
      </c>
      <c r="G2706" s="59" t="s">
        <v>417</v>
      </c>
      <c r="H2706" s="353">
        <v>428819.6</v>
      </c>
      <c r="I2706" s="59"/>
      <c r="J2706" s="59" t="s">
        <v>11159</v>
      </c>
      <c r="K2706" s="20">
        <v>3</v>
      </c>
      <c r="L2706" s="20">
        <v>3</v>
      </c>
      <c r="M2706" s="357">
        <f>SUM(H2706:H2708)</f>
        <v>1064839.17</v>
      </c>
      <c r="N2706" s="411">
        <f>IFERROR((M2706/(VLOOKUP(B2706,'Data Pull Sheet'!$C:$H,6,FALSE))),"DC")</f>
        <v>1.0648391699999999E-3</v>
      </c>
      <c r="O2706" s="23" t="s">
        <v>7</v>
      </c>
      <c r="P2706" s="18" t="s">
        <v>632</v>
      </c>
      <c r="Q2706" s="18" t="s">
        <v>640</v>
      </c>
      <c r="R2706" s="92" t="str">
        <f t="shared" si="87"/>
        <v>FF</v>
      </c>
      <c r="S2706" s="291"/>
      <c r="T2706" s="291"/>
    </row>
    <row r="2707" spans="1:20" x14ac:dyDescent="0.25">
      <c r="A2707" s="23" t="s">
        <v>7329</v>
      </c>
      <c r="B2707" s="18" t="s">
        <v>10790</v>
      </c>
      <c r="C2707" s="59" t="s">
        <v>418</v>
      </c>
      <c r="D2707" s="356">
        <v>43347</v>
      </c>
      <c r="E2707" s="356">
        <v>43409</v>
      </c>
      <c r="F2707" s="23" t="s">
        <v>7020</v>
      </c>
      <c r="G2707" s="59" t="s">
        <v>417</v>
      </c>
      <c r="H2707" s="353">
        <v>184049.94</v>
      </c>
      <c r="I2707" s="59"/>
      <c r="J2707" s="59" t="s">
        <v>11160</v>
      </c>
      <c r="K2707" s="20"/>
      <c r="L2707" s="20"/>
      <c r="M2707" s="357"/>
      <c r="N2707" s="411"/>
      <c r="O2707" s="23" t="s">
        <v>7</v>
      </c>
      <c r="P2707" s="18" t="s">
        <v>632</v>
      </c>
      <c r="Q2707" s="18" t="s">
        <v>640</v>
      </c>
      <c r="R2707" s="92" t="str">
        <f t="shared" si="87"/>
        <v>FF</v>
      </c>
      <c r="S2707" s="291"/>
      <c r="T2707" s="35"/>
    </row>
    <row r="2708" spans="1:20" x14ac:dyDescent="0.25">
      <c r="A2708" s="23" t="s">
        <v>7329</v>
      </c>
      <c r="B2708" s="18" t="s">
        <v>10790</v>
      </c>
      <c r="C2708" s="59" t="s">
        <v>418</v>
      </c>
      <c r="D2708" s="356">
        <v>43347</v>
      </c>
      <c r="E2708" s="356">
        <v>43409</v>
      </c>
      <c r="F2708" s="23" t="s">
        <v>11155</v>
      </c>
      <c r="G2708" s="59" t="s">
        <v>417</v>
      </c>
      <c r="H2708" s="353">
        <v>451969.63</v>
      </c>
      <c r="I2708" s="59"/>
      <c r="J2708" s="59" t="s">
        <v>11161</v>
      </c>
      <c r="K2708" s="20"/>
      <c r="L2708" s="20"/>
      <c r="M2708" s="357"/>
      <c r="N2708" s="411"/>
      <c r="O2708" s="23" t="s">
        <v>7</v>
      </c>
      <c r="P2708" s="18" t="s">
        <v>632</v>
      </c>
      <c r="Q2708" s="18" t="s">
        <v>640</v>
      </c>
      <c r="R2708" s="92" t="str">
        <f t="shared" si="87"/>
        <v/>
      </c>
      <c r="S2708" s="291"/>
      <c r="T2708" s="35"/>
    </row>
    <row r="2709" spans="1:20" x14ac:dyDescent="0.25">
      <c r="A2709" s="23" t="s">
        <v>7329</v>
      </c>
      <c r="B2709" s="18" t="s">
        <v>10790</v>
      </c>
      <c r="C2709" s="59" t="s">
        <v>418</v>
      </c>
      <c r="D2709" s="356">
        <v>43347</v>
      </c>
      <c r="E2709" s="356">
        <v>43409</v>
      </c>
      <c r="F2709" s="23" t="s">
        <v>11156</v>
      </c>
      <c r="G2709" s="59" t="s">
        <v>417</v>
      </c>
      <c r="H2709" s="353">
        <v>34682</v>
      </c>
      <c r="I2709" s="59"/>
      <c r="J2709" s="59" t="s">
        <v>11162</v>
      </c>
      <c r="K2709" s="20"/>
      <c r="L2709" s="20">
        <v>3</v>
      </c>
      <c r="M2709" s="357">
        <f>SUM(H2709:H2711)</f>
        <v>301376</v>
      </c>
      <c r="N2709" s="411">
        <f>IFERROR((M2709/(VLOOKUP(B2709,'Data Pull Sheet'!$C:$H,6,FALSE))),"DC")</f>
        <v>3.0137600000000001E-4</v>
      </c>
      <c r="O2709" s="23" t="s">
        <v>109</v>
      </c>
      <c r="P2709" s="18" t="s">
        <v>632</v>
      </c>
      <c r="Q2709" s="18" t="s">
        <v>640</v>
      </c>
      <c r="R2709" s="92" t="str">
        <f t="shared" si="87"/>
        <v/>
      </c>
      <c r="S2709" s="291"/>
      <c r="T2709" s="35"/>
    </row>
    <row r="2710" spans="1:20" x14ac:dyDescent="0.25">
      <c r="A2710" s="23" t="s">
        <v>7329</v>
      </c>
      <c r="B2710" s="18" t="s">
        <v>10790</v>
      </c>
      <c r="C2710" s="59" t="s">
        <v>418</v>
      </c>
      <c r="D2710" s="356">
        <v>43347</v>
      </c>
      <c r="E2710" s="356">
        <v>43409</v>
      </c>
      <c r="F2710" s="23" t="s">
        <v>11157</v>
      </c>
      <c r="G2710" s="59" t="s">
        <v>417</v>
      </c>
      <c r="H2710" s="353">
        <v>180108</v>
      </c>
      <c r="I2710" s="59"/>
      <c r="J2710" s="59" t="s">
        <v>11163</v>
      </c>
      <c r="K2710" s="20"/>
      <c r="L2710" s="20"/>
      <c r="M2710" s="357"/>
      <c r="N2710" s="411"/>
      <c r="O2710" s="23" t="s">
        <v>109</v>
      </c>
      <c r="P2710" s="18" t="s">
        <v>632</v>
      </c>
      <c r="Q2710" s="18" t="s">
        <v>640</v>
      </c>
      <c r="R2710" s="92" t="str">
        <f t="shared" si="87"/>
        <v/>
      </c>
      <c r="S2710" s="291"/>
      <c r="T2710" s="35"/>
    </row>
    <row r="2711" spans="1:20" x14ac:dyDescent="0.25">
      <c r="A2711" s="23" t="s">
        <v>7329</v>
      </c>
      <c r="B2711" s="18" t="s">
        <v>10790</v>
      </c>
      <c r="C2711" s="59" t="s">
        <v>418</v>
      </c>
      <c r="D2711" s="356">
        <v>43347</v>
      </c>
      <c r="E2711" s="356">
        <v>43409</v>
      </c>
      <c r="F2711" s="23" t="s">
        <v>659</v>
      </c>
      <c r="G2711" s="59" t="s">
        <v>417</v>
      </c>
      <c r="H2711" s="353">
        <v>86586</v>
      </c>
      <c r="I2711" s="59"/>
      <c r="J2711" s="59" t="s">
        <v>11164</v>
      </c>
      <c r="K2711" s="20"/>
      <c r="L2711" s="20"/>
      <c r="M2711" s="357"/>
      <c r="N2711" s="411"/>
      <c r="O2711" s="23" t="s">
        <v>109</v>
      </c>
      <c r="P2711" s="18" t="s">
        <v>632</v>
      </c>
      <c r="Q2711" s="18" t="s">
        <v>640</v>
      </c>
      <c r="R2711" s="92" t="str">
        <f t="shared" si="87"/>
        <v>FF</v>
      </c>
      <c r="S2711" s="291"/>
      <c r="T2711" s="35"/>
    </row>
    <row r="2712" spans="1:20" x14ac:dyDescent="0.25">
      <c r="A2712" s="23" t="s">
        <v>7329</v>
      </c>
      <c r="B2712" s="18" t="s">
        <v>10790</v>
      </c>
      <c r="C2712" s="59" t="s">
        <v>418</v>
      </c>
      <c r="D2712" s="356">
        <v>43347</v>
      </c>
      <c r="E2712" s="356">
        <v>43409</v>
      </c>
      <c r="F2712" s="23" t="s">
        <v>11158</v>
      </c>
      <c r="G2712" s="59" t="s">
        <v>403</v>
      </c>
      <c r="H2712" s="353">
        <v>31021</v>
      </c>
      <c r="I2712" s="59"/>
      <c r="J2712" s="59" t="s">
        <v>11165</v>
      </c>
      <c r="K2712" s="20"/>
      <c r="L2712" s="20">
        <v>1</v>
      </c>
      <c r="M2712" s="357">
        <f>+H2712</f>
        <v>31021</v>
      </c>
      <c r="N2712" s="411">
        <f>IFERROR((M2712/(VLOOKUP(B2712,'Data Pull Sheet'!$C:$H,6,FALSE))),"DC")</f>
        <v>3.1021E-5</v>
      </c>
      <c r="O2712" s="23" t="s">
        <v>79</v>
      </c>
      <c r="P2712" s="18" t="s">
        <v>632</v>
      </c>
      <c r="Q2712" s="18" t="s">
        <v>637</v>
      </c>
      <c r="R2712" s="92" t="str">
        <f t="shared" si="87"/>
        <v/>
      </c>
      <c r="S2712" s="291"/>
      <c r="T2712" s="35"/>
    </row>
    <row r="2713" spans="1:20" x14ac:dyDescent="0.25">
      <c r="A2713" s="23" t="s">
        <v>8928</v>
      </c>
      <c r="B2713" s="18" t="str">
        <f>IF(ISNA(VLOOKUP(A2713,'Data Pull Sheet'!$B$2:$C$1795,2,0)),"",(VLOOKUP(A2713,'Data Pull Sheet'!$B$2:$C$1795,2,0)))</f>
        <v>FANH</v>
      </c>
      <c r="C2713" s="59" t="s">
        <v>418</v>
      </c>
      <c r="D2713" s="356" t="s">
        <v>9149</v>
      </c>
      <c r="E2713" s="356" t="s">
        <v>11243</v>
      </c>
      <c r="F2713" s="23" t="s">
        <v>11408</v>
      </c>
      <c r="G2713" s="59" t="s">
        <v>403</v>
      </c>
      <c r="H2713" s="353">
        <v>31942</v>
      </c>
      <c r="I2713" s="59"/>
      <c r="J2713" s="59" t="s">
        <v>11600</v>
      </c>
      <c r="K2713" s="20">
        <v>1</v>
      </c>
      <c r="L2713" s="20">
        <v>1</v>
      </c>
      <c r="M2713" s="357">
        <f>+H2713</f>
        <v>31942</v>
      </c>
      <c r="N2713" s="411">
        <f>IFERROR((M2713/(VLOOKUP(B2713,'Data Pull Sheet'!$C:$H,6,FALSE))),"DC")</f>
        <v>1.27768E-3</v>
      </c>
      <c r="O2713" s="23" t="s">
        <v>79</v>
      </c>
      <c r="P2713" s="18" t="s">
        <v>676</v>
      </c>
      <c r="Q2713" s="18" t="s">
        <v>637</v>
      </c>
      <c r="R2713" s="92" t="str">
        <f t="shared" si="87"/>
        <v/>
      </c>
      <c r="S2713" s="291"/>
      <c r="T2713" s="35"/>
    </row>
    <row r="2714" spans="1:20" x14ac:dyDescent="0.25">
      <c r="A2714" s="23" t="s">
        <v>11598</v>
      </c>
      <c r="B2714" s="18" t="str">
        <f>IF(ISNA(VLOOKUP(A2714,'Data Pull Sheet'!$B$2:$C$1795,2,0)),"",(VLOOKUP(A2714,'Data Pull Sheet'!$B$2:$C$1795,2,0)))</f>
        <v>PVG</v>
      </c>
      <c r="C2714" s="59" t="s">
        <v>418</v>
      </c>
      <c r="D2714" s="356" t="s">
        <v>9149</v>
      </c>
      <c r="E2714" s="356" t="s">
        <v>11243</v>
      </c>
      <c r="F2714" s="23" t="s">
        <v>11407</v>
      </c>
      <c r="G2714" s="59" t="s">
        <v>417</v>
      </c>
      <c r="H2714" s="353">
        <v>113298.2</v>
      </c>
      <c r="I2714" s="59"/>
      <c r="J2714" s="59" t="s">
        <v>11599</v>
      </c>
      <c r="K2714" s="20">
        <v>1</v>
      </c>
      <c r="L2714" s="20">
        <v>1</v>
      </c>
      <c r="M2714" s="357">
        <f>+H2714</f>
        <v>113298.2</v>
      </c>
      <c r="N2714" s="411">
        <f>IFERROR((M2714/(VLOOKUP(B2714,'Data Pull Sheet'!$C:$H,6,FALSE))),"DC")</f>
        <v>1.4162274999999999E-3</v>
      </c>
      <c r="O2714" s="23" t="s">
        <v>682</v>
      </c>
      <c r="P2714" s="18" t="s">
        <v>676</v>
      </c>
      <c r="Q2714" s="18" t="s">
        <v>633</v>
      </c>
      <c r="R2714" s="92" t="str">
        <f t="shared" si="87"/>
        <v/>
      </c>
      <c r="S2714" s="291"/>
      <c r="T2714" s="35"/>
    </row>
    <row r="2715" spans="1:20" x14ac:dyDescent="0.25">
      <c r="A2715" s="23" t="s">
        <v>8880</v>
      </c>
      <c r="B2715" s="18" t="str">
        <f>IF(ISNA(VLOOKUP(A2715,'Data Pull Sheet'!$B$2:$C$1795,2,0)),"",(VLOOKUP(A2715,'Data Pull Sheet'!$B$2:$C$1795,2,0)))</f>
        <v>OPK</v>
      </c>
      <c r="C2715" s="59" t="s">
        <v>424</v>
      </c>
      <c r="D2715" s="356" t="s">
        <v>11421</v>
      </c>
      <c r="E2715" s="356" t="s">
        <v>11236</v>
      </c>
      <c r="F2715" s="23" t="s">
        <v>11422</v>
      </c>
      <c r="G2715" s="59" t="s">
        <v>403</v>
      </c>
      <c r="H2715" s="353">
        <v>38858</v>
      </c>
      <c r="I2715" s="59" t="s">
        <v>413</v>
      </c>
      <c r="J2715" s="59" t="s">
        <v>11615</v>
      </c>
      <c r="K2715" s="20">
        <v>12</v>
      </c>
      <c r="L2715" s="20">
        <v>2</v>
      </c>
      <c r="M2715" s="357">
        <f>SUM(H2715:H2716)</f>
        <v>126814</v>
      </c>
      <c r="N2715" s="411">
        <f>IFERROR((M2715/(VLOOKUP(B2715,'Data Pull Sheet'!$C:$H,6,FALSE))),"DC")</f>
        <v>2.6419583333333333E-4</v>
      </c>
      <c r="O2715" s="23" t="s">
        <v>250</v>
      </c>
      <c r="P2715" s="18" t="s">
        <v>632</v>
      </c>
      <c r="Q2715" s="18"/>
      <c r="R2715" s="92" t="str">
        <f t="shared" si="87"/>
        <v/>
      </c>
      <c r="S2715" s="291"/>
      <c r="T2715" s="35"/>
    </row>
    <row r="2716" spans="1:20" x14ac:dyDescent="0.25">
      <c r="A2716" s="23" t="s">
        <v>8880</v>
      </c>
      <c r="B2716" s="18" t="str">
        <f>IF(ISNA(VLOOKUP(A2716,'Data Pull Sheet'!$B$2:$C$1795,2,0)),"",(VLOOKUP(A2716,'Data Pull Sheet'!$B$2:$C$1795,2,0)))</f>
        <v>OPK</v>
      </c>
      <c r="C2716" s="59" t="s">
        <v>424</v>
      </c>
      <c r="D2716" s="356" t="s">
        <v>11421</v>
      </c>
      <c r="E2716" s="356" t="s">
        <v>11236</v>
      </c>
      <c r="F2716" s="23" t="s">
        <v>11423</v>
      </c>
      <c r="G2716" s="59" t="s">
        <v>403</v>
      </c>
      <c r="H2716" s="353">
        <v>87956</v>
      </c>
      <c r="I2716" s="59" t="s">
        <v>413</v>
      </c>
      <c r="J2716" s="59" t="s">
        <v>11616</v>
      </c>
      <c r="K2716" s="20"/>
      <c r="L2716" s="20"/>
      <c r="M2716" s="357"/>
      <c r="N2716" s="411"/>
      <c r="O2716" s="23" t="s">
        <v>250</v>
      </c>
      <c r="P2716" s="18" t="s">
        <v>632</v>
      </c>
      <c r="Q2716" s="18"/>
      <c r="R2716" s="92" t="str">
        <f t="shared" si="87"/>
        <v/>
      </c>
      <c r="S2716" s="291"/>
      <c r="T2716" s="35"/>
    </row>
    <row r="2717" spans="1:20" ht="30" x14ac:dyDescent="0.25">
      <c r="A2717" s="23" t="s">
        <v>8880</v>
      </c>
      <c r="B2717" s="18" t="str">
        <f>IF(ISNA(VLOOKUP(A2717,'Data Pull Sheet'!$B$2:$C$1795,2,0)),"",(VLOOKUP(A2717,'Data Pull Sheet'!$B$2:$C$1795,2,0)))</f>
        <v>OPK</v>
      </c>
      <c r="C2717" s="59" t="s">
        <v>424</v>
      </c>
      <c r="D2717" s="356" t="s">
        <v>11421</v>
      </c>
      <c r="E2717" s="356" t="s">
        <v>11236</v>
      </c>
      <c r="F2717" s="23" t="s">
        <v>11437</v>
      </c>
      <c r="G2717" s="59" t="s">
        <v>417</v>
      </c>
      <c r="H2717" s="353">
        <v>23517242.969999999</v>
      </c>
      <c r="I2717" s="59"/>
      <c r="J2717" s="59" t="s">
        <v>11626</v>
      </c>
      <c r="K2717" s="20"/>
      <c r="L2717" s="20">
        <v>2</v>
      </c>
      <c r="M2717" s="357">
        <f>SUM(H2717:H2718)</f>
        <v>23785598.209999997</v>
      </c>
      <c r="N2717" s="411">
        <f>IFERROR((M2717/(VLOOKUP(B2717,'Data Pull Sheet'!$C:$H,6,FALSE))),"DC")</f>
        <v>4.9553329604166661E-2</v>
      </c>
      <c r="O2717" s="23" t="s">
        <v>11438</v>
      </c>
      <c r="P2717" s="18" t="s">
        <v>632</v>
      </c>
      <c r="Q2717" s="18"/>
      <c r="R2717" s="92" t="str">
        <f t="shared" si="87"/>
        <v/>
      </c>
      <c r="S2717" s="291"/>
      <c r="T2717" s="35"/>
    </row>
    <row r="2718" spans="1:20" ht="30" x14ac:dyDescent="0.25">
      <c r="A2718" s="23" t="s">
        <v>8880</v>
      </c>
      <c r="B2718" s="18" t="str">
        <f>IF(ISNA(VLOOKUP(A2718,'Data Pull Sheet'!$B$2:$C$1795,2,0)),"",(VLOOKUP(A2718,'Data Pull Sheet'!$B$2:$C$1795,2,0)))</f>
        <v>OPK</v>
      </c>
      <c r="C2718" s="59" t="s">
        <v>424</v>
      </c>
      <c r="D2718" s="356" t="s">
        <v>11421</v>
      </c>
      <c r="E2718" s="356" t="s">
        <v>11236</v>
      </c>
      <c r="F2718" s="23" t="s">
        <v>11439</v>
      </c>
      <c r="G2718" s="59" t="s">
        <v>403</v>
      </c>
      <c r="H2718" s="353">
        <v>268355.24</v>
      </c>
      <c r="I2718" s="59" t="s">
        <v>1651</v>
      </c>
      <c r="J2718" s="59" t="s">
        <v>11627</v>
      </c>
      <c r="K2718" s="20"/>
      <c r="L2718" s="20"/>
      <c r="M2718" s="357"/>
      <c r="N2718" s="411"/>
      <c r="O2718" s="23" t="s">
        <v>9741</v>
      </c>
      <c r="P2718" s="18" t="s">
        <v>632</v>
      </c>
      <c r="Q2718" s="18"/>
      <c r="R2718" s="92" t="str">
        <f t="shared" si="87"/>
        <v/>
      </c>
      <c r="S2718" s="291"/>
      <c r="T2718" s="35"/>
    </row>
    <row r="2719" spans="1:20" x14ac:dyDescent="0.25">
      <c r="A2719" s="23" t="s">
        <v>8880</v>
      </c>
      <c r="B2719" s="18" t="str">
        <f>IF(ISNA(VLOOKUP(A2719,'Data Pull Sheet'!$B$2:$C$1795,2,0)),"",(VLOOKUP(A2719,'Data Pull Sheet'!$B$2:$C$1795,2,0)))</f>
        <v>OPK</v>
      </c>
      <c r="C2719" s="59" t="s">
        <v>424</v>
      </c>
      <c r="D2719" s="356" t="s">
        <v>11421</v>
      </c>
      <c r="E2719" s="356" t="s">
        <v>11236</v>
      </c>
      <c r="F2719" s="23" t="s">
        <v>11440</v>
      </c>
      <c r="G2719" s="59" t="s">
        <v>417</v>
      </c>
      <c r="H2719" s="353">
        <v>142924</v>
      </c>
      <c r="I2719" s="59"/>
      <c r="J2719" s="59" t="s">
        <v>11628</v>
      </c>
      <c r="K2719" s="20"/>
      <c r="L2719" s="20">
        <v>3</v>
      </c>
      <c r="M2719" s="357">
        <f>SUM(H2719:H2721)</f>
        <v>1215387</v>
      </c>
      <c r="N2719" s="411">
        <f>IFERROR((M2719/(VLOOKUP(B2719,'Data Pull Sheet'!$C:$H,6,FALSE))),"DC")</f>
        <v>2.5320562499999998E-3</v>
      </c>
      <c r="O2719" s="23" t="s">
        <v>79</v>
      </c>
      <c r="P2719" s="18" t="s">
        <v>632</v>
      </c>
      <c r="Q2719" s="18"/>
      <c r="R2719" s="92" t="str">
        <f t="shared" si="87"/>
        <v/>
      </c>
      <c r="S2719" s="291"/>
      <c r="T2719" s="35"/>
    </row>
    <row r="2720" spans="1:20" ht="30" x14ac:dyDescent="0.25">
      <c r="A2720" s="23" t="s">
        <v>8880</v>
      </c>
      <c r="B2720" s="18" t="str">
        <f>IF(ISNA(VLOOKUP(A2720,'Data Pull Sheet'!$B$2:$C$1795,2,0)),"",(VLOOKUP(A2720,'Data Pull Sheet'!$B$2:$C$1795,2,0)))</f>
        <v>OPK</v>
      </c>
      <c r="C2720" s="59" t="s">
        <v>424</v>
      </c>
      <c r="D2720" s="356" t="s">
        <v>11421</v>
      </c>
      <c r="E2720" s="356" t="s">
        <v>11236</v>
      </c>
      <c r="F2720" s="23" t="s">
        <v>11441</v>
      </c>
      <c r="G2720" s="59" t="s">
        <v>417</v>
      </c>
      <c r="H2720" s="353">
        <v>668816</v>
      </c>
      <c r="I2720" s="59"/>
      <c r="J2720" s="59" t="s">
        <v>11629</v>
      </c>
      <c r="K2720" s="20"/>
      <c r="L2720" s="20"/>
      <c r="M2720" s="357"/>
      <c r="N2720" s="411"/>
      <c r="O2720" s="23" t="s">
        <v>79</v>
      </c>
      <c r="P2720" s="18" t="s">
        <v>632</v>
      </c>
      <c r="Q2720" s="18"/>
      <c r="R2720" s="92" t="str">
        <f t="shared" si="87"/>
        <v/>
      </c>
      <c r="S2720" s="291"/>
      <c r="T2720" s="35"/>
    </row>
    <row r="2721" spans="1:20" x14ac:dyDescent="0.25">
      <c r="A2721" s="23" t="s">
        <v>8880</v>
      </c>
      <c r="B2721" s="18" t="str">
        <f>IF(ISNA(VLOOKUP(A2721,'Data Pull Sheet'!$B$2:$C$1795,2,0)),"",(VLOOKUP(A2721,'Data Pull Sheet'!$B$2:$C$1795,2,0)))</f>
        <v>OPK</v>
      </c>
      <c r="C2721" s="59" t="s">
        <v>424</v>
      </c>
      <c r="D2721" s="356" t="s">
        <v>11421</v>
      </c>
      <c r="E2721" s="356" t="s">
        <v>11236</v>
      </c>
      <c r="F2721" s="23" t="s">
        <v>11442</v>
      </c>
      <c r="G2721" s="59" t="s">
        <v>417</v>
      </c>
      <c r="H2721" s="353">
        <v>403647</v>
      </c>
      <c r="I2721" s="59"/>
      <c r="J2721" s="59" t="s">
        <v>11630</v>
      </c>
      <c r="K2721" s="20"/>
      <c r="L2721" s="20"/>
      <c r="M2721" s="357"/>
      <c r="N2721" s="411"/>
      <c r="O2721" s="23" t="s">
        <v>79</v>
      </c>
      <c r="P2721" s="18" t="s">
        <v>632</v>
      </c>
      <c r="Q2721" s="18"/>
      <c r="R2721" s="92" t="str">
        <f t="shared" si="87"/>
        <v/>
      </c>
      <c r="S2721" s="291"/>
      <c r="T2721" s="35"/>
    </row>
    <row r="2722" spans="1:20" x14ac:dyDescent="0.25">
      <c r="A2722" s="23" t="s">
        <v>8880</v>
      </c>
      <c r="B2722" s="18" t="str">
        <f>IF(ISNA(VLOOKUP(A2722,'Data Pull Sheet'!$B$2:$C$1795,2,0)),"",(VLOOKUP(A2722,'Data Pull Sheet'!$B$2:$C$1795,2,0)))</f>
        <v>OPK</v>
      </c>
      <c r="C2722" s="59" t="s">
        <v>424</v>
      </c>
      <c r="D2722" s="356" t="s">
        <v>11421</v>
      </c>
      <c r="E2722" s="356" t="s">
        <v>11236</v>
      </c>
      <c r="F2722" s="23" t="s">
        <v>11443</v>
      </c>
      <c r="G2722" s="59" t="s">
        <v>403</v>
      </c>
      <c r="H2722" s="353">
        <v>24038.18</v>
      </c>
      <c r="I2722" s="59"/>
      <c r="J2722" s="59" t="s">
        <v>11631</v>
      </c>
      <c r="K2722" s="20"/>
      <c r="L2722" s="20">
        <v>3</v>
      </c>
      <c r="M2722" s="357">
        <f>SUM(H2722:H2724)</f>
        <v>124540.9</v>
      </c>
      <c r="N2722" s="411">
        <f>IFERROR((M2722/(VLOOKUP(B2722,'Data Pull Sheet'!$C:$H,6,FALSE))),"DC")</f>
        <v>2.5946020833333332E-4</v>
      </c>
      <c r="O2722" s="23" t="s">
        <v>11444</v>
      </c>
      <c r="P2722" s="18" t="s">
        <v>632</v>
      </c>
      <c r="Q2722" s="18"/>
      <c r="R2722" s="92" t="str">
        <f t="shared" si="87"/>
        <v/>
      </c>
      <c r="S2722" s="291"/>
      <c r="T2722" s="35"/>
    </row>
    <row r="2723" spans="1:20" x14ac:dyDescent="0.25">
      <c r="A2723" s="23" t="s">
        <v>8880</v>
      </c>
      <c r="B2723" s="18" t="str">
        <f>IF(ISNA(VLOOKUP(A2723,'Data Pull Sheet'!$B$2:$C$1795,2,0)),"",(VLOOKUP(A2723,'Data Pull Sheet'!$B$2:$C$1795,2,0)))</f>
        <v>OPK</v>
      </c>
      <c r="C2723" s="59" t="s">
        <v>424</v>
      </c>
      <c r="D2723" s="356" t="s">
        <v>11421</v>
      </c>
      <c r="E2723" s="356" t="s">
        <v>11236</v>
      </c>
      <c r="F2723" s="23" t="s">
        <v>11445</v>
      </c>
      <c r="G2723" s="59" t="s">
        <v>403</v>
      </c>
      <c r="H2723" s="353">
        <v>54821.21</v>
      </c>
      <c r="I2723" s="59"/>
      <c r="J2723" s="59" t="s">
        <v>11632</v>
      </c>
      <c r="K2723" s="20"/>
      <c r="L2723" s="20"/>
      <c r="M2723" s="357"/>
      <c r="N2723" s="411"/>
      <c r="O2723" s="23" t="s">
        <v>11444</v>
      </c>
      <c r="P2723" s="18" t="s">
        <v>632</v>
      </c>
      <c r="Q2723" s="18"/>
      <c r="R2723" s="92" t="str">
        <f t="shared" si="87"/>
        <v/>
      </c>
      <c r="S2723" s="291"/>
      <c r="T2723" s="35"/>
    </row>
    <row r="2724" spans="1:20" x14ac:dyDescent="0.25">
      <c r="A2724" s="23" t="s">
        <v>8880</v>
      </c>
      <c r="B2724" s="18" t="str">
        <f>IF(ISNA(VLOOKUP(A2724,'Data Pull Sheet'!$B$2:$C$1795,2,0)),"",(VLOOKUP(A2724,'Data Pull Sheet'!$B$2:$C$1795,2,0)))</f>
        <v>OPK</v>
      </c>
      <c r="C2724" s="59" t="s">
        <v>424</v>
      </c>
      <c r="D2724" s="356" t="s">
        <v>11421</v>
      </c>
      <c r="E2724" s="356" t="s">
        <v>11236</v>
      </c>
      <c r="F2724" s="23" t="s">
        <v>11446</v>
      </c>
      <c r="G2724" s="59" t="s">
        <v>403</v>
      </c>
      <c r="H2724" s="353">
        <v>45681.51</v>
      </c>
      <c r="I2724" s="59"/>
      <c r="J2724" s="59" t="s">
        <v>11633</v>
      </c>
      <c r="K2724" s="20"/>
      <c r="L2724" s="20"/>
      <c r="M2724" s="357"/>
      <c r="N2724" s="411"/>
      <c r="O2724" s="23" t="s">
        <v>11444</v>
      </c>
      <c r="P2724" s="18" t="s">
        <v>632</v>
      </c>
      <c r="Q2724" s="18"/>
      <c r="R2724" s="92" t="str">
        <f t="shared" si="87"/>
        <v/>
      </c>
      <c r="S2724" s="291"/>
      <c r="T2724" s="35"/>
    </row>
    <row r="2725" spans="1:20" x14ac:dyDescent="0.25">
      <c r="A2725" s="23" t="s">
        <v>8880</v>
      </c>
      <c r="B2725" s="18" t="str">
        <f>IF(ISNA(VLOOKUP(A2725,'Data Pull Sheet'!$B$2:$C$1795,2,0)),"",(VLOOKUP(A2725,'Data Pull Sheet'!$B$2:$C$1795,2,0)))</f>
        <v>OPK</v>
      </c>
      <c r="C2725" s="59" t="s">
        <v>424</v>
      </c>
      <c r="D2725" s="356" t="s">
        <v>11421</v>
      </c>
      <c r="E2725" s="356" t="s">
        <v>11236</v>
      </c>
      <c r="F2725" s="23" t="s">
        <v>11424</v>
      </c>
      <c r="G2725" s="59" t="s">
        <v>403</v>
      </c>
      <c r="H2725" s="353">
        <v>924811.46</v>
      </c>
      <c r="I2725" s="59"/>
      <c r="J2725" s="59" t="s">
        <v>11607</v>
      </c>
      <c r="K2725" s="20"/>
      <c r="L2725" s="20">
        <v>1</v>
      </c>
      <c r="M2725" s="357">
        <f>+H2725</f>
        <v>924811.46</v>
      </c>
      <c r="N2725" s="411">
        <f>IFERROR((M2725/(VLOOKUP(B2725,'Data Pull Sheet'!$C:$H,6,FALSE))),"DC")</f>
        <v>1.9266905416666666E-3</v>
      </c>
      <c r="O2725" s="23" t="s">
        <v>192</v>
      </c>
      <c r="P2725" s="18" t="s">
        <v>632</v>
      </c>
      <c r="Q2725" s="18"/>
      <c r="R2725" s="92" t="str">
        <f t="shared" si="87"/>
        <v/>
      </c>
      <c r="S2725" s="291"/>
      <c r="T2725" s="35"/>
    </row>
    <row r="2726" spans="1:20" x14ac:dyDescent="0.25">
      <c r="A2726" s="23" t="s">
        <v>8880</v>
      </c>
      <c r="B2726" s="18" t="str">
        <f>IF(ISNA(VLOOKUP(A2726,'Data Pull Sheet'!$B$2:$C$1795,2,0)),"",(VLOOKUP(A2726,'Data Pull Sheet'!$B$2:$C$1795,2,0)))</f>
        <v>OPK</v>
      </c>
      <c r="C2726" s="59" t="s">
        <v>424</v>
      </c>
      <c r="D2726" s="356" t="s">
        <v>11421</v>
      </c>
      <c r="E2726" s="356" t="s">
        <v>11236</v>
      </c>
      <c r="F2726" s="23" t="s">
        <v>11425</v>
      </c>
      <c r="G2726" s="59" t="s">
        <v>417</v>
      </c>
      <c r="H2726" s="353">
        <v>130148</v>
      </c>
      <c r="I2726" s="59"/>
      <c r="J2726" s="59" t="s">
        <v>11609</v>
      </c>
      <c r="K2726" s="20"/>
      <c r="L2726" s="20">
        <v>1</v>
      </c>
      <c r="M2726" s="357">
        <f>+H2726</f>
        <v>130148</v>
      </c>
      <c r="N2726" s="411">
        <f>IFERROR((M2726/(VLOOKUP(B2726,'Data Pull Sheet'!$C:$H,6,FALSE))),"DC")</f>
        <v>2.7114166666666667E-4</v>
      </c>
      <c r="O2726" s="23" t="s">
        <v>11426</v>
      </c>
      <c r="P2726" s="18" t="s">
        <v>632</v>
      </c>
      <c r="Q2726" s="18"/>
      <c r="R2726" s="92" t="str">
        <f t="shared" si="87"/>
        <v/>
      </c>
      <c r="S2726" s="291"/>
      <c r="T2726" s="35"/>
    </row>
    <row r="2727" spans="1:20" x14ac:dyDescent="0.25">
      <c r="A2727" s="23" t="s">
        <v>8880</v>
      </c>
      <c r="B2727" s="18" t="str">
        <f>IF(ISNA(VLOOKUP(A2727,'Data Pull Sheet'!$B$2:$C$1795,2,0)),"",(VLOOKUP(A2727,'Data Pull Sheet'!$B$2:$C$1795,2,0)))</f>
        <v>OPK</v>
      </c>
      <c r="C2727" s="59" t="s">
        <v>424</v>
      </c>
      <c r="D2727" s="356" t="s">
        <v>11421</v>
      </c>
      <c r="E2727" s="356">
        <v>43417</v>
      </c>
      <c r="F2727" s="23" t="s">
        <v>11427</v>
      </c>
      <c r="G2727" s="59" t="s">
        <v>403</v>
      </c>
      <c r="H2727" s="353">
        <v>516563.16</v>
      </c>
      <c r="I2727" s="59" t="s">
        <v>406</v>
      </c>
      <c r="J2727" s="59" t="s">
        <v>11617</v>
      </c>
      <c r="K2727" s="20"/>
      <c r="L2727" s="20">
        <v>2</v>
      </c>
      <c r="M2727" s="357">
        <f>SUM(H2727:H2728)</f>
        <v>1235718.3699999999</v>
      </c>
      <c r="N2727" s="411">
        <f>IFERROR((M2727/(VLOOKUP(B2727,'Data Pull Sheet'!$C:$H,6,FALSE))),"DC")</f>
        <v>2.574413270833333E-3</v>
      </c>
      <c r="O2727" s="23" t="s">
        <v>27</v>
      </c>
      <c r="P2727" s="18" t="s">
        <v>632</v>
      </c>
      <c r="Q2727" s="18"/>
      <c r="R2727" s="92" t="str">
        <f t="shared" si="87"/>
        <v/>
      </c>
      <c r="S2727" s="291"/>
      <c r="T2727" s="35"/>
    </row>
    <row r="2728" spans="1:20" x14ac:dyDescent="0.25">
      <c r="A2728" s="23" t="s">
        <v>8880</v>
      </c>
      <c r="B2728" s="18" t="str">
        <f>IF(ISNA(VLOOKUP(A2728,'Data Pull Sheet'!$B$2:$C$1795,2,0)),"",(VLOOKUP(A2728,'Data Pull Sheet'!$B$2:$C$1795,2,0)))</f>
        <v>OPK</v>
      </c>
      <c r="C2728" s="59" t="s">
        <v>424</v>
      </c>
      <c r="D2728" s="356" t="s">
        <v>11421</v>
      </c>
      <c r="E2728" s="356" t="s">
        <v>11236</v>
      </c>
      <c r="F2728" s="23" t="s">
        <v>11634</v>
      </c>
      <c r="G2728" s="59" t="s">
        <v>417</v>
      </c>
      <c r="H2728" s="353">
        <v>719155.21</v>
      </c>
      <c r="I2728" s="59" t="s">
        <v>406</v>
      </c>
      <c r="J2728" s="59" t="s">
        <v>11618</v>
      </c>
      <c r="K2728" s="20"/>
      <c r="L2728" s="20"/>
      <c r="M2728" s="357"/>
      <c r="N2728" s="411"/>
      <c r="O2728" s="23" t="s">
        <v>27</v>
      </c>
      <c r="P2728" s="18" t="s">
        <v>632</v>
      </c>
      <c r="Q2728" s="18"/>
      <c r="R2728" s="92" t="str">
        <f t="shared" si="87"/>
        <v/>
      </c>
      <c r="S2728" s="291"/>
      <c r="T2728" s="35"/>
    </row>
    <row r="2729" spans="1:20" x14ac:dyDescent="0.25">
      <c r="A2729" s="23" t="s">
        <v>8880</v>
      </c>
      <c r="B2729" s="18" t="str">
        <f>IF(ISNA(VLOOKUP(A2729,'Data Pull Sheet'!$B$2:$C$1795,2,0)),"",(VLOOKUP(A2729,'Data Pull Sheet'!$B$2:$C$1795,2,0)))</f>
        <v>OPK</v>
      </c>
      <c r="C2729" s="59" t="s">
        <v>424</v>
      </c>
      <c r="D2729" s="356" t="s">
        <v>11421</v>
      </c>
      <c r="E2729" s="356" t="s">
        <v>11236</v>
      </c>
      <c r="F2729" s="23" t="s">
        <v>11428</v>
      </c>
      <c r="G2729" s="59" t="s">
        <v>403</v>
      </c>
      <c r="H2729" s="353">
        <v>233815.91</v>
      </c>
      <c r="I2729" s="59" t="s">
        <v>406</v>
      </c>
      <c r="J2729" s="59" t="s">
        <v>11619</v>
      </c>
      <c r="K2729" s="20"/>
      <c r="L2729" s="20">
        <v>1</v>
      </c>
      <c r="M2729" s="357">
        <f>+H2729</f>
        <v>233815.91</v>
      </c>
      <c r="N2729" s="411">
        <f>IFERROR((M2729/(VLOOKUP(B2729,'Data Pull Sheet'!$C:$H,6,FALSE))),"DC")</f>
        <v>4.8711647916666669E-4</v>
      </c>
      <c r="O2729" s="23" t="s">
        <v>407</v>
      </c>
      <c r="P2729" s="18" t="s">
        <v>632</v>
      </c>
      <c r="Q2729" s="18"/>
      <c r="R2729" s="92" t="str">
        <f t="shared" si="87"/>
        <v/>
      </c>
      <c r="S2729" s="291"/>
      <c r="T2729" s="35"/>
    </row>
    <row r="2730" spans="1:20" x14ac:dyDescent="0.25">
      <c r="A2730" s="23" t="s">
        <v>8880</v>
      </c>
      <c r="B2730" s="18" t="str">
        <f>IF(ISNA(VLOOKUP(A2730,'Data Pull Sheet'!$B$2:$C$1795,2,0)),"",(VLOOKUP(A2730,'Data Pull Sheet'!$B$2:$C$1795,2,0)))</f>
        <v>OPK</v>
      </c>
      <c r="C2730" s="59" t="s">
        <v>424</v>
      </c>
      <c r="D2730" s="356" t="s">
        <v>11421</v>
      </c>
      <c r="E2730" s="356" t="s">
        <v>11236</v>
      </c>
      <c r="F2730" s="23" t="s">
        <v>11429</v>
      </c>
      <c r="G2730" s="59" t="s">
        <v>403</v>
      </c>
      <c r="H2730" s="353">
        <v>421784.06</v>
      </c>
      <c r="I2730" s="59" t="s">
        <v>413</v>
      </c>
      <c r="J2730" s="59" t="s">
        <v>11620</v>
      </c>
      <c r="K2730" s="20"/>
      <c r="L2730" s="20">
        <v>1</v>
      </c>
      <c r="M2730" s="357">
        <f>+H2730</f>
        <v>421784.06</v>
      </c>
      <c r="N2730" s="411">
        <f>IFERROR((M2730/(VLOOKUP(B2730,'Data Pull Sheet'!$C:$H,6,FALSE))),"DC")</f>
        <v>8.7871679166666666E-4</v>
      </c>
      <c r="O2730" s="23" t="s">
        <v>6997</v>
      </c>
      <c r="P2730" s="18" t="s">
        <v>632</v>
      </c>
      <c r="Q2730" s="18"/>
      <c r="R2730" s="92" t="str">
        <f t="shared" si="87"/>
        <v/>
      </c>
      <c r="S2730" s="291"/>
      <c r="T2730" s="35"/>
    </row>
    <row r="2731" spans="1:20" x14ac:dyDescent="0.25">
      <c r="A2731" s="23" t="s">
        <v>8880</v>
      </c>
      <c r="B2731" s="18" t="str">
        <f>IF(ISNA(VLOOKUP(A2731,'Data Pull Sheet'!$B$2:$C$1795,2,0)),"",(VLOOKUP(A2731,'Data Pull Sheet'!$B$2:$C$1795,2,0)))</f>
        <v>OPK</v>
      </c>
      <c r="C2731" s="59" t="s">
        <v>424</v>
      </c>
      <c r="D2731" s="356" t="s">
        <v>11421</v>
      </c>
      <c r="E2731" s="356" t="s">
        <v>11236</v>
      </c>
      <c r="F2731" s="23" t="s">
        <v>11430</v>
      </c>
      <c r="G2731" s="59" t="s">
        <v>403</v>
      </c>
      <c r="H2731" s="353">
        <v>194324.11</v>
      </c>
      <c r="I2731" s="59" t="s">
        <v>406</v>
      </c>
      <c r="J2731" s="59" t="s">
        <v>11621</v>
      </c>
      <c r="K2731" s="20"/>
      <c r="L2731" s="20">
        <v>5</v>
      </c>
      <c r="M2731" s="357">
        <f>SUM(H2731:H2735)</f>
        <v>709038.94000000006</v>
      </c>
      <c r="N2731" s="411">
        <f>IFERROR((M2731/(VLOOKUP(B2731,'Data Pull Sheet'!$C:$H,6,FALSE))),"DC")</f>
        <v>1.4771644583333335E-3</v>
      </c>
      <c r="O2731" s="23" t="s">
        <v>4153</v>
      </c>
      <c r="P2731" s="18" t="s">
        <v>632</v>
      </c>
      <c r="Q2731" s="18"/>
      <c r="R2731" s="92" t="str">
        <f t="shared" si="87"/>
        <v/>
      </c>
      <c r="S2731" s="291"/>
      <c r="T2731" s="35"/>
    </row>
    <row r="2732" spans="1:20" x14ac:dyDescent="0.25">
      <c r="A2732" s="23" t="s">
        <v>8880</v>
      </c>
      <c r="B2732" s="18" t="str">
        <f>IF(ISNA(VLOOKUP(A2732,'Data Pull Sheet'!$B$2:$C$1795,2,0)),"",(VLOOKUP(A2732,'Data Pull Sheet'!$B$2:$C$1795,2,0)))</f>
        <v>OPK</v>
      </c>
      <c r="C2732" s="59" t="s">
        <v>424</v>
      </c>
      <c r="D2732" s="356" t="s">
        <v>11421</v>
      </c>
      <c r="E2732" s="356" t="s">
        <v>11236</v>
      </c>
      <c r="F2732" s="23" t="s">
        <v>11431</v>
      </c>
      <c r="G2732" s="59" t="s">
        <v>403</v>
      </c>
      <c r="H2732" s="353">
        <v>146195.32</v>
      </c>
      <c r="I2732" s="59" t="s">
        <v>406</v>
      </c>
      <c r="J2732" s="59" t="s">
        <v>11622</v>
      </c>
      <c r="K2732" s="20"/>
      <c r="L2732" s="20"/>
      <c r="M2732" s="357"/>
      <c r="N2732" s="411"/>
      <c r="O2732" s="23" t="s">
        <v>4153</v>
      </c>
      <c r="P2732" s="18" t="s">
        <v>632</v>
      </c>
      <c r="Q2732" s="18"/>
      <c r="R2732" s="92" t="str">
        <f t="shared" si="87"/>
        <v/>
      </c>
      <c r="S2732" s="291"/>
      <c r="T2732" s="35"/>
    </row>
    <row r="2733" spans="1:20" x14ac:dyDescent="0.25">
      <c r="A2733" s="23" t="s">
        <v>8880</v>
      </c>
      <c r="B2733" s="18" t="str">
        <f>IF(ISNA(VLOOKUP(A2733,'Data Pull Sheet'!$B$2:$C$1795,2,0)),"",(VLOOKUP(A2733,'Data Pull Sheet'!$B$2:$C$1795,2,0)))</f>
        <v>OPK</v>
      </c>
      <c r="C2733" s="59" t="s">
        <v>424</v>
      </c>
      <c r="D2733" s="356" t="s">
        <v>11421</v>
      </c>
      <c r="E2733" s="356" t="s">
        <v>11236</v>
      </c>
      <c r="F2733" s="23" t="s">
        <v>11432</v>
      </c>
      <c r="G2733" s="59" t="s">
        <v>403</v>
      </c>
      <c r="H2733" s="353">
        <v>110091.84</v>
      </c>
      <c r="I2733" s="59" t="s">
        <v>406</v>
      </c>
      <c r="J2733" s="59" t="s">
        <v>11623</v>
      </c>
      <c r="K2733" s="20"/>
      <c r="L2733" s="20"/>
      <c r="M2733" s="357"/>
      <c r="N2733" s="411"/>
      <c r="O2733" s="23" t="s">
        <v>4153</v>
      </c>
      <c r="P2733" s="18" t="s">
        <v>632</v>
      </c>
      <c r="Q2733" s="18"/>
      <c r="R2733" s="92" t="str">
        <f t="shared" si="87"/>
        <v/>
      </c>
      <c r="S2733" s="291"/>
      <c r="T2733" s="35"/>
    </row>
    <row r="2734" spans="1:20" x14ac:dyDescent="0.25">
      <c r="A2734" s="23" t="s">
        <v>8880</v>
      </c>
      <c r="B2734" s="18" t="str">
        <f>IF(ISNA(VLOOKUP(A2734,'Data Pull Sheet'!$B$2:$C$1795,2,0)),"",(VLOOKUP(A2734,'Data Pull Sheet'!$B$2:$C$1795,2,0)))</f>
        <v>OPK</v>
      </c>
      <c r="C2734" s="59" t="s">
        <v>424</v>
      </c>
      <c r="D2734" s="356" t="s">
        <v>11421</v>
      </c>
      <c r="E2734" s="356" t="s">
        <v>11236</v>
      </c>
      <c r="F2734" s="23" t="s">
        <v>11433</v>
      </c>
      <c r="G2734" s="59" t="s">
        <v>403</v>
      </c>
      <c r="H2734" s="353">
        <v>103250</v>
      </c>
      <c r="I2734" s="59" t="s">
        <v>406</v>
      </c>
      <c r="J2734" s="59" t="s">
        <v>11624</v>
      </c>
      <c r="K2734" s="20"/>
      <c r="L2734" s="20"/>
      <c r="M2734" s="357"/>
      <c r="N2734" s="411"/>
      <c r="O2734" s="23" t="s">
        <v>4153</v>
      </c>
      <c r="P2734" s="18" t="s">
        <v>632</v>
      </c>
      <c r="Q2734" s="18"/>
      <c r="R2734" s="92" t="str">
        <f t="shared" si="87"/>
        <v/>
      </c>
      <c r="S2734" s="291"/>
      <c r="T2734" s="35"/>
    </row>
    <row r="2735" spans="1:20" x14ac:dyDescent="0.25">
      <c r="A2735" s="23" t="s">
        <v>8880</v>
      </c>
      <c r="B2735" s="18" t="str">
        <f>IF(ISNA(VLOOKUP(A2735,'Data Pull Sheet'!$B$2:$C$1795,2,0)),"",(VLOOKUP(A2735,'Data Pull Sheet'!$B$2:$C$1795,2,0)))</f>
        <v>OPK</v>
      </c>
      <c r="C2735" s="59" t="s">
        <v>424</v>
      </c>
      <c r="D2735" s="356" t="s">
        <v>11421</v>
      </c>
      <c r="E2735" s="356" t="s">
        <v>11236</v>
      </c>
      <c r="F2735" s="23" t="s">
        <v>11434</v>
      </c>
      <c r="G2735" s="59" t="s">
        <v>403</v>
      </c>
      <c r="H2735" s="353">
        <v>155177.67000000001</v>
      </c>
      <c r="I2735" s="59" t="s">
        <v>406</v>
      </c>
      <c r="J2735" s="59" t="s">
        <v>11625</v>
      </c>
      <c r="K2735" s="20"/>
      <c r="L2735" s="20"/>
      <c r="M2735" s="357"/>
      <c r="N2735" s="411"/>
      <c r="O2735" s="23" t="s">
        <v>4153</v>
      </c>
      <c r="P2735" s="18" t="s">
        <v>632</v>
      </c>
      <c r="Q2735" s="18"/>
      <c r="R2735" s="92" t="str">
        <f t="shared" si="87"/>
        <v/>
      </c>
      <c r="S2735" s="291"/>
      <c r="T2735" s="35"/>
    </row>
    <row r="2736" spans="1:20" ht="30" x14ac:dyDescent="0.25">
      <c r="A2736" s="23" t="s">
        <v>8880</v>
      </c>
      <c r="B2736" s="18" t="str">
        <f>IF(ISNA(VLOOKUP(A2736,'Data Pull Sheet'!$B$2:$C$1795,2,0)),"",(VLOOKUP(A2736,'Data Pull Sheet'!$B$2:$C$1795,2,0)))</f>
        <v>OPK</v>
      </c>
      <c r="C2736" s="59" t="s">
        <v>424</v>
      </c>
      <c r="D2736" s="356" t="s">
        <v>11421</v>
      </c>
      <c r="E2736" s="356" t="s">
        <v>11236</v>
      </c>
      <c r="F2736" s="23" t="s">
        <v>11435</v>
      </c>
      <c r="G2736" s="59" t="s">
        <v>403</v>
      </c>
      <c r="H2736" s="353">
        <v>1511025.29</v>
      </c>
      <c r="I2736" s="59"/>
      <c r="J2736" s="59" t="s">
        <v>11611</v>
      </c>
      <c r="K2736" s="20"/>
      <c r="L2736" s="20">
        <v>1</v>
      </c>
      <c r="M2736" s="357">
        <f>+H2736</f>
        <v>1511025.29</v>
      </c>
      <c r="N2736" s="411">
        <f>IFERROR((M2736/(VLOOKUP(B2736,'Data Pull Sheet'!$C:$H,6,FALSE))),"DC")</f>
        <v>3.1479693541666669E-3</v>
      </c>
      <c r="O2736" s="23" t="s">
        <v>767</v>
      </c>
      <c r="P2736" s="18" t="s">
        <v>632</v>
      </c>
      <c r="Q2736" s="18"/>
      <c r="R2736" s="92" t="str">
        <f t="shared" si="87"/>
        <v/>
      </c>
      <c r="S2736" s="291"/>
      <c r="T2736" s="35"/>
    </row>
    <row r="2737" spans="1:20" x14ac:dyDescent="0.25">
      <c r="A2737" s="23" t="s">
        <v>8880</v>
      </c>
      <c r="B2737" s="18" t="str">
        <f>IF(ISNA(VLOOKUP(A2737,'Data Pull Sheet'!$B$2:$C$1795,2,0)),"",(VLOOKUP(A2737,'Data Pull Sheet'!$B$2:$C$1795,2,0)))</f>
        <v>OPK</v>
      </c>
      <c r="C2737" s="59" t="s">
        <v>424</v>
      </c>
      <c r="D2737" s="356" t="s">
        <v>11421</v>
      </c>
      <c r="E2737" s="356" t="s">
        <v>11236</v>
      </c>
      <c r="F2737" s="23" t="s">
        <v>11747</v>
      </c>
      <c r="G2737" s="59" t="s">
        <v>417</v>
      </c>
      <c r="H2737" s="353">
        <v>1671126.26</v>
      </c>
      <c r="I2737" s="59" t="s">
        <v>406</v>
      </c>
      <c r="J2737" s="59" t="s">
        <v>11612</v>
      </c>
      <c r="K2737" s="20"/>
      <c r="L2737" s="20">
        <v>1</v>
      </c>
      <c r="M2737" s="357">
        <f>+H2737</f>
        <v>1671126.26</v>
      </c>
      <c r="N2737" s="411">
        <f>IFERROR((M2737/(VLOOKUP(B2737,'Data Pull Sheet'!$C:$H,6,FALSE))),"DC")</f>
        <v>3.4815130416666665E-3</v>
      </c>
      <c r="O2737" s="23" t="s">
        <v>11436</v>
      </c>
      <c r="P2737" s="18" t="s">
        <v>632</v>
      </c>
      <c r="Q2737" s="18"/>
      <c r="R2737" s="92" t="str">
        <f t="shared" si="87"/>
        <v/>
      </c>
      <c r="S2737" s="291"/>
      <c r="T2737" s="35"/>
    </row>
    <row r="2738" spans="1:20" x14ac:dyDescent="0.25">
      <c r="A2738" s="23" t="s">
        <v>6969</v>
      </c>
      <c r="B2738" s="18" t="str">
        <f>IF(ISNA(VLOOKUP(A2738,'Data Pull Sheet'!$B$2:$C$1795,2,0)),"",(VLOOKUP(A2738,'Data Pull Sheet'!$B$2:$C$1795,2,0)))</f>
        <v>TRCO</v>
      </c>
      <c r="C2738" s="59" t="s">
        <v>465</v>
      </c>
      <c r="D2738" s="356" t="s">
        <v>9148</v>
      </c>
      <c r="E2738" s="356" t="s">
        <v>11236</v>
      </c>
      <c r="F2738" s="23" t="s">
        <v>11410</v>
      </c>
      <c r="G2738" s="59" t="s">
        <v>417</v>
      </c>
      <c r="H2738" s="353">
        <f>M2738/3</f>
        <v>1733333.3333333333</v>
      </c>
      <c r="I2738" s="59" t="s">
        <v>413</v>
      </c>
      <c r="J2738" s="59" t="s">
        <v>11602</v>
      </c>
      <c r="K2738" s="20">
        <v>2</v>
      </c>
      <c r="L2738" s="20">
        <v>3</v>
      </c>
      <c r="M2738" s="357">
        <v>5200000</v>
      </c>
      <c r="N2738" s="411">
        <f>IFERROR((M2738/(VLOOKUP(B2738,'Data Pull Sheet'!$C:$H,6,FALSE))),"DC")</f>
        <v>2.8888888888888888E-2</v>
      </c>
      <c r="O2738" s="23" t="s">
        <v>11411</v>
      </c>
      <c r="P2738" s="18" t="s">
        <v>632</v>
      </c>
      <c r="Q2738" s="18" t="s">
        <v>640</v>
      </c>
      <c r="R2738" s="92" t="str">
        <f t="shared" si="87"/>
        <v/>
      </c>
      <c r="S2738" s="291"/>
      <c r="T2738" s="35"/>
    </row>
    <row r="2739" spans="1:20" x14ac:dyDescent="0.25">
      <c r="A2739" s="23" t="s">
        <v>6969</v>
      </c>
      <c r="B2739" s="18" t="str">
        <f>IF(ISNA(VLOOKUP(A2739,'Data Pull Sheet'!$B$2:$C$1795,2,0)),"",(VLOOKUP(A2739,'Data Pull Sheet'!$B$2:$C$1795,2,0)))</f>
        <v>TRCO</v>
      </c>
      <c r="C2739" s="59" t="s">
        <v>465</v>
      </c>
      <c r="D2739" s="356" t="s">
        <v>9148</v>
      </c>
      <c r="E2739" s="356" t="s">
        <v>11236</v>
      </c>
      <c r="F2739" s="23" t="s">
        <v>1648</v>
      </c>
      <c r="G2739" s="59" t="s">
        <v>417</v>
      </c>
      <c r="H2739" s="353">
        <f>M2738/3</f>
        <v>1733333.3333333333</v>
      </c>
      <c r="I2739" s="59" t="s">
        <v>413</v>
      </c>
      <c r="J2739" s="59" t="s">
        <v>11603</v>
      </c>
      <c r="K2739" s="20"/>
      <c r="L2739" s="20"/>
      <c r="M2739" s="357"/>
      <c r="N2739" s="411"/>
      <c r="O2739" s="23" t="s">
        <v>11411</v>
      </c>
      <c r="P2739" s="18" t="s">
        <v>632</v>
      </c>
      <c r="Q2739" s="18" t="s">
        <v>640</v>
      </c>
      <c r="R2739" s="92" t="str">
        <f t="shared" si="87"/>
        <v>FF</v>
      </c>
      <c r="S2739" s="291"/>
      <c r="T2739" s="35"/>
    </row>
    <row r="2740" spans="1:20" ht="30" x14ac:dyDescent="0.25">
      <c r="A2740" s="23" t="s">
        <v>6969</v>
      </c>
      <c r="B2740" s="18" t="str">
        <f>IF(ISNA(VLOOKUP(A2740,'Data Pull Sheet'!$B$2:$C$1795,2,0)),"",(VLOOKUP(A2740,'Data Pull Sheet'!$B$2:$C$1795,2,0)))</f>
        <v>TRCO</v>
      </c>
      <c r="C2740" s="59" t="s">
        <v>465</v>
      </c>
      <c r="D2740" s="356" t="s">
        <v>9148</v>
      </c>
      <c r="E2740" s="356" t="s">
        <v>11236</v>
      </c>
      <c r="F2740" s="23" t="s">
        <v>11412</v>
      </c>
      <c r="G2740" s="59" t="s">
        <v>417</v>
      </c>
      <c r="H2740" s="353">
        <f>M2738/3</f>
        <v>1733333.3333333333</v>
      </c>
      <c r="I2740" s="59" t="s">
        <v>413</v>
      </c>
      <c r="J2740" s="59" t="s">
        <v>11604</v>
      </c>
      <c r="K2740" s="20"/>
      <c r="L2740" s="20"/>
      <c r="M2740" s="357"/>
      <c r="N2740" s="411"/>
      <c r="O2740" s="23" t="s">
        <v>11411</v>
      </c>
      <c r="P2740" s="18" t="s">
        <v>632</v>
      </c>
      <c r="Q2740" s="18" t="s">
        <v>640</v>
      </c>
      <c r="R2740" s="92" t="str">
        <f t="shared" si="87"/>
        <v/>
      </c>
      <c r="S2740" s="291"/>
      <c r="T2740" s="35"/>
    </row>
    <row r="2741" spans="1:20" ht="30" x14ac:dyDescent="0.25">
      <c r="A2741" s="23" t="s">
        <v>6969</v>
      </c>
      <c r="B2741" s="18" t="str">
        <f>IF(ISNA(VLOOKUP(A2741,'Data Pull Sheet'!$B$2:$C$1795,2,0)),"",(VLOOKUP(A2741,'Data Pull Sheet'!$B$2:$C$1795,2,0)))</f>
        <v>TRCO</v>
      </c>
      <c r="C2741" s="59" t="s">
        <v>465</v>
      </c>
      <c r="D2741" s="356" t="s">
        <v>9148</v>
      </c>
      <c r="E2741" s="356" t="s">
        <v>11236</v>
      </c>
      <c r="F2741" s="23" t="s">
        <v>11413</v>
      </c>
      <c r="G2741" s="59" t="s">
        <v>417</v>
      </c>
      <c r="H2741" s="353">
        <v>206995.93</v>
      </c>
      <c r="I2741" s="59" t="s">
        <v>406</v>
      </c>
      <c r="J2741" s="59" t="s">
        <v>11605</v>
      </c>
      <c r="K2741" s="20"/>
      <c r="L2741" s="20">
        <v>1</v>
      </c>
      <c r="M2741" s="357">
        <f>+H2741</f>
        <v>206995.93</v>
      </c>
      <c r="N2741" s="411">
        <f>IFERROR((M2741/(VLOOKUP(B2741,'Data Pull Sheet'!$C:$H,6,FALSE))),"DC")</f>
        <v>1.1499773888888889E-3</v>
      </c>
      <c r="O2741" s="23" t="s">
        <v>9792</v>
      </c>
      <c r="P2741" s="18" t="s">
        <v>632</v>
      </c>
      <c r="Q2741" s="18" t="s">
        <v>633</v>
      </c>
      <c r="R2741" s="92" t="str">
        <f t="shared" si="87"/>
        <v/>
      </c>
      <c r="S2741" s="291"/>
      <c r="T2741" s="35"/>
    </row>
    <row r="2742" spans="1:20" ht="30" x14ac:dyDescent="0.25">
      <c r="A2742" s="23" t="s">
        <v>8917</v>
      </c>
      <c r="B2742" s="18" t="str">
        <f>IF(ISNA(VLOOKUP(A2742,'Data Pull Sheet'!$B$2:$C$1795,2,0)),"",(VLOOKUP(A2742,'Data Pull Sheet'!$B$2:$C$1795,2,0)))</f>
        <v>USAT</v>
      </c>
      <c r="C2742" s="59" t="s">
        <v>424</v>
      </c>
      <c r="D2742" s="356" t="s">
        <v>11414</v>
      </c>
      <c r="E2742" s="356" t="s">
        <v>11236</v>
      </c>
      <c r="F2742" s="23" t="s">
        <v>377</v>
      </c>
      <c r="G2742" s="59" t="s">
        <v>417</v>
      </c>
      <c r="H2742" s="353">
        <v>128942</v>
      </c>
      <c r="I2742" s="59"/>
      <c r="J2742" s="59" t="s">
        <v>11601</v>
      </c>
      <c r="K2742" s="20">
        <v>5</v>
      </c>
      <c r="L2742" s="20">
        <v>1</v>
      </c>
      <c r="M2742" s="357">
        <f>+H2742</f>
        <v>128942</v>
      </c>
      <c r="N2742" s="411">
        <f>IFERROR((M2742/(VLOOKUP(B2742,'Data Pull Sheet'!$C:$H,6,FALSE))),"DC")</f>
        <v>1.8420285714285715E-3</v>
      </c>
      <c r="O2742" s="23" t="s">
        <v>11415</v>
      </c>
      <c r="P2742" s="18" t="s">
        <v>632</v>
      </c>
      <c r="Q2742" s="18" t="s">
        <v>633</v>
      </c>
      <c r="R2742" s="92" t="str">
        <f t="shared" si="87"/>
        <v>FF</v>
      </c>
      <c r="S2742" s="291"/>
      <c r="T2742" s="35"/>
    </row>
    <row r="2743" spans="1:20" x14ac:dyDescent="0.25">
      <c r="A2743" s="23" t="s">
        <v>8917</v>
      </c>
      <c r="B2743" s="18" t="str">
        <f>IF(ISNA(VLOOKUP(A2743,'Data Pull Sheet'!$B$2:$C$1795,2,0)),"",(VLOOKUP(A2743,'Data Pull Sheet'!$B$2:$C$1795,2,0)))</f>
        <v>USAT</v>
      </c>
      <c r="C2743" s="59" t="s">
        <v>424</v>
      </c>
      <c r="D2743" s="356" t="s">
        <v>11414</v>
      </c>
      <c r="E2743" s="356" t="s">
        <v>11236</v>
      </c>
      <c r="F2743" s="23" t="s">
        <v>11416</v>
      </c>
      <c r="G2743" s="59" t="s">
        <v>417</v>
      </c>
      <c r="H2743" s="353">
        <v>37231.33</v>
      </c>
      <c r="I2743" s="59"/>
      <c r="J2743" s="59" t="s">
        <v>11606</v>
      </c>
      <c r="K2743" s="20"/>
      <c r="L2743" s="20">
        <v>1</v>
      </c>
      <c r="M2743" s="357">
        <f>+H2743</f>
        <v>37231.33</v>
      </c>
      <c r="N2743" s="411">
        <f>IFERROR((M2743/(VLOOKUP(B2743,'Data Pull Sheet'!$C:$H,6,FALSE))),"DC")</f>
        <v>5.3187614285714292E-4</v>
      </c>
      <c r="O2743" s="23" t="s">
        <v>2900</v>
      </c>
      <c r="P2743" s="18" t="s">
        <v>632</v>
      </c>
      <c r="Q2743" s="18" t="s">
        <v>633</v>
      </c>
      <c r="R2743" s="92" t="str">
        <f t="shared" si="87"/>
        <v/>
      </c>
      <c r="S2743" s="291"/>
      <c r="T2743" s="35"/>
    </row>
    <row r="2744" spans="1:20" x14ac:dyDescent="0.25">
      <c r="A2744" s="23" t="s">
        <v>8917</v>
      </c>
      <c r="B2744" s="18" t="str">
        <f>IF(ISNA(VLOOKUP(A2744,'Data Pull Sheet'!$B$2:$C$1795,2,0)),"",(VLOOKUP(A2744,'Data Pull Sheet'!$B$2:$C$1795,2,0)))</f>
        <v>USAT</v>
      </c>
      <c r="C2744" s="59" t="s">
        <v>424</v>
      </c>
      <c r="D2744" s="356" t="s">
        <v>11414</v>
      </c>
      <c r="E2744" s="356" t="s">
        <v>11236</v>
      </c>
      <c r="F2744" s="23" t="s">
        <v>11417</v>
      </c>
      <c r="G2744" s="59" t="s">
        <v>403</v>
      </c>
      <c r="H2744" s="353">
        <v>1996108.28</v>
      </c>
      <c r="I2744" s="59"/>
      <c r="J2744" s="59" t="s">
        <v>11608</v>
      </c>
      <c r="K2744" s="20"/>
      <c r="L2744" s="20">
        <v>1</v>
      </c>
      <c r="M2744" s="357">
        <f>+H2744</f>
        <v>1996108.28</v>
      </c>
      <c r="N2744" s="411">
        <f>IFERROR((M2744/(VLOOKUP(B2744,'Data Pull Sheet'!$C:$H,6,FALSE))),"DC")</f>
        <v>2.8515832571428573E-2</v>
      </c>
      <c r="O2744" s="23" t="s">
        <v>682</v>
      </c>
      <c r="P2744" s="18" t="s">
        <v>632</v>
      </c>
      <c r="Q2744" s="18" t="s">
        <v>637</v>
      </c>
      <c r="R2744" s="92" t="str">
        <f t="shared" si="87"/>
        <v/>
      </c>
      <c r="S2744" s="291"/>
      <c r="T2744" s="35"/>
    </row>
    <row r="2745" spans="1:20" x14ac:dyDescent="0.25">
      <c r="A2745" s="23" t="s">
        <v>8917</v>
      </c>
      <c r="B2745" s="18" t="str">
        <f>IF(ISNA(VLOOKUP(A2745,'Data Pull Sheet'!$B$2:$C$1795,2,0)),"",(VLOOKUP(A2745,'Data Pull Sheet'!$B$2:$C$1795,2,0)))</f>
        <v>USAT</v>
      </c>
      <c r="C2745" s="59" t="s">
        <v>424</v>
      </c>
      <c r="D2745" s="356" t="s">
        <v>11414</v>
      </c>
      <c r="E2745" s="356" t="s">
        <v>11236</v>
      </c>
      <c r="F2745" s="23" t="s">
        <v>11418</v>
      </c>
      <c r="G2745" s="59" t="s">
        <v>403</v>
      </c>
      <c r="H2745" s="353">
        <v>33449</v>
      </c>
      <c r="I2745" s="59"/>
      <c r="J2745" s="59" t="s">
        <v>11610</v>
      </c>
      <c r="K2745" s="20"/>
      <c r="L2745" s="20">
        <v>1</v>
      </c>
      <c r="M2745" s="357">
        <f>+H2745</f>
        <v>33449</v>
      </c>
      <c r="N2745" s="411">
        <f>IFERROR((M2745/(VLOOKUP(B2745,'Data Pull Sheet'!$C:$H,6,FALSE))),"DC")</f>
        <v>4.7784285714285715E-4</v>
      </c>
      <c r="O2745" s="23" t="s">
        <v>9753</v>
      </c>
      <c r="P2745" s="18" t="s">
        <v>632</v>
      </c>
      <c r="Q2745" s="18" t="s">
        <v>637</v>
      </c>
      <c r="R2745" s="92" t="str">
        <f t="shared" si="87"/>
        <v/>
      </c>
      <c r="S2745" s="291"/>
      <c r="T2745" s="35"/>
    </row>
    <row r="2746" spans="1:20" ht="30" x14ac:dyDescent="0.25">
      <c r="A2746" s="23" t="s">
        <v>8917</v>
      </c>
      <c r="B2746" s="18" t="str">
        <f>IF(ISNA(VLOOKUP(A2746,'Data Pull Sheet'!$B$2:$C$1795,2,0)),"",(VLOOKUP(A2746,'Data Pull Sheet'!$B$2:$C$1795,2,0)))</f>
        <v>USAT</v>
      </c>
      <c r="C2746" s="59" t="s">
        <v>424</v>
      </c>
      <c r="D2746" s="356" t="s">
        <v>11414</v>
      </c>
      <c r="E2746" s="356" t="s">
        <v>11236</v>
      </c>
      <c r="F2746" s="23" t="s">
        <v>11419</v>
      </c>
      <c r="G2746" s="59" t="s">
        <v>403</v>
      </c>
      <c r="H2746" s="353">
        <v>47481.24</v>
      </c>
      <c r="I2746" s="59"/>
      <c r="J2746" s="59" t="s">
        <v>11613</v>
      </c>
      <c r="K2746" s="20"/>
      <c r="L2746" s="20">
        <v>2</v>
      </c>
      <c r="M2746" s="357">
        <f>SUM(H2746:H2747)</f>
        <v>77385.649999999994</v>
      </c>
      <c r="N2746" s="411">
        <f>IFERROR((M2746/(VLOOKUP(B2746,'Data Pull Sheet'!$C:$H,6,FALSE))),"DC")</f>
        <v>1.1055092857142855E-3</v>
      </c>
      <c r="O2746" s="23" t="s">
        <v>9741</v>
      </c>
      <c r="P2746" s="18" t="s">
        <v>632</v>
      </c>
      <c r="Q2746" s="18" t="s">
        <v>662</v>
      </c>
      <c r="R2746" s="92" t="str">
        <f t="shared" si="87"/>
        <v/>
      </c>
      <c r="S2746" s="291"/>
      <c r="T2746" s="35"/>
    </row>
    <row r="2747" spans="1:20" ht="30" x14ac:dyDescent="0.25">
      <c r="A2747" s="23" t="s">
        <v>8917</v>
      </c>
      <c r="B2747" s="18" t="str">
        <f>IF(ISNA(VLOOKUP(A2747,'Data Pull Sheet'!$B$2:$C$1795,2,0)),"",(VLOOKUP(A2747,'Data Pull Sheet'!$B$2:$C$1795,2,0)))</f>
        <v>USAT</v>
      </c>
      <c r="C2747" s="59" t="s">
        <v>424</v>
      </c>
      <c r="D2747" s="356" t="s">
        <v>11414</v>
      </c>
      <c r="E2747" s="356" t="s">
        <v>11236</v>
      </c>
      <c r="F2747" s="23" t="s">
        <v>11420</v>
      </c>
      <c r="G2747" s="59" t="s">
        <v>417</v>
      </c>
      <c r="H2747" s="353">
        <v>29904.41</v>
      </c>
      <c r="I2747" s="59"/>
      <c r="J2747" s="59" t="s">
        <v>11614</v>
      </c>
      <c r="K2747" s="20"/>
      <c r="L2747" s="20"/>
      <c r="M2747" s="357"/>
      <c r="N2747" s="411"/>
      <c r="O2747" s="23" t="s">
        <v>9741</v>
      </c>
      <c r="P2747" s="18" t="s">
        <v>632</v>
      </c>
      <c r="Q2747" s="18" t="s">
        <v>662</v>
      </c>
      <c r="R2747" s="92" t="str">
        <f t="shared" si="87"/>
        <v/>
      </c>
      <c r="S2747" s="291"/>
      <c r="T2747" s="35"/>
    </row>
    <row r="2748" spans="1:20" x14ac:dyDescent="0.25">
      <c r="A2748" s="23" t="s">
        <v>8869</v>
      </c>
      <c r="B2748" s="18" t="str">
        <f>IF(ISNA(VLOOKUP(A2748,'Data Pull Sheet'!$B$2:$C$1795,2,0)),"",(VLOOKUP(A2748,'Data Pull Sheet'!$B$2:$C$1795,2,0)))</f>
        <v>MCHP</v>
      </c>
      <c r="C2748" s="59" t="s">
        <v>399</v>
      </c>
      <c r="D2748" s="356" t="s">
        <v>11447</v>
      </c>
      <c r="E2748" s="356" t="s">
        <v>11239</v>
      </c>
      <c r="F2748" s="23" t="s">
        <v>11448</v>
      </c>
      <c r="G2748" s="59" t="s">
        <v>403</v>
      </c>
      <c r="H2748" s="353">
        <v>214240</v>
      </c>
      <c r="I2748" s="59" t="s">
        <v>413</v>
      </c>
      <c r="J2748" s="59" t="s">
        <v>11635</v>
      </c>
      <c r="K2748" s="20">
        <v>1</v>
      </c>
      <c r="L2748" s="20">
        <v>1</v>
      </c>
      <c r="M2748" s="357">
        <f t="shared" ref="M2748:M2763" si="89">+H2748</f>
        <v>214240</v>
      </c>
      <c r="N2748" s="411">
        <f>IFERROR((M2748/(VLOOKUP(B2748,'Data Pull Sheet'!$C:$H,6,FALSE))),"DC")</f>
        <v>3.5706666666666665E-4</v>
      </c>
      <c r="O2748" s="23" t="s">
        <v>11449</v>
      </c>
      <c r="P2748" s="18" t="s">
        <v>676</v>
      </c>
      <c r="Q2748" s="18" t="s">
        <v>637</v>
      </c>
      <c r="R2748" s="92" t="str">
        <f t="shared" si="87"/>
        <v/>
      </c>
      <c r="S2748" s="291"/>
      <c r="T2748" s="35"/>
    </row>
    <row r="2749" spans="1:20" x14ac:dyDescent="0.25">
      <c r="A2749" s="23" t="s">
        <v>8823</v>
      </c>
      <c r="B2749" s="18" t="str">
        <f>IF(ISNA(VLOOKUP(A2749,'Data Pull Sheet'!$B$2:$C$1795,2,0)),"",(VLOOKUP(A2749,'Data Pull Sheet'!$B$2:$C$1795,2,0)))</f>
        <v>COCP</v>
      </c>
      <c r="C2749" s="59" t="s">
        <v>424</v>
      </c>
      <c r="D2749" s="356" t="s">
        <v>11450</v>
      </c>
      <c r="E2749" s="356" t="s">
        <v>11233</v>
      </c>
      <c r="F2749" s="23" t="s">
        <v>11451</v>
      </c>
      <c r="G2749" s="59" t="s">
        <v>403</v>
      </c>
      <c r="H2749" s="353">
        <v>52204.61</v>
      </c>
      <c r="I2749" s="59" t="s">
        <v>406</v>
      </c>
      <c r="J2749" s="59" t="s">
        <v>11637</v>
      </c>
      <c r="K2749" s="20">
        <v>2</v>
      </c>
      <c r="L2749" s="20">
        <v>1</v>
      </c>
      <c r="M2749" s="357">
        <f t="shared" si="89"/>
        <v>52204.61</v>
      </c>
      <c r="N2749" s="411">
        <f>IFERROR((M2749/(VLOOKUP(B2749,'Data Pull Sheet'!$C:$H,6,FALSE))),"DC")</f>
        <v>6.9606146666666667E-4</v>
      </c>
      <c r="O2749" s="23" t="s">
        <v>63</v>
      </c>
      <c r="P2749" s="18" t="s">
        <v>632</v>
      </c>
      <c r="Q2749" s="18" t="s">
        <v>637</v>
      </c>
      <c r="R2749" s="92" t="str">
        <f t="shared" si="87"/>
        <v/>
      </c>
      <c r="S2749" s="291"/>
      <c r="T2749" s="35"/>
    </row>
    <row r="2750" spans="1:20" x14ac:dyDescent="0.25">
      <c r="A2750" s="23" t="s">
        <v>8823</v>
      </c>
      <c r="B2750" s="18" t="str">
        <f>IF(ISNA(VLOOKUP(A2750,'Data Pull Sheet'!$B$2:$C$1795,2,0)),"",(VLOOKUP(A2750,'Data Pull Sheet'!$B$2:$C$1795,2,0)))</f>
        <v>COCP</v>
      </c>
      <c r="C2750" s="59" t="s">
        <v>424</v>
      </c>
      <c r="D2750" s="356" t="s">
        <v>11450</v>
      </c>
      <c r="E2750" s="356" t="s">
        <v>11233</v>
      </c>
      <c r="F2750" s="23" t="s">
        <v>11452</v>
      </c>
      <c r="G2750" s="59" t="s">
        <v>403</v>
      </c>
      <c r="H2750" s="353">
        <v>270583.28000000003</v>
      </c>
      <c r="I2750" s="59"/>
      <c r="J2750" s="59" t="s">
        <v>11636</v>
      </c>
      <c r="K2750" s="20"/>
      <c r="L2750" s="20">
        <v>1</v>
      </c>
      <c r="M2750" s="357">
        <f t="shared" si="89"/>
        <v>270583.28000000003</v>
      </c>
      <c r="N2750" s="411">
        <f>IFERROR((M2750/(VLOOKUP(B2750,'Data Pull Sheet'!$C:$H,6,FALSE))),"DC")</f>
        <v>3.6077770666666669E-3</v>
      </c>
      <c r="O2750" s="23" t="s">
        <v>682</v>
      </c>
      <c r="P2750" s="18" t="s">
        <v>632</v>
      </c>
      <c r="Q2750" s="18" t="s">
        <v>637</v>
      </c>
      <c r="R2750" s="92" t="str">
        <f t="shared" si="87"/>
        <v/>
      </c>
      <c r="S2750" s="291"/>
      <c r="T2750" s="35"/>
    </row>
    <row r="2751" spans="1:20" ht="45" x14ac:dyDescent="0.25">
      <c r="A2751" s="23" t="s">
        <v>8782</v>
      </c>
      <c r="B2751" s="18" t="str">
        <f>IF(ISNA(VLOOKUP(A2751,'Data Pull Sheet'!$B$2:$C$1795,2,0)),"",(VLOOKUP(A2751,'Data Pull Sheet'!$B$2:$C$1795,2,0)))</f>
        <v>ABBV</v>
      </c>
      <c r="C2751" s="59" t="s">
        <v>465</v>
      </c>
      <c r="D2751" s="356" t="s">
        <v>10884</v>
      </c>
      <c r="E2751" s="356" t="s">
        <v>11453</v>
      </c>
      <c r="F2751" s="23" t="s">
        <v>7297</v>
      </c>
      <c r="G2751" s="59" t="s">
        <v>417</v>
      </c>
      <c r="H2751" s="353">
        <v>293504.34999999998</v>
      </c>
      <c r="I2751" s="59"/>
      <c r="J2751" s="59" t="s">
        <v>10347</v>
      </c>
      <c r="K2751" s="20">
        <v>6</v>
      </c>
      <c r="L2751" s="20">
        <v>1</v>
      </c>
      <c r="M2751" s="357">
        <f t="shared" si="89"/>
        <v>293504.34999999998</v>
      </c>
      <c r="N2751" s="411">
        <f>IFERROR((M2751/(VLOOKUP(B2751,'Data Pull Sheet'!$C:$H,6,FALSE))),"DC")</f>
        <v>3.6688043749999997E-4</v>
      </c>
      <c r="O2751" s="23" t="s">
        <v>682</v>
      </c>
      <c r="P2751" s="18" t="s">
        <v>632</v>
      </c>
      <c r="Q2751" s="18" t="s">
        <v>633</v>
      </c>
      <c r="R2751" s="92" t="str">
        <f t="shared" si="87"/>
        <v>FF</v>
      </c>
      <c r="S2751" s="291"/>
      <c r="T2751" s="35"/>
    </row>
    <row r="2752" spans="1:20" x14ac:dyDescent="0.25">
      <c r="A2752" s="23" t="s">
        <v>8782</v>
      </c>
      <c r="B2752" s="18" t="str">
        <f>IF(ISNA(VLOOKUP(A2752,'Data Pull Sheet'!$B$2:$C$1795,2,0)),"",(VLOOKUP(A2752,'Data Pull Sheet'!$B$2:$C$1795,2,0)))</f>
        <v>ABBV</v>
      </c>
      <c r="C2752" s="59" t="s">
        <v>465</v>
      </c>
      <c r="D2752" s="356" t="s">
        <v>10884</v>
      </c>
      <c r="E2752" s="356" t="s">
        <v>11453</v>
      </c>
      <c r="F2752" s="23" t="s">
        <v>918</v>
      </c>
      <c r="G2752" s="59" t="s">
        <v>417</v>
      </c>
      <c r="H2752" s="353">
        <v>249564.18</v>
      </c>
      <c r="I2752" s="59"/>
      <c r="J2752" s="59" t="s">
        <v>11640</v>
      </c>
      <c r="K2752" s="20"/>
      <c r="L2752" s="20">
        <v>1</v>
      </c>
      <c r="M2752" s="357">
        <f t="shared" si="89"/>
        <v>249564.18</v>
      </c>
      <c r="N2752" s="411">
        <f>IFERROR((M2752/(VLOOKUP(B2752,'Data Pull Sheet'!$C:$H,6,FALSE))),"DC")</f>
        <v>3.1195522500000001E-4</v>
      </c>
      <c r="O2752" s="23" t="s">
        <v>7</v>
      </c>
      <c r="P2752" s="18" t="s">
        <v>632</v>
      </c>
      <c r="Q2752" s="18" t="s">
        <v>633</v>
      </c>
      <c r="R2752" s="92" t="str">
        <f t="shared" si="87"/>
        <v>FF</v>
      </c>
      <c r="S2752" s="291"/>
      <c r="T2752" s="35"/>
    </row>
    <row r="2753" spans="1:20" x14ac:dyDescent="0.25">
      <c r="A2753" s="23" t="s">
        <v>8782</v>
      </c>
      <c r="B2753" s="18" t="str">
        <f>IF(ISNA(VLOOKUP(A2753,'Data Pull Sheet'!$B$2:$C$1795,2,0)),"",(VLOOKUP(A2753,'Data Pull Sheet'!$B$2:$C$1795,2,0)))</f>
        <v>ABBV</v>
      </c>
      <c r="C2753" s="59" t="s">
        <v>465</v>
      </c>
      <c r="D2753" s="356" t="s">
        <v>10884</v>
      </c>
      <c r="E2753" s="356" t="s">
        <v>11453</v>
      </c>
      <c r="F2753" s="23" t="s">
        <v>1334</v>
      </c>
      <c r="G2753" s="59" t="s">
        <v>417</v>
      </c>
      <c r="H2753" s="353">
        <v>663811</v>
      </c>
      <c r="I2753" s="59"/>
      <c r="J2753" s="59" t="s">
        <v>11638</v>
      </c>
      <c r="K2753" s="20"/>
      <c r="L2753" s="20">
        <v>1</v>
      </c>
      <c r="M2753" s="357">
        <f t="shared" si="89"/>
        <v>663811</v>
      </c>
      <c r="N2753" s="411">
        <f>IFERROR((M2753/(VLOOKUP(B2753,'Data Pull Sheet'!$C:$H,6,FALSE))),"DC")</f>
        <v>8.2976375E-4</v>
      </c>
      <c r="O2753" s="23" t="s">
        <v>79</v>
      </c>
      <c r="P2753" s="18" t="s">
        <v>632</v>
      </c>
      <c r="Q2753" s="18" t="s">
        <v>633</v>
      </c>
      <c r="R2753" s="92" t="str">
        <f t="shared" si="87"/>
        <v>FF</v>
      </c>
      <c r="S2753" s="291"/>
      <c r="T2753" s="35"/>
    </row>
    <row r="2754" spans="1:20" x14ac:dyDescent="0.25">
      <c r="A2754" s="23" t="s">
        <v>8782</v>
      </c>
      <c r="B2754" s="18" t="str">
        <f>IF(ISNA(VLOOKUP(A2754,'Data Pull Sheet'!$B$2:$C$1795,2,0)),"",(VLOOKUP(A2754,'Data Pull Sheet'!$B$2:$C$1795,2,0)))</f>
        <v>ABBV</v>
      </c>
      <c r="C2754" s="59" t="s">
        <v>465</v>
      </c>
      <c r="D2754" s="356" t="s">
        <v>10884</v>
      </c>
      <c r="E2754" s="356" t="s">
        <v>11453</v>
      </c>
      <c r="F2754" s="23" t="s">
        <v>9533</v>
      </c>
      <c r="G2754" s="59" t="s">
        <v>417</v>
      </c>
      <c r="H2754" s="353">
        <v>1783518.46</v>
      </c>
      <c r="I2754" s="59"/>
      <c r="J2754" s="59" t="s">
        <v>11643</v>
      </c>
      <c r="K2754" s="20"/>
      <c r="L2754" s="20">
        <v>1</v>
      </c>
      <c r="M2754" s="357">
        <f t="shared" si="89"/>
        <v>1783518.46</v>
      </c>
      <c r="N2754" s="411">
        <f>IFERROR((M2754/(VLOOKUP(B2754,'Data Pull Sheet'!$C:$H,6,FALSE))),"DC")</f>
        <v>2.2293980749999998E-3</v>
      </c>
      <c r="O2754" s="23" t="s">
        <v>11454</v>
      </c>
      <c r="P2754" s="18" t="s">
        <v>632</v>
      </c>
      <c r="Q2754" s="18" t="s">
        <v>633</v>
      </c>
      <c r="R2754" s="92" t="str">
        <f t="shared" ref="R2754:R2817" si="90">IF(COUNTIF(F:F,F2754)&gt;=2,"FF","")</f>
        <v>FF</v>
      </c>
      <c r="S2754" s="291"/>
      <c r="T2754" s="35"/>
    </row>
    <row r="2755" spans="1:20" x14ac:dyDescent="0.25">
      <c r="A2755" s="23" t="s">
        <v>8782</v>
      </c>
      <c r="B2755" s="18" t="str">
        <f>IF(ISNA(VLOOKUP(A2755,'Data Pull Sheet'!$B$2:$C$1795,2,0)),"",(VLOOKUP(A2755,'Data Pull Sheet'!$B$2:$C$1795,2,0)))</f>
        <v>ABBV</v>
      </c>
      <c r="C2755" s="59" t="s">
        <v>465</v>
      </c>
      <c r="D2755" s="356" t="s">
        <v>10884</v>
      </c>
      <c r="E2755" s="356" t="s">
        <v>11453</v>
      </c>
      <c r="F2755" s="23" t="s">
        <v>11455</v>
      </c>
      <c r="G2755" s="59" t="s">
        <v>403</v>
      </c>
      <c r="H2755" s="353">
        <v>54071.4</v>
      </c>
      <c r="I2755" s="59"/>
      <c r="J2755" s="59" t="s">
        <v>11644</v>
      </c>
      <c r="K2755" s="20"/>
      <c r="L2755" s="20">
        <v>1</v>
      </c>
      <c r="M2755" s="357">
        <f t="shared" si="89"/>
        <v>54071.4</v>
      </c>
      <c r="N2755" s="411">
        <f>IFERROR((M2755/(VLOOKUP(B2755,'Data Pull Sheet'!$C:$H,6,FALSE))),"DC")</f>
        <v>6.7589249999999997E-5</v>
      </c>
      <c r="O2755" s="23" t="s">
        <v>11148</v>
      </c>
      <c r="P2755" s="18" t="s">
        <v>632</v>
      </c>
      <c r="Q2755" s="18" t="s">
        <v>637</v>
      </c>
      <c r="R2755" s="92" t="str">
        <f t="shared" si="90"/>
        <v/>
      </c>
      <c r="S2755" s="291"/>
      <c r="T2755" s="35"/>
    </row>
    <row r="2756" spans="1:20" x14ac:dyDescent="0.25">
      <c r="A2756" s="23" t="s">
        <v>8782</v>
      </c>
      <c r="B2756" s="18" t="str">
        <f>IF(ISNA(VLOOKUP(A2756,'Data Pull Sheet'!$B$2:$C$1795,2,0)),"",(VLOOKUP(A2756,'Data Pull Sheet'!$B$2:$C$1795,2,0)))</f>
        <v>ABBV</v>
      </c>
      <c r="C2756" s="59" t="s">
        <v>465</v>
      </c>
      <c r="D2756" s="356" t="s">
        <v>10884</v>
      </c>
      <c r="E2756" s="356" t="s">
        <v>11453</v>
      </c>
      <c r="F2756" s="23" t="s">
        <v>11456</v>
      </c>
      <c r="G2756" s="59" t="s">
        <v>403</v>
      </c>
      <c r="H2756" s="353">
        <v>15886.4</v>
      </c>
      <c r="I2756" s="59"/>
      <c r="J2756" s="59" t="s">
        <v>11648</v>
      </c>
      <c r="K2756" s="20"/>
      <c r="L2756" s="20">
        <v>1</v>
      </c>
      <c r="M2756" s="357">
        <f t="shared" si="89"/>
        <v>15886.4</v>
      </c>
      <c r="N2756" s="411">
        <f>IFERROR((M2756/(VLOOKUP(B2756,'Data Pull Sheet'!$C:$H,6,FALSE))),"DC")</f>
        <v>1.9857999999999999E-5</v>
      </c>
      <c r="O2756" s="23" t="s">
        <v>63</v>
      </c>
      <c r="P2756" s="18" t="s">
        <v>632</v>
      </c>
      <c r="Q2756" s="18" t="s">
        <v>637</v>
      </c>
      <c r="R2756" s="92" t="str">
        <f t="shared" si="90"/>
        <v/>
      </c>
      <c r="S2756" s="291"/>
      <c r="T2756" s="35"/>
    </row>
    <row r="2757" spans="1:20" x14ac:dyDescent="0.25">
      <c r="A2757" s="23" t="s">
        <v>8798</v>
      </c>
      <c r="B2757" s="18" t="str">
        <f>IF(ISNA(VLOOKUP(A2757,'Data Pull Sheet'!$B$2:$C$1795,2,0)),"",(VLOOKUP(A2757,'Data Pull Sheet'!$B$2:$C$1795,2,0)))</f>
        <v>ALNY</v>
      </c>
      <c r="C2757" s="59" t="s">
        <v>409</v>
      </c>
      <c r="D2757" s="356" t="s">
        <v>11458</v>
      </c>
      <c r="E2757" s="356" t="s">
        <v>11234</v>
      </c>
      <c r="F2757" s="23" t="s">
        <v>11459</v>
      </c>
      <c r="G2757" s="59" t="s">
        <v>403</v>
      </c>
      <c r="H2757" s="353">
        <v>89686</v>
      </c>
      <c r="I2757" s="59"/>
      <c r="J2757" s="59" t="s">
        <v>11645</v>
      </c>
      <c r="K2757" s="20">
        <v>4</v>
      </c>
      <c r="L2757" s="20">
        <v>1</v>
      </c>
      <c r="M2757" s="357">
        <f t="shared" si="89"/>
        <v>89686</v>
      </c>
      <c r="N2757" s="411">
        <f>IFERROR((M2757/(VLOOKUP(B2757,'Data Pull Sheet'!$C:$H,6,FALSE))),"DC")</f>
        <v>2.9895333333333334E-4</v>
      </c>
      <c r="O2757" s="23" t="s">
        <v>11460</v>
      </c>
      <c r="P2757" s="18" t="s">
        <v>632</v>
      </c>
      <c r="Q2757" s="18" t="s">
        <v>637</v>
      </c>
      <c r="R2757" s="92" t="str">
        <f t="shared" si="90"/>
        <v/>
      </c>
      <c r="S2757" s="291"/>
      <c r="T2757" s="35"/>
    </row>
    <row r="2758" spans="1:20" x14ac:dyDescent="0.25">
      <c r="A2758" s="23" t="s">
        <v>8798</v>
      </c>
      <c r="B2758" s="18" t="str">
        <f>IF(ISNA(VLOOKUP(A2758,'Data Pull Sheet'!$B$2:$C$1795,2,0)),"",(VLOOKUP(A2758,'Data Pull Sheet'!$B$2:$C$1795,2,0)))</f>
        <v>ALNY</v>
      </c>
      <c r="C2758" s="59" t="s">
        <v>409</v>
      </c>
      <c r="D2758" s="356" t="s">
        <v>11458</v>
      </c>
      <c r="E2758" s="356" t="s">
        <v>11234</v>
      </c>
      <c r="F2758" s="23" t="s">
        <v>11461</v>
      </c>
      <c r="G2758" s="59" t="s">
        <v>403</v>
      </c>
      <c r="H2758" s="353">
        <v>2364</v>
      </c>
      <c r="I2758" s="59"/>
      <c r="J2758" s="59" t="s">
        <v>11641</v>
      </c>
      <c r="K2758" s="20"/>
      <c r="L2758" s="20">
        <v>1</v>
      </c>
      <c r="M2758" s="357">
        <f t="shared" si="89"/>
        <v>2364</v>
      </c>
      <c r="N2758" s="411">
        <f>IFERROR((M2758/(VLOOKUP(B2758,'Data Pull Sheet'!$C:$H,6,FALSE))),"DC")</f>
        <v>7.8800000000000008E-6</v>
      </c>
      <c r="O2758" s="23" t="s">
        <v>9821</v>
      </c>
      <c r="P2758" s="18" t="s">
        <v>632</v>
      </c>
      <c r="Q2758" s="18" t="s">
        <v>637</v>
      </c>
      <c r="R2758" s="92" t="str">
        <f t="shared" si="90"/>
        <v/>
      </c>
      <c r="S2758" s="291"/>
      <c r="T2758" s="35"/>
    </row>
    <row r="2759" spans="1:20" x14ac:dyDescent="0.25">
      <c r="A2759" s="23" t="s">
        <v>8798</v>
      </c>
      <c r="B2759" s="18" t="str">
        <f>IF(ISNA(VLOOKUP(A2759,'Data Pull Sheet'!$B$2:$C$1795,2,0)),"",(VLOOKUP(A2759,'Data Pull Sheet'!$B$2:$C$1795,2,0)))</f>
        <v>ALNY</v>
      </c>
      <c r="C2759" s="59" t="s">
        <v>409</v>
      </c>
      <c r="D2759" s="356" t="s">
        <v>11458</v>
      </c>
      <c r="E2759" s="356" t="s">
        <v>11234</v>
      </c>
      <c r="F2759" s="23" t="s">
        <v>11462</v>
      </c>
      <c r="G2759" s="59" t="s">
        <v>403</v>
      </c>
      <c r="H2759" s="353">
        <v>113471.65</v>
      </c>
      <c r="I2759" s="59"/>
      <c r="J2759" s="59" t="s">
        <v>11651</v>
      </c>
      <c r="K2759" s="20"/>
      <c r="L2759" s="20">
        <v>1</v>
      </c>
      <c r="M2759" s="357">
        <f t="shared" si="89"/>
        <v>113471.65</v>
      </c>
      <c r="N2759" s="411">
        <f>IFERROR((M2759/(VLOOKUP(B2759,'Data Pull Sheet'!$C:$H,6,FALSE))),"DC")</f>
        <v>3.7823883333333331E-4</v>
      </c>
      <c r="O2759" s="23" t="s">
        <v>11463</v>
      </c>
      <c r="P2759" s="18" t="s">
        <v>632</v>
      </c>
      <c r="Q2759" s="18" t="s">
        <v>637</v>
      </c>
      <c r="R2759" s="92" t="str">
        <f t="shared" si="90"/>
        <v/>
      </c>
      <c r="S2759" s="291"/>
      <c r="T2759" s="35"/>
    </row>
    <row r="2760" spans="1:20" x14ac:dyDescent="0.25">
      <c r="A2760" s="23" t="s">
        <v>8798</v>
      </c>
      <c r="B2760" s="18" t="str">
        <f>IF(ISNA(VLOOKUP(A2760,'Data Pull Sheet'!$B$2:$C$1795,2,0)),"",(VLOOKUP(A2760,'Data Pull Sheet'!$B$2:$C$1795,2,0)))</f>
        <v>ALNY</v>
      </c>
      <c r="C2760" s="59" t="s">
        <v>409</v>
      </c>
      <c r="D2760" s="356" t="s">
        <v>11458</v>
      </c>
      <c r="E2760" s="356" t="s">
        <v>11234</v>
      </c>
      <c r="F2760" s="23" t="s">
        <v>11464</v>
      </c>
      <c r="G2760" s="59" t="s">
        <v>403</v>
      </c>
      <c r="H2760" s="353">
        <v>40461.47</v>
      </c>
      <c r="I2760" s="59"/>
      <c r="J2760" s="59" t="s">
        <v>11646</v>
      </c>
      <c r="K2760" s="20"/>
      <c r="L2760" s="20">
        <v>1</v>
      </c>
      <c r="M2760" s="357">
        <f t="shared" si="89"/>
        <v>40461.47</v>
      </c>
      <c r="N2760" s="411">
        <f>IFERROR((M2760/(VLOOKUP(B2760,'Data Pull Sheet'!$C:$H,6,FALSE))),"DC")</f>
        <v>1.3487156666666666E-4</v>
      </c>
      <c r="O2760" s="23" t="s">
        <v>63</v>
      </c>
      <c r="P2760" s="18" t="s">
        <v>632</v>
      </c>
      <c r="Q2760" s="18" t="s">
        <v>637</v>
      </c>
      <c r="R2760" s="92" t="str">
        <f t="shared" si="90"/>
        <v/>
      </c>
      <c r="S2760" s="291"/>
      <c r="T2760" s="35"/>
    </row>
    <row r="2761" spans="1:20" x14ac:dyDescent="0.25">
      <c r="A2761" s="23" t="s">
        <v>8821</v>
      </c>
      <c r="B2761" s="18" t="str">
        <f>IF(ISNA(VLOOKUP(A2761,'Data Pull Sheet'!$B$2:$C$1795,2,0)),"",(VLOOKUP(A2761,'Data Pull Sheet'!$B$2:$C$1795,2,0)))</f>
        <v>CHGG</v>
      </c>
      <c r="C2761" s="59" t="s">
        <v>457</v>
      </c>
      <c r="D2761" s="356" t="s">
        <v>11465</v>
      </c>
      <c r="E2761" s="356" t="s">
        <v>11234</v>
      </c>
      <c r="F2761" s="23" t="s">
        <v>11466</v>
      </c>
      <c r="G2761" s="59" t="s">
        <v>403</v>
      </c>
      <c r="H2761" s="353">
        <v>3954</v>
      </c>
      <c r="I2761" s="59"/>
      <c r="J2761" s="59" t="s">
        <v>11649</v>
      </c>
      <c r="K2761" s="20">
        <v>1</v>
      </c>
      <c r="L2761" s="20">
        <v>1</v>
      </c>
      <c r="M2761" s="357">
        <f t="shared" si="89"/>
        <v>3954</v>
      </c>
      <c r="N2761" s="411">
        <f>IFERROR((M2761/(VLOOKUP(B2761,'Data Pull Sheet'!$C:$H,6,FALSE))),"DC")</f>
        <v>1.1297142857142858E-4</v>
      </c>
      <c r="O2761" s="23" t="s">
        <v>597</v>
      </c>
      <c r="P2761" s="18" t="s">
        <v>676</v>
      </c>
      <c r="Q2761" s="18" t="s">
        <v>637</v>
      </c>
      <c r="R2761" s="92" t="str">
        <f t="shared" si="90"/>
        <v/>
      </c>
      <c r="S2761" s="291"/>
      <c r="T2761" s="35"/>
    </row>
    <row r="2762" spans="1:20" ht="30" x14ac:dyDescent="0.25">
      <c r="A2762" s="23" t="s">
        <v>8813</v>
      </c>
      <c r="B2762" s="18" t="str">
        <f>IF(ISNA(VLOOKUP(A2762,'Data Pull Sheet'!$B$2:$C$1795,2,0)),"",(VLOOKUP(A2762,'Data Pull Sheet'!$B$2:$C$1795,2,0)))</f>
        <v>CPB</v>
      </c>
      <c r="C2762" s="59" t="s">
        <v>424</v>
      </c>
      <c r="D2762" s="356" t="s">
        <v>10887</v>
      </c>
      <c r="E2762" s="356" t="s">
        <v>11235</v>
      </c>
      <c r="F2762" s="23" t="s">
        <v>274</v>
      </c>
      <c r="G2762" s="59" t="s">
        <v>417</v>
      </c>
      <c r="H2762" s="353">
        <v>603677.44999999995</v>
      </c>
      <c r="I2762" s="59" t="s">
        <v>406</v>
      </c>
      <c r="J2762" s="59" t="s">
        <v>11647</v>
      </c>
      <c r="K2762" s="20">
        <v>3</v>
      </c>
      <c r="L2762" s="20">
        <v>1</v>
      </c>
      <c r="M2762" s="357">
        <f t="shared" si="89"/>
        <v>603677.44999999995</v>
      </c>
      <c r="N2762" s="411">
        <f>IFERROR((M2762/(VLOOKUP(B2762,'Data Pull Sheet'!$C:$H,6,FALSE))),"DC")</f>
        <v>4.0245163333333328E-3</v>
      </c>
      <c r="O2762" s="23" t="s">
        <v>1460</v>
      </c>
      <c r="P2762" s="18" t="s">
        <v>632</v>
      </c>
      <c r="Q2762" s="18" t="s">
        <v>633</v>
      </c>
      <c r="R2762" s="92" t="str">
        <f t="shared" si="90"/>
        <v>FF</v>
      </c>
      <c r="S2762" s="291"/>
      <c r="T2762" s="35"/>
    </row>
    <row r="2763" spans="1:20" ht="30" x14ac:dyDescent="0.25">
      <c r="A2763" s="23" t="s">
        <v>8813</v>
      </c>
      <c r="B2763" s="18" t="str">
        <f>IF(ISNA(VLOOKUP(A2763,'Data Pull Sheet'!$B$2:$C$1795,2,0)),"",(VLOOKUP(A2763,'Data Pull Sheet'!$B$2:$C$1795,2,0)))</f>
        <v>CPB</v>
      </c>
      <c r="C2763" s="59" t="s">
        <v>424</v>
      </c>
      <c r="D2763" s="356" t="s">
        <v>10887</v>
      </c>
      <c r="E2763" s="356" t="s">
        <v>11235</v>
      </c>
      <c r="F2763" s="23" t="s">
        <v>206</v>
      </c>
      <c r="G2763" s="59" t="s">
        <v>417</v>
      </c>
      <c r="H2763" s="353">
        <v>695596</v>
      </c>
      <c r="I2763" s="59" t="s">
        <v>413</v>
      </c>
      <c r="J2763" s="59" t="s">
        <v>11642</v>
      </c>
      <c r="K2763" s="20"/>
      <c r="L2763" s="20">
        <v>1</v>
      </c>
      <c r="M2763" s="357">
        <f t="shared" si="89"/>
        <v>695596</v>
      </c>
      <c r="N2763" s="411">
        <f>IFERROR((M2763/(VLOOKUP(B2763,'Data Pull Sheet'!$C:$H,6,FALSE))),"DC")</f>
        <v>4.6373066666666671E-3</v>
      </c>
      <c r="O2763" s="23" t="s">
        <v>79</v>
      </c>
      <c r="P2763" s="18" t="s">
        <v>632</v>
      </c>
      <c r="Q2763" s="18" t="s">
        <v>633</v>
      </c>
      <c r="R2763" s="92" t="str">
        <f t="shared" si="90"/>
        <v>FF</v>
      </c>
      <c r="S2763" s="291"/>
      <c r="T2763" s="35"/>
    </row>
    <row r="2764" spans="1:20" x14ac:dyDescent="0.25">
      <c r="A2764" s="23" t="s">
        <v>8813</v>
      </c>
      <c r="B2764" s="18" t="str">
        <f>IF(ISNA(VLOOKUP(A2764,'Data Pull Sheet'!$B$2:$C$1795,2,0)),"",(VLOOKUP(A2764,'Data Pull Sheet'!$B$2:$C$1795,2,0)))</f>
        <v>CPB</v>
      </c>
      <c r="C2764" s="59" t="s">
        <v>424</v>
      </c>
      <c r="D2764" s="356" t="s">
        <v>10887</v>
      </c>
      <c r="E2764" s="356" t="s">
        <v>11235</v>
      </c>
      <c r="F2764" s="23" t="s">
        <v>11469</v>
      </c>
      <c r="G2764" s="59" t="s">
        <v>403</v>
      </c>
      <c r="H2764" s="353">
        <v>76306.13</v>
      </c>
      <c r="I2764" s="59"/>
      <c r="J2764" s="59" t="s">
        <v>11652</v>
      </c>
      <c r="K2764" s="20"/>
      <c r="L2764" s="20">
        <v>3</v>
      </c>
      <c r="M2764" s="357">
        <f>SUM(H2764:H2766)</f>
        <v>123723.18</v>
      </c>
      <c r="N2764" s="411">
        <f>IFERROR((M2764/(VLOOKUP(B2764,'Data Pull Sheet'!$C:$H,6,FALSE))),"DC")</f>
        <v>8.2482119999999996E-4</v>
      </c>
      <c r="O2764" s="23" t="s">
        <v>4046</v>
      </c>
      <c r="P2764" s="18" t="s">
        <v>632</v>
      </c>
      <c r="Q2764" s="18" t="s">
        <v>662</v>
      </c>
      <c r="R2764" s="92" t="str">
        <f t="shared" si="90"/>
        <v/>
      </c>
      <c r="S2764" s="291"/>
      <c r="T2764" s="35"/>
    </row>
    <row r="2765" spans="1:20" x14ac:dyDescent="0.25">
      <c r="A2765" s="23" t="s">
        <v>8813</v>
      </c>
      <c r="B2765" s="18" t="str">
        <f>IF(ISNA(VLOOKUP(A2765,'Data Pull Sheet'!$B$2:$C$1795,2,0)),"",(VLOOKUP(A2765,'Data Pull Sheet'!$B$2:$C$1795,2,0)))</f>
        <v>CPB</v>
      </c>
      <c r="C2765" s="59" t="s">
        <v>424</v>
      </c>
      <c r="D2765" s="356" t="s">
        <v>10887</v>
      </c>
      <c r="E2765" s="356" t="s">
        <v>11235</v>
      </c>
      <c r="F2765" s="23" t="s">
        <v>11470</v>
      </c>
      <c r="G2765" s="59" t="s">
        <v>417</v>
      </c>
      <c r="H2765" s="353">
        <v>13435.81</v>
      </c>
      <c r="I2765" s="59"/>
      <c r="J2765" s="59" t="s">
        <v>11653</v>
      </c>
      <c r="K2765" s="20"/>
      <c r="L2765" s="20"/>
      <c r="M2765" s="357"/>
      <c r="N2765" s="411"/>
      <c r="O2765" s="23" t="s">
        <v>4046</v>
      </c>
      <c r="P2765" s="18" t="s">
        <v>632</v>
      </c>
      <c r="Q2765" s="18" t="s">
        <v>662</v>
      </c>
      <c r="R2765" s="92" t="str">
        <f t="shared" si="90"/>
        <v/>
      </c>
      <c r="S2765" s="291"/>
      <c r="T2765" s="35"/>
    </row>
    <row r="2766" spans="1:20" x14ac:dyDescent="0.25">
      <c r="A2766" s="23" t="s">
        <v>8813</v>
      </c>
      <c r="B2766" s="18" t="str">
        <f>IF(ISNA(VLOOKUP(A2766,'Data Pull Sheet'!$B$2:$C$1795,2,0)),"",(VLOOKUP(A2766,'Data Pull Sheet'!$B$2:$C$1795,2,0)))</f>
        <v>CPB</v>
      </c>
      <c r="C2766" s="59" t="s">
        <v>424</v>
      </c>
      <c r="D2766" s="356" t="s">
        <v>10887</v>
      </c>
      <c r="E2766" s="356" t="s">
        <v>11235</v>
      </c>
      <c r="F2766" s="23" t="s">
        <v>11471</v>
      </c>
      <c r="G2766" s="59" t="s">
        <v>403</v>
      </c>
      <c r="H2766" s="353">
        <v>33981.24</v>
      </c>
      <c r="I2766" s="59"/>
      <c r="J2766" s="59" t="s">
        <v>11654</v>
      </c>
      <c r="K2766" s="20"/>
      <c r="L2766" s="20"/>
      <c r="M2766" s="357"/>
      <c r="N2766" s="411"/>
      <c r="O2766" s="23" t="s">
        <v>4046</v>
      </c>
      <c r="P2766" s="18" t="s">
        <v>632</v>
      </c>
      <c r="Q2766" s="18" t="s">
        <v>662</v>
      </c>
      <c r="R2766" s="92" t="str">
        <f t="shared" si="90"/>
        <v/>
      </c>
      <c r="S2766" s="291"/>
      <c r="T2766" s="35"/>
    </row>
    <row r="2767" spans="1:20" ht="30" x14ac:dyDescent="0.25">
      <c r="A2767" s="23" t="s">
        <v>8843</v>
      </c>
      <c r="B2767" s="18" t="str">
        <f>IF(ISNA(VLOOKUP(A2767,'Data Pull Sheet'!$B$2:$C$1795,2,0)),"",(VLOOKUP(A2767,'Data Pull Sheet'!$B$2:$C$1795,2,0)))</f>
        <v>HAS</v>
      </c>
      <c r="C2767" s="59" t="s">
        <v>8608</v>
      </c>
      <c r="D2767" s="356" t="s">
        <v>10887</v>
      </c>
      <c r="E2767" s="356" t="s">
        <v>11235</v>
      </c>
      <c r="F2767" s="23" t="s">
        <v>11467</v>
      </c>
      <c r="G2767" s="59" t="s">
        <v>417</v>
      </c>
      <c r="H2767" s="353">
        <v>59295.519999999997</v>
      </c>
      <c r="I2767" s="59"/>
      <c r="J2767" s="59" t="s">
        <v>11650</v>
      </c>
      <c r="K2767" s="20">
        <v>1</v>
      </c>
      <c r="L2767" s="20">
        <v>1</v>
      </c>
      <c r="M2767" s="357">
        <f>+H2767</f>
        <v>59295.519999999997</v>
      </c>
      <c r="N2767" s="411">
        <f>IFERROR((M2767/(VLOOKUP(B2767,'Data Pull Sheet'!$C:$H,6,FALSE))),"DC")</f>
        <v>1.6470977777777778E-4</v>
      </c>
      <c r="O2767" s="23" t="s">
        <v>11468</v>
      </c>
      <c r="P2767" s="18" t="s">
        <v>676</v>
      </c>
      <c r="Q2767" s="18" t="s">
        <v>633</v>
      </c>
      <c r="R2767" s="92" t="str">
        <f t="shared" si="90"/>
        <v/>
      </c>
      <c r="S2767" s="291"/>
      <c r="T2767" s="35"/>
    </row>
    <row r="2768" spans="1:20" x14ac:dyDescent="0.25">
      <c r="A2768" s="23" t="s">
        <v>2698</v>
      </c>
      <c r="B2768" s="18" t="s">
        <v>8549</v>
      </c>
      <c r="C2768" s="59" t="s">
        <v>424</v>
      </c>
      <c r="D2768" s="356" t="s">
        <v>10887</v>
      </c>
      <c r="E2768" s="356" t="s">
        <v>11235</v>
      </c>
      <c r="F2768" s="23" t="s">
        <v>11472</v>
      </c>
      <c r="G2768" s="59" t="s">
        <v>403</v>
      </c>
      <c r="H2768" s="353">
        <v>46874</v>
      </c>
      <c r="I2768" s="59"/>
      <c r="J2768" s="59" t="s">
        <v>11655</v>
      </c>
      <c r="K2768" s="20">
        <v>6</v>
      </c>
      <c r="L2768" s="20">
        <v>3</v>
      </c>
      <c r="M2768" s="357">
        <f>SUM(H2768:H2770)</f>
        <v>217847.56</v>
      </c>
      <c r="N2768" s="411">
        <f>IFERROR((M2768/(VLOOKUP(B2768,'Data Pull Sheet'!$C:$H,6,FALSE))),"DC")</f>
        <v>4.3569511999999996E-3</v>
      </c>
      <c r="O2768" s="23" t="s">
        <v>192</v>
      </c>
      <c r="P2768" s="18" t="s">
        <v>632</v>
      </c>
      <c r="Q2768" s="18" t="s">
        <v>646</v>
      </c>
      <c r="R2768" s="92" t="str">
        <f t="shared" si="90"/>
        <v/>
      </c>
      <c r="S2768" s="291"/>
      <c r="T2768" s="35"/>
    </row>
    <row r="2769" spans="1:20" x14ac:dyDescent="0.25">
      <c r="A2769" s="23" t="s">
        <v>2698</v>
      </c>
      <c r="B2769" s="18" t="s">
        <v>8549</v>
      </c>
      <c r="C2769" s="59" t="s">
        <v>424</v>
      </c>
      <c r="D2769" s="356" t="s">
        <v>10887</v>
      </c>
      <c r="E2769" s="356" t="s">
        <v>11235</v>
      </c>
      <c r="F2769" s="23" t="s">
        <v>11473</v>
      </c>
      <c r="G2769" s="59" t="s">
        <v>403</v>
      </c>
      <c r="H2769" s="353">
        <v>53745</v>
      </c>
      <c r="I2769" s="59"/>
      <c r="J2769" s="59" t="s">
        <v>11656</v>
      </c>
      <c r="K2769" s="20"/>
      <c r="L2769" s="20"/>
      <c r="M2769" s="357"/>
      <c r="N2769" s="411"/>
      <c r="O2769" s="23" t="s">
        <v>192</v>
      </c>
      <c r="P2769" s="18" t="s">
        <v>632</v>
      </c>
      <c r="Q2769" s="18" t="s">
        <v>646</v>
      </c>
      <c r="R2769" s="92" t="str">
        <f t="shared" si="90"/>
        <v/>
      </c>
      <c r="S2769" s="291"/>
      <c r="T2769" s="35"/>
    </row>
    <row r="2770" spans="1:20" x14ac:dyDescent="0.25">
      <c r="A2770" s="23" t="s">
        <v>2698</v>
      </c>
      <c r="B2770" s="18" t="s">
        <v>8549</v>
      </c>
      <c r="C2770" s="59" t="s">
        <v>424</v>
      </c>
      <c r="D2770" s="356" t="s">
        <v>10887</v>
      </c>
      <c r="E2770" s="356" t="s">
        <v>11235</v>
      </c>
      <c r="F2770" s="23" t="s">
        <v>11474</v>
      </c>
      <c r="G2770" s="59" t="s">
        <v>403</v>
      </c>
      <c r="H2770" s="353">
        <v>117228.56</v>
      </c>
      <c r="I2770" s="59"/>
      <c r="J2770" s="59" t="s">
        <v>11657</v>
      </c>
      <c r="K2770" s="20"/>
      <c r="L2770" s="20"/>
      <c r="M2770" s="357"/>
      <c r="N2770" s="411"/>
      <c r="O2770" s="23" t="s">
        <v>192</v>
      </c>
      <c r="P2770" s="18" t="s">
        <v>632</v>
      </c>
      <c r="Q2770" s="18" t="s">
        <v>646</v>
      </c>
      <c r="R2770" s="92" t="str">
        <f t="shared" si="90"/>
        <v/>
      </c>
      <c r="S2770" s="291"/>
      <c r="T2770" s="35"/>
    </row>
    <row r="2771" spans="1:20" x14ac:dyDescent="0.25">
      <c r="A2771" s="23" t="s">
        <v>2698</v>
      </c>
      <c r="B2771" s="18" t="s">
        <v>8549</v>
      </c>
      <c r="C2771" s="59" t="s">
        <v>424</v>
      </c>
      <c r="D2771" s="356" t="s">
        <v>10887</v>
      </c>
      <c r="E2771" s="356" t="s">
        <v>11235</v>
      </c>
      <c r="F2771" s="23" t="s">
        <v>11475</v>
      </c>
      <c r="G2771" s="59" t="s">
        <v>403</v>
      </c>
      <c r="H2771" s="353">
        <v>42588.59</v>
      </c>
      <c r="I2771" s="59"/>
      <c r="J2771" s="59" t="s">
        <v>11658</v>
      </c>
      <c r="K2771" s="20"/>
      <c r="L2771" s="20">
        <v>4</v>
      </c>
      <c r="M2771" s="357">
        <f>SUM(H2771:H2774)</f>
        <v>324206.19</v>
      </c>
      <c r="N2771" s="411">
        <f>IFERROR((M2771/(VLOOKUP(B2771,'Data Pull Sheet'!$C:$H,6,FALSE))),"DC")</f>
        <v>6.4841237999999999E-3</v>
      </c>
      <c r="O2771" s="23" t="s">
        <v>3037</v>
      </c>
      <c r="P2771" s="18" t="s">
        <v>632</v>
      </c>
      <c r="Q2771" s="18" t="s">
        <v>646</v>
      </c>
      <c r="R2771" s="92" t="str">
        <f t="shared" si="90"/>
        <v/>
      </c>
      <c r="S2771" s="291"/>
      <c r="T2771" s="35"/>
    </row>
    <row r="2772" spans="1:20" x14ac:dyDescent="0.25">
      <c r="A2772" s="23" t="s">
        <v>2698</v>
      </c>
      <c r="B2772" s="18" t="s">
        <v>8549</v>
      </c>
      <c r="C2772" s="59" t="s">
        <v>424</v>
      </c>
      <c r="D2772" s="356" t="s">
        <v>10887</v>
      </c>
      <c r="E2772" s="356" t="s">
        <v>11235</v>
      </c>
      <c r="F2772" s="23" t="s">
        <v>11476</v>
      </c>
      <c r="G2772" s="59" t="s">
        <v>403</v>
      </c>
      <c r="H2772" s="353">
        <v>64582.52</v>
      </c>
      <c r="I2772" s="59" t="s">
        <v>406</v>
      </c>
      <c r="J2772" s="59" t="s">
        <v>11659</v>
      </c>
      <c r="K2772" s="20"/>
      <c r="L2772" s="20"/>
      <c r="M2772" s="357"/>
      <c r="N2772" s="411"/>
      <c r="O2772" s="23" t="s">
        <v>3037</v>
      </c>
      <c r="P2772" s="18" t="s">
        <v>632</v>
      </c>
      <c r="Q2772" s="18" t="s">
        <v>646</v>
      </c>
      <c r="R2772" s="92" t="str">
        <f t="shared" si="90"/>
        <v/>
      </c>
      <c r="S2772" s="291"/>
      <c r="T2772" s="35"/>
    </row>
    <row r="2773" spans="1:20" x14ac:dyDescent="0.25">
      <c r="A2773" s="23" t="s">
        <v>2698</v>
      </c>
      <c r="B2773" s="18" t="s">
        <v>8549</v>
      </c>
      <c r="C2773" s="59" t="s">
        <v>424</v>
      </c>
      <c r="D2773" s="356" t="s">
        <v>10887</v>
      </c>
      <c r="E2773" s="356" t="s">
        <v>11235</v>
      </c>
      <c r="F2773" s="23" t="s">
        <v>11477</v>
      </c>
      <c r="G2773" s="59" t="s">
        <v>403</v>
      </c>
      <c r="H2773" s="353">
        <v>40117.08</v>
      </c>
      <c r="I2773" s="59" t="s">
        <v>406</v>
      </c>
      <c r="J2773" s="59" t="s">
        <v>11660</v>
      </c>
      <c r="K2773" s="20"/>
      <c r="L2773" s="20"/>
      <c r="M2773" s="357"/>
      <c r="N2773" s="411"/>
      <c r="O2773" s="23" t="s">
        <v>3037</v>
      </c>
      <c r="P2773" s="18" t="s">
        <v>632</v>
      </c>
      <c r="Q2773" s="18" t="s">
        <v>646</v>
      </c>
      <c r="R2773" s="92" t="str">
        <f t="shared" si="90"/>
        <v/>
      </c>
      <c r="S2773" s="291"/>
      <c r="T2773" s="35"/>
    </row>
    <row r="2774" spans="1:20" x14ac:dyDescent="0.25">
      <c r="A2774" s="23" t="s">
        <v>2698</v>
      </c>
      <c r="B2774" s="18" t="s">
        <v>8549</v>
      </c>
      <c r="C2774" s="59" t="s">
        <v>424</v>
      </c>
      <c r="D2774" s="356" t="s">
        <v>10887</v>
      </c>
      <c r="E2774" s="356" t="s">
        <v>11235</v>
      </c>
      <c r="F2774" s="23" t="s">
        <v>11478</v>
      </c>
      <c r="G2774" s="59" t="s">
        <v>403</v>
      </c>
      <c r="H2774" s="353">
        <v>176918</v>
      </c>
      <c r="I2774" s="59" t="s">
        <v>406</v>
      </c>
      <c r="J2774" s="59" t="s">
        <v>11661</v>
      </c>
      <c r="K2774" s="20"/>
      <c r="L2774" s="20"/>
      <c r="M2774" s="357"/>
      <c r="N2774" s="411"/>
      <c r="O2774" s="23" t="s">
        <v>3037</v>
      </c>
      <c r="P2774" s="18" t="s">
        <v>632</v>
      </c>
      <c r="Q2774" s="18" t="s">
        <v>646</v>
      </c>
      <c r="R2774" s="92" t="str">
        <f t="shared" si="90"/>
        <v/>
      </c>
      <c r="S2774" s="291"/>
      <c r="T2774" s="35"/>
    </row>
    <row r="2775" spans="1:20" x14ac:dyDescent="0.25">
      <c r="A2775" s="23" t="s">
        <v>2698</v>
      </c>
      <c r="B2775" s="18" t="s">
        <v>8549</v>
      </c>
      <c r="C2775" s="59" t="s">
        <v>424</v>
      </c>
      <c r="D2775" s="356" t="s">
        <v>10887</v>
      </c>
      <c r="E2775" s="356" t="s">
        <v>11235</v>
      </c>
      <c r="F2775" s="23" t="s">
        <v>11479</v>
      </c>
      <c r="G2775" s="59" t="s">
        <v>403</v>
      </c>
      <c r="H2775" s="353">
        <v>361289.34</v>
      </c>
      <c r="I2775" s="59"/>
      <c r="J2775" s="59" t="s">
        <v>11662</v>
      </c>
      <c r="K2775" s="20"/>
      <c r="L2775" s="20">
        <v>1</v>
      </c>
      <c r="M2775" s="357">
        <f>+H2775</f>
        <v>361289.34</v>
      </c>
      <c r="N2775" s="411">
        <f>IFERROR((M2775/(VLOOKUP(B2775,'Data Pull Sheet'!$C:$H,6,FALSE))),"DC")</f>
        <v>7.2257868000000008E-3</v>
      </c>
      <c r="O2775" s="23" t="s">
        <v>11463</v>
      </c>
      <c r="P2775" s="18" t="s">
        <v>632</v>
      </c>
      <c r="Q2775" s="18" t="s">
        <v>637</v>
      </c>
      <c r="R2775" s="92" t="str">
        <f t="shared" si="90"/>
        <v/>
      </c>
      <c r="S2775" s="291"/>
      <c r="T2775" s="35"/>
    </row>
    <row r="2776" spans="1:20" ht="30" x14ac:dyDescent="0.25">
      <c r="A2776" s="23" t="s">
        <v>2698</v>
      </c>
      <c r="B2776" s="18" t="s">
        <v>8549</v>
      </c>
      <c r="C2776" s="59" t="s">
        <v>424</v>
      </c>
      <c r="D2776" s="356" t="s">
        <v>10887</v>
      </c>
      <c r="E2776" s="356" t="s">
        <v>11235</v>
      </c>
      <c r="F2776" s="23" t="s">
        <v>11480</v>
      </c>
      <c r="G2776" s="59" t="s">
        <v>403</v>
      </c>
      <c r="H2776" s="353">
        <v>189524</v>
      </c>
      <c r="I2776" s="59"/>
      <c r="J2776" s="59" t="s">
        <v>11663</v>
      </c>
      <c r="K2776" s="20"/>
      <c r="L2776" s="20">
        <v>2</v>
      </c>
      <c r="M2776" s="357">
        <f>SUM(H2776:H2777)</f>
        <v>383352</v>
      </c>
      <c r="N2776" s="411">
        <f>IFERROR((M2776/(VLOOKUP(B2776,'Data Pull Sheet'!$C:$H,6,FALSE))),"DC")</f>
        <v>7.66704E-3</v>
      </c>
      <c r="O2776" s="23" t="s">
        <v>11570</v>
      </c>
      <c r="P2776" s="18" t="s">
        <v>632</v>
      </c>
      <c r="Q2776" s="18" t="s">
        <v>646</v>
      </c>
      <c r="R2776" s="92" t="str">
        <f t="shared" si="90"/>
        <v/>
      </c>
      <c r="S2776" s="291"/>
      <c r="T2776" s="35"/>
    </row>
    <row r="2777" spans="1:20" ht="30" x14ac:dyDescent="0.25">
      <c r="A2777" s="23" t="s">
        <v>2698</v>
      </c>
      <c r="B2777" s="18" t="s">
        <v>8549</v>
      </c>
      <c r="C2777" s="59" t="s">
        <v>424</v>
      </c>
      <c r="D2777" s="356" t="s">
        <v>10887</v>
      </c>
      <c r="E2777" s="356" t="s">
        <v>11235</v>
      </c>
      <c r="F2777" s="23" t="s">
        <v>11481</v>
      </c>
      <c r="G2777" s="59" t="s">
        <v>403</v>
      </c>
      <c r="H2777" s="353">
        <v>193828</v>
      </c>
      <c r="I2777" s="59"/>
      <c r="J2777" s="59" t="s">
        <v>11664</v>
      </c>
      <c r="K2777" s="20"/>
      <c r="L2777" s="20"/>
      <c r="M2777" s="357"/>
      <c r="N2777" s="411"/>
      <c r="O2777" s="23" t="s">
        <v>11570</v>
      </c>
      <c r="P2777" s="18" t="s">
        <v>632</v>
      </c>
      <c r="Q2777" s="18" t="s">
        <v>646</v>
      </c>
      <c r="R2777" s="92" t="str">
        <f t="shared" si="90"/>
        <v/>
      </c>
      <c r="S2777" s="291"/>
      <c r="T2777" s="35"/>
    </row>
    <row r="2778" spans="1:20" ht="30" x14ac:dyDescent="0.25">
      <c r="A2778" s="23" t="s">
        <v>2698</v>
      </c>
      <c r="B2778" s="18" t="s">
        <v>8549</v>
      </c>
      <c r="C2778" s="59" t="s">
        <v>424</v>
      </c>
      <c r="D2778" s="356" t="s">
        <v>10887</v>
      </c>
      <c r="E2778" s="356" t="s">
        <v>11235</v>
      </c>
      <c r="F2778" s="23" t="s">
        <v>11482</v>
      </c>
      <c r="G2778" s="59" t="s">
        <v>403</v>
      </c>
      <c r="H2778" s="353">
        <v>408762.84</v>
      </c>
      <c r="I2778" s="59"/>
      <c r="J2778" s="59" t="s">
        <v>11665</v>
      </c>
      <c r="K2778" s="20"/>
      <c r="L2778" s="20">
        <v>1</v>
      </c>
      <c r="M2778" s="357">
        <f>+H2778</f>
        <v>408762.84</v>
      </c>
      <c r="N2778" s="411">
        <f>IFERROR((M2778/(VLOOKUP(B2778,'Data Pull Sheet'!$C:$H,6,FALSE))),"DC")</f>
        <v>8.1752568000000008E-3</v>
      </c>
      <c r="O2778" s="23" t="s">
        <v>9741</v>
      </c>
      <c r="P2778" s="18" t="s">
        <v>632</v>
      </c>
      <c r="Q2778" s="18" t="s">
        <v>637</v>
      </c>
      <c r="R2778" s="92" t="str">
        <f t="shared" si="90"/>
        <v/>
      </c>
      <c r="S2778" s="291"/>
      <c r="T2778" s="35"/>
    </row>
    <row r="2779" spans="1:20" x14ac:dyDescent="0.25">
      <c r="A2779" s="23" t="s">
        <v>2698</v>
      </c>
      <c r="B2779" s="18" t="s">
        <v>8549</v>
      </c>
      <c r="C2779" s="59" t="s">
        <v>424</v>
      </c>
      <c r="D2779" s="356" t="s">
        <v>10887</v>
      </c>
      <c r="E2779" s="356" t="s">
        <v>11235</v>
      </c>
      <c r="F2779" s="23" t="s">
        <v>11483</v>
      </c>
      <c r="G2779" s="59" t="s">
        <v>403</v>
      </c>
      <c r="H2779" s="353">
        <v>30506.7</v>
      </c>
      <c r="I2779" s="59" t="s">
        <v>406</v>
      </c>
      <c r="J2779" s="59" t="s">
        <v>11666</v>
      </c>
      <c r="K2779" s="20"/>
      <c r="L2779" s="20">
        <v>5</v>
      </c>
      <c r="M2779" s="357">
        <f>SUM(H2779:H2783)</f>
        <v>604569.35</v>
      </c>
      <c r="N2779" s="411">
        <f>IFERROR((M2779/(VLOOKUP(B2779,'Data Pull Sheet'!$C:$H,6,FALSE))),"DC")</f>
        <v>1.2091387E-2</v>
      </c>
      <c r="O2779" s="23" t="s">
        <v>63</v>
      </c>
      <c r="P2779" s="18" t="s">
        <v>632</v>
      </c>
      <c r="Q2779" s="18" t="s">
        <v>646</v>
      </c>
      <c r="R2779" s="92" t="str">
        <f t="shared" si="90"/>
        <v/>
      </c>
      <c r="S2779" s="291"/>
      <c r="T2779" s="35"/>
    </row>
    <row r="2780" spans="1:20" x14ac:dyDescent="0.25">
      <c r="A2780" s="23" t="s">
        <v>2698</v>
      </c>
      <c r="B2780" s="18" t="s">
        <v>8549</v>
      </c>
      <c r="C2780" s="59" t="s">
        <v>424</v>
      </c>
      <c r="D2780" s="356" t="s">
        <v>10887</v>
      </c>
      <c r="E2780" s="356" t="s">
        <v>11235</v>
      </c>
      <c r="F2780" s="23" t="s">
        <v>11484</v>
      </c>
      <c r="G2780" s="59" t="s">
        <v>403</v>
      </c>
      <c r="H2780" s="353">
        <v>242835.38</v>
      </c>
      <c r="I2780" s="59" t="s">
        <v>406</v>
      </c>
      <c r="J2780" s="59" t="s">
        <v>11667</v>
      </c>
      <c r="K2780" s="20"/>
      <c r="L2780" s="20"/>
      <c r="M2780" s="357"/>
      <c r="N2780" s="411"/>
      <c r="O2780" s="23" t="s">
        <v>63</v>
      </c>
      <c r="P2780" s="18" t="s">
        <v>632</v>
      </c>
      <c r="Q2780" s="18" t="s">
        <v>646</v>
      </c>
      <c r="R2780" s="92" t="str">
        <f t="shared" si="90"/>
        <v/>
      </c>
      <c r="S2780" s="291"/>
      <c r="T2780" s="35"/>
    </row>
    <row r="2781" spans="1:20" x14ac:dyDescent="0.25">
      <c r="A2781" s="23" t="s">
        <v>2698</v>
      </c>
      <c r="B2781" s="18" t="s">
        <v>8549</v>
      </c>
      <c r="C2781" s="59" t="s">
        <v>424</v>
      </c>
      <c r="D2781" s="356" t="s">
        <v>10887</v>
      </c>
      <c r="E2781" s="356" t="s">
        <v>11235</v>
      </c>
      <c r="F2781" s="23" t="s">
        <v>11485</v>
      </c>
      <c r="G2781" s="59" t="s">
        <v>403</v>
      </c>
      <c r="H2781" s="353">
        <v>40705.910000000003</v>
      </c>
      <c r="I2781" s="59" t="s">
        <v>406</v>
      </c>
      <c r="J2781" s="59" t="s">
        <v>11668</v>
      </c>
      <c r="K2781" s="20"/>
      <c r="L2781" s="20"/>
      <c r="M2781" s="357"/>
      <c r="N2781" s="411"/>
      <c r="O2781" s="23" t="s">
        <v>63</v>
      </c>
      <c r="P2781" s="18" t="s">
        <v>632</v>
      </c>
      <c r="Q2781" s="18" t="s">
        <v>646</v>
      </c>
      <c r="R2781" s="92" t="str">
        <f t="shared" si="90"/>
        <v/>
      </c>
      <c r="S2781" s="291"/>
      <c r="T2781" s="35"/>
    </row>
    <row r="2782" spans="1:20" x14ac:dyDescent="0.25">
      <c r="A2782" s="23" t="s">
        <v>2698</v>
      </c>
      <c r="B2782" s="18" t="s">
        <v>8549</v>
      </c>
      <c r="C2782" s="59" t="s">
        <v>424</v>
      </c>
      <c r="D2782" s="356" t="s">
        <v>10887</v>
      </c>
      <c r="E2782" s="356" t="s">
        <v>11235</v>
      </c>
      <c r="F2782" s="23" t="s">
        <v>11486</v>
      </c>
      <c r="G2782" s="59" t="s">
        <v>403</v>
      </c>
      <c r="H2782" s="353">
        <v>254926.74</v>
      </c>
      <c r="I2782" s="59" t="s">
        <v>406</v>
      </c>
      <c r="J2782" s="59" t="s">
        <v>11669</v>
      </c>
      <c r="K2782" s="20"/>
      <c r="L2782" s="20"/>
      <c r="M2782" s="357"/>
      <c r="N2782" s="411"/>
      <c r="O2782" s="23" t="s">
        <v>63</v>
      </c>
      <c r="P2782" s="18" t="s">
        <v>632</v>
      </c>
      <c r="Q2782" s="18" t="s">
        <v>646</v>
      </c>
      <c r="R2782" s="92" t="str">
        <f t="shared" si="90"/>
        <v/>
      </c>
      <c r="S2782" s="291"/>
      <c r="T2782" s="35"/>
    </row>
    <row r="2783" spans="1:20" x14ac:dyDescent="0.25">
      <c r="A2783" s="23" t="s">
        <v>2698</v>
      </c>
      <c r="B2783" s="18" t="s">
        <v>8549</v>
      </c>
      <c r="C2783" s="59" t="s">
        <v>424</v>
      </c>
      <c r="D2783" s="356" t="s">
        <v>10887</v>
      </c>
      <c r="E2783" s="356" t="s">
        <v>11235</v>
      </c>
      <c r="F2783" s="23" t="s">
        <v>11487</v>
      </c>
      <c r="G2783" s="59" t="s">
        <v>403</v>
      </c>
      <c r="H2783" s="353">
        <v>35594.620000000003</v>
      </c>
      <c r="I2783" s="59" t="s">
        <v>406</v>
      </c>
      <c r="J2783" s="59" t="s">
        <v>11670</v>
      </c>
      <c r="K2783" s="20"/>
      <c r="L2783" s="20"/>
      <c r="M2783" s="357"/>
      <c r="N2783" s="411"/>
      <c r="O2783" s="23" t="s">
        <v>63</v>
      </c>
      <c r="P2783" s="18" t="s">
        <v>632</v>
      </c>
      <c r="Q2783" s="18" t="s">
        <v>646</v>
      </c>
      <c r="R2783" s="92" t="str">
        <f t="shared" si="90"/>
        <v/>
      </c>
      <c r="S2783" s="291"/>
      <c r="T2783" s="35"/>
    </row>
    <row r="2784" spans="1:20" x14ac:dyDescent="0.25">
      <c r="A2784" s="23" t="s">
        <v>6900</v>
      </c>
      <c r="B2784" s="18" t="s">
        <v>10594</v>
      </c>
      <c r="C2784" s="59" t="s">
        <v>421</v>
      </c>
      <c r="D2784" s="356" t="s">
        <v>10885</v>
      </c>
      <c r="E2784" s="356" t="s">
        <v>11246</v>
      </c>
      <c r="F2784" s="23" t="s">
        <v>11488</v>
      </c>
      <c r="G2784" s="59" t="s">
        <v>403</v>
      </c>
      <c r="H2784" s="353">
        <v>2617.0700000000002</v>
      </c>
      <c r="I2784" s="59"/>
      <c r="J2784" s="59" t="s">
        <v>11671</v>
      </c>
      <c r="K2784" s="20">
        <v>5</v>
      </c>
      <c r="L2784" s="20">
        <v>1</v>
      </c>
      <c r="M2784" s="357">
        <f>+H2784</f>
        <v>2617.0700000000002</v>
      </c>
      <c r="N2784" s="411">
        <f>IFERROR((M2784/(VLOOKUP(B2784,'Data Pull Sheet'!$C:$H,6,FALSE))),"DC")</f>
        <v>4.0262615384615385E-5</v>
      </c>
      <c r="O2784" s="23" t="s">
        <v>3375</v>
      </c>
      <c r="P2784" s="18" t="s">
        <v>632</v>
      </c>
      <c r="Q2784" s="18" t="s">
        <v>637</v>
      </c>
      <c r="R2784" s="92" t="str">
        <f t="shared" si="90"/>
        <v/>
      </c>
      <c r="S2784" s="291"/>
      <c r="T2784" s="35"/>
    </row>
    <row r="2785" spans="1:20" x14ac:dyDescent="0.25">
      <c r="A2785" s="23" t="s">
        <v>6900</v>
      </c>
      <c r="B2785" s="18" t="s">
        <v>10594</v>
      </c>
      <c r="C2785" s="59" t="s">
        <v>421</v>
      </c>
      <c r="D2785" s="356" t="s">
        <v>10885</v>
      </c>
      <c r="E2785" s="356" t="s">
        <v>11246</v>
      </c>
      <c r="F2785" s="23" t="s">
        <v>11489</v>
      </c>
      <c r="G2785" s="59" t="s">
        <v>403</v>
      </c>
      <c r="H2785" s="353">
        <v>70256.08</v>
      </c>
      <c r="I2785" s="59"/>
      <c r="J2785" s="59" t="s">
        <v>11672</v>
      </c>
      <c r="K2785" s="20"/>
      <c r="L2785" s="20">
        <v>2</v>
      </c>
      <c r="M2785" s="357">
        <f>SUM(H2785:H2786)</f>
        <v>101748.9</v>
      </c>
      <c r="N2785" s="411">
        <f>IFERROR((M2785/(VLOOKUP(B2785,'Data Pull Sheet'!$C:$H,6,FALSE))),"DC")</f>
        <v>1.5653676923076923E-3</v>
      </c>
      <c r="O2785" s="23" t="s">
        <v>11490</v>
      </c>
      <c r="P2785" s="18" t="s">
        <v>632</v>
      </c>
      <c r="Q2785" s="18" t="s">
        <v>646</v>
      </c>
      <c r="R2785" s="92" t="str">
        <f t="shared" si="90"/>
        <v/>
      </c>
      <c r="S2785" s="291"/>
      <c r="T2785" s="35"/>
    </row>
    <row r="2786" spans="1:20" x14ac:dyDescent="0.25">
      <c r="A2786" s="23" t="s">
        <v>6900</v>
      </c>
      <c r="B2786" s="18" t="s">
        <v>10594</v>
      </c>
      <c r="C2786" s="59" t="s">
        <v>421</v>
      </c>
      <c r="D2786" s="356" t="s">
        <v>10885</v>
      </c>
      <c r="E2786" s="356" t="s">
        <v>11246</v>
      </c>
      <c r="F2786" s="23" t="s">
        <v>11491</v>
      </c>
      <c r="G2786" s="59" t="s">
        <v>403</v>
      </c>
      <c r="H2786" s="353">
        <v>31492.82</v>
      </c>
      <c r="I2786" s="59"/>
      <c r="J2786" s="59" t="s">
        <v>11673</v>
      </c>
      <c r="K2786" s="20"/>
      <c r="L2786" s="20"/>
      <c r="M2786" s="357"/>
      <c r="N2786" s="411"/>
      <c r="O2786" s="23" t="s">
        <v>11490</v>
      </c>
      <c r="P2786" s="18" t="s">
        <v>632</v>
      </c>
      <c r="Q2786" s="18" t="s">
        <v>646</v>
      </c>
      <c r="R2786" s="92" t="str">
        <f t="shared" si="90"/>
        <v/>
      </c>
      <c r="S2786" s="291"/>
      <c r="T2786" s="35"/>
    </row>
    <row r="2787" spans="1:20" x14ac:dyDescent="0.25">
      <c r="A2787" s="23" t="s">
        <v>6900</v>
      </c>
      <c r="B2787" s="18" t="s">
        <v>10594</v>
      </c>
      <c r="C2787" s="59" t="s">
        <v>421</v>
      </c>
      <c r="D2787" s="356" t="s">
        <v>10885</v>
      </c>
      <c r="E2787" s="356" t="s">
        <v>11246</v>
      </c>
      <c r="F2787" s="23" t="s">
        <v>11492</v>
      </c>
      <c r="G2787" s="59" t="s">
        <v>403</v>
      </c>
      <c r="H2787" s="353">
        <v>301544.27</v>
      </c>
      <c r="I2787" s="59" t="s">
        <v>406</v>
      </c>
      <c r="J2787" s="59" t="s">
        <v>11674</v>
      </c>
      <c r="K2787" s="20"/>
      <c r="L2787" s="20">
        <v>1</v>
      </c>
      <c r="M2787" s="357">
        <f>+H2787</f>
        <v>301544.27</v>
      </c>
      <c r="N2787" s="411">
        <f>IFERROR((M2787/(VLOOKUP(B2787,'Data Pull Sheet'!$C:$H,6,FALSE))),"DC")</f>
        <v>4.6391426153846154E-3</v>
      </c>
      <c r="O2787" s="23" t="s">
        <v>11571</v>
      </c>
      <c r="P2787" s="18" t="s">
        <v>632</v>
      </c>
      <c r="Q2787" s="18" t="s">
        <v>637</v>
      </c>
      <c r="R2787" s="92" t="str">
        <f t="shared" si="90"/>
        <v/>
      </c>
      <c r="S2787" s="291"/>
      <c r="T2787" s="35"/>
    </row>
    <row r="2788" spans="1:20" x14ac:dyDescent="0.25">
      <c r="A2788" s="23" t="s">
        <v>6900</v>
      </c>
      <c r="B2788" s="18" t="s">
        <v>10594</v>
      </c>
      <c r="C2788" s="59" t="s">
        <v>421</v>
      </c>
      <c r="D2788" s="356" t="s">
        <v>10885</v>
      </c>
      <c r="E2788" s="356" t="s">
        <v>11246</v>
      </c>
      <c r="F2788" s="23" t="s">
        <v>11493</v>
      </c>
      <c r="G2788" s="59" t="s">
        <v>403</v>
      </c>
      <c r="H2788" s="353">
        <v>59564</v>
      </c>
      <c r="I2788" s="59"/>
      <c r="J2788" s="59" t="s">
        <v>11676</v>
      </c>
      <c r="K2788" s="20"/>
      <c r="L2788" s="20">
        <v>2</v>
      </c>
      <c r="M2788" s="357">
        <f>SUM(H2788:H2789)</f>
        <v>131349</v>
      </c>
      <c r="N2788" s="411">
        <f>IFERROR((M2788/(VLOOKUP(B2788,'Data Pull Sheet'!$C:$H,6,FALSE))),"DC")</f>
        <v>2.0207538461538463E-3</v>
      </c>
      <c r="O2788" s="23" t="s">
        <v>79</v>
      </c>
      <c r="P2788" s="18" t="s">
        <v>632</v>
      </c>
      <c r="Q2788" s="18" t="s">
        <v>646</v>
      </c>
      <c r="R2788" s="92" t="str">
        <f t="shared" si="90"/>
        <v/>
      </c>
      <c r="S2788" s="291"/>
      <c r="T2788" s="35"/>
    </row>
    <row r="2789" spans="1:20" x14ac:dyDescent="0.25">
      <c r="A2789" s="23" t="s">
        <v>6900</v>
      </c>
      <c r="B2789" s="18" t="s">
        <v>10594</v>
      </c>
      <c r="C2789" s="59" t="s">
        <v>421</v>
      </c>
      <c r="D2789" s="356" t="s">
        <v>10885</v>
      </c>
      <c r="E2789" s="356" t="s">
        <v>11246</v>
      </c>
      <c r="F2789" s="23" t="s">
        <v>11494</v>
      </c>
      <c r="G2789" s="59" t="s">
        <v>403</v>
      </c>
      <c r="H2789" s="353">
        <v>71785</v>
      </c>
      <c r="I2789" s="59"/>
      <c r="J2789" s="59" t="s">
        <v>11677</v>
      </c>
      <c r="K2789" s="20"/>
      <c r="L2789" s="20"/>
      <c r="M2789" s="357"/>
      <c r="N2789" s="411"/>
      <c r="O2789" s="23" t="s">
        <v>79</v>
      </c>
      <c r="P2789" s="18" t="s">
        <v>632</v>
      </c>
      <c r="Q2789" s="18" t="s">
        <v>646</v>
      </c>
      <c r="R2789" s="92" t="str">
        <f t="shared" si="90"/>
        <v/>
      </c>
      <c r="S2789" s="291"/>
      <c r="T2789" s="35"/>
    </row>
    <row r="2790" spans="1:20" x14ac:dyDescent="0.25">
      <c r="A2790" s="23" t="s">
        <v>6900</v>
      </c>
      <c r="B2790" s="18" t="s">
        <v>10594</v>
      </c>
      <c r="C2790" s="59" t="s">
        <v>421</v>
      </c>
      <c r="D2790" s="356" t="s">
        <v>10885</v>
      </c>
      <c r="E2790" s="356" t="s">
        <v>11246</v>
      </c>
      <c r="F2790" s="23" t="s">
        <v>11495</v>
      </c>
      <c r="G2790" s="59" t="s">
        <v>403</v>
      </c>
      <c r="H2790" s="353">
        <v>119132.11</v>
      </c>
      <c r="I2790" s="59"/>
      <c r="J2790" s="59" t="s">
        <v>11678</v>
      </c>
      <c r="K2790" s="20"/>
      <c r="L2790" s="20">
        <v>1</v>
      </c>
      <c r="M2790" s="357">
        <f>+H2790</f>
        <v>119132.11</v>
      </c>
      <c r="N2790" s="411">
        <f>IFERROR((M2790/(VLOOKUP(B2790,'Data Pull Sheet'!$C:$H,6,FALSE))),"DC")</f>
        <v>1.8328016923076923E-3</v>
      </c>
      <c r="O2790" s="23" t="s">
        <v>11496</v>
      </c>
      <c r="P2790" s="18" t="s">
        <v>632</v>
      </c>
      <c r="Q2790" s="18" t="s">
        <v>637</v>
      </c>
      <c r="R2790" s="92" t="str">
        <f t="shared" si="90"/>
        <v/>
      </c>
      <c r="S2790" s="291"/>
      <c r="T2790" s="35"/>
    </row>
    <row r="2791" spans="1:20" ht="30" x14ac:dyDescent="0.25">
      <c r="A2791" s="23" t="s">
        <v>8783</v>
      </c>
      <c r="B2791" s="18" t="str">
        <f>IF(ISNA(VLOOKUP(A2791,'Data Pull Sheet'!$B$2:$C$1795,2,0)),"",(VLOOKUP(A2791,'Data Pull Sheet'!$B$2:$C$1795,2,0)))</f>
        <v>ACHC</v>
      </c>
      <c r="C2791" s="59" t="s">
        <v>431</v>
      </c>
      <c r="D2791" s="356" t="s">
        <v>10885</v>
      </c>
      <c r="E2791" s="356" t="s">
        <v>11497</v>
      </c>
      <c r="F2791" s="23" t="s">
        <v>12</v>
      </c>
      <c r="G2791" s="59" t="s">
        <v>417</v>
      </c>
      <c r="H2791" s="353">
        <v>494145.17</v>
      </c>
      <c r="I2791" s="59"/>
      <c r="J2791" s="59" t="s">
        <v>11679</v>
      </c>
      <c r="K2791" s="20">
        <v>2</v>
      </c>
      <c r="L2791" s="20">
        <v>3</v>
      </c>
      <c r="M2791" s="357">
        <f>SUM(H2791:H2793)</f>
        <v>777278.37999999989</v>
      </c>
      <c r="N2791" s="411">
        <f>IFERROR((M2791/(VLOOKUP(B2791,'Data Pull Sheet'!$C:$H,6,FALSE))),"DC")</f>
        <v>1.4394044074074071E-3</v>
      </c>
      <c r="O2791" s="23" t="s">
        <v>11498</v>
      </c>
      <c r="P2791" s="18" t="s">
        <v>632</v>
      </c>
      <c r="Q2791" s="18" t="s">
        <v>640</v>
      </c>
      <c r="R2791" s="92" t="str">
        <f t="shared" si="90"/>
        <v>FF</v>
      </c>
      <c r="S2791" s="291"/>
      <c r="T2791" s="35"/>
    </row>
    <row r="2792" spans="1:20" ht="30" x14ac:dyDescent="0.25">
      <c r="A2792" s="23" t="s">
        <v>8783</v>
      </c>
      <c r="B2792" s="18" t="str">
        <f>IF(ISNA(VLOOKUP(A2792,'Data Pull Sheet'!$B$2:$C$1795,2,0)),"",(VLOOKUP(A2792,'Data Pull Sheet'!$B$2:$C$1795,2,0)))</f>
        <v>ACHC</v>
      </c>
      <c r="C2792" s="59" t="s">
        <v>431</v>
      </c>
      <c r="D2792" s="356" t="s">
        <v>10885</v>
      </c>
      <c r="E2792" s="356" t="s">
        <v>11497</v>
      </c>
      <c r="F2792" s="23" t="s">
        <v>69</v>
      </c>
      <c r="G2792" s="59" t="s">
        <v>417</v>
      </c>
      <c r="H2792" s="353">
        <v>114680.53</v>
      </c>
      <c r="I2792" s="59"/>
      <c r="J2792" s="59" t="s">
        <v>11680</v>
      </c>
      <c r="K2792" s="20"/>
      <c r="L2792" s="20"/>
      <c r="M2792" s="357"/>
      <c r="N2792" s="411"/>
      <c r="O2792" s="23" t="s">
        <v>11498</v>
      </c>
      <c r="P2792" s="18" t="s">
        <v>632</v>
      </c>
      <c r="Q2792" s="18" t="s">
        <v>640</v>
      </c>
      <c r="R2792" s="92" t="str">
        <f t="shared" si="90"/>
        <v>FF</v>
      </c>
      <c r="S2792" s="291"/>
      <c r="T2792" s="35"/>
    </row>
    <row r="2793" spans="1:20" ht="30" x14ac:dyDescent="0.25">
      <c r="A2793" s="23" t="s">
        <v>8783</v>
      </c>
      <c r="B2793" s="18" t="str">
        <f>IF(ISNA(VLOOKUP(A2793,'Data Pull Sheet'!$B$2:$C$1795,2,0)),"",(VLOOKUP(A2793,'Data Pull Sheet'!$B$2:$C$1795,2,0)))</f>
        <v>ACHC</v>
      </c>
      <c r="C2793" s="59" t="s">
        <v>431</v>
      </c>
      <c r="D2793" s="356" t="s">
        <v>10885</v>
      </c>
      <c r="E2793" s="356" t="s">
        <v>11497</v>
      </c>
      <c r="F2793" s="23" t="s">
        <v>295</v>
      </c>
      <c r="G2793" s="59" t="s">
        <v>417</v>
      </c>
      <c r="H2793" s="353">
        <v>168452.68</v>
      </c>
      <c r="I2793" s="59"/>
      <c r="J2793" s="59" t="s">
        <v>11681</v>
      </c>
      <c r="K2793" s="20"/>
      <c r="L2793" s="20"/>
      <c r="M2793" s="357"/>
      <c r="N2793" s="411"/>
      <c r="O2793" s="23" t="s">
        <v>11498</v>
      </c>
      <c r="P2793" s="18" t="s">
        <v>632</v>
      </c>
      <c r="Q2793" s="18" t="s">
        <v>640</v>
      </c>
      <c r="R2793" s="92" t="str">
        <f t="shared" si="90"/>
        <v>FF</v>
      </c>
      <c r="S2793" s="291"/>
      <c r="T2793" s="35"/>
    </row>
    <row r="2794" spans="1:20" x14ac:dyDescent="0.25">
      <c r="A2794" s="23" t="s">
        <v>8783</v>
      </c>
      <c r="B2794" s="18" t="str">
        <f>IF(ISNA(VLOOKUP(A2794,'Data Pull Sheet'!$B$2:$C$1795,2,0)),"",(VLOOKUP(A2794,'Data Pull Sheet'!$B$2:$C$1795,2,0)))</f>
        <v>ACHC</v>
      </c>
      <c r="C2794" s="59" t="s">
        <v>431</v>
      </c>
      <c r="D2794" s="356" t="s">
        <v>10885</v>
      </c>
      <c r="E2794" s="356" t="s">
        <v>11497</v>
      </c>
      <c r="F2794" s="23" t="s">
        <v>11499</v>
      </c>
      <c r="G2794" s="59" t="s">
        <v>417</v>
      </c>
      <c r="H2794" s="353">
        <v>436176.98</v>
      </c>
      <c r="I2794" s="59"/>
      <c r="J2794" s="59" t="s">
        <v>11682</v>
      </c>
      <c r="K2794" s="20"/>
      <c r="L2794" s="20">
        <v>2</v>
      </c>
      <c r="M2794" s="357">
        <f>SUM(H2794:H2795)</f>
        <v>856984.95</v>
      </c>
      <c r="N2794" s="411">
        <f>IFERROR((M2794/(VLOOKUP(B2794,'Data Pull Sheet'!$C:$H,6,FALSE))),"DC")</f>
        <v>1.5870091666666665E-3</v>
      </c>
      <c r="O2794" s="23" t="s">
        <v>7</v>
      </c>
      <c r="P2794" s="18" t="s">
        <v>632</v>
      </c>
      <c r="Q2794" s="18" t="s">
        <v>640</v>
      </c>
      <c r="R2794" s="92" t="str">
        <f t="shared" si="90"/>
        <v/>
      </c>
      <c r="S2794" s="291"/>
      <c r="T2794" s="35"/>
    </row>
    <row r="2795" spans="1:20" ht="30" x14ac:dyDescent="0.25">
      <c r="A2795" s="23" t="s">
        <v>8783</v>
      </c>
      <c r="B2795" s="18" t="str">
        <f>IF(ISNA(VLOOKUP(A2795,'Data Pull Sheet'!$B$2:$C$1795,2,0)),"",(VLOOKUP(A2795,'Data Pull Sheet'!$B$2:$C$1795,2,0)))</f>
        <v>ACHC</v>
      </c>
      <c r="C2795" s="59" t="s">
        <v>431</v>
      </c>
      <c r="D2795" s="356" t="s">
        <v>10885</v>
      </c>
      <c r="E2795" s="356" t="s">
        <v>11497</v>
      </c>
      <c r="F2795" s="23" t="s">
        <v>189</v>
      </c>
      <c r="G2795" s="59" t="s">
        <v>417</v>
      </c>
      <c r="H2795" s="353">
        <v>420807.97</v>
      </c>
      <c r="I2795" s="59"/>
      <c r="J2795" s="59" t="s">
        <v>11675</v>
      </c>
      <c r="K2795" s="20"/>
      <c r="L2795" s="20"/>
      <c r="M2795" s="357"/>
      <c r="N2795" s="411"/>
      <c r="O2795" s="23" t="s">
        <v>7</v>
      </c>
      <c r="P2795" s="18" t="s">
        <v>632</v>
      </c>
      <c r="Q2795" s="18" t="s">
        <v>640</v>
      </c>
      <c r="R2795" s="92" t="str">
        <f t="shared" si="90"/>
        <v>FF</v>
      </c>
      <c r="S2795" s="291"/>
      <c r="T2795" s="35"/>
    </row>
    <row r="2796" spans="1:20" x14ac:dyDescent="0.25">
      <c r="A2796" s="23" t="s">
        <v>8787</v>
      </c>
      <c r="B2796" s="18" t="str">
        <f>IF(ISNA(VLOOKUP(A2796,'Data Pull Sheet'!$B$2:$C$1795,2,0)),"",(VLOOKUP(A2796,'Data Pull Sheet'!$B$2:$C$1795,2,0)))</f>
        <v>ADNT</v>
      </c>
      <c r="C2796" s="59" t="s">
        <v>418</v>
      </c>
      <c r="D2796" s="356" t="s">
        <v>10886</v>
      </c>
      <c r="E2796" s="356" t="s">
        <v>11497</v>
      </c>
      <c r="F2796" s="23" t="s">
        <v>9333</v>
      </c>
      <c r="G2796" s="59" t="s">
        <v>417</v>
      </c>
      <c r="H2796" s="353">
        <v>458458.84</v>
      </c>
      <c r="I2796" s="59" t="s">
        <v>406</v>
      </c>
      <c r="J2796" s="59" t="s">
        <v>11691</v>
      </c>
      <c r="K2796" s="20">
        <v>3</v>
      </c>
      <c r="L2796" s="20">
        <v>1</v>
      </c>
      <c r="M2796" s="357">
        <f t="shared" ref="M2796:M2804" si="91">+H2796</f>
        <v>458458.84</v>
      </c>
      <c r="N2796" s="411">
        <f>IFERROR((M2796/(VLOOKUP(B2796,'Data Pull Sheet'!$C:$H,6,FALSE))),"DC")</f>
        <v>3.2747059999999999E-4</v>
      </c>
      <c r="O2796" s="23" t="s">
        <v>11507</v>
      </c>
      <c r="P2796" s="18" t="s">
        <v>632</v>
      </c>
      <c r="Q2796" s="18" t="s">
        <v>633</v>
      </c>
      <c r="R2796" s="92" t="str">
        <f t="shared" si="90"/>
        <v>FF</v>
      </c>
      <c r="S2796" s="291"/>
      <c r="T2796" s="35"/>
    </row>
    <row r="2797" spans="1:20" x14ac:dyDescent="0.25">
      <c r="A2797" s="23" t="s">
        <v>8787</v>
      </c>
      <c r="B2797" s="18" t="str">
        <f>IF(ISNA(VLOOKUP(A2797,'Data Pull Sheet'!$B$2:$C$1795,2,0)),"",(VLOOKUP(A2797,'Data Pull Sheet'!$B$2:$C$1795,2,0)))</f>
        <v>ADNT</v>
      </c>
      <c r="C2797" s="59" t="s">
        <v>418</v>
      </c>
      <c r="D2797" s="356" t="s">
        <v>10886</v>
      </c>
      <c r="E2797" s="356" t="s">
        <v>11497</v>
      </c>
      <c r="F2797" s="23" t="s">
        <v>11508</v>
      </c>
      <c r="G2797" s="59" t="s">
        <v>417</v>
      </c>
      <c r="H2797" s="353">
        <v>321351.63</v>
      </c>
      <c r="I2797" s="59"/>
      <c r="J2797" s="59" t="s">
        <v>11688</v>
      </c>
      <c r="K2797" s="20"/>
      <c r="L2797" s="20">
        <v>1</v>
      </c>
      <c r="M2797" s="357">
        <f t="shared" si="91"/>
        <v>321351.63</v>
      </c>
      <c r="N2797" s="411">
        <f>IFERROR((M2797/(VLOOKUP(B2797,'Data Pull Sheet'!$C:$H,6,FALSE))),"DC")</f>
        <v>2.2953687857142857E-4</v>
      </c>
      <c r="O2797" s="23" t="s">
        <v>7</v>
      </c>
      <c r="P2797" s="18" t="s">
        <v>632</v>
      </c>
      <c r="Q2797" s="18" t="s">
        <v>633</v>
      </c>
      <c r="R2797" s="92" t="str">
        <f t="shared" si="90"/>
        <v/>
      </c>
      <c r="S2797" s="291"/>
      <c r="T2797" s="35"/>
    </row>
    <row r="2798" spans="1:20" ht="30" x14ac:dyDescent="0.25">
      <c r="A2798" s="23" t="s">
        <v>8787</v>
      </c>
      <c r="B2798" s="18" t="str">
        <f>IF(ISNA(VLOOKUP(A2798,'Data Pull Sheet'!$B$2:$C$1795,2,0)),"",(VLOOKUP(A2798,'Data Pull Sheet'!$B$2:$C$1795,2,0)))</f>
        <v>ADNT</v>
      </c>
      <c r="C2798" s="59" t="s">
        <v>418</v>
      </c>
      <c r="D2798" s="356" t="s">
        <v>10886</v>
      </c>
      <c r="E2798" s="356" t="s">
        <v>11497</v>
      </c>
      <c r="F2798" s="23" t="s">
        <v>11509</v>
      </c>
      <c r="G2798" s="59" t="s">
        <v>417</v>
      </c>
      <c r="H2798" s="353">
        <v>265038.63</v>
      </c>
      <c r="I2798" s="59"/>
      <c r="J2798" s="59" t="s">
        <v>11687</v>
      </c>
      <c r="K2798" s="20"/>
      <c r="L2798" s="20">
        <v>1</v>
      </c>
      <c r="M2798" s="357">
        <f t="shared" si="91"/>
        <v>265038.63</v>
      </c>
      <c r="N2798" s="411">
        <f>IFERROR((M2798/(VLOOKUP(B2798,'Data Pull Sheet'!$C:$H,6,FALSE))),"DC")</f>
        <v>1.8931330714285714E-4</v>
      </c>
      <c r="O2798" s="23" t="s">
        <v>1</v>
      </c>
      <c r="P2798" s="18" t="s">
        <v>632</v>
      </c>
      <c r="Q2798" s="18" t="s">
        <v>633</v>
      </c>
      <c r="R2798" s="92" t="str">
        <f t="shared" si="90"/>
        <v/>
      </c>
      <c r="S2798" s="291"/>
      <c r="T2798" s="35"/>
    </row>
    <row r="2799" spans="1:20" x14ac:dyDescent="0.25">
      <c r="A2799" s="23" t="s">
        <v>3757</v>
      </c>
      <c r="B2799" s="18" t="s">
        <v>10717</v>
      </c>
      <c r="C2799" s="59" t="s">
        <v>418</v>
      </c>
      <c r="D2799" s="356" t="s">
        <v>10886</v>
      </c>
      <c r="E2799" s="356" t="s">
        <v>11497</v>
      </c>
      <c r="F2799" s="23" t="s">
        <v>11500</v>
      </c>
      <c r="G2799" s="59" t="s">
        <v>403</v>
      </c>
      <c r="H2799" s="353">
        <v>114966.32</v>
      </c>
      <c r="I2799" s="59" t="s">
        <v>406</v>
      </c>
      <c r="J2799" s="59" t="s">
        <v>11683</v>
      </c>
      <c r="K2799" s="20">
        <v>6</v>
      </c>
      <c r="L2799" s="20">
        <v>1</v>
      </c>
      <c r="M2799" s="357">
        <f t="shared" si="91"/>
        <v>114966.32</v>
      </c>
      <c r="N2799" s="411">
        <f>IFERROR((M2799/(VLOOKUP(B2799,'Data Pull Sheet'!$C:$H,6,FALSE))),"DC")</f>
        <v>1.1496632000000001E-3</v>
      </c>
      <c r="O2799" s="23" t="s">
        <v>63</v>
      </c>
      <c r="P2799" s="18" t="s">
        <v>632</v>
      </c>
      <c r="Q2799" s="18" t="s">
        <v>637</v>
      </c>
      <c r="R2799" s="92" t="str">
        <f t="shared" si="90"/>
        <v/>
      </c>
      <c r="S2799" s="291"/>
      <c r="T2799" s="35"/>
    </row>
    <row r="2800" spans="1:20" x14ac:dyDescent="0.25">
      <c r="A2800" s="23" t="s">
        <v>3757</v>
      </c>
      <c r="B2800" s="18" t="s">
        <v>10717</v>
      </c>
      <c r="C2800" s="59" t="s">
        <v>418</v>
      </c>
      <c r="D2800" s="356" t="s">
        <v>10886</v>
      </c>
      <c r="E2800" s="356" t="s">
        <v>11497</v>
      </c>
      <c r="F2800" s="23" t="s">
        <v>11501</v>
      </c>
      <c r="G2800" s="59" t="s">
        <v>403</v>
      </c>
      <c r="H2800" s="353">
        <v>21840</v>
      </c>
      <c r="I2800" s="59"/>
      <c r="J2800" s="59" t="s">
        <v>11684</v>
      </c>
      <c r="K2800" s="20"/>
      <c r="L2800" s="20">
        <v>1</v>
      </c>
      <c r="M2800" s="357">
        <f t="shared" si="91"/>
        <v>21840</v>
      </c>
      <c r="N2800" s="411">
        <f>IFERROR((M2800/(VLOOKUP(B2800,'Data Pull Sheet'!$C:$H,6,FALSE))),"DC")</f>
        <v>2.184E-4</v>
      </c>
      <c r="O2800" s="23" t="s">
        <v>6997</v>
      </c>
      <c r="P2800" s="18" t="s">
        <v>632</v>
      </c>
      <c r="Q2800" s="18" t="s">
        <v>637</v>
      </c>
      <c r="R2800" s="92" t="str">
        <f t="shared" si="90"/>
        <v/>
      </c>
      <c r="S2800" s="291"/>
      <c r="T2800" s="35"/>
    </row>
    <row r="2801" spans="1:20" ht="30" x14ac:dyDescent="0.25">
      <c r="A2801" s="23" t="s">
        <v>3757</v>
      </c>
      <c r="B2801" s="18" t="s">
        <v>10717</v>
      </c>
      <c r="C2801" s="59" t="s">
        <v>418</v>
      </c>
      <c r="D2801" s="356" t="s">
        <v>10886</v>
      </c>
      <c r="E2801" s="356" t="s">
        <v>11497</v>
      </c>
      <c r="F2801" s="23" t="s">
        <v>11502</v>
      </c>
      <c r="G2801" s="59" t="s">
        <v>403</v>
      </c>
      <c r="H2801" s="353">
        <v>311057.48</v>
      </c>
      <c r="I2801" s="59" t="s">
        <v>476</v>
      </c>
      <c r="J2801" s="59" t="s">
        <v>11685</v>
      </c>
      <c r="K2801" s="20"/>
      <c r="L2801" s="20">
        <v>1</v>
      </c>
      <c r="M2801" s="357">
        <f t="shared" si="91"/>
        <v>311057.48</v>
      </c>
      <c r="N2801" s="411">
        <f>IFERROR((M2801/(VLOOKUP(B2801,'Data Pull Sheet'!$C:$H,6,FALSE))),"DC")</f>
        <v>3.1105747999999999E-3</v>
      </c>
      <c r="O2801" s="23" t="s">
        <v>11503</v>
      </c>
      <c r="P2801" s="18" t="s">
        <v>632</v>
      </c>
      <c r="Q2801" s="18" t="s">
        <v>637</v>
      </c>
      <c r="R2801" s="92" t="str">
        <f t="shared" si="90"/>
        <v/>
      </c>
      <c r="S2801" s="291"/>
      <c r="T2801" s="35"/>
    </row>
    <row r="2802" spans="1:20" x14ac:dyDescent="0.25">
      <c r="A2802" s="23" t="s">
        <v>3757</v>
      </c>
      <c r="B2802" s="18" t="s">
        <v>10717</v>
      </c>
      <c r="C2802" s="59" t="s">
        <v>418</v>
      </c>
      <c r="D2802" s="356" t="s">
        <v>10886</v>
      </c>
      <c r="E2802" s="356" t="s">
        <v>11497</v>
      </c>
      <c r="F2802" s="23" t="s">
        <v>11504</v>
      </c>
      <c r="G2802" s="59" t="s">
        <v>403</v>
      </c>
      <c r="H2802" s="353">
        <v>180222.31</v>
      </c>
      <c r="I2802" s="59"/>
      <c r="J2802" s="59" t="s">
        <v>11689</v>
      </c>
      <c r="K2802" s="20"/>
      <c r="L2802" s="20">
        <v>1</v>
      </c>
      <c r="M2802" s="357">
        <f t="shared" si="91"/>
        <v>180222.31</v>
      </c>
      <c r="N2802" s="411">
        <f>IFERROR((M2802/(VLOOKUP(B2802,'Data Pull Sheet'!$C:$H,6,FALSE))),"DC")</f>
        <v>1.8022231E-3</v>
      </c>
      <c r="O2802" s="23" t="s">
        <v>11505</v>
      </c>
      <c r="P2802" s="18" t="s">
        <v>632</v>
      </c>
      <c r="Q2802" s="18" t="s">
        <v>637</v>
      </c>
      <c r="R2802" s="92" t="str">
        <f t="shared" si="90"/>
        <v/>
      </c>
      <c r="S2802" s="291"/>
      <c r="T2802" s="35"/>
    </row>
    <row r="2803" spans="1:20" x14ac:dyDescent="0.25">
      <c r="A2803" s="23" t="s">
        <v>3757</v>
      </c>
      <c r="B2803" s="18" t="s">
        <v>10717</v>
      </c>
      <c r="C2803" s="59" t="s">
        <v>418</v>
      </c>
      <c r="D2803" s="356" t="s">
        <v>10886</v>
      </c>
      <c r="E2803" s="356" t="s">
        <v>11497</v>
      </c>
      <c r="F2803" s="23" t="s">
        <v>11506</v>
      </c>
      <c r="G2803" s="59" t="s">
        <v>403</v>
      </c>
      <c r="H2803" s="353">
        <v>64208.23</v>
      </c>
      <c r="I2803" s="59" t="s">
        <v>406</v>
      </c>
      <c r="J2803" s="59" t="s">
        <v>11690</v>
      </c>
      <c r="K2803" s="20"/>
      <c r="L2803" s="20">
        <v>1</v>
      </c>
      <c r="M2803" s="357">
        <f t="shared" si="91"/>
        <v>64208.23</v>
      </c>
      <c r="N2803" s="411">
        <f>IFERROR((M2803/(VLOOKUP(B2803,'Data Pull Sheet'!$C:$H,6,FALSE))),"DC")</f>
        <v>6.4208230000000008E-4</v>
      </c>
      <c r="O2803" s="23" t="s">
        <v>407</v>
      </c>
      <c r="P2803" s="18" t="s">
        <v>632</v>
      </c>
      <c r="Q2803" s="18" t="s">
        <v>637</v>
      </c>
      <c r="R2803" s="92" t="str">
        <f t="shared" si="90"/>
        <v/>
      </c>
      <c r="S2803" s="291"/>
      <c r="T2803" s="35"/>
    </row>
    <row r="2804" spans="1:20" x14ac:dyDescent="0.25">
      <c r="A2804" s="23" t="s">
        <v>3757</v>
      </c>
      <c r="B2804" s="18" t="s">
        <v>10717</v>
      </c>
      <c r="C2804" s="59" t="s">
        <v>418</v>
      </c>
      <c r="D2804" s="356" t="s">
        <v>10886</v>
      </c>
      <c r="E2804" s="356" t="s">
        <v>11497</v>
      </c>
      <c r="F2804" s="23" t="s">
        <v>7039</v>
      </c>
      <c r="G2804" s="59" t="s">
        <v>403</v>
      </c>
      <c r="H2804" s="353">
        <v>36328.230000000003</v>
      </c>
      <c r="I2804" s="59"/>
      <c r="J2804" s="59" t="s">
        <v>11686</v>
      </c>
      <c r="K2804" s="20"/>
      <c r="L2804" s="20">
        <v>1</v>
      </c>
      <c r="M2804" s="357">
        <f t="shared" si="91"/>
        <v>36328.230000000003</v>
      </c>
      <c r="N2804" s="411">
        <f>IFERROR((M2804/(VLOOKUP(B2804,'Data Pull Sheet'!$C:$H,6,FALSE))),"DC")</f>
        <v>3.6328230000000003E-4</v>
      </c>
      <c r="O2804" s="23" t="s">
        <v>9834</v>
      </c>
      <c r="P2804" s="18" t="s">
        <v>632</v>
      </c>
      <c r="Q2804" s="18" t="s">
        <v>637</v>
      </c>
      <c r="R2804" s="92" t="str">
        <f t="shared" si="90"/>
        <v>FF</v>
      </c>
      <c r="S2804" s="291"/>
      <c r="T2804" s="35"/>
    </row>
    <row r="2805" spans="1:20" x14ac:dyDescent="0.25">
      <c r="A2805" s="23" t="s">
        <v>8872</v>
      </c>
      <c r="B2805" s="18" t="str">
        <f>IF(ISNA(VLOOKUP(A2805,'Data Pull Sheet'!$B$2:$C$1795,2,0)),"",(VLOOKUP(A2805,'Data Pull Sheet'!$B$2:$C$1795,2,0)))</f>
        <v>NXTTF</v>
      </c>
      <c r="C2805" s="59" t="s">
        <v>446</v>
      </c>
      <c r="D2805" s="356" t="s">
        <v>10915</v>
      </c>
      <c r="E2805" s="356" t="s">
        <v>11238</v>
      </c>
      <c r="F2805" s="23" t="s">
        <v>11510</v>
      </c>
      <c r="G2805" s="59" t="s">
        <v>403</v>
      </c>
      <c r="H2805" s="353">
        <v>15076.64</v>
      </c>
      <c r="I2805" s="59"/>
      <c r="J2805" s="59" t="s">
        <v>11692</v>
      </c>
      <c r="K2805" s="20">
        <v>3</v>
      </c>
      <c r="L2805" s="20">
        <v>3</v>
      </c>
      <c r="M2805" s="357">
        <f>SUM(H2805:H2807)</f>
        <v>34627.729999999996</v>
      </c>
      <c r="N2805" s="411">
        <f>IFERROR((M2805/(VLOOKUP(B2805,'Data Pull Sheet'!$C:$H,6,FALSE))),"DC")</f>
        <v>3.4627729999999997E-3</v>
      </c>
      <c r="O2805" s="23" t="s">
        <v>11505</v>
      </c>
      <c r="P2805" s="18" t="s">
        <v>632</v>
      </c>
      <c r="Q2805" s="18" t="s">
        <v>646</v>
      </c>
      <c r="R2805" s="92" t="str">
        <f t="shared" si="90"/>
        <v/>
      </c>
      <c r="S2805" s="291"/>
      <c r="T2805" s="35"/>
    </row>
    <row r="2806" spans="1:20" x14ac:dyDescent="0.25">
      <c r="A2806" s="23" t="s">
        <v>8872</v>
      </c>
      <c r="B2806" s="18" t="str">
        <f>IF(ISNA(VLOOKUP(A2806,'Data Pull Sheet'!$B$2:$C$1795,2,0)),"",(VLOOKUP(A2806,'Data Pull Sheet'!$B$2:$C$1795,2,0)))</f>
        <v>NXTTF</v>
      </c>
      <c r="C2806" s="59" t="s">
        <v>446</v>
      </c>
      <c r="D2806" s="356" t="s">
        <v>10915</v>
      </c>
      <c r="E2806" s="356" t="s">
        <v>11238</v>
      </c>
      <c r="F2806" s="23" t="s">
        <v>11511</v>
      </c>
      <c r="G2806" s="59" t="s">
        <v>403</v>
      </c>
      <c r="H2806" s="353">
        <v>8032.09</v>
      </c>
      <c r="I2806" s="59"/>
      <c r="J2806" s="59" t="s">
        <v>11693</v>
      </c>
      <c r="K2806" s="20"/>
      <c r="L2806" s="20"/>
      <c r="M2806" s="357"/>
      <c r="N2806" s="411"/>
      <c r="O2806" s="23" t="s">
        <v>11505</v>
      </c>
      <c r="P2806" s="18" t="s">
        <v>632</v>
      </c>
      <c r="Q2806" s="18" t="s">
        <v>646</v>
      </c>
      <c r="R2806" s="92" t="str">
        <f t="shared" si="90"/>
        <v/>
      </c>
      <c r="S2806" s="291"/>
      <c r="T2806" s="35"/>
    </row>
    <row r="2807" spans="1:20" x14ac:dyDescent="0.25">
      <c r="A2807" s="23" t="s">
        <v>8872</v>
      </c>
      <c r="B2807" s="18" t="str">
        <f>IF(ISNA(VLOOKUP(A2807,'Data Pull Sheet'!$B$2:$C$1795,2,0)),"",(VLOOKUP(A2807,'Data Pull Sheet'!$B$2:$C$1795,2,0)))</f>
        <v>NXTTF</v>
      </c>
      <c r="C2807" s="59" t="s">
        <v>446</v>
      </c>
      <c r="D2807" s="356" t="s">
        <v>10915</v>
      </c>
      <c r="E2807" s="356" t="s">
        <v>11238</v>
      </c>
      <c r="F2807" s="23" t="s">
        <v>11512</v>
      </c>
      <c r="G2807" s="59" t="s">
        <v>403</v>
      </c>
      <c r="H2807" s="353">
        <v>11519</v>
      </c>
      <c r="I2807" s="59"/>
      <c r="J2807" s="59" t="s">
        <v>11694</v>
      </c>
      <c r="K2807" s="20"/>
      <c r="L2807" s="20"/>
      <c r="M2807" s="357"/>
      <c r="N2807" s="411"/>
      <c r="O2807" s="23" t="s">
        <v>11505</v>
      </c>
      <c r="P2807" s="18" t="s">
        <v>632</v>
      </c>
      <c r="Q2807" s="18" t="s">
        <v>646</v>
      </c>
      <c r="R2807" s="92" t="str">
        <f t="shared" si="90"/>
        <v/>
      </c>
      <c r="S2807" s="291"/>
      <c r="T2807" s="35"/>
    </row>
    <row r="2808" spans="1:20" x14ac:dyDescent="0.25">
      <c r="A2808" s="23" t="s">
        <v>8872</v>
      </c>
      <c r="B2808" s="18" t="str">
        <f>IF(ISNA(VLOOKUP(A2808,'Data Pull Sheet'!$B$2:$C$1795,2,0)),"",(VLOOKUP(A2808,'Data Pull Sheet'!$B$2:$C$1795,2,0)))</f>
        <v>NXTTF</v>
      </c>
      <c r="C2808" s="59" t="s">
        <v>446</v>
      </c>
      <c r="D2808" s="356" t="s">
        <v>10915</v>
      </c>
      <c r="E2808" s="356" t="s">
        <v>11238</v>
      </c>
      <c r="F2808" s="23" t="s">
        <v>11513</v>
      </c>
      <c r="G2808" s="59" t="s">
        <v>403</v>
      </c>
      <c r="H2808" s="353">
        <v>25893.41</v>
      </c>
      <c r="I2808" s="59"/>
      <c r="J2808" s="59" t="s">
        <v>11695</v>
      </c>
      <c r="K2808" s="20"/>
      <c r="L2808" s="20">
        <v>1</v>
      </c>
      <c r="M2808" s="357">
        <f>+H2808</f>
        <v>25893.41</v>
      </c>
      <c r="N2808" s="411">
        <f>IFERROR((M2808/(VLOOKUP(B2808,'Data Pull Sheet'!$C:$H,6,FALSE))),"DC")</f>
        <v>2.5893409999999998E-3</v>
      </c>
      <c r="O2808" s="23" t="s">
        <v>11148</v>
      </c>
      <c r="P2808" s="18" t="s">
        <v>632</v>
      </c>
      <c r="Q2808" s="18" t="s">
        <v>637</v>
      </c>
      <c r="R2808" s="92" t="str">
        <f t="shared" si="90"/>
        <v/>
      </c>
      <c r="S2808" s="291"/>
      <c r="T2808" s="35"/>
    </row>
    <row r="2809" spans="1:20" x14ac:dyDescent="0.25">
      <c r="A2809" s="23" t="s">
        <v>8872</v>
      </c>
      <c r="B2809" s="18" t="str">
        <f>IF(ISNA(VLOOKUP(A2809,'Data Pull Sheet'!$B$2:$C$1795,2,0)),"",(VLOOKUP(A2809,'Data Pull Sheet'!$B$2:$C$1795,2,0)))</f>
        <v>NXTTF</v>
      </c>
      <c r="C2809" s="59" t="s">
        <v>446</v>
      </c>
      <c r="D2809" s="356" t="s">
        <v>10915</v>
      </c>
      <c r="E2809" s="356" t="s">
        <v>11238</v>
      </c>
      <c r="F2809" s="23" t="s">
        <v>11514</v>
      </c>
      <c r="G2809" s="59" t="s">
        <v>403</v>
      </c>
      <c r="H2809" s="353">
        <v>32099</v>
      </c>
      <c r="I2809" s="59"/>
      <c r="J2809" s="59" t="s">
        <v>11696</v>
      </c>
      <c r="K2809" s="20"/>
      <c r="L2809" s="20">
        <v>3</v>
      </c>
      <c r="M2809" s="357">
        <f>SUM(H2809:H2811)</f>
        <v>85270</v>
      </c>
      <c r="N2809" s="411">
        <f>IFERROR((M2809/(VLOOKUP(B2809,'Data Pull Sheet'!$C:$H,6,FALSE))),"DC")</f>
        <v>8.5269999999999999E-3</v>
      </c>
      <c r="O2809" s="23" t="s">
        <v>1204</v>
      </c>
      <c r="P2809" s="18" t="s">
        <v>632</v>
      </c>
      <c r="Q2809" s="18" t="s">
        <v>646</v>
      </c>
      <c r="R2809" s="92" t="str">
        <f t="shared" si="90"/>
        <v/>
      </c>
      <c r="S2809" s="291"/>
      <c r="T2809" s="35"/>
    </row>
    <row r="2810" spans="1:20" x14ac:dyDescent="0.25">
      <c r="A2810" s="23" t="s">
        <v>8872</v>
      </c>
      <c r="B2810" s="18" t="str">
        <f>IF(ISNA(VLOOKUP(A2810,'Data Pull Sheet'!$B$2:$C$1795,2,0)),"",(VLOOKUP(A2810,'Data Pull Sheet'!$B$2:$C$1795,2,0)))</f>
        <v>NXTTF</v>
      </c>
      <c r="C2810" s="59" t="s">
        <v>446</v>
      </c>
      <c r="D2810" s="356" t="s">
        <v>10915</v>
      </c>
      <c r="E2810" s="356" t="s">
        <v>11238</v>
      </c>
      <c r="F2810" s="23" t="s">
        <v>11515</v>
      </c>
      <c r="G2810" s="59" t="s">
        <v>403</v>
      </c>
      <c r="H2810" s="353">
        <v>28829</v>
      </c>
      <c r="I2810" s="59"/>
      <c r="J2810" s="59" t="s">
        <v>11697</v>
      </c>
      <c r="K2810" s="20"/>
      <c r="L2810" s="20"/>
      <c r="M2810" s="357"/>
      <c r="N2810" s="411"/>
      <c r="O2810" s="23" t="s">
        <v>1204</v>
      </c>
      <c r="P2810" s="18" t="s">
        <v>632</v>
      </c>
      <c r="Q2810" s="18" t="s">
        <v>646</v>
      </c>
      <c r="R2810" s="92" t="str">
        <f t="shared" si="90"/>
        <v/>
      </c>
      <c r="S2810" s="291"/>
      <c r="T2810" s="35"/>
    </row>
    <row r="2811" spans="1:20" x14ac:dyDescent="0.25">
      <c r="A2811" s="23" t="s">
        <v>8872</v>
      </c>
      <c r="B2811" s="18" t="str">
        <f>IF(ISNA(VLOOKUP(A2811,'Data Pull Sheet'!$B$2:$C$1795,2,0)),"",(VLOOKUP(A2811,'Data Pull Sheet'!$B$2:$C$1795,2,0)))</f>
        <v>NXTTF</v>
      </c>
      <c r="C2811" s="59" t="s">
        <v>446</v>
      </c>
      <c r="D2811" s="356" t="s">
        <v>10915</v>
      </c>
      <c r="E2811" s="356" t="s">
        <v>11238</v>
      </c>
      <c r="F2811" s="23" t="s">
        <v>11516</v>
      </c>
      <c r="G2811" s="59" t="s">
        <v>403</v>
      </c>
      <c r="H2811" s="353">
        <v>24342</v>
      </c>
      <c r="I2811" s="59"/>
      <c r="J2811" s="59" t="s">
        <v>11698</v>
      </c>
      <c r="K2811" s="20"/>
      <c r="L2811" s="20"/>
      <c r="M2811" s="357"/>
      <c r="N2811" s="411"/>
      <c r="O2811" s="23" t="s">
        <v>1204</v>
      </c>
      <c r="P2811" s="18" t="s">
        <v>632</v>
      </c>
      <c r="Q2811" s="18" t="s">
        <v>646</v>
      </c>
      <c r="R2811" s="92" t="str">
        <f t="shared" si="90"/>
        <v/>
      </c>
      <c r="S2811" s="291"/>
      <c r="T2811" s="35"/>
    </row>
    <row r="2812" spans="1:20" x14ac:dyDescent="0.25">
      <c r="A2812" s="23" t="s">
        <v>8846</v>
      </c>
      <c r="B2812" s="18" t="str">
        <f>IF(ISNA(VLOOKUP(A2812,'Data Pull Sheet'!$B$2:$C$1795,2,0)),"",(VLOOKUP(A2812,'Data Pull Sheet'!$B$2:$C$1795,2,0)))</f>
        <v>HTHT</v>
      </c>
      <c r="C2812" s="59" t="s">
        <v>446</v>
      </c>
      <c r="D2812" s="356" t="s">
        <v>11517</v>
      </c>
      <c r="E2812" s="356" t="s">
        <v>11518</v>
      </c>
      <c r="F2812" s="23" t="s">
        <v>11519</v>
      </c>
      <c r="G2812" s="59" t="s">
        <v>403</v>
      </c>
      <c r="H2812" s="353">
        <v>6321.88</v>
      </c>
      <c r="I2812" s="59"/>
      <c r="J2812" s="59" t="s">
        <v>11699</v>
      </c>
      <c r="K2812" s="20">
        <v>3</v>
      </c>
      <c r="L2812" s="20">
        <v>1</v>
      </c>
      <c r="M2812" s="357">
        <f>H2812</f>
        <v>6321.88</v>
      </c>
      <c r="N2812" s="411">
        <f>IFERROR((M2812/(VLOOKUP(B2812,'Data Pull Sheet'!$C:$H,6,FALSE))),"DC")</f>
        <v>8.4291733333333331E-5</v>
      </c>
      <c r="O2812" s="23" t="s">
        <v>682</v>
      </c>
      <c r="P2812" s="18" t="s">
        <v>632</v>
      </c>
      <c r="Q2812" s="18" t="s">
        <v>637</v>
      </c>
      <c r="R2812" s="92" t="str">
        <f t="shared" si="90"/>
        <v/>
      </c>
      <c r="S2812" s="291"/>
      <c r="T2812" s="35"/>
    </row>
    <row r="2813" spans="1:20" x14ac:dyDescent="0.25">
      <c r="A2813" s="23" t="s">
        <v>8846</v>
      </c>
      <c r="B2813" s="18" t="str">
        <f>IF(ISNA(VLOOKUP(A2813,'Data Pull Sheet'!$B$2:$C$1795,2,0)),"",(VLOOKUP(A2813,'Data Pull Sheet'!$B$2:$C$1795,2,0)))</f>
        <v>HTHT</v>
      </c>
      <c r="C2813" s="59" t="s">
        <v>446</v>
      </c>
      <c r="D2813" s="356" t="s">
        <v>11517</v>
      </c>
      <c r="E2813" s="356" t="s">
        <v>11518</v>
      </c>
      <c r="F2813" s="23" t="s">
        <v>11520</v>
      </c>
      <c r="G2813" s="59" t="s">
        <v>403</v>
      </c>
      <c r="H2813" s="353">
        <v>3267</v>
      </c>
      <c r="I2813" s="59"/>
      <c r="J2813" s="59" t="s">
        <v>11700</v>
      </c>
      <c r="K2813" s="20"/>
      <c r="L2813" s="20">
        <v>1</v>
      </c>
      <c r="M2813" s="357">
        <f>H2813</f>
        <v>3267</v>
      </c>
      <c r="N2813" s="411">
        <f>IFERROR((M2813/(VLOOKUP(B2813,'Data Pull Sheet'!$C:$H,6,FALSE))),"DC")</f>
        <v>4.3560000000000003E-5</v>
      </c>
      <c r="O2813" s="23" t="s">
        <v>79</v>
      </c>
      <c r="P2813" s="18" t="s">
        <v>632</v>
      </c>
      <c r="Q2813" s="18" t="s">
        <v>637</v>
      </c>
      <c r="R2813" s="92" t="str">
        <f t="shared" si="90"/>
        <v/>
      </c>
      <c r="S2813" s="291"/>
      <c r="T2813" s="35"/>
    </row>
    <row r="2814" spans="1:20" x14ac:dyDescent="0.25">
      <c r="A2814" s="23" t="s">
        <v>8846</v>
      </c>
      <c r="B2814" s="18" t="str">
        <f>IF(ISNA(VLOOKUP(A2814,'Data Pull Sheet'!$B$2:$C$1795,2,0)),"",(VLOOKUP(A2814,'Data Pull Sheet'!$B$2:$C$1795,2,0)))</f>
        <v>HTHT</v>
      </c>
      <c r="C2814" s="59" t="s">
        <v>446</v>
      </c>
      <c r="D2814" s="356" t="s">
        <v>11517</v>
      </c>
      <c r="E2814" s="356" t="s">
        <v>11518</v>
      </c>
      <c r="F2814" s="23" t="s">
        <v>11521</v>
      </c>
      <c r="G2814" s="59" t="s">
        <v>403</v>
      </c>
      <c r="H2814" s="353">
        <v>13568.11</v>
      </c>
      <c r="I2814" s="59"/>
      <c r="J2814" s="59" t="s">
        <v>11702</v>
      </c>
      <c r="K2814" s="20"/>
      <c r="L2814" s="20">
        <v>1</v>
      </c>
      <c r="M2814" s="357">
        <f>H2814</f>
        <v>13568.11</v>
      </c>
      <c r="N2814" s="411">
        <f>IFERROR((M2814/(VLOOKUP(B2814,'Data Pull Sheet'!$C:$H,6,FALSE))),"DC")</f>
        <v>1.8090813333333333E-4</v>
      </c>
      <c r="O2814" s="23" t="s">
        <v>597</v>
      </c>
      <c r="P2814" s="18" t="s">
        <v>632</v>
      </c>
      <c r="Q2814" s="18" t="s">
        <v>637</v>
      </c>
      <c r="R2814" s="92" t="str">
        <f t="shared" si="90"/>
        <v/>
      </c>
      <c r="S2814" s="291"/>
      <c r="T2814" s="35"/>
    </row>
    <row r="2815" spans="1:20" x14ac:dyDescent="0.25">
      <c r="A2815" s="23" t="s">
        <v>8799</v>
      </c>
      <c r="B2815" s="18" t="str">
        <f>IF(ISNA(VLOOKUP(A2815,'Data Pull Sheet'!$B$2:$C$1795,2,0)),"",(VLOOKUP(A2815,'Data Pull Sheet'!$B$2:$C$1795,2,0)))</f>
        <v>GOOG</v>
      </c>
      <c r="C2815" s="59" t="s">
        <v>457</v>
      </c>
      <c r="D2815" s="356" t="s">
        <v>11524</v>
      </c>
      <c r="E2815" s="356" t="s">
        <v>11247</v>
      </c>
      <c r="F2815" s="23" t="s">
        <v>11551</v>
      </c>
      <c r="G2815" s="59" t="s">
        <v>403</v>
      </c>
      <c r="H2815" s="353">
        <v>117898.81</v>
      </c>
      <c r="I2815" s="59"/>
      <c r="J2815" s="59" t="s">
        <v>11716</v>
      </c>
      <c r="K2815" s="20">
        <v>4</v>
      </c>
      <c r="L2815" s="20">
        <v>1</v>
      </c>
      <c r="M2815" s="357">
        <f>+H2815</f>
        <v>117898.81</v>
      </c>
      <c r="N2815" s="411">
        <f>IFERROR((M2815/(VLOOKUP(B2815,'Data Pull Sheet'!$C:$H,6,FALSE))),"DC")</f>
        <v>7.8599206666666667E-6</v>
      </c>
      <c r="O2815" s="23" t="s">
        <v>63</v>
      </c>
      <c r="P2815" s="18" t="s">
        <v>632</v>
      </c>
      <c r="Q2815" s="18" t="s">
        <v>637</v>
      </c>
      <c r="R2815" s="92" t="str">
        <f t="shared" si="90"/>
        <v/>
      </c>
      <c r="S2815" s="291"/>
      <c r="T2815" s="35"/>
    </row>
    <row r="2816" spans="1:20" ht="30" x14ac:dyDescent="0.25">
      <c r="A2816" s="23" t="s">
        <v>8799</v>
      </c>
      <c r="B2816" s="18" t="str">
        <f>IF(ISNA(VLOOKUP(A2816,'Data Pull Sheet'!$B$2:$C$1795,2,0)),"",(VLOOKUP(A2816,'Data Pull Sheet'!$B$2:$C$1795,2,0)))</f>
        <v>GOOG</v>
      </c>
      <c r="C2816" s="59" t="s">
        <v>457</v>
      </c>
      <c r="D2816" s="356" t="s">
        <v>11524</v>
      </c>
      <c r="E2816" s="356" t="s">
        <v>11247</v>
      </c>
      <c r="F2816" s="23" t="s">
        <v>4146</v>
      </c>
      <c r="G2816" s="59" t="s">
        <v>417</v>
      </c>
      <c r="H2816" s="353">
        <v>4858264.59</v>
      </c>
      <c r="I2816" s="59"/>
      <c r="J2816" s="59" t="s">
        <v>11726</v>
      </c>
      <c r="K2816" s="20"/>
      <c r="L2816" s="20">
        <v>1</v>
      </c>
      <c r="M2816" s="357">
        <f>+H2816</f>
        <v>4858264.59</v>
      </c>
      <c r="N2816" s="411">
        <f>IFERROR((M2816/(VLOOKUP(B2816,'Data Pull Sheet'!$C:$H,6,FALSE))),"DC")</f>
        <v>3.23884306E-4</v>
      </c>
      <c r="O2816" s="23" t="s">
        <v>7</v>
      </c>
      <c r="P2816" s="18" t="s">
        <v>632</v>
      </c>
      <c r="Q2816" s="18" t="s">
        <v>633</v>
      </c>
      <c r="R2816" s="92" t="str">
        <f t="shared" si="90"/>
        <v>FF</v>
      </c>
      <c r="S2816" s="291"/>
      <c r="T2816" s="35"/>
    </row>
    <row r="2817" spans="1:20" x14ac:dyDescent="0.25">
      <c r="A2817" s="23" t="s">
        <v>8799</v>
      </c>
      <c r="B2817" s="18" t="str">
        <f>IF(ISNA(VLOOKUP(A2817,'Data Pull Sheet'!$B$2:$C$1795,2,0)),"",(VLOOKUP(A2817,'Data Pull Sheet'!$B$2:$C$1795,2,0)))</f>
        <v>GOOG</v>
      </c>
      <c r="C2817" s="59" t="s">
        <v>457</v>
      </c>
      <c r="D2817" s="356" t="s">
        <v>11524</v>
      </c>
      <c r="E2817" s="356" t="s">
        <v>11247</v>
      </c>
      <c r="F2817" s="23" t="s">
        <v>11552</v>
      </c>
      <c r="G2817" s="59" t="s">
        <v>403</v>
      </c>
      <c r="H2817" s="353">
        <v>1585148.34</v>
      </c>
      <c r="I2817" s="59"/>
      <c r="J2817" s="59" t="s">
        <v>11727</v>
      </c>
      <c r="K2817" s="20"/>
      <c r="L2817" s="20">
        <v>1</v>
      </c>
      <c r="M2817" s="357">
        <f>+H2817</f>
        <v>1585148.34</v>
      </c>
      <c r="N2817" s="411">
        <f>IFERROR((M2817/(VLOOKUP(B2817,'Data Pull Sheet'!$C:$H,6,FALSE))),"DC")</f>
        <v>1.0567655600000001E-4</v>
      </c>
      <c r="O2817" s="23" t="s">
        <v>11463</v>
      </c>
      <c r="P2817" s="18" t="s">
        <v>632</v>
      </c>
      <c r="Q2817" s="18" t="s">
        <v>637</v>
      </c>
      <c r="R2817" s="92" t="str">
        <f t="shared" si="90"/>
        <v/>
      </c>
      <c r="S2817" s="291"/>
      <c r="T2817" s="35"/>
    </row>
    <row r="2818" spans="1:20" ht="30" x14ac:dyDescent="0.25">
      <c r="A2818" s="23" t="s">
        <v>8799</v>
      </c>
      <c r="B2818" s="18" t="str">
        <f>IF(ISNA(VLOOKUP(A2818,'Data Pull Sheet'!$B$2:$C$1795,2,0)),"",(VLOOKUP(A2818,'Data Pull Sheet'!$B$2:$C$1795,2,0)))</f>
        <v>GOOG</v>
      </c>
      <c r="C2818" s="59" t="s">
        <v>457</v>
      </c>
      <c r="D2818" s="356" t="s">
        <v>11524</v>
      </c>
      <c r="E2818" s="356" t="s">
        <v>11247</v>
      </c>
      <c r="F2818" s="23" t="s">
        <v>206</v>
      </c>
      <c r="G2818" s="59" t="s">
        <v>417</v>
      </c>
      <c r="H2818" s="353">
        <v>401309</v>
      </c>
      <c r="I2818" s="59" t="s">
        <v>413</v>
      </c>
      <c r="J2818" s="59" t="s">
        <v>11728</v>
      </c>
      <c r="K2818" s="20"/>
      <c r="L2818" s="20">
        <v>1</v>
      </c>
      <c r="M2818" s="357">
        <f>+H2818</f>
        <v>401309</v>
      </c>
      <c r="N2818" s="411">
        <f>IFERROR((M2818/(VLOOKUP(B2818,'Data Pull Sheet'!$C:$H,6,FALSE))),"DC")</f>
        <v>2.6753933333333335E-5</v>
      </c>
      <c r="O2818" s="23" t="s">
        <v>79</v>
      </c>
      <c r="P2818" s="18" t="s">
        <v>632</v>
      </c>
      <c r="Q2818" s="18" t="s">
        <v>633</v>
      </c>
      <c r="R2818" s="92" t="str">
        <f t="shared" ref="R2818:R2847" si="92">IF(COUNTIF(F:F,F2818)&gt;=2,"FF","")</f>
        <v>FF</v>
      </c>
      <c r="S2818" s="291"/>
      <c r="T2818" s="35"/>
    </row>
    <row r="2819" spans="1:20" x14ac:dyDescent="0.25">
      <c r="A2819" s="23" t="s">
        <v>8903</v>
      </c>
      <c r="B2819" s="18" t="str">
        <f>IF(ISNA(VLOOKUP(A2819,'Data Pull Sheet'!$B$2:$C$1795,2,0)),"",(VLOOKUP(A2819,'Data Pull Sheet'!$B$2:$C$1795,2,0)))</f>
        <v>SFIX</v>
      </c>
      <c r="C2819" s="59" t="s">
        <v>457</v>
      </c>
      <c r="D2819" s="356" t="s">
        <v>11524</v>
      </c>
      <c r="E2819" s="356" t="s">
        <v>11247</v>
      </c>
      <c r="F2819" s="23" t="s">
        <v>11540</v>
      </c>
      <c r="G2819" s="59" t="s">
        <v>403</v>
      </c>
      <c r="H2819" s="353">
        <v>184255.6</v>
      </c>
      <c r="I2819" s="59" t="s">
        <v>406</v>
      </c>
      <c r="J2819" s="59" t="s">
        <v>11717</v>
      </c>
      <c r="K2819" s="20">
        <v>5</v>
      </c>
      <c r="L2819" s="20">
        <v>3</v>
      </c>
      <c r="M2819" s="357">
        <f>SUM(H2819:H2821)</f>
        <v>1096857.94</v>
      </c>
      <c r="N2819" s="411">
        <f>IFERROR((M2819/(VLOOKUP(B2819,'Data Pull Sheet'!$C:$H,6,FALSE))),"DC")</f>
        <v>5.4842896999999996E-3</v>
      </c>
      <c r="O2819" s="23" t="s">
        <v>63</v>
      </c>
      <c r="P2819" s="18" t="s">
        <v>632</v>
      </c>
      <c r="Q2819" s="18" t="s">
        <v>646</v>
      </c>
      <c r="R2819" s="92" t="str">
        <f t="shared" si="92"/>
        <v/>
      </c>
      <c r="S2819" s="291"/>
      <c r="T2819" s="35"/>
    </row>
    <row r="2820" spans="1:20" x14ac:dyDescent="0.25">
      <c r="A2820" s="23" t="s">
        <v>8903</v>
      </c>
      <c r="B2820" s="18" t="str">
        <f>IF(ISNA(VLOOKUP(A2820,'Data Pull Sheet'!$B$2:$C$1795,2,0)),"",(VLOOKUP(A2820,'Data Pull Sheet'!$B$2:$C$1795,2,0)))</f>
        <v>SFIX</v>
      </c>
      <c r="C2820" s="59" t="s">
        <v>457</v>
      </c>
      <c r="D2820" s="356" t="s">
        <v>11524</v>
      </c>
      <c r="E2820" s="356" t="s">
        <v>11247</v>
      </c>
      <c r="F2820" s="23" t="s">
        <v>11541</v>
      </c>
      <c r="G2820" s="59" t="s">
        <v>403</v>
      </c>
      <c r="H2820" s="353">
        <v>157181.10999999999</v>
      </c>
      <c r="I2820" s="59" t="s">
        <v>406</v>
      </c>
      <c r="J2820" s="59" t="s">
        <v>11718</v>
      </c>
      <c r="K2820" s="20"/>
      <c r="L2820" s="20"/>
      <c r="M2820" s="357"/>
      <c r="N2820" s="411"/>
      <c r="O2820" s="23" t="s">
        <v>63</v>
      </c>
      <c r="P2820" s="18" t="s">
        <v>632</v>
      </c>
      <c r="Q2820" s="18" t="s">
        <v>646</v>
      </c>
      <c r="R2820" s="92" t="str">
        <f t="shared" si="92"/>
        <v/>
      </c>
      <c r="S2820" s="291"/>
      <c r="T2820" s="35"/>
    </row>
    <row r="2821" spans="1:20" x14ac:dyDescent="0.25">
      <c r="A2821" s="23" t="s">
        <v>8903</v>
      </c>
      <c r="B2821" s="18" t="str">
        <f>IF(ISNA(VLOOKUP(A2821,'Data Pull Sheet'!$B$2:$C$1795,2,0)),"",(VLOOKUP(A2821,'Data Pull Sheet'!$B$2:$C$1795,2,0)))</f>
        <v>SFIX</v>
      </c>
      <c r="C2821" s="59" t="s">
        <v>457</v>
      </c>
      <c r="D2821" s="356" t="s">
        <v>11524</v>
      </c>
      <c r="E2821" s="356" t="s">
        <v>11247</v>
      </c>
      <c r="F2821" s="23" t="s">
        <v>11542</v>
      </c>
      <c r="G2821" s="59" t="s">
        <v>403</v>
      </c>
      <c r="H2821" s="353">
        <v>755421.23</v>
      </c>
      <c r="I2821" s="59" t="s">
        <v>406</v>
      </c>
      <c r="J2821" s="59" t="s">
        <v>11719</v>
      </c>
      <c r="K2821" s="20"/>
      <c r="L2821" s="20"/>
      <c r="M2821" s="357"/>
      <c r="N2821" s="411"/>
      <c r="O2821" s="23" t="s">
        <v>63</v>
      </c>
      <c r="P2821" s="18" t="s">
        <v>632</v>
      </c>
      <c r="Q2821" s="18" t="s">
        <v>646</v>
      </c>
      <c r="R2821" s="92" t="str">
        <f t="shared" si="92"/>
        <v/>
      </c>
      <c r="S2821" s="291"/>
      <c r="T2821" s="35"/>
    </row>
    <row r="2822" spans="1:20" x14ac:dyDescent="0.25">
      <c r="A2822" s="23" t="s">
        <v>8903</v>
      </c>
      <c r="B2822" s="18" t="str">
        <f>IF(ISNA(VLOOKUP(A2822,'Data Pull Sheet'!$B$2:$C$1795,2,0)),"",(VLOOKUP(A2822,'Data Pull Sheet'!$B$2:$C$1795,2,0)))</f>
        <v>SFIX</v>
      </c>
      <c r="C2822" s="59" t="s">
        <v>457</v>
      </c>
      <c r="D2822" s="356" t="s">
        <v>11524</v>
      </c>
      <c r="E2822" s="356" t="s">
        <v>11247</v>
      </c>
      <c r="F2822" s="23" t="s">
        <v>11543</v>
      </c>
      <c r="G2822" s="59" t="s">
        <v>403</v>
      </c>
      <c r="H2822" s="353">
        <v>372500</v>
      </c>
      <c r="I2822" s="59"/>
      <c r="J2822" s="59" t="s">
        <v>11720</v>
      </c>
      <c r="K2822" s="20"/>
      <c r="L2822" s="20">
        <v>1</v>
      </c>
      <c r="M2822" s="357">
        <f>+H2822</f>
        <v>372500</v>
      </c>
      <c r="N2822" s="411">
        <f>IFERROR((M2822/(VLOOKUP(B2822,'Data Pull Sheet'!$C:$H,6,FALSE))),"DC")</f>
        <v>1.8625E-3</v>
      </c>
      <c r="O2822" s="23" t="s">
        <v>407</v>
      </c>
      <c r="P2822" s="18" t="s">
        <v>632</v>
      </c>
      <c r="Q2822" s="18" t="s">
        <v>637</v>
      </c>
      <c r="R2822" s="92" t="str">
        <f t="shared" si="92"/>
        <v/>
      </c>
      <c r="S2822" s="291"/>
      <c r="T2822" s="35"/>
    </row>
    <row r="2823" spans="1:20" x14ac:dyDescent="0.25">
      <c r="A2823" s="23" t="s">
        <v>8903</v>
      </c>
      <c r="B2823" s="18" t="str">
        <f>IF(ISNA(VLOOKUP(A2823,'Data Pull Sheet'!$B$2:$C$1795,2,0)),"",(VLOOKUP(A2823,'Data Pull Sheet'!$B$2:$C$1795,2,0)))</f>
        <v>SFIX</v>
      </c>
      <c r="C2823" s="59" t="s">
        <v>457</v>
      </c>
      <c r="D2823" s="356" t="s">
        <v>11524</v>
      </c>
      <c r="E2823" s="356" t="s">
        <v>11247</v>
      </c>
      <c r="F2823" s="23" t="s">
        <v>11544</v>
      </c>
      <c r="G2823" s="59" t="s">
        <v>403</v>
      </c>
      <c r="H2823" s="353">
        <v>115380.19</v>
      </c>
      <c r="I2823" s="59"/>
      <c r="J2823" s="59" t="s">
        <v>11715</v>
      </c>
      <c r="K2823" s="20"/>
      <c r="L2823" s="20">
        <v>1</v>
      </c>
      <c r="M2823" s="357">
        <f>+H2823</f>
        <v>115380.19</v>
      </c>
      <c r="N2823" s="411">
        <f>IFERROR((M2823/(VLOOKUP(B2823,'Data Pull Sheet'!$C:$H,6,FALSE))),"DC")</f>
        <v>5.7690094999999998E-4</v>
      </c>
      <c r="O2823" s="23" t="s">
        <v>11545</v>
      </c>
      <c r="P2823" s="18" t="s">
        <v>632</v>
      </c>
      <c r="Q2823" s="18" t="s">
        <v>637</v>
      </c>
      <c r="R2823" s="92" t="str">
        <f t="shared" si="92"/>
        <v/>
      </c>
      <c r="S2823" s="291"/>
      <c r="T2823" s="35"/>
    </row>
    <row r="2824" spans="1:20" x14ac:dyDescent="0.25">
      <c r="A2824" s="23" t="s">
        <v>8903</v>
      </c>
      <c r="B2824" s="18" t="str">
        <f>IF(ISNA(VLOOKUP(A2824,'Data Pull Sheet'!$B$2:$C$1795,2,0)),"",(VLOOKUP(A2824,'Data Pull Sheet'!$B$2:$C$1795,2,0)))</f>
        <v>SFIX</v>
      </c>
      <c r="C2824" s="59" t="s">
        <v>457</v>
      </c>
      <c r="D2824" s="356" t="s">
        <v>11524</v>
      </c>
      <c r="E2824" s="356" t="s">
        <v>11247</v>
      </c>
      <c r="F2824" s="23" t="s">
        <v>11546</v>
      </c>
      <c r="G2824" s="59" t="s">
        <v>403</v>
      </c>
      <c r="H2824" s="353">
        <v>147980.63</v>
      </c>
      <c r="I2824" s="59"/>
      <c r="J2824" s="59" t="s">
        <v>11721</v>
      </c>
      <c r="K2824" s="20"/>
      <c r="L2824" s="20">
        <v>2</v>
      </c>
      <c r="M2824" s="357">
        <f>SUM(H2824:H2825)</f>
        <v>441433.43</v>
      </c>
      <c r="N2824" s="411">
        <f>IFERROR((M2824/(VLOOKUP(B2824,'Data Pull Sheet'!$C:$H,6,FALSE))),"DC")</f>
        <v>2.2071671500000002E-3</v>
      </c>
      <c r="O2824" s="23" t="s">
        <v>11505</v>
      </c>
      <c r="P2824" s="18" t="s">
        <v>632</v>
      </c>
      <c r="Q2824" s="18" t="s">
        <v>662</v>
      </c>
      <c r="R2824" s="92" t="str">
        <f t="shared" si="92"/>
        <v/>
      </c>
      <c r="S2824" s="291"/>
      <c r="T2824" s="35"/>
    </row>
    <row r="2825" spans="1:20" x14ac:dyDescent="0.25">
      <c r="A2825" s="23" t="s">
        <v>8903</v>
      </c>
      <c r="B2825" s="18" t="str">
        <f>IF(ISNA(VLOOKUP(A2825,'Data Pull Sheet'!$B$2:$C$1795,2,0)),"",(VLOOKUP(A2825,'Data Pull Sheet'!$B$2:$C$1795,2,0)))</f>
        <v>SFIX</v>
      </c>
      <c r="C2825" s="59" t="s">
        <v>457</v>
      </c>
      <c r="D2825" s="356" t="s">
        <v>11524</v>
      </c>
      <c r="E2825" s="356" t="s">
        <v>11247</v>
      </c>
      <c r="F2825" s="23" t="s">
        <v>11547</v>
      </c>
      <c r="G2825" s="59" t="s">
        <v>417</v>
      </c>
      <c r="H2825" s="353">
        <v>293452.79999999999</v>
      </c>
      <c r="I2825" s="59"/>
      <c r="J2825" s="59" t="s">
        <v>11722</v>
      </c>
      <c r="K2825" s="20"/>
      <c r="L2825" s="20"/>
      <c r="M2825" s="357"/>
      <c r="N2825" s="411"/>
      <c r="O2825" s="23" t="s">
        <v>11505</v>
      </c>
      <c r="P2825" s="18" t="s">
        <v>632</v>
      </c>
      <c r="Q2825" s="18" t="s">
        <v>662</v>
      </c>
      <c r="R2825" s="92" t="str">
        <f t="shared" si="92"/>
        <v/>
      </c>
      <c r="S2825" s="291"/>
      <c r="T2825" s="35"/>
    </row>
    <row r="2826" spans="1:20" x14ac:dyDescent="0.25">
      <c r="A2826" s="23" t="s">
        <v>8903</v>
      </c>
      <c r="B2826" s="18" t="str">
        <f>IF(ISNA(VLOOKUP(A2826,'Data Pull Sheet'!$B$2:$C$1795,2,0)),"",(VLOOKUP(A2826,'Data Pull Sheet'!$B$2:$C$1795,2,0)))</f>
        <v>SFIX</v>
      </c>
      <c r="C2826" s="59" t="s">
        <v>457</v>
      </c>
      <c r="D2826" s="356" t="s">
        <v>11524</v>
      </c>
      <c r="E2826" s="356" t="s">
        <v>11247</v>
      </c>
      <c r="F2826" s="23" t="s">
        <v>11548</v>
      </c>
      <c r="G2826" s="59" t="s">
        <v>403</v>
      </c>
      <c r="H2826" s="353">
        <v>16824</v>
      </c>
      <c r="I2826" s="59"/>
      <c r="J2826" s="59" t="s">
        <v>11723</v>
      </c>
      <c r="K2826" s="20"/>
      <c r="L2826" s="20">
        <v>3</v>
      </c>
      <c r="M2826" s="357">
        <f>SUM(H2826:H2828)</f>
        <v>49420</v>
      </c>
      <c r="N2826" s="411">
        <f>IFERROR((M2826/(VLOOKUP(B2826,'Data Pull Sheet'!$C:$H,6,FALSE))),"DC")</f>
        <v>2.4709999999999999E-4</v>
      </c>
      <c r="O2826" s="23" t="s">
        <v>1204</v>
      </c>
      <c r="P2826" s="18" t="s">
        <v>632</v>
      </c>
      <c r="Q2826" s="18" t="s">
        <v>646</v>
      </c>
      <c r="R2826" s="92" t="str">
        <f t="shared" si="92"/>
        <v/>
      </c>
      <c r="S2826" s="291"/>
      <c r="T2826" s="35"/>
    </row>
    <row r="2827" spans="1:20" x14ac:dyDescent="0.25">
      <c r="A2827" s="23" t="s">
        <v>8903</v>
      </c>
      <c r="B2827" s="18" t="str">
        <f>IF(ISNA(VLOOKUP(A2827,'Data Pull Sheet'!$B$2:$C$1795,2,0)),"",(VLOOKUP(A2827,'Data Pull Sheet'!$B$2:$C$1795,2,0)))</f>
        <v>SFIX</v>
      </c>
      <c r="C2827" s="59" t="s">
        <v>457</v>
      </c>
      <c r="D2827" s="356" t="s">
        <v>11524</v>
      </c>
      <c r="E2827" s="356" t="s">
        <v>11247</v>
      </c>
      <c r="F2827" s="23" t="s">
        <v>11549</v>
      </c>
      <c r="G2827" s="59" t="s">
        <v>403</v>
      </c>
      <c r="H2827" s="353">
        <v>12680</v>
      </c>
      <c r="I2827" s="59"/>
      <c r="J2827" s="59" t="s">
        <v>11724</v>
      </c>
      <c r="K2827" s="20"/>
      <c r="L2827" s="20"/>
      <c r="M2827" s="357"/>
      <c r="N2827" s="411"/>
      <c r="O2827" s="23" t="s">
        <v>1204</v>
      </c>
      <c r="P2827" s="18" t="s">
        <v>632</v>
      </c>
      <c r="Q2827" s="18" t="s">
        <v>646</v>
      </c>
      <c r="R2827" s="92" t="str">
        <f t="shared" si="92"/>
        <v/>
      </c>
      <c r="S2827" s="291"/>
      <c r="T2827" s="35"/>
    </row>
    <row r="2828" spans="1:20" x14ac:dyDescent="0.25">
      <c r="A2828" s="23" t="s">
        <v>8903</v>
      </c>
      <c r="B2828" s="18" t="str">
        <f>IF(ISNA(VLOOKUP(A2828,'Data Pull Sheet'!$B$2:$C$1795,2,0)),"",(VLOOKUP(A2828,'Data Pull Sheet'!$B$2:$C$1795,2,0)))</f>
        <v>SFIX</v>
      </c>
      <c r="C2828" s="59" t="s">
        <v>457</v>
      </c>
      <c r="D2828" s="356" t="s">
        <v>11524</v>
      </c>
      <c r="E2828" s="356" t="s">
        <v>11247</v>
      </c>
      <c r="F2828" s="23" t="s">
        <v>11550</v>
      </c>
      <c r="G2828" s="59" t="s">
        <v>403</v>
      </c>
      <c r="H2828" s="353">
        <v>19916</v>
      </c>
      <c r="I2828" s="59"/>
      <c r="J2828" s="59" t="s">
        <v>11725</v>
      </c>
      <c r="K2828" s="20"/>
      <c r="L2828" s="20"/>
      <c r="M2828" s="357"/>
      <c r="N2828" s="411"/>
      <c r="O2828" s="23" t="s">
        <v>1204</v>
      </c>
      <c r="P2828" s="18" t="s">
        <v>632</v>
      </c>
      <c r="Q2828" s="18" t="s">
        <v>646</v>
      </c>
      <c r="R2828" s="92" t="str">
        <f t="shared" si="92"/>
        <v/>
      </c>
      <c r="S2828" s="291"/>
      <c r="T2828" s="35"/>
    </row>
    <row r="2829" spans="1:20" x14ac:dyDescent="0.25">
      <c r="A2829" s="23" t="s">
        <v>8910</v>
      </c>
      <c r="B2829" s="18" t="str">
        <f>IF(ISNA(VLOOKUP(A2829,'Data Pull Sheet'!$B$2:$C$1795,2,0)),"",(VLOOKUP(A2829,'Data Pull Sheet'!$B$2:$C$1795,2,0)))</f>
        <v>TRVN</v>
      </c>
      <c r="C2829" s="59" t="s">
        <v>542</v>
      </c>
      <c r="D2829" s="356" t="s">
        <v>11524</v>
      </c>
      <c r="E2829" s="356" t="s">
        <v>11247</v>
      </c>
      <c r="F2829" s="23" t="s">
        <v>11525</v>
      </c>
      <c r="G2829" s="59" t="s">
        <v>403</v>
      </c>
      <c r="H2829" s="353">
        <v>205654.53</v>
      </c>
      <c r="I2829" s="59"/>
      <c r="J2829" s="59" t="s">
        <v>11703</v>
      </c>
      <c r="K2829" s="20">
        <v>5</v>
      </c>
      <c r="L2829" s="20">
        <v>1</v>
      </c>
      <c r="M2829" s="357">
        <f>+H2829</f>
        <v>205654.53</v>
      </c>
      <c r="N2829" s="411">
        <f>IFERROR((M2829/(VLOOKUP(B2829,'Data Pull Sheet'!$C:$H,6,FALSE))),"DC")</f>
        <v>1.6452362399999999E-3</v>
      </c>
      <c r="O2829" s="23" t="s">
        <v>682</v>
      </c>
      <c r="P2829" s="18" t="s">
        <v>632</v>
      </c>
      <c r="Q2829" s="18" t="s">
        <v>637</v>
      </c>
      <c r="R2829" s="92" t="str">
        <f t="shared" si="92"/>
        <v/>
      </c>
      <c r="S2829" s="291"/>
      <c r="T2829" s="35"/>
    </row>
    <row r="2830" spans="1:20" ht="30" x14ac:dyDescent="0.25">
      <c r="A2830" s="23" t="s">
        <v>8910</v>
      </c>
      <c r="B2830" s="18" t="str">
        <f>IF(ISNA(VLOOKUP(A2830,'Data Pull Sheet'!$B$2:$C$1795,2,0)),"",(VLOOKUP(A2830,'Data Pull Sheet'!$B$2:$C$1795,2,0)))</f>
        <v>TRVN</v>
      </c>
      <c r="C2830" s="59" t="s">
        <v>542</v>
      </c>
      <c r="D2830" s="356" t="s">
        <v>11524</v>
      </c>
      <c r="E2830" s="356" t="s">
        <v>11247</v>
      </c>
      <c r="F2830" s="23" t="s">
        <v>11526</v>
      </c>
      <c r="G2830" s="59" t="s">
        <v>403</v>
      </c>
      <c r="H2830" s="353">
        <v>125581.6</v>
      </c>
      <c r="I2830" s="59"/>
      <c r="J2830" s="59" t="s">
        <v>11701</v>
      </c>
      <c r="K2830" s="20"/>
      <c r="L2830" s="20">
        <v>1</v>
      </c>
      <c r="M2830" s="357">
        <f>+H2830</f>
        <v>125581.6</v>
      </c>
      <c r="N2830" s="411">
        <f>IFERROR((M2830/(VLOOKUP(B2830,'Data Pull Sheet'!$C:$H,6,FALSE))),"DC")</f>
        <v>1.0046528E-3</v>
      </c>
      <c r="O2830" s="23" t="s">
        <v>11527</v>
      </c>
      <c r="P2830" s="18" t="s">
        <v>632</v>
      </c>
      <c r="Q2830" s="18" t="s">
        <v>637</v>
      </c>
      <c r="R2830" s="92" t="str">
        <f t="shared" si="92"/>
        <v/>
      </c>
      <c r="S2830" s="291"/>
      <c r="T2830" s="35"/>
    </row>
    <row r="2831" spans="1:20" x14ac:dyDescent="0.25">
      <c r="A2831" s="23" t="s">
        <v>8910</v>
      </c>
      <c r="B2831" s="18" t="str">
        <f>IF(ISNA(VLOOKUP(A2831,'Data Pull Sheet'!$B$2:$C$1795,2,0)),"",(VLOOKUP(A2831,'Data Pull Sheet'!$B$2:$C$1795,2,0)))</f>
        <v>TRVN</v>
      </c>
      <c r="C2831" s="59" t="s">
        <v>542</v>
      </c>
      <c r="D2831" s="356" t="s">
        <v>11524</v>
      </c>
      <c r="E2831" s="356" t="s">
        <v>11247</v>
      </c>
      <c r="F2831" s="23" t="s">
        <v>11528</v>
      </c>
      <c r="G2831" s="59" t="s">
        <v>403</v>
      </c>
      <c r="H2831" s="353">
        <v>37836.75</v>
      </c>
      <c r="I2831" s="59"/>
      <c r="J2831" s="59" t="s">
        <v>11705</v>
      </c>
      <c r="K2831" s="20"/>
      <c r="L2831" s="20">
        <v>5</v>
      </c>
      <c r="M2831" s="357">
        <f>SUM(H2831:H2835)</f>
        <v>127364.41</v>
      </c>
      <c r="N2831" s="411">
        <f>IFERROR((M2831/(VLOOKUP(B2831,'Data Pull Sheet'!$C:$H,6,FALSE))),"DC")</f>
        <v>1.01891528E-3</v>
      </c>
      <c r="O2831" s="23" t="s">
        <v>11529</v>
      </c>
      <c r="P2831" s="18" t="s">
        <v>632</v>
      </c>
      <c r="Q2831" s="18" t="s">
        <v>646</v>
      </c>
      <c r="R2831" s="92" t="str">
        <f t="shared" si="92"/>
        <v/>
      </c>
      <c r="S2831" s="291"/>
      <c r="T2831" s="35"/>
    </row>
    <row r="2832" spans="1:20" x14ac:dyDescent="0.25">
      <c r="A2832" s="23" t="s">
        <v>8910</v>
      </c>
      <c r="B2832" s="18" t="str">
        <f>IF(ISNA(VLOOKUP(A2832,'Data Pull Sheet'!$B$2:$C$1795,2,0)),"",(VLOOKUP(A2832,'Data Pull Sheet'!$B$2:$C$1795,2,0)))</f>
        <v>TRVN</v>
      </c>
      <c r="C2832" s="59" t="s">
        <v>542</v>
      </c>
      <c r="D2832" s="356" t="s">
        <v>11524</v>
      </c>
      <c r="E2832" s="356" t="s">
        <v>11247</v>
      </c>
      <c r="F2832" s="23" t="s">
        <v>11530</v>
      </c>
      <c r="G2832" s="59" t="s">
        <v>403</v>
      </c>
      <c r="H2832" s="353">
        <v>10300</v>
      </c>
      <c r="I2832" s="59"/>
      <c r="J2832" s="59" t="s">
        <v>11706</v>
      </c>
      <c r="K2832" s="20"/>
      <c r="L2832" s="20"/>
      <c r="M2832" s="357"/>
      <c r="N2832" s="411"/>
      <c r="O2832" s="23" t="s">
        <v>11529</v>
      </c>
      <c r="P2832" s="18" t="s">
        <v>632</v>
      </c>
      <c r="Q2832" s="18" t="s">
        <v>646</v>
      </c>
      <c r="R2832" s="92" t="str">
        <f t="shared" si="92"/>
        <v/>
      </c>
      <c r="S2832" s="291"/>
      <c r="T2832" s="35"/>
    </row>
    <row r="2833" spans="1:20" x14ac:dyDescent="0.25">
      <c r="A2833" s="23" t="s">
        <v>8910</v>
      </c>
      <c r="B2833" s="18" t="str">
        <f>IF(ISNA(VLOOKUP(A2833,'Data Pull Sheet'!$B$2:$C$1795,2,0)),"",(VLOOKUP(A2833,'Data Pull Sheet'!$B$2:$C$1795,2,0)))</f>
        <v>TRVN</v>
      </c>
      <c r="C2833" s="59" t="s">
        <v>542</v>
      </c>
      <c r="D2833" s="356" t="s">
        <v>11524</v>
      </c>
      <c r="E2833" s="356" t="s">
        <v>11247</v>
      </c>
      <c r="F2833" s="23" t="s">
        <v>11531</v>
      </c>
      <c r="G2833" s="59" t="s">
        <v>403</v>
      </c>
      <c r="H2833" s="353">
        <v>12267</v>
      </c>
      <c r="I2833" s="59"/>
      <c r="J2833" s="59" t="s">
        <v>11708</v>
      </c>
      <c r="K2833" s="20"/>
      <c r="L2833" s="20"/>
      <c r="M2833" s="357"/>
      <c r="N2833" s="411"/>
      <c r="O2833" s="23" t="s">
        <v>11529</v>
      </c>
      <c r="P2833" s="18" t="s">
        <v>632</v>
      </c>
      <c r="Q2833" s="18" t="s">
        <v>646</v>
      </c>
      <c r="R2833" s="92" t="str">
        <f t="shared" si="92"/>
        <v/>
      </c>
      <c r="S2833" s="291"/>
      <c r="T2833" s="35"/>
    </row>
    <row r="2834" spans="1:20" x14ac:dyDescent="0.25">
      <c r="A2834" s="23" t="s">
        <v>8910</v>
      </c>
      <c r="B2834" s="18" t="str">
        <f>IF(ISNA(VLOOKUP(A2834,'Data Pull Sheet'!$B$2:$C$1795,2,0)),"",(VLOOKUP(A2834,'Data Pull Sheet'!$B$2:$C$1795,2,0)))</f>
        <v>TRVN</v>
      </c>
      <c r="C2834" s="59" t="s">
        <v>542</v>
      </c>
      <c r="D2834" s="356" t="s">
        <v>11524</v>
      </c>
      <c r="E2834" s="356" t="s">
        <v>11247</v>
      </c>
      <c r="F2834" s="23" t="s">
        <v>11532</v>
      </c>
      <c r="G2834" s="59" t="s">
        <v>403</v>
      </c>
      <c r="H2834" s="353">
        <v>15928</v>
      </c>
      <c r="I2834" s="59"/>
      <c r="J2834" s="59" t="s">
        <v>11709</v>
      </c>
      <c r="K2834" s="20"/>
      <c r="L2834" s="20"/>
      <c r="M2834" s="357"/>
      <c r="N2834" s="411"/>
      <c r="O2834" s="23" t="s">
        <v>11529</v>
      </c>
      <c r="P2834" s="18" t="s">
        <v>632</v>
      </c>
      <c r="Q2834" s="18" t="s">
        <v>646</v>
      </c>
      <c r="R2834" s="92" t="str">
        <f t="shared" si="92"/>
        <v/>
      </c>
      <c r="S2834" s="291"/>
      <c r="T2834" s="35"/>
    </row>
    <row r="2835" spans="1:20" x14ac:dyDescent="0.25">
      <c r="A2835" s="23" t="s">
        <v>8910</v>
      </c>
      <c r="B2835" s="18" t="str">
        <f>IF(ISNA(VLOOKUP(A2835,'Data Pull Sheet'!$B$2:$C$1795,2,0)),"",(VLOOKUP(A2835,'Data Pull Sheet'!$B$2:$C$1795,2,0)))</f>
        <v>TRVN</v>
      </c>
      <c r="C2835" s="59" t="s">
        <v>542</v>
      </c>
      <c r="D2835" s="356" t="s">
        <v>11524</v>
      </c>
      <c r="E2835" s="356" t="s">
        <v>11247</v>
      </c>
      <c r="F2835" s="23" t="s">
        <v>11533</v>
      </c>
      <c r="G2835" s="59" t="s">
        <v>403</v>
      </c>
      <c r="H2835" s="353">
        <v>51032.66</v>
      </c>
      <c r="I2835" s="59"/>
      <c r="J2835" s="59" t="s">
        <v>11707</v>
      </c>
      <c r="K2835" s="20"/>
      <c r="L2835" s="20"/>
      <c r="M2835" s="357"/>
      <c r="N2835" s="411"/>
      <c r="O2835" s="23" t="s">
        <v>11529</v>
      </c>
      <c r="P2835" s="18" t="s">
        <v>632</v>
      </c>
      <c r="Q2835" s="18" t="s">
        <v>646</v>
      </c>
      <c r="R2835" s="92" t="str">
        <f t="shared" si="92"/>
        <v/>
      </c>
      <c r="S2835" s="291"/>
      <c r="T2835" s="35"/>
    </row>
    <row r="2836" spans="1:20" ht="30" x14ac:dyDescent="0.25">
      <c r="A2836" s="23" t="s">
        <v>8910</v>
      </c>
      <c r="B2836" s="18" t="str">
        <f>IF(ISNA(VLOOKUP(A2836,'Data Pull Sheet'!$B$2:$C$1795,2,0)),"",(VLOOKUP(A2836,'Data Pull Sheet'!$B$2:$C$1795,2,0)))</f>
        <v>TRVN</v>
      </c>
      <c r="C2836" s="59" t="s">
        <v>542</v>
      </c>
      <c r="D2836" s="356" t="s">
        <v>11524</v>
      </c>
      <c r="E2836" s="356" t="s">
        <v>11247</v>
      </c>
      <c r="F2836" s="23" t="s">
        <v>11534</v>
      </c>
      <c r="G2836" s="59" t="s">
        <v>403</v>
      </c>
      <c r="H2836" s="353">
        <v>134207.31</v>
      </c>
      <c r="I2836" s="59" t="s">
        <v>442</v>
      </c>
      <c r="J2836" s="59" t="s">
        <v>11710</v>
      </c>
      <c r="K2836" s="20"/>
      <c r="L2836" s="20">
        <v>5</v>
      </c>
      <c r="M2836" s="357">
        <f>SUM(H2836:H2840)</f>
        <v>485972.97000000003</v>
      </c>
      <c r="N2836" s="411">
        <f>IFERROR((M2836/(VLOOKUP(B2836,'Data Pull Sheet'!$C:$H,6,FALSE))),"DC")</f>
        <v>3.8877837600000001E-3</v>
      </c>
      <c r="O2836" s="23" t="s">
        <v>11572</v>
      </c>
      <c r="P2836" s="18" t="s">
        <v>632</v>
      </c>
      <c r="Q2836" s="18" t="s">
        <v>646</v>
      </c>
      <c r="R2836" s="92" t="str">
        <f t="shared" si="92"/>
        <v/>
      </c>
      <c r="S2836" s="291"/>
      <c r="T2836" s="35"/>
    </row>
    <row r="2837" spans="1:20" ht="30" x14ac:dyDescent="0.25">
      <c r="A2837" s="23" t="s">
        <v>8910</v>
      </c>
      <c r="B2837" s="18" t="str">
        <f>IF(ISNA(VLOOKUP(A2837,'Data Pull Sheet'!$B$2:$C$1795,2,0)),"",(VLOOKUP(A2837,'Data Pull Sheet'!$B$2:$C$1795,2,0)))</f>
        <v>TRVN</v>
      </c>
      <c r="C2837" s="59" t="s">
        <v>542</v>
      </c>
      <c r="D2837" s="356" t="s">
        <v>11524</v>
      </c>
      <c r="E2837" s="356" t="s">
        <v>11247</v>
      </c>
      <c r="F2837" s="23" t="s">
        <v>11535</v>
      </c>
      <c r="G2837" s="59" t="s">
        <v>403</v>
      </c>
      <c r="H2837" s="353">
        <v>77156.56</v>
      </c>
      <c r="I2837" s="59" t="s">
        <v>442</v>
      </c>
      <c r="J2837" s="59" t="s">
        <v>11711</v>
      </c>
      <c r="K2837" s="20"/>
      <c r="L2837" s="20"/>
      <c r="M2837" s="357"/>
      <c r="N2837" s="411"/>
      <c r="O2837" s="23" t="s">
        <v>11572</v>
      </c>
      <c r="P2837" s="18" t="s">
        <v>632</v>
      </c>
      <c r="Q2837" s="18" t="s">
        <v>646</v>
      </c>
      <c r="R2837" s="92" t="str">
        <f t="shared" si="92"/>
        <v/>
      </c>
      <c r="S2837" s="291"/>
      <c r="T2837" s="35"/>
    </row>
    <row r="2838" spans="1:20" ht="30" x14ac:dyDescent="0.25">
      <c r="A2838" s="23" t="s">
        <v>8910</v>
      </c>
      <c r="B2838" s="18" t="str">
        <f>IF(ISNA(VLOOKUP(A2838,'Data Pull Sheet'!$B$2:$C$1795,2,0)),"",(VLOOKUP(A2838,'Data Pull Sheet'!$B$2:$C$1795,2,0)))</f>
        <v>TRVN</v>
      </c>
      <c r="C2838" s="59" t="s">
        <v>542</v>
      </c>
      <c r="D2838" s="356" t="s">
        <v>11524</v>
      </c>
      <c r="E2838" s="356" t="s">
        <v>11247</v>
      </c>
      <c r="F2838" s="23" t="s">
        <v>11536</v>
      </c>
      <c r="G2838" s="59" t="s">
        <v>403</v>
      </c>
      <c r="H2838" s="353">
        <v>79815.53</v>
      </c>
      <c r="I2838" s="59" t="s">
        <v>442</v>
      </c>
      <c r="J2838" s="59" t="s">
        <v>11712</v>
      </c>
      <c r="K2838" s="20"/>
      <c r="L2838" s="20"/>
      <c r="M2838" s="357"/>
      <c r="N2838" s="411"/>
      <c r="O2838" s="23" t="s">
        <v>11572</v>
      </c>
      <c r="P2838" s="18" t="s">
        <v>632</v>
      </c>
      <c r="Q2838" s="18" t="s">
        <v>646</v>
      </c>
      <c r="R2838" s="92" t="str">
        <f t="shared" si="92"/>
        <v/>
      </c>
      <c r="S2838" s="291"/>
      <c r="T2838" s="35"/>
    </row>
    <row r="2839" spans="1:20" ht="30" x14ac:dyDescent="0.25">
      <c r="A2839" s="23" t="s">
        <v>8910</v>
      </c>
      <c r="B2839" s="18" t="str">
        <f>IF(ISNA(VLOOKUP(A2839,'Data Pull Sheet'!$B$2:$C$1795,2,0)),"",(VLOOKUP(A2839,'Data Pull Sheet'!$B$2:$C$1795,2,0)))</f>
        <v>TRVN</v>
      </c>
      <c r="C2839" s="59" t="s">
        <v>542</v>
      </c>
      <c r="D2839" s="356" t="s">
        <v>11524</v>
      </c>
      <c r="E2839" s="356" t="s">
        <v>11247</v>
      </c>
      <c r="F2839" s="23" t="s">
        <v>11537</v>
      </c>
      <c r="G2839" s="59" t="s">
        <v>403</v>
      </c>
      <c r="H2839" s="353">
        <v>100019.93</v>
      </c>
      <c r="I2839" s="59" t="s">
        <v>442</v>
      </c>
      <c r="J2839" s="59" t="s">
        <v>11713</v>
      </c>
      <c r="K2839" s="20"/>
      <c r="L2839" s="20"/>
      <c r="M2839" s="357"/>
      <c r="N2839" s="411"/>
      <c r="O2839" s="23" t="s">
        <v>11572</v>
      </c>
      <c r="P2839" s="18" t="s">
        <v>632</v>
      </c>
      <c r="Q2839" s="18" t="s">
        <v>646</v>
      </c>
      <c r="R2839" s="92" t="str">
        <f t="shared" si="92"/>
        <v/>
      </c>
      <c r="S2839" s="291"/>
      <c r="T2839" s="35"/>
    </row>
    <row r="2840" spans="1:20" ht="30" x14ac:dyDescent="0.25">
      <c r="A2840" s="23" t="s">
        <v>8910</v>
      </c>
      <c r="B2840" s="18" t="str">
        <f>IF(ISNA(VLOOKUP(A2840,'Data Pull Sheet'!$B$2:$C$1795,2,0)),"",(VLOOKUP(A2840,'Data Pull Sheet'!$B$2:$C$1795,2,0)))</f>
        <v>TRVN</v>
      </c>
      <c r="C2840" s="59" t="s">
        <v>542</v>
      </c>
      <c r="D2840" s="356" t="s">
        <v>11524</v>
      </c>
      <c r="E2840" s="356" t="s">
        <v>11247</v>
      </c>
      <c r="F2840" s="23" t="s">
        <v>11538</v>
      </c>
      <c r="G2840" s="59" t="s">
        <v>403</v>
      </c>
      <c r="H2840" s="353">
        <v>94773.64</v>
      </c>
      <c r="I2840" s="59" t="s">
        <v>442</v>
      </c>
      <c r="J2840" s="59" t="s">
        <v>11714</v>
      </c>
      <c r="K2840" s="20"/>
      <c r="L2840" s="20"/>
      <c r="M2840" s="357"/>
      <c r="N2840" s="411"/>
      <c r="O2840" s="23" t="s">
        <v>11572</v>
      </c>
      <c r="P2840" s="18" t="s">
        <v>632</v>
      </c>
      <c r="Q2840" s="18" t="s">
        <v>646</v>
      </c>
      <c r="R2840" s="92" t="str">
        <f t="shared" si="92"/>
        <v/>
      </c>
      <c r="S2840" s="291"/>
      <c r="T2840" s="35"/>
    </row>
    <row r="2841" spans="1:20" x14ac:dyDescent="0.25">
      <c r="A2841" s="23" t="s">
        <v>8910</v>
      </c>
      <c r="B2841" s="18" t="str">
        <f>IF(ISNA(VLOOKUP(A2841,'Data Pull Sheet'!$B$2:$C$1795,2,0)),"",(VLOOKUP(A2841,'Data Pull Sheet'!$B$2:$C$1795,2,0)))</f>
        <v>TRVN</v>
      </c>
      <c r="C2841" s="59" t="s">
        <v>542</v>
      </c>
      <c r="D2841" s="356" t="s">
        <v>11524</v>
      </c>
      <c r="E2841" s="356" t="s">
        <v>11247</v>
      </c>
      <c r="F2841" s="23" t="s">
        <v>11539</v>
      </c>
      <c r="G2841" s="59" t="s">
        <v>403</v>
      </c>
      <c r="H2841" s="353">
        <v>552075.43000000005</v>
      </c>
      <c r="I2841" s="59"/>
      <c r="J2841" s="59" t="s">
        <v>11704</v>
      </c>
      <c r="K2841" s="20"/>
      <c r="L2841" s="20">
        <v>1</v>
      </c>
      <c r="M2841" s="357">
        <f>+H2841</f>
        <v>552075.43000000005</v>
      </c>
      <c r="N2841" s="411">
        <f>IFERROR((M2841/(VLOOKUP(B2841,'Data Pull Sheet'!$C:$H,6,FALSE))),"DC")</f>
        <v>4.4166034400000007E-3</v>
      </c>
      <c r="O2841" s="23" t="s">
        <v>2543</v>
      </c>
      <c r="P2841" s="18" t="s">
        <v>632</v>
      </c>
      <c r="Q2841" s="18" t="s">
        <v>637</v>
      </c>
      <c r="R2841" s="92" t="str">
        <f t="shared" si="92"/>
        <v/>
      </c>
      <c r="S2841" s="291"/>
      <c r="T2841" s="35"/>
    </row>
    <row r="2842" spans="1:20" x14ac:dyDescent="0.25">
      <c r="A2842" s="23" t="s">
        <v>8814</v>
      </c>
      <c r="B2842" s="18" t="str">
        <f>IF(ISNA(VLOOKUP(A2842,'Data Pull Sheet'!$B$2:$C$1795,2,0)),"",(VLOOKUP(A2842,'Data Pull Sheet'!$B$2:$C$1795,2,0)))</f>
        <v>CWH</v>
      </c>
      <c r="C2842" s="59" t="s">
        <v>465</v>
      </c>
      <c r="D2842" s="356">
        <v>43392</v>
      </c>
      <c r="E2842" s="356">
        <v>43452</v>
      </c>
      <c r="F2842" s="23" t="s">
        <v>141</v>
      </c>
      <c r="G2842" s="59" t="s">
        <v>417</v>
      </c>
      <c r="H2842" s="353">
        <v>1076843.58</v>
      </c>
      <c r="I2842" s="59"/>
      <c r="J2842" s="59" t="s">
        <v>11751</v>
      </c>
      <c r="K2842" s="20">
        <v>4</v>
      </c>
      <c r="L2842" s="20">
        <v>1</v>
      </c>
      <c r="M2842" s="357">
        <f>+H2842</f>
        <v>1076843.58</v>
      </c>
      <c r="N2842" s="411">
        <f>IFERROR((M2842/(VLOOKUP(B2842,'Data Pull Sheet'!$C:$H,6,FALSE))),"DC")</f>
        <v>4.1417060769230775E-3</v>
      </c>
      <c r="O2842" s="23" t="s">
        <v>9839</v>
      </c>
      <c r="P2842" s="86" t="s">
        <v>632</v>
      </c>
      <c r="Q2842" s="18" t="s">
        <v>633</v>
      </c>
      <c r="R2842" s="92" t="str">
        <f t="shared" si="92"/>
        <v>FF</v>
      </c>
      <c r="S2842" s="291"/>
      <c r="T2842" s="35"/>
    </row>
    <row r="2843" spans="1:20" ht="30" x14ac:dyDescent="0.25">
      <c r="A2843" s="23" t="s">
        <v>8814</v>
      </c>
      <c r="B2843" s="18" t="str">
        <f>IF(ISNA(VLOOKUP(A2843,'Data Pull Sheet'!$B$2:$C$1795,2,0)),"",(VLOOKUP(A2843,'Data Pull Sheet'!$B$2:$C$1795,2,0)))</f>
        <v>CWH</v>
      </c>
      <c r="C2843" s="59" t="s">
        <v>465</v>
      </c>
      <c r="D2843" s="356">
        <v>43392</v>
      </c>
      <c r="E2843" s="356">
        <v>43452</v>
      </c>
      <c r="F2843" s="23" t="s">
        <v>3361</v>
      </c>
      <c r="G2843" s="59" t="s">
        <v>417</v>
      </c>
      <c r="H2843" s="353">
        <v>181173.61</v>
      </c>
      <c r="I2843" s="59"/>
      <c r="J2843" s="59" t="s">
        <v>11752</v>
      </c>
      <c r="K2843" s="20"/>
      <c r="L2843" s="20">
        <v>2</v>
      </c>
      <c r="M2843" s="357">
        <f>SUM(H2843:H2844)</f>
        <v>460483.13</v>
      </c>
      <c r="N2843" s="411">
        <f>IFERROR((M2843/(VLOOKUP(B2843,'Data Pull Sheet'!$C:$H,6,FALSE))),"DC")</f>
        <v>1.7710889615384616E-3</v>
      </c>
      <c r="O2843" s="23" t="s">
        <v>993</v>
      </c>
      <c r="P2843" s="18" t="s">
        <v>632</v>
      </c>
      <c r="Q2843" s="18" t="s">
        <v>640</v>
      </c>
      <c r="R2843" s="92" t="str">
        <f t="shared" si="92"/>
        <v>FF</v>
      </c>
      <c r="S2843" s="291"/>
      <c r="T2843" s="35"/>
    </row>
    <row r="2844" spans="1:20" ht="30" x14ac:dyDescent="0.25">
      <c r="A2844" s="23" t="s">
        <v>8814</v>
      </c>
      <c r="B2844" s="18" t="str">
        <f>IF(ISNA(VLOOKUP(A2844,'Data Pull Sheet'!$B$2:$C$1795,2,0)),"",(VLOOKUP(A2844,'Data Pull Sheet'!$B$2:$C$1795,2,0)))</f>
        <v>CWH</v>
      </c>
      <c r="C2844" s="59" t="s">
        <v>465</v>
      </c>
      <c r="D2844" s="356">
        <v>43392</v>
      </c>
      <c r="E2844" s="356">
        <v>43452</v>
      </c>
      <c r="F2844" s="23" t="s">
        <v>280</v>
      </c>
      <c r="G2844" s="59" t="s">
        <v>417</v>
      </c>
      <c r="H2844" s="353">
        <v>279309.52</v>
      </c>
      <c r="I2844" s="59"/>
      <c r="J2844" s="59" t="s">
        <v>11753</v>
      </c>
      <c r="K2844" s="20"/>
      <c r="L2844" s="20"/>
      <c r="M2844" s="357"/>
      <c r="N2844" s="411"/>
      <c r="O2844" s="23" t="s">
        <v>993</v>
      </c>
      <c r="P2844" s="18" t="s">
        <v>632</v>
      </c>
      <c r="Q2844" s="18" t="s">
        <v>640</v>
      </c>
      <c r="R2844" s="92" t="str">
        <f t="shared" si="92"/>
        <v>FF</v>
      </c>
      <c r="S2844" s="291"/>
      <c r="T2844" s="35"/>
    </row>
    <row r="2845" spans="1:20" ht="30" x14ac:dyDescent="0.25">
      <c r="A2845" s="23" t="s">
        <v>8814</v>
      </c>
      <c r="B2845" s="18" t="str">
        <f>IF(ISNA(VLOOKUP(A2845,'Data Pull Sheet'!$B$2:$C$1795,2,0)),"",(VLOOKUP(A2845,'Data Pull Sheet'!$B$2:$C$1795,2,0)))</f>
        <v>CWH</v>
      </c>
      <c r="C2845" s="59" t="s">
        <v>465</v>
      </c>
      <c r="D2845" s="356">
        <v>43392</v>
      </c>
      <c r="E2845" s="356">
        <v>43452</v>
      </c>
      <c r="F2845" s="23" t="s">
        <v>11748</v>
      </c>
      <c r="G2845" s="59" t="s">
        <v>417</v>
      </c>
      <c r="H2845" s="353">
        <v>379532.01</v>
      </c>
      <c r="I2845" s="59" t="s">
        <v>406</v>
      </c>
      <c r="J2845" s="59" t="s">
        <v>11754</v>
      </c>
      <c r="K2845" s="20"/>
      <c r="L2845" s="20">
        <v>1</v>
      </c>
      <c r="M2845" s="357">
        <f>+H2845</f>
        <v>379532.01</v>
      </c>
      <c r="N2845" s="411">
        <f>IFERROR((M2845/(VLOOKUP(B2845,'Data Pull Sheet'!$C:$H,6,FALSE))),"DC")</f>
        <v>1.4597385000000001E-3</v>
      </c>
      <c r="O2845" s="23" t="s">
        <v>11757</v>
      </c>
      <c r="P2845" s="86" t="s">
        <v>632</v>
      </c>
      <c r="Q2845" s="18" t="s">
        <v>633</v>
      </c>
      <c r="R2845" s="92" t="str">
        <f t="shared" si="92"/>
        <v/>
      </c>
      <c r="S2845" s="291"/>
      <c r="T2845" s="35"/>
    </row>
    <row r="2846" spans="1:20" ht="30" x14ac:dyDescent="0.25">
      <c r="A2846" s="23" t="s">
        <v>8814</v>
      </c>
      <c r="B2846" s="18" t="str">
        <f>IF(ISNA(VLOOKUP(A2846,'Data Pull Sheet'!$B$2:$C$1795,2,0)),"",(VLOOKUP(A2846,'Data Pull Sheet'!$B$2:$C$1795,2,0)))</f>
        <v>CWH</v>
      </c>
      <c r="C2846" s="59" t="s">
        <v>465</v>
      </c>
      <c r="D2846" s="356">
        <v>43392</v>
      </c>
      <c r="E2846" s="356">
        <v>43452</v>
      </c>
      <c r="F2846" s="23" t="s">
        <v>11749</v>
      </c>
      <c r="G2846" s="59" t="s">
        <v>403</v>
      </c>
      <c r="H2846" s="353">
        <v>48648.03</v>
      </c>
      <c r="I2846" s="59"/>
      <c r="J2846" s="59" t="s">
        <v>11755</v>
      </c>
      <c r="K2846" s="20"/>
      <c r="L2846" s="20">
        <v>2</v>
      </c>
      <c r="M2846" s="357">
        <f>SUM(H2846:H2847)</f>
        <v>87957.17</v>
      </c>
      <c r="N2846" s="411">
        <f>IFERROR((M2846/(VLOOKUP(B2846,'Data Pull Sheet'!$C:$H,6,FALSE))),"DC")</f>
        <v>3.382968076923077E-4</v>
      </c>
      <c r="O2846" s="23" t="s">
        <v>11758</v>
      </c>
      <c r="P2846" s="18" t="s">
        <v>632</v>
      </c>
      <c r="Q2846" s="18" t="s">
        <v>646</v>
      </c>
      <c r="R2846" s="92" t="str">
        <f t="shared" si="92"/>
        <v/>
      </c>
      <c r="S2846" s="291"/>
      <c r="T2846" s="35"/>
    </row>
    <row r="2847" spans="1:20" ht="30" x14ac:dyDescent="0.25">
      <c r="A2847" s="23" t="s">
        <v>8814</v>
      </c>
      <c r="B2847" s="18" t="str">
        <f>IF(ISNA(VLOOKUP(A2847,'Data Pull Sheet'!$B$2:$C$1795,2,0)),"",(VLOOKUP(A2847,'Data Pull Sheet'!$B$2:$C$1795,2,0)))</f>
        <v>CWH</v>
      </c>
      <c r="C2847" s="59" t="s">
        <v>465</v>
      </c>
      <c r="D2847" s="356">
        <v>43392</v>
      </c>
      <c r="E2847" s="356">
        <v>43452</v>
      </c>
      <c r="F2847" s="23" t="s">
        <v>11750</v>
      </c>
      <c r="G2847" s="59" t="s">
        <v>403</v>
      </c>
      <c r="H2847" s="353">
        <v>39309.14</v>
      </c>
      <c r="I2847" s="59"/>
      <c r="J2847" s="59" t="s">
        <v>11756</v>
      </c>
      <c r="K2847" s="20"/>
      <c r="L2847" s="20"/>
      <c r="M2847" s="357"/>
      <c r="N2847" s="411"/>
      <c r="O2847" s="23" t="s">
        <v>11758</v>
      </c>
      <c r="P2847" s="18" t="s">
        <v>632</v>
      </c>
      <c r="Q2847" s="18" t="s">
        <v>646</v>
      </c>
      <c r="R2847" s="92" t="str">
        <f t="shared" si="92"/>
        <v/>
      </c>
      <c r="S2847" s="291"/>
      <c r="T2847" s="35"/>
    </row>
    <row r="2850" spans="1:1" x14ac:dyDescent="0.25">
      <c r="A2850" s="94" t="s">
        <v>10799</v>
      </c>
    </row>
    <row r="2851" spans="1:1" ht="30" x14ac:dyDescent="0.25">
      <c r="A2851" s="94" t="s">
        <v>10800</v>
      </c>
    </row>
    <row r="2852" spans="1:1" ht="30" x14ac:dyDescent="0.25">
      <c r="A2852" s="94" t="s">
        <v>10801</v>
      </c>
    </row>
  </sheetData>
  <autoFilter ref="A1:R2847" xr:uid="{00000000-0009-0000-0000-000001000000}">
    <sortState xmlns:xlrd2="http://schemas.microsoft.com/office/spreadsheetml/2017/richdata2" ref="A2:R2847">
      <sortCondition ref="E2:E2847"/>
      <sortCondition ref="J2:J2847"/>
    </sortState>
  </autoFilter>
  <conditionalFormatting sqref="B2609:M2612 F2625:F2642 H2625:I2626 K2625:M2626 G2613:G2642 H2627:M2642 F2655:M2655 H2658:I2658 J2648:J2649 F2656:I2657 K2656:M2658 J2656:J2667 F2671:F2674 H2671:I2674 F2675:I2675 K2671:M2675 B2613:B2677 F2676:M2677 A2676:A2677 O2627:O2642 O2597:Q2612 O2672:O2687 P2671:P2687 R2597:R2687 Q2675:Q2687 A2678:B2847 F2678:F2847 H2678:K2847 O2688:R2847 A1:R2059 A2060:M2608 N2060:N2847 O2060:R2596">
    <cfRule type="containsBlanks" dxfId="1426" priority="69">
      <formula>LEN(TRIM(A1))=0</formula>
    </cfRule>
  </conditionalFormatting>
  <conditionalFormatting sqref="I2014">
    <cfRule type="containsBlanks" dxfId="1425" priority="67">
      <formula>LEN(TRIM(I2014))=0</formula>
    </cfRule>
  </conditionalFormatting>
  <conditionalFormatting sqref="I2015">
    <cfRule type="containsBlanks" dxfId="1424" priority="66">
      <formula>LEN(TRIM(I2015))=0</formula>
    </cfRule>
  </conditionalFormatting>
  <conditionalFormatting sqref="H1639:H1966 H2625:H2642 H2671:H2677 H2848:H1048576 H2678:K2847 H1:H1637 H1968:H2612">
    <cfRule type="containsText" dxfId="1423" priority="61" operator="containsText" text="combined losses only">
      <formula>NOT(ISERROR(SEARCH("combined losses only",H1)))</formula>
    </cfRule>
  </conditionalFormatting>
  <conditionalFormatting sqref="F2621:F2624 O2622:O2626 H2621:I2621 K2621:M2621 J2625:J2626 H2622:M2624 Q2622:Q2642">
    <cfRule type="containsBlanks" dxfId="1422" priority="56">
      <formula>LEN(TRIM(F2621))=0</formula>
    </cfRule>
  </conditionalFormatting>
  <conditionalFormatting sqref="H2621:H2624">
    <cfRule type="containsText" dxfId="1421" priority="55" operator="containsText" text="combined losses only">
      <formula>NOT(ISERROR(SEARCH("combined losses only",H2621)))</formula>
    </cfRule>
  </conditionalFormatting>
  <conditionalFormatting sqref="F2617:F2620 K2617:M2617 H2617 O2617:O2621 H2618:M2620 J2621">
    <cfRule type="containsBlanks" dxfId="1420" priority="53">
      <formula>LEN(TRIM(F2617))=0</formula>
    </cfRule>
  </conditionalFormatting>
  <conditionalFormatting sqref="H2617:H2620">
    <cfRule type="containsText" dxfId="1419" priority="52" operator="containsText" text="combined losses only">
      <formula>NOT(ISERROR(SEARCH("combined losses only",H2617)))</formula>
    </cfRule>
  </conditionalFormatting>
  <conditionalFormatting sqref="C2613:F2613 F2614:F2616 H2613:M2616 I2617:J2617 O2613:Q2613 O2614:O2616 Q2614:Q2621 P2614:P2642 C2614:E2642 C2676:D2677">
    <cfRule type="containsBlanks" dxfId="1418" priority="50">
      <formula>LEN(TRIM(C2613))=0</formula>
    </cfRule>
  </conditionalFormatting>
  <conditionalFormatting sqref="H2613:H2616">
    <cfRule type="containsText" dxfId="1417" priority="49" operator="containsText" text="combined losses only">
      <formula>NOT(ISERROR(SEARCH("combined losses only",H2613)))</formula>
    </cfRule>
  </conditionalFormatting>
  <conditionalFormatting sqref="A2609:A2642">
    <cfRule type="containsBlanks" dxfId="1416" priority="47">
      <formula>LEN(TRIM(A2609))=0</formula>
    </cfRule>
  </conditionalFormatting>
  <conditionalFormatting sqref="F2667 H2667:I2667 K2667:L2667 F2668:L2668 G2671:G2674 F2669:M2670 J2671:J2675 O2667:O2671">
    <cfRule type="containsBlanks" dxfId="1415" priority="45">
      <formula>LEN(TRIM(F2667))=0</formula>
    </cfRule>
  </conditionalFormatting>
  <conditionalFormatting sqref="H2667:H2670">
    <cfRule type="containsText" dxfId="1414" priority="44" operator="containsText" text="combined losses only">
      <formula>NOT(ISERROR(SEARCH("combined losses only",H2667)))</formula>
    </cfRule>
  </conditionalFormatting>
  <conditionalFormatting sqref="Q2667:Q2674">
    <cfRule type="containsBlanks" dxfId="1413" priority="43">
      <formula>LEN(TRIM(Q2667))=0</formula>
    </cfRule>
  </conditionalFormatting>
  <conditionalFormatting sqref="P2667:P2670 C2669:E2675 E2676:E2677">
    <cfRule type="containsBlanks" dxfId="1412" priority="42">
      <formula>LEN(TRIM(C2667))=0</formula>
    </cfRule>
  </conditionalFormatting>
  <conditionalFormatting sqref="A2669:A2675">
    <cfRule type="containsBlanks" dxfId="1411" priority="41">
      <formula>LEN(TRIM(A2669))=0</formula>
    </cfRule>
  </conditionalFormatting>
  <conditionalFormatting sqref="F2663:F2666 O2666 H2663:I2666 K2663:M2666 M2667:M2668">
    <cfRule type="containsBlanks" dxfId="1410" priority="40">
      <formula>LEN(TRIM(F2663))=0</formula>
    </cfRule>
  </conditionalFormatting>
  <conditionalFormatting sqref="H2663:H2666">
    <cfRule type="containsText" dxfId="1409" priority="39" operator="containsText" text="combined losses only">
      <formula>NOT(ISERROR(SEARCH("combined losses only",H2663)))</formula>
    </cfRule>
  </conditionalFormatting>
  <conditionalFormatting sqref="Q2666">
    <cfRule type="containsBlanks" dxfId="1408" priority="38">
      <formula>LEN(TRIM(Q2666))=0</formula>
    </cfRule>
  </conditionalFormatting>
  <conditionalFormatting sqref="P2663:P2666">
    <cfRule type="containsBlanks" dxfId="1407" priority="37">
      <formula>LEN(TRIM(P2663))=0</formula>
    </cfRule>
  </conditionalFormatting>
  <conditionalFormatting sqref="F2659:F2662 H2659:I2662 K2659:M2662 O2662:O2665">
    <cfRule type="containsBlanks" dxfId="1406" priority="35">
      <formula>LEN(TRIM(F2659))=0</formula>
    </cfRule>
  </conditionalFormatting>
  <conditionalFormatting sqref="H2659:H2662">
    <cfRule type="containsText" dxfId="1405" priority="34" operator="containsText" text="combined losses only">
      <formula>NOT(ISERROR(SEARCH("combined losses only",H2659)))</formula>
    </cfRule>
  </conditionalFormatting>
  <conditionalFormatting sqref="P2659:P2662">
    <cfRule type="containsBlanks" dxfId="1404" priority="32">
      <formula>LEN(TRIM(P2659))=0</formula>
    </cfRule>
  </conditionalFormatting>
  <conditionalFormatting sqref="F2658 G2658:G2667 J2650:J2654 O2655:O2661">
    <cfRule type="containsBlanks" dxfId="1403" priority="30">
      <formula>LEN(TRIM(F2650))=0</formula>
    </cfRule>
  </conditionalFormatting>
  <conditionalFormatting sqref="H2655:H2658">
    <cfRule type="containsText" dxfId="1402" priority="29" operator="containsText" text="combined losses only">
      <formula>NOT(ISERROR(SEARCH("combined losses only",H2655)))</formula>
    </cfRule>
  </conditionalFormatting>
  <conditionalFormatting sqref="Q2655:Q2665">
    <cfRule type="containsBlanks" dxfId="1401" priority="28">
      <formula>LEN(TRIM(Q2655))=0</formula>
    </cfRule>
  </conditionalFormatting>
  <conditionalFormatting sqref="P2655:P2658">
    <cfRule type="containsBlanks" dxfId="1400" priority="27">
      <formula>LEN(TRIM(P2655))=0</formula>
    </cfRule>
  </conditionalFormatting>
  <conditionalFormatting sqref="F2651:M2654">
    <cfRule type="containsBlanks" dxfId="1399" priority="25">
      <formula>LEN(TRIM(F2651))=0</formula>
    </cfRule>
  </conditionalFormatting>
  <conditionalFormatting sqref="H2651:H2654">
    <cfRule type="containsText" dxfId="1398" priority="24" operator="containsText" text="combined losses only">
      <formula>NOT(ISERROR(SEARCH("combined losses only",H2651)))</formula>
    </cfRule>
  </conditionalFormatting>
  <conditionalFormatting sqref="P2651:P2654">
    <cfRule type="containsBlanks" dxfId="1397" priority="22">
      <formula>LEN(TRIM(P2651))=0</formula>
    </cfRule>
  </conditionalFormatting>
  <conditionalFormatting sqref="F2648:M2650 F2647 H2647:M2647 O2647:O2654">
    <cfRule type="containsBlanks" dxfId="1396" priority="20">
      <formula>LEN(TRIM(F2647))=0</formula>
    </cfRule>
  </conditionalFormatting>
  <conditionalFormatting sqref="H2647:H2650">
    <cfRule type="containsText" dxfId="1395" priority="19" operator="containsText" text="combined losses only">
      <formula>NOT(ISERROR(SEARCH("combined losses only",H2647)))</formula>
    </cfRule>
  </conditionalFormatting>
  <conditionalFormatting sqref="Q2647:Q2654">
    <cfRule type="containsBlanks" dxfId="1394" priority="18">
      <formula>LEN(TRIM(Q2647))=0</formula>
    </cfRule>
  </conditionalFormatting>
  <conditionalFormatting sqref="P2647:P2650 C2648:D2668">
    <cfRule type="containsBlanks" dxfId="1393" priority="17">
      <formula>LEN(TRIM(C2647))=0</formula>
    </cfRule>
  </conditionalFormatting>
  <conditionalFormatting sqref="A2648:A2668">
    <cfRule type="containsBlanks" dxfId="1392" priority="16">
      <formula>LEN(TRIM(A2648))=0</formula>
    </cfRule>
  </conditionalFormatting>
  <conditionalFormatting sqref="F2643:M2643 F2644:F2646 G2644:G2647 H2644:M2646 O2643:O2646">
    <cfRule type="containsBlanks" dxfId="1391" priority="15">
      <formula>LEN(TRIM(F2643))=0</formula>
    </cfRule>
  </conditionalFormatting>
  <conditionalFormatting sqref="H2643:H2646">
    <cfRule type="containsText" dxfId="1390" priority="14" operator="containsText" text="combined losses only">
      <formula>NOT(ISERROR(SEARCH("combined losses only",H2643)))</formula>
    </cfRule>
  </conditionalFormatting>
  <conditionalFormatting sqref="Q2643:Q2646">
    <cfRule type="containsBlanks" dxfId="1389" priority="13">
      <formula>LEN(TRIM(Q2643))=0</formula>
    </cfRule>
  </conditionalFormatting>
  <conditionalFormatting sqref="P2643:P2646 C2643:E2647 E2648:E2668">
    <cfRule type="containsBlanks" dxfId="1388" priority="12">
      <formula>LEN(TRIM(C2643))=0</formula>
    </cfRule>
  </conditionalFormatting>
  <conditionalFormatting sqref="A2643:A2647">
    <cfRule type="containsBlanks" dxfId="1387" priority="11">
      <formula>LEN(TRIM(A2643))=0</formula>
    </cfRule>
  </conditionalFormatting>
  <conditionalFormatting sqref="E2678:E2847">
    <cfRule type="containsBlanks" dxfId="1386" priority="10">
      <formula>LEN(TRIM(E2678))=0</formula>
    </cfRule>
  </conditionalFormatting>
  <conditionalFormatting sqref="D2678:D2847">
    <cfRule type="containsBlanks" dxfId="1385" priority="9">
      <formula>LEN(TRIM(D2678))=0</formula>
    </cfRule>
  </conditionalFormatting>
  <conditionalFormatting sqref="C2678:C2847">
    <cfRule type="containsBlanks" dxfId="1384" priority="8">
      <formula>LEN(TRIM(C2678))=0</formula>
    </cfRule>
  </conditionalFormatting>
  <conditionalFormatting sqref="M2678:M2847">
    <cfRule type="containsBlanks" dxfId="1383" priority="4">
      <formula>LEN(TRIM(M2678))=0</formula>
    </cfRule>
  </conditionalFormatting>
  <conditionalFormatting sqref="G2678:G2847">
    <cfRule type="containsBlanks" dxfId="1382" priority="6">
      <formula>LEN(TRIM(G2678))=0</formula>
    </cfRule>
  </conditionalFormatting>
  <conditionalFormatting sqref="L2678:L2847">
    <cfRule type="containsBlanks" dxfId="1381" priority="5">
      <formula>LEN(TRIM(L2678))=0</formula>
    </cfRule>
  </conditionalFormatting>
  <pageMargins left="0.75" right="0.75" top="1" bottom="1" header="0.5" footer="0.5"/>
  <pageSetup orientation="portrait" horizontalDpi="1200" verticalDpi="1200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8" operator="containsText" text="combined losses only" id="{A2AE3896-A798-4551-AF2D-49E65CD11BAA}">
            <xm:f>NOT(ISERROR(SEARCH("combined losses only",'Removed cases'!H1984)))</xm:f>
            <x14:dxf>
              <fill>
                <patternFill>
                  <bgColor rgb="FFFFFF00"/>
                </patternFill>
              </fill>
            </x14:dxf>
          </x14:cfRule>
          <xm:sqref>H1967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Y91"/>
  <sheetViews>
    <sheetView topLeftCell="A78" workbookViewId="0">
      <selection activeCell="A103" sqref="A103"/>
    </sheetView>
  </sheetViews>
  <sheetFormatPr defaultRowHeight="15" x14ac:dyDescent="0.25"/>
  <cols>
    <col min="1" max="17" width="46.42578125" customWidth="1"/>
  </cols>
  <sheetData>
    <row r="2" spans="1:19" s="34" customFormat="1" x14ac:dyDescent="0.25">
      <c r="A2" s="39"/>
      <c r="B2" s="39"/>
      <c r="C2" s="39"/>
      <c r="D2" s="39"/>
      <c r="E2" s="39"/>
      <c r="F2" s="39"/>
      <c r="G2" s="39"/>
      <c r="H2" s="53"/>
      <c r="I2" s="39"/>
      <c r="J2" s="39"/>
      <c r="K2" s="40"/>
      <c r="L2" s="40"/>
      <c r="M2" s="41"/>
      <c r="N2" s="42"/>
      <c r="O2" s="39"/>
      <c r="P2" s="43"/>
      <c r="Q2" s="43"/>
      <c r="R2" s="43"/>
      <c r="S2" s="38"/>
    </row>
    <row r="3" spans="1:19" s="34" customFormat="1" x14ac:dyDescent="0.25">
      <c r="A3" s="44" t="s">
        <v>4203</v>
      </c>
      <c r="B3" s="51" t="s">
        <v>6723</v>
      </c>
      <c r="C3" s="44" t="s">
        <v>457</v>
      </c>
      <c r="D3" s="44" t="s">
        <v>1831</v>
      </c>
      <c r="E3" s="44" t="s">
        <v>475</v>
      </c>
      <c r="F3" s="46"/>
      <c r="G3" s="46"/>
      <c r="H3" s="54"/>
      <c r="I3" s="44"/>
      <c r="J3" s="44"/>
      <c r="K3" s="47"/>
      <c r="L3" s="47"/>
      <c r="M3" s="48"/>
      <c r="N3" s="49"/>
      <c r="O3" s="46"/>
      <c r="P3" s="50"/>
      <c r="Q3" s="50" t="s">
        <v>4204</v>
      </c>
      <c r="R3" s="50" t="s">
        <v>634</v>
      </c>
      <c r="S3" s="38"/>
    </row>
    <row r="4" spans="1:19" s="34" customFormat="1" x14ac:dyDescent="0.25">
      <c r="A4" s="44" t="s">
        <v>4205</v>
      </c>
      <c r="B4" s="51" t="s">
        <v>6723</v>
      </c>
      <c r="C4" s="44" t="s">
        <v>542</v>
      </c>
      <c r="D4" s="44" t="s">
        <v>416</v>
      </c>
      <c r="E4" s="44" t="s">
        <v>4206</v>
      </c>
      <c r="F4" s="46"/>
      <c r="G4" s="46"/>
      <c r="H4" s="54"/>
      <c r="I4" s="44"/>
      <c r="J4" s="44"/>
      <c r="K4" s="47"/>
      <c r="L4" s="47"/>
      <c r="M4" s="48"/>
      <c r="N4" s="49"/>
      <c r="O4" s="46"/>
      <c r="P4" s="50"/>
      <c r="Q4" s="50" t="s">
        <v>4204</v>
      </c>
      <c r="R4" s="50" t="s">
        <v>634</v>
      </c>
      <c r="S4" s="38"/>
    </row>
    <row r="5" spans="1:19" s="34" customFormat="1" x14ac:dyDescent="0.25">
      <c r="A5" s="44" t="s">
        <v>4207</v>
      </c>
      <c r="B5" s="51" t="s">
        <v>6723</v>
      </c>
      <c r="C5" s="44" t="s">
        <v>817</v>
      </c>
      <c r="D5" s="44" t="s">
        <v>4208</v>
      </c>
      <c r="E5" s="44" t="s">
        <v>3090</v>
      </c>
      <c r="F5" s="46"/>
      <c r="G5" s="46"/>
      <c r="H5" s="54"/>
      <c r="I5" s="44"/>
      <c r="J5" s="44"/>
      <c r="K5" s="47"/>
      <c r="L5" s="47"/>
      <c r="M5" s="48"/>
      <c r="N5" s="49"/>
      <c r="O5" s="46"/>
      <c r="P5" s="50"/>
      <c r="Q5" s="50" t="s">
        <v>4204</v>
      </c>
      <c r="R5" s="50" t="s">
        <v>634</v>
      </c>
      <c r="S5" s="38"/>
    </row>
    <row r="6" spans="1:19" s="34" customFormat="1" x14ac:dyDescent="0.25">
      <c r="A6" s="44" t="s">
        <v>4209</v>
      </c>
      <c r="B6" s="51" t="s">
        <v>6723</v>
      </c>
      <c r="C6" s="44" t="s">
        <v>437</v>
      </c>
      <c r="D6" s="44" t="s">
        <v>2805</v>
      </c>
      <c r="E6" s="44" t="s">
        <v>1241</v>
      </c>
      <c r="F6" s="46"/>
      <c r="G6" s="46"/>
      <c r="H6" s="54"/>
      <c r="I6" s="44"/>
      <c r="J6" s="44"/>
      <c r="K6" s="47"/>
      <c r="L6" s="47"/>
      <c r="M6" s="48"/>
      <c r="N6" s="49"/>
      <c r="O6" s="46"/>
      <c r="P6" s="50"/>
      <c r="Q6" s="50" t="s">
        <v>4204</v>
      </c>
      <c r="R6" s="50" t="s">
        <v>634</v>
      </c>
      <c r="S6" s="38"/>
    </row>
    <row r="7" spans="1:19" s="34" customFormat="1" x14ac:dyDescent="0.25">
      <c r="A7" s="44" t="s">
        <v>4210</v>
      </c>
      <c r="B7" s="51" t="s">
        <v>6723</v>
      </c>
      <c r="C7" s="44" t="s">
        <v>446</v>
      </c>
      <c r="D7" s="44" t="s">
        <v>426</v>
      </c>
      <c r="E7" s="44" t="s">
        <v>467</v>
      </c>
      <c r="F7" s="46"/>
      <c r="G7" s="46"/>
      <c r="H7" s="54"/>
      <c r="I7" s="44"/>
      <c r="J7" s="44"/>
      <c r="K7" s="47"/>
      <c r="L7" s="47"/>
      <c r="M7" s="48"/>
      <c r="N7" s="49"/>
      <c r="O7" s="46"/>
      <c r="P7" s="50"/>
      <c r="Q7" s="50" t="s">
        <v>4204</v>
      </c>
      <c r="R7" s="50" t="s">
        <v>634</v>
      </c>
      <c r="S7" s="38"/>
    </row>
    <row r="8" spans="1:19" s="34" customFormat="1" x14ac:dyDescent="0.25">
      <c r="A8" s="44" t="s">
        <v>4211</v>
      </c>
      <c r="B8" s="51" t="s">
        <v>6723</v>
      </c>
      <c r="C8" s="44" t="s">
        <v>545</v>
      </c>
      <c r="D8" s="44" t="s">
        <v>4212</v>
      </c>
      <c r="E8" s="44" t="s">
        <v>672</v>
      </c>
      <c r="F8" s="46"/>
      <c r="G8" s="46"/>
      <c r="H8" s="54"/>
      <c r="I8" s="44"/>
      <c r="J8" s="44"/>
      <c r="K8" s="47"/>
      <c r="L8" s="47"/>
      <c r="M8" s="48"/>
      <c r="N8" s="49"/>
      <c r="O8" s="46"/>
      <c r="P8" s="50"/>
      <c r="Q8" s="50" t="s">
        <v>4204</v>
      </c>
      <c r="R8" s="50" t="s">
        <v>634</v>
      </c>
      <c r="S8" s="38"/>
    </row>
    <row r="9" spans="1:19" s="34" customFormat="1" x14ac:dyDescent="0.25">
      <c r="A9" s="44" t="s">
        <v>4213</v>
      </c>
      <c r="B9" s="51" t="s">
        <v>6723</v>
      </c>
      <c r="C9" s="44" t="s">
        <v>496</v>
      </c>
      <c r="D9" s="44" t="s">
        <v>4214</v>
      </c>
      <c r="E9" s="44" t="s">
        <v>2418</v>
      </c>
      <c r="F9" s="46"/>
      <c r="G9" s="46"/>
      <c r="H9" s="54"/>
      <c r="I9" s="44"/>
      <c r="J9" s="44"/>
      <c r="K9" s="47"/>
      <c r="L9" s="47"/>
      <c r="M9" s="48"/>
      <c r="N9" s="49"/>
      <c r="O9" s="46"/>
      <c r="P9" s="50"/>
      <c r="Q9" s="50" t="s">
        <v>4204</v>
      </c>
      <c r="R9" s="50" t="s">
        <v>634</v>
      </c>
      <c r="S9" s="38"/>
    </row>
    <row r="10" spans="1:19" s="34" customFormat="1" x14ac:dyDescent="0.25">
      <c r="A10" s="44" t="s">
        <v>4215</v>
      </c>
      <c r="B10" s="51" t="s">
        <v>6723</v>
      </c>
      <c r="C10" s="44" t="s">
        <v>817</v>
      </c>
      <c r="D10" s="44" t="s">
        <v>540</v>
      </c>
      <c r="E10" s="44" t="s">
        <v>4216</v>
      </c>
      <c r="F10" s="46"/>
      <c r="G10" s="46"/>
      <c r="H10" s="54"/>
      <c r="I10" s="44"/>
      <c r="J10" s="44"/>
      <c r="K10" s="47"/>
      <c r="L10" s="47"/>
      <c r="M10" s="48"/>
      <c r="N10" s="49"/>
      <c r="O10" s="46"/>
      <c r="P10" s="50"/>
      <c r="Q10" s="50" t="s">
        <v>4204</v>
      </c>
      <c r="R10" s="50" t="s">
        <v>634</v>
      </c>
      <c r="S10" s="38"/>
    </row>
    <row r="11" spans="1:19" s="34" customFormat="1" x14ac:dyDescent="0.25">
      <c r="A11" s="44" t="s">
        <v>4217</v>
      </c>
      <c r="B11" s="51" t="s">
        <v>6724</v>
      </c>
      <c r="C11" s="44" t="s">
        <v>446</v>
      </c>
      <c r="D11" s="44" t="s">
        <v>4218</v>
      </c>
      <c r="E11" s="44" t="s">
        <v>3283</v>
      </c>
      <c r="F11" s="46"/>
      <c r="G11" s="46"/>
      <c r="H11" s="54"/>
      <c r="I11" s="44"/>
      <c r="J11" s="44"/>
      <c r="K11" s="47"/>
      <c r="L11" s="47"/>
      <c r="M11" s="48"/>
      <c r="N11" s="49"/>
      <c r="O11" s="46"/>
      <c r="P11" s="50"/>
      <c r="Q11" s="50" t="s">
        <v>4204</v>
      </c>
      <c r="R11" s="50" t="s">
        <v>634</v>
      </c>
      <c r="S11" s="38"/>
    </row>
    <row r="12" spans="1:19" s="34" customFormat="1" x14ac:dyDescent="0.25">
      <c r="A12" s="44" t="s">
        <v>4219</v>
      </c>
      <c r="B12" s="51" t="s">
        <v>6723</v>
      </c>
      <c r="C12" s="44" t="s">
        <v>446</v>
      </c>
      <c r="D12" s="44" t="s">
        <v>4220</v>
      </c>
      <c r="E12" s="44" t="s">
        <v>4221</v>
      </c>
      <c r="F12" s="46"/>
      <c r="G12" s="46"/>
      <c r="H12" s="54"/>
      <c r="I12" s="44"/>
      <c r="J12" s="44"/>
      <c r="K12" s="47"/>
      <c r="L12" s="47"/>
      <c r="M12" s="48"/>
      <c r="N12" s="49"/>
      <c r="O12" s="46"/>
      <c r="P12" s="50"/>
      <c r="Q12" s="50" t="s">
        <v>4204</v>
      </c>
      <c r="R12" s="50" t="s">
        <v>634</v>
      </c>
      <c r="S12" s="38"/>
    </row>
    <row r="13" spans="1:19" s="34" customFormat="1" x14ac:dyDescent="0.25">
      <c r="A13" s="44" t="s">
        <v>2270</v>
      </c>
      <c r="B13" s="51" t="s">
        <v>6723</v>
      </c>
      <c r="C13" s="44" t="s">
        <v>457</v>
      </c>
      <c r="D13" s="44" t="s">
        <v>419</v>
      </c>
      <c r="E13" s="44" t="s">
        <v>420</v>
      </c>
      <c r="F13" s="46"/>
      <c r="G13" s="46"/>
      <c r="H13" s="54"/>
      <c r="I13" s="44"/>
      <c r="J13" s="44"/>
      <c r="K13" s="47"/>
      <c r="L13" s="47"/>
      <c r="M13" s="48"/>
      <c r="N13" s="49"/>
      <c r="O13" s="46"/>
      <c r="P13" s="50"/>
      <c r="Q13" s="50" t="s">
        <v>4204</v>
      </c>
      <c r="R13" s="50" t="s">
        <v>634</v>
      </c>
      <c r="S13" s="38"/>
    </row>
    <row r="14" spans="1:19" s="34" customFormat="1" x14ac:dyDescent="0.25">
      <c r="A14" s="44" t="s">
        <v>4222</v>
      </c>
      <c r="B14" s="51" t="s">
        <v>6723</v>
      </c>
      <c r="C14" s="44" t="s">
        <v>465</v>
      </c>
      <c r="D14" s="44" t="s">
        <v>4223</v>
      </c>
      <c r="E14" s="44" t="s">
        <v>2183</v>
      </c>
      <c r="F14" s="46"/>
      <c r="G14" s="46"/>
      <c r="H14" s="54"/>
      <c r="I14" s="44"/>
      <c r="J14" s="44"/>
      <c r="K14" s="47"/>
      <c r="L14" s="47"/>
      <c r="M14" s="48"/>
      <c r="N14" s="49"/>
      <c r="O14" s="46"/>
      <c r="P14" s="50"/>
      <c r="Q14" s="50" t="s">
        <v>4204</v>
      </c>
      <c r="R14" s="50" t="s">
        <v>634</v>
      </c>
      <c r="S14" s="38"/>
    </row>
    <row r="15" spans="1:19" s="34" customFormat="1" x14ac:dyDescent="0.25">
      <c r="A15" s="44" t="s">
        <v>4224</v>
      </c>
      <c r="B15" s="51" t="s">
        <v>6723</v>
      </c>
      <c r="C15" s="44" t="s">
        <v>503</v>
      </c>
      <c r="D15" s="44" t="s">
        <v>2418</v>
      </c>
      <c r="E15" s="44" t="s">
        <v>2055</v>
      </c>
      <c r="F15" s="46"/>
      <c r="G15" s="46"/>
      <c r="H15" s="54"/>
      <c r="I15" s="44"/>
      <c r="J15" s="44"/>
      <c r="K15" s="47"/>
      <c r="L15" s="47"/>
      <c r="M15" s="48"/>
      <c r="N15" s="49"/>
      <c r="O15" s="46"/>
      <c r="P15" s="50"/>
      <c r="Q15" s="50" t="s">
        <v>4204</v>
      </c>
      <c r="R15" s="50" t="s">
        <v>634</v>
      </c>
      <c r="S15" s="38"/>
    </row>
    <row r="16" spans="1:19" s="34" customFormat="1" x14ac:dyDescent="0.25">
      <c r="A16" s="44" t="s">
        <v>4225</v>
      </c>
      <c r="B16" s="51" t="s">
        <v>6723</v>
      </c>
      <c r="C16" s="44" t="s">
        <v>545</v>
      </c>
      <c r="D16" s="44" t="s">
        <v>527</v>
      </c>
      <c r="E16" s="44" t="s">
        <v>3975</v>
      </c>
      <c r="F16" s="46"/>
      <c r="G16" s="46"/>
      <c r="H16" s="54"/>
      <c r="I16" s="44"/>
      <c r="J16" s="44"/>
      <c r="K16" s="47"/>
      <c r="L16" s="47"/>
      <c r="M16" s="48"/>
      <c r="N16" s="49"/>
      <c r="O16" s="46"/>
      <c r="P16" s="50"/>
      <c r="Q16" s="50" t="s">
        <v>4204</v>
      </c>
      <c r="R16" s="50" t="s">
        <v>634</v>
      </c>
      <c r="S16" s="38"/>
    </row>
    <row r="17" spans="1:19" s="34" customFormat="1" x14ac:dyDescent="0.25">
      <c r="A17" s="44" t="s">
        <v>2610</v>
      </c>
      <c r="B17" s="45"/>
      <c r="C17" s="44" t="s">
        <v>409</v>
      </c>
      <c r="D17" s="44" t="s">
        <v>608</v>
      </c>
      <c r="E17" s="44" t="s">
        <v>436</v>
      </c>
      <c r="F17" s="46"/>
      <c r="G17" s="46"/>
      <c r="H17" s="54"/>
      <c r="I17" s="44"/>
      <c r="J17" s="44"/>
      <c r="K17" s="47"/>
      <c r="L17" s="47"/>
      <c r="M17" s="48"/>
      <c r="N17" s="49"/>
      <c r="O17" s="46"/>
      <c r="P17" s="50"/>
      <c r="Q17" s="50" t="s">
        <v>4204</v>
      </c>
      <c r="R17" s="50" t="s">
        <v>634</v>
      </c>
      <c r="S17" s="38"/>
    </row>
    <row r="18" spans="1:19" s="34" customFormat="1" x14ac:dyDescent="0.25">
      <c r="A18" s="44" t="s">
        <v>4226</v>
      </c>
      <c r="B18" s="45"/>
      <c r="C18" s="44" t="s">
        <v>457</v>
      </c>
      <c r="D18" s="44" t="s">
        <v>4227</v>
      </c>
      <c r="E18" s="44" t="s">
        <v>482</v>
      </c>
      <c r="F18" s="46"/>
      <c r="G18" s="46"/>
      <c r="H18" s="54"/>
      <c r="I18" s="44"/>
      <c r="J18" s="44"/>
      <c r="K18" s="47"/>
      <c r="L18" s="47"/>
      <c r="M18" s="48"/>
      <c r="N18" s="49"/>
      <c r="O18" s="46"/>
      <c r="P18" s="50"/>
      <c r="Q18" s="50" t="s">
        <v>4204</v>
      </c>
      <c r="R18" s="50" t="s">
        <v>634</v>
      </c>
      <c r="S18" s="38"/>
    </row>
    <row r="19" spans="1:19" s="34" customFormat="1" x14ac:dyDescent="0.25">
      <c r="A19" s="44" t="s">
        <v>4228</v>
      </c>
      <c r="B19" s="45"/>
      <c r="C19" s="44" t="s">
        <v>421</v>
      </c>
      <c r="D19" s="44" t="s">
        <v>466</v>
      </c>
      <c r="E19" s="44" t="s">
        <v>1825</v>
      </c>
      <c r="F19" s="46"/>
      <c r="G19" s="46"/>
      <c r="H19" s="54"/>
      <c r="I19" s="44"/>
      <c r="J19" s="44"/>
      <c r="K19" s="47"/>
      <c r="L19" s="47"/>
      <c r="M19" s="48"/>
      <c r="N19" s="49"/>
      <c r="O19" s="46"/>
      <c r="P19" s="50"/>
      <c r="Q19" s="50" t="s">
        <v>4204</v>
      </c>
      <c r="R19" s="50" t="s">
        <v>634</v>
      </c>
      <c r="S19" s="38"/>
    </row>
    <row r="20" spans="1:19" s="34" customFormat="1" x14ac:dyDescent="0.25">
      <c r="A20" s="44" t="s">
        <v>4229</v>
      </c>
      <c r="B20" s="45"/>
      <c r="C20" s="44" t="s">
        <v>1632</v>
      </c>
      <c r="D20" s="44" t="s">
        <v>4230</v>
      </c>
      <c r="E20" s="44" t="s">
        <v>776</v>
      </c>
      <c r="F20" s="46"/>
      <c r="G20" s="46"/>
      <c r="H20" s="54"/>
      <c r="I20" s="44"/>
      <c r="J20" s="44"/>
      <c r="K20" s="47"/>
      <c r="L20" s="47"/>
      <c r="M20" s="48"/>
      <c r="N20" s="49"/>
      <c r="O20" s="46"/>
      <c r="P20" s="50"/>
      <c r="Q20" s="50" t="s">
        <v>4204</v>
      </c>
      <c r="R20" s="50" t="s">
        <v>634</v>
      </c>
      <c r="S20" s="38"/>
    </row>
    <row r="21" spans="1:19" s="34" customFormat="1" x14ac:dyDescent="0.25">
      <c r="A21" s="44" t="s">
        <v>4231</v>
      </c>
      <c r="B21" s="45"/>
      <c r="C21" s="44" t="s">
        <v>603</v>
      </c>
      <c r="D21" s="44" t="s">
        <v>4223</v>
      </c>
      <c r="E21" s="44" t="s">
        <v>2003</v>
      </c>
      <c r="F21" s="46"/>
      <c r="G21" s="46"/>
      <c r="H21" s="54"/>
      <c r="I21" s="44"/>
      <c r="J21" s="44"/>
      <c r="K21" s="47"/>
      <c r="L21" s="47"/>
      <c r="M21" s="48"/>
      <c r="N21" s="49"/>
      <c r="O21" s="46"/>
      <c r="P21" s="50"/>
      <c r="Q21" s="50" t="s">
        <v>4204</v>
      </c>
      <c r="R21" s="50" t="s">
        <v>634</v>
      </c>
      <c r="S21" s="38"/>
    </row>
    <row r="22" spans="1:19" s="34" customFormat="1" x14ac:dyDescent="0.25">
      <c r="A22" s="44" t="s">
        <v>4232</v>
      </c>
      <c r="B22" s="45"/>
      <c r="C22" s="44" t="s">
        <v>817</v>
      </c>
      <c r="D22" s="44" t="s">
        <v>1685</v>
      </c>
      <c r="E22" s="44" t="s">
        <v>527</v>
      </c>
      <c r="F22" s="46"/>
      <c r="G22" s="46"/>
      <c r="H22" s="54"/>
      <c r="I22" s="44"/>
      <c r="J22" s="44"/>
      <c r="K22" s="47"/>
      <c r="L22" s="47"/>
      <c r="M22" s="48"/>
      <c r="N22" s="49"/>
      <c r="O22" s="46"/>
      <c r="P22" s="50"/>
      <c r="Q22" s="50" t="s">
        <v>4204</v>
      </c>
      <c r="R22" s="50" t="s">
        <v>634</v>
      </c>
      <c r="S22" s="38"/>
    </row>
    <row r="23" spans="1:19" s="34" customFormat="1" x14ac:dyDescent="0.25">
      <c r="A23" s="44" t="s">
        <v>4233</v>
      </c>
      <c r="B23" s="45"/>
      <c r="C23" s="44" t="s">
        <v>817</v>
      </c>
      <c r="D23" s="44" t="s">
        <v>1685</v>
      </c>
      <c r="E23" s="44" t="s">
        <v>527</v>
      </c>
      <c r="F23" s="46"/>
      <c r="G23" s="46"/>
      <c r="H23" s="54"/>
      <c r="I23" s="44"/>
      <c r="J23" s="44"/>
      <c r="K23" s="47"/>
      <c r="L23" s="47"/>
      <c r="M23" s="48"/>
      <c r="N23" s="49"/>
      <c r="O23" s="46"/>
      <c r="P23" s="50"/>
      <c r="Q23" s="50" t="s">
        <v>4204</v>
      </c>
      <c r="R23" s="50" t="s">
        <v>634</v>
      </c>
      <c r="S23" s="38"/>
    </row>
    <row r="24" spans="1:19" s="34" customFormat="1" x14ac:dyDescent="0.25">
      <c r="A24" s="44" t="s">
        <v>4234</v>
      </c>
      <c r="B24" s="45"/>
      <c r="C24" s="44" t="s">
        <v>457</v>
      </c>
      <c r="D24" s="44" t="s">
        <v>3870</v>
      </c>
      <c r="E24" s="44" t="s">
        <v>1702</v>
      </c>
      <c r="F24" s="46"/>
      <c r="G24" s="46"/>
      <c r="H24" s="54"/>
      <c r="I24" s="44"/>
      <c r="J24" s="44"/>
      <c r="K24" s="47"/>
      <c r="L24" s="47"/>
      <c r="M24" s="48"/>
      <c r="N24" s="49"/>
      <c r="O24" s="46"/>
      <c r="P24" s="50"/>
      <c r="Q24" s="50" t="s">
        <v>4204</v>
      </c>
      <c r="R24" s="50" t="s">
        <v>634</v>
      </c>
      <c r="S24" s="38"/>
    </row>
    <row r="25" spans="1:19" s="34" customFormat="1" x14ac:dyDescent="0.25">
      <c r="A25" s="44" t="s">
        <v>4235</v>
      </c>
      <c r="B25" s="45"/>
      <c r="C25" s="44" t="s">
        <v>536</v>
      </c>
      <c r="D25" s="44" t="s">
        <v>1737</v>
      </c>
      <c r="E25" s="44" t="s">
        <v>486</v>
      </c>
      <c r="F25" s="46"/>
      <c r="G25" s="46"/>
      <c r="H25" s="54"/>
      <c r="I25" s="44"/>
      <c r="J25" s="44"/>
      <c r="K25" s="47"/>
      <c r="L25" s="47"/>
      <c r="M25" s="48"/>
      <c r="N25" s="49"/>
      <c r="O25" s="46"/>
      <c r="P25" s="50"/>
      <c r="Q25" s="50" t="s">
        <v>4204</v>
      </c>
      <c r="R25" s="50" t="s">
        <v>634</v>
      </c>
      <c r="S25" s="38"/>
    </row>
    <row r="26" spans="1:19" s="34" customFormat="1" x14ac:dyDescent="0.25">
      <c r="A26" s="44" t="s">
        <v>3429</v>
      </c>
      <c r="B26" s="45"/>
      <c r="C26" s="44" t="s">
        <v>536</v>
      </c>
      <c r="D26" s="44" t="s">
        <v>1742</v>
      </c>
      <c r="E26" s="44" t="s">
        <v>3856</v>
      </c>
      <c r="F26" s="46"/>
      <c r="G26" s="46"/>
      <c r="H26" s="54"/>
      <c r="I26" s="44"/>
      <c r="J26" s="44"/>
      <c r="K26" s="47"/>
      <c r="L26" s="47"/>
      <c r="M26" s="48"/>
      <c r="N26" s="49"/>
      <c r="O26" s="46"/>
      <c r="P26" s="50"/>
      <c r="Q26" s="50" t="s">
        <v>4204</v>
      </c>
      <c r="R26" s="50" t="s">
        <v>634</v>
      </c>
      <c r="S26" s="38"/>
    </row>
    <row r="27" spans="1:19" s="34" customFormat="1" x14ac:dyDescent="0.25">
      <c r="A27" s="44" t="s">
        <v>4236</v>
      </c>
      <c r="B27" s="45"/>
      <c r="C27" s="44" t="s">
        <v>421</v>
      </c>
      <c r="D27" s="44" t="s">
        <v>3716</v>
      </c>
      <c r="E27" s="44" t="s">
        <v>571</v>
      </c>
      <c r="F27" s="46"/>
      <c r="G27" s="46"/>
      <c r="H27" s="54"/>
      <c r="I27" s="44"/>
      <c r="J27" s="44"/>
      <c r="K27" s="47"/>
      <c r="L27" s="47"/>
      <c r="M27" s="48"/>
      <c r="N27" s="49"/>
      <c r="O27" s="46"/>
      <c r="P27" s="50"/>
      <c r="Q27" s="50" t="s">
        <v>4204</v>
      </c>
      <c r="R27" s="50" t="s">
        <v>634</v>
      </c>
      <c r="S27" s="38"/>
    </row>
    <row r="28" spans="1:19" s="34" customFormat="1" x14ac:dyDescent="0.25">
      <c r="A28" s="44" t="s">
        <v>4237</v>
      </c>
      <c r="B28" s="45"/>
      <c r="C28" s="44" t="s">
        <v>491</v>
      </c>
      <c r="D28" s="44" t="s">
        <v>4238</v>
      </c>
      <c r="E28" s="44" t="s">
        <v>1743</v>
      </c>
      <c r="F28" s="46"/>
      <c r="G28" s="46"/>
      <c r="H28" s="54"/>
      <c r="I28" s="44"/>
      <c r="J28" s="44"/>
      <c r="K28" s="47"/>
      <c r="L28" s="47"/>
      <c r="M28" s="48"/>
      <c r="N28" s="49"/>
      <c r="O28" s="46"/>
      <c r="P28" s="50"/>
      <c r="Q28" s="50" t="s">
        <v>4204</v>
      </c>
      <c r="R28" s="50" t="s">
        <v>634</v>
      </c>
      <c r="S28" s="38"/>
    </row>
    <row r="29" spans="1:19" s="34" customFormat="1" x14ac:dyDescent="0.25">
      <c r="A29" s="44" t="s">
        <v>4239</v>
      </c>
      <c r="B29" s="45"/>
      <c r="C29" s="44" t="s">
        <v>545</v>
      </c>
      <c r="D29" s="44" t="s">
        <v>1716</v>
      </c>
      <c r="E29" s="44" t="s">
        <v>776</v>
      </c>
      <c r="F29" s="46"/>
      <c r="G29" s="46"/>
      <c r="H29" s="54"/>
      <c r="I29" s="44"/>
      <c r="J29" s="44"/>
      <c r="K29" s="47"/>
      <c r="L29" s="47"/>
      <c r="M29" s="48"/>
      <c r="N29" s="49"/>
      <c r="O29" s="46"/>
      <c r="P29" s="50"/>
      <c r="Q29" s="50" t="s">
        <v>4204</v>
      </c>
      <c r="R29" s="50" t="s">
        <v>634</v>
      </c>
      <c r="S29" s="38"/>
    </row>
    <row r="30" spans="1:19" s="34" customFormat="1" x14ac:dyDescent="0.25">
      <c r="A30" s="44" t="s">
        <v>4240</v>
      </c>
      <c r="B30" s="45"/>
      <c r="C30" s="44" t="s">
        <v>496</v>
      </c>
      <c r="D30" s="44" t="s">
        <v>3380</v>
      </c>
      <c r="E30" s="44" t="s">
        <v>600</v>
      </c>
      <c r="F30" s="46"/>
      <c r="G30" s="46"/>
      <c r="H30" s="54"/>
      <c r="I30" s="44"/>
      <c r="J30" s="44"/>
      <c r="K30" s="47"/>
      <c r="L30" s="47"/>
      <c r="M30" s="48"/>
      <c r="N30" s="49"/>
      <c r="O30" s="46"/>
      <c r="P30" s="50"/>
      <c r="Q30" s="50" t="s">
        <v>4204</v>
      </c>
      <c r="R30" s="50" t="s">
        <v>634</v>
      </c>
      <c r="S30" s="38"/>
    </row>
    <row r="31" spans="1:19" s="34" customFormat="1" x14ac:dyDescent="0.25">
      <c r="A31" s="44" t="s">
        <v>4241</v>
      </c>
      <c r="B31" s="45"/>
      <c r="C31" s="44" t="s">
        <v>1008</v>
      </c>
      <c r="D31" s="44" t="s">
        <v>4242</v>
      </c>
      <c r="E31" s="44" t="s">
        <v>411</v>
      </c>
      <c r="F31" s="46"/>
      <c r="G31" s="46"/>
      <c r="H31" s="54"/>
      <c r="I31" s="44"/>
      <c r="J31" s="44"/>
      <c r="K31" s="47"/>
      <c r="L31" s="47"/>
      <c r="M31" s="48"/>
      <c r="N31" s="49"/>
      <c r="O31" s="46"/>
      <c r="P31" s="50"/>
      <c r="Q31" s="50" t="s">
        <v>4204</v>
      </c>
      <c r="R31" s="50" t="s">
        <v>634</v>
      </c>
      <c r="S31" s="38"/>
    </row>
    <row r="32" spans="1:19" s="34" customFormat="1" x14ac:dyDescent="0.25">
      <c r="A32" s="44" t="s">
        <v>4243</v>
      </c>
      <c r="B32" s="45"/>
      <c r="C32" s="44" t="s">
        <v>437</v>
      </c>
      <c r="D32" s="44" t="s">
        <v>470</v>
      </c>
      <c r="E32" s="44" t="s">
        <v>471</v>
      </c>
      <c r="F32" s="46"/>
      <c r="G32" s="46"/>
      <c r="H32" s="54"/>
      <c r="I32" s="44"/>
      <c r="J32" s="44"/>
      <c r="K32" s="47"/>
      <c r="L32" s="47"/>
      <c r="M32" s="48"/>
      <c r="N32" s="49"/>
      <c r="O32" s="46"/>
      <c r="P32" s="50"/>
      <c r="Q32" s="50" t="s">
        <v>4204</v>
      </c>
      <c r="R32" s="50" t="s">
        <v>634</v>
      </c>
      <c r="S32" s="38"/>
    </row>
    <row r="33" spans="1:19" s="34" customFormat="1" x14ac:dyDescent="0.25">
      <c r="A33" s="44" t="s">
        <v>4244</v>
      </c>
      <c r="B33" s="45"/>
      <c r="C33" s="44" t="s">
        <v>515</v>
      </c>
      <c r="D33" s="44" t="s">
        <v>4195</v>
      </c>
      <c r="E33" s="44" t="s">
        <v>571</v>
      </c>
      <c r="F33" s="46"/>
      <c r="G33" s="46"/>
      <c r="H33" s="54"/>
      <c r="I33" s="44"/>
      <c r="J33" s="44"/>
      <c r="K33" s="47"/>
      <c r="L33" s="47"/>
      <c r="M33" s="48"/>
      <c r="N33" s="49"/>
      <c r="O33" s="46"/>
      <c r="P33" s="50"/>
      <c r="Q33" s="50" t="s">
        <v>4204</v>
      </c>
      <c r="R33" s="50" t="s">
        <v>634</v>
      </c>
      <c r="S33" s="38"/>
    </row>
    <row r="34" spans="1:19" s="34" customFormat="1" x14ac:dyDescent="0.25">
      <c r="A34" s="44" t="s">
        <v>4245</v>
      </c>
      <c r="B34" s="45"/>
      <c r="C34" s="44" t="s">
        <v>545</v>
      </c>
      <c r="D34" s="44" t="s">
        <v>519</v>
      </c>
      <c r="E34" s="44" t="s">
        <v>490</v>
      </c>
      <c r="F34" s="46"/>
      <c r="G34" s="46"/>
      <c r="H34" s="54"/>
      <c r="I34" s="44"/>
      <c r="J34" s="44"/>
      <c r="K34" s="47"/>
      <c r="L34" s="47"/>
      <c r="M34" s="48"/>
      <c r="N34" s="49"/>
      <c r="O34" s="46"/>
      <c r="P34" s="50"/>
      <c r="Q34" s="50" t="s">
        <v>4204</v>
      </c>
      <c r="R34" s="50" t="s">
        <v>634</v>
      </c>
      <c r="S34" s="38"/>
    </row>
    <row r="35" spans="1:19" s="34" customFormat="1" x14ac:dyDescent="0.25">
      <c r="A35" s="44" t="s">
        <v>4246</v>
      </c>
      <c r="B35" s="45"/>
      <c r="C35" s="44" t="s">
        <v>457</v>
      </c>
      <c r="D35" s="44" t="s">
        <v>4247</v>
      </c>
      <c r="E35" s="44" t="s">
        <v>411</v>
      </c>
      <c r="F35" s="46"/>
      <c r="G35" s="46"/>
      <c r="H35" s="54"/>
      <c r="I35" s="44"/>
      <c r="J35" s="44"/>
      <c r="K35" s="47"/>
      <c r="L35" s="47"/>
      <c r="M35" s="48"/>
      <c r="N35" s="49"/>
      <c r="O35" s="46"/>
      <c r="P35" s="50"/>
      <c r="Q35" s="50" t="s">
        <v>4204</v>
      </c>
      <c r="R35" s="50" t="s">
        <v>634</v>
      </c>
      <c r="S35" s="38"/>
    </row>
    <row r="36" spans="1:19" s="34" customFormat="1" x14ac:dyDescent="0.25">
      <c r="A36" s="44" t="s">
        <v>4248</v>
      </c>
      <c r="B36" s="45"/>
      <c r="C36" s="44" t="s">
        <v>4249</v>
      </c>
      <c r="D36" s="44" t="s">
        <v>706</v>
      </c>
      <c r="E36" s="44" t="s">
        <v>707</v>
      </c>
      <c r="F36" s="46"/>
      <c r="G36" s="46"/>
      <c r="H36" s="54"/>
      <c r="I36" s="44"/>
      <c r="J36" s="44"/>
      <c r="K36" s="47"/>
      <c r="L36" s="47"/>
      <c r="M36" s="48"/>
      <c r="N36" s="49"/>
      <c r="O36" s="46"/>
      <c r="P36" s="50"/>
      <c r="Q36" s="50" t="s">
        <v>4204</v>
      </c>
      <c r="R36" s="50" t="s">
        <v>634</v>
      </c>
      <c r="S36" s="38"/>
    </row>
    <row r="37" spans="1:19" s="34" customFormat="1" x14ac:dyDescent="0.25">
      <c r="A37" s="44" t="s">
        <v>4250</v>
      </c>
      <c r="B37" s="45"/>
      <c r="C37" s="44" t="s">
        <v>457</v>
      </c>
      <c r="D37" s="44" t="s">
        <v>3717</v>
      </c>
      <c r="E37" s="44" t="s">
        <v>548</v>
      </c>
      <c r="F37" s="46"/>
      <c r="G37" s="46"/>
      <c r="H37" s="54"/>
      <c r="I37" s="44"/>
      <c r="J37" s="44"/>
      <c r="K37" s="47"/>
      <c r="L37" s="47"/>
      <c r="M37" s="48"/>
      <c r="N37" s="49"/>
      <c r="O37" s="46"/>
      <c r="P37" s="50"/>
      <c r="Q37" s="50" t="s">
        <v>4204</v>
      </c>
      <c r="R37" s="50" t="s">
        <v>634</v>
      </c>
      <c r="S37" s="38"/>
    </row>
    <row r="38" spans="1:19" s="34" customFormat="1" x14ac:dyDescent="0.25">
      <c r="A38" s="44" t="s">
        <v>4251</v>
      </c>
      <c r="B38" s="45"/>
      <c r="C38" s="44" t="s">
        <v>446</v>
      </c>
      <c r="D38" s="44" t="s">
        <v>810</v>
      </c>
      <c r="E38" s="44" t="s">
        <v>600</v>
      </c>
      <c r="F38" s="46"/>
      <c r="G38" s="46"/>
      <c r="H38" s="54"/>
      <c r="I38" s="44"/>
      <c r="J38" s="44"/>
      <c r="K38" s="47"/>
      <c r="L38" s="47"/>
      <c r="M38" s="48"/>
      <c r="N38" s="49"/>
      <c r="O38" s="46"/>
      <c r="P38" s="50"/>
      <c r="Q38" s="50" t="s">
        <v>4204</v>
      </c>
      <c r="R38" s="50" t="s">
        <v>634</v>
      </c>
      <c r="S38" s="38"/>
    </row>
    <row r="39" spans="1:19" s="34" customFormat="1" x14ac:dyDescent="0.25">
      <c r="A39" s="44" t="s">
        <v>4252</v>
      </c>
      <c r="B39" s="45"/>
      <c r="C39" s="44" t="s">
        <v>4253</v>
      </c>
      <c r="D39" s="44" t="s">
        <v>4254</v>
      </c>
      <c r="E39" s="44" t="s">
        <v>435</v>
      </c>
      <c r="F39" s="46"/>
      <c r="G39" s="46"/>
      <c r="H39" s="54"/>
      <c r="I39" s="44"/>
      <c r="J39" s="44"/>
      <c r="K39" s="47"/>
      <c r="L39" s="47"/>
      <c r="M39" s="48"/>
      <c r="N39" s="49"/>
      <c r="O39" s="46"/>
      <c r="P39" s="50"/>
      <c r="Q39" s="50" t="s">
        <v>4204</v>
      </c>
      <c r="R39" s="50" t="s">
        <v>634</v>
      </c>
      <c r="S39" s="38"/>
    </row>
    <row r="40" spans="1:19" s="34" customFormat="1" x14ac:dyDescent="0.25">
      <c r="A40" s="44" t="s">
        <v>4219</v>
      </c>
      <c r="B40" s="44"/>
      <c r="C40" s="44" t="s">
        <v>446</v>
      </c>
      <c r="D40" s="44" t="s">
        <v>4220</v>
      </c>
      <c r="E40" s="44" t="s">
        <v>4221</v>
      </c>
      <c r="F40" s="46"/>
      <c r="G40" s="46"/>
      <c r="H40" s="54"/>
      <c r="I40" s="44"/>
      <c r="J40" s="44"/>
      <c r="K40" s="47"/>
      <c r="L40" s="47"/>
      <c r="M40" s="48"/>
      <c r="N40" s="49"/>
      <c r="O40" s="46"/>
      <c r="P40" s="50"/>
      <c r="Q40" s="50" t="s">
        <v>4204</v>
      </c>
      <c r="R40" s="50"/>
      <c r="S40" s="38"/>
    </row>
    <row r="41" spans="1:19" s="34" customFormat="1" x14ac:dyDescent="0.25">
      <c r="A41" s="44" t="s">
        <v>4219</v>
      </c>
      <c r="B41" s="44"/>
      <c r="C41" s="44" t="s">
        <v>446</v>
      </c>
      <c r="D41" s="44" t="s">
        <v>4220</v>
      </c>
      <c r="E41" s="44" t="s">
        <v>4221</v>
      </c>
      <c r="F41" s="44"/>
      <c r="G41" s="44"/>
      <c r="H41" s="54"/>
      <c r="I41" s="44"/>
      <c r="J41" s="44"/>
      <c r="K41" s="47"/>
      <c r="L41" s="47"/>
      <c r="M41" s="48"/>
      <c r="N41" s="49"/>
      <c r="O41" s="44"/>
      <c r="P41" s="50"/>
      <c r="Q41" s="50" t="s">
        <v>4204</v>
      </c>
      <c r="R41" s="50"/>
      <c r="S41" s="38"/>
    </row>
    <row r="42" spans="1:19" s="34" customFormat="1" x14ac:dyDescent="0.25">
      <c r="A42" s="44" t="s">
        <v>4255</v>
      </c>
      <c r="B42" s="44"/>
      <c r="C42" s="44" t="s">
        <v>418</v>
      </c>
      <c r="D42" s="44" t="s">
        <v>1381</v>
      </c>
      <c r="E42" s="44" t="s">
        <v>929</v>
      </c>
      <c r="F42" s="44"/>
      <c r="G42" s="44"/>
      <c r="H42" s="54"/>
      <c r="I42" s="44"/>
      <c r="J42" s="44"/>
      <c r="K42" s="47"/>
      <c r="L42" s="47"/>
      <c r="M42" s="48"/>
      <c r="N42" s="49"/>
      <c r="O42" s="44"/>
      <c r="P42" s="50"/>
      <c r="Q42" s="50" t="s">
        <v>4204</v>
      </c>
      <c r="R42" s="50"/>
      <c r="S42" s="38"/>
    </row>
    <row r="43" spans="1:19" s="34" customFormat="1" x14ac:dyDescent="0.25">
      <c r="A43" s="44" t="s">
        <v>4256</v>
      </c>
      <c r="B43" s="44"/>
      <c r="C43" s="44" t="s">
        <v>609</v>
      </c>
      <c r="D43" s="44" t="s">
        <v>3282</v>
      </c>
      <c r="E43" s="44" t="s">
        <v>929</v>
      </c>
      <c r="F43" s="44"/>
      <c r="G43" s="44"/>
      <c r="H43" s="54"/>
      <c r="I43" s="44"/>
      <c r="J43" s="44"/>
      <c r="K43" s="47"/>
      <c r="L43" s="47"/>
      <c r="M43" s="48"/>
      <c r="N43" s="49"/>
      <c r="O43" s="44"/>
      <c r="P43" s="50"/>
      <c r="Q43" s="50" t="s">
        <v>4204</v>
      </c>
      <c r="R43" s="50"/>
      <c r="S43" s="38"/>
    </row>
    <row r="44" spans="1:19" s="34" customFormat="1" x14ac:dyDescent="0.25">
      <c r="A44" s="44" t="s">
        <v>4257</v>
      </c>
      <c r="B44" s="44"/>
      <c r="C44" s="44" t="s">
        <v>542</v>
      </c>
      <c r="D44" s="44" t="s">
        <v>4258</v>
      </c>
      <c r="E44" s="44" t="s">
        <v>4259</v>
      </c>
      <c r="F44" s="44"/>
      <c r="G44" s="44"/>
      <c r="H44" s="54"/>
      <c r="I44" s="44"/>
      <c r="J44" s="44"/>
      <c r="K44" s="47"/>
      <c r="L44" s="47"/>
      <c r="M44" s="48"/>
      <c r="N44" s="49"/>
      <c r="O44" s="44"/>
      <c r="P44" s="50"/>
      <c r="Q44" s="50" t="s">
        <v>4204</v>
      </c>
      <c r="R44" s="50"/>
      <c r="S44" s="38"/>
    </row>
    <row r="45" spans="1:19" s="34" customFormat="1" x14ac:dyDescent="0.25">
      <c r="A45" s="44" t="s">
        <v>4260</v>
      </c>
      <c r="B45" s="44"/>
      <c r="C45" s="44" t="s">
        <v>4138</v>
      </c>
      <c r="D45" s="44" t="s">
        <v>1717</v>
      </c>
      <c r="E45" s="44" t="s">
        <v>2400</v>
      </c>
      <c r="F45" s="44"/>
      <c r="G45" s="44"/>
      <c r="H45" s="54"/>
      <c r="I45" s="44"/>
      <c r="J45" s="44"/>
      <c r="K45" s="47"/>
      <c r="L45" s="47"/>
      <c r="M45" s="48"/>
      <c r="N45" s="49"/>
      <c r="O45" s="44"/>
      <c r="P45" s="50"/>
      <c r="Q45" s="50" t="s">
        <v>4204</v>
      </c>
      <c r="R45" s="50"/>
      <c r="S45" s="38"/>
    </row>
    <row r="46" spans="1:19" s="34" customFormat="1" x14ac:dyDescent="0.25">
      <c r="A46" s="44" t="s">
        <v>4261</v>
      </c>
      <c r="B46" s="44"/>
      <c r="C46" s="44" t="s">
        <v>443</v>
      </c>
      <c r="D46" s="44" t="s">
        <v>475</v>
      </c>
      <c r="E46" s="44" t="s">
        <v>1035</v>
      </c>
      <c r="F46" s="44"/>
      <c r="G46" s="44"/>
      <c r="H46" s="54"/>
      <c r="I46" s="44"/>
      <c r="J46" s="44"/>
      <c r="K46" s="47"/>
      <c r="L46" s="47"/>
      <c r="M46" s="48"/>
      <c r="N46" s="49"/>
      <c r="O46" s="44"/>
      <c r="P46" s="50"/>
      <c r="Q46" s="50" t="s">
        <v>4204</v>
      </c>
      <c r="R46" s="50"/>
      <c r="S46" s="38"/>
    </row>
    <row r="47" spans="1:19" s="34" customFormat="1" x14ac:dyDescent="0.25">
      <c r="A47" s="44" t="s">
        <v>4262</v>
      </c>
      <c r="B47" s="44"/>
      <c r="C47" s="44" t="s">
        <v>437</v>
      </c>
      <c r="D47" s="44" t="s">
        <v>928</v>
      </c>
      <c r="E47" s="44" t="s">
        <v>1035</v>
      </c>
      <c r="F47" s="44"/>
      <c r="G47" s="44"/>
      <c r="H47" s="54"/>
      <c r="I47" s="44"/>
      <c r="J47" s="44"/>
      <c r="K47" s="47"/>
      <c r="L47" s="47"/>
      <c r="M47" s="48"/>
      <c r="N47" s="49"/>
      <c r="O47" s="44"/>
      <c r="P47" s="50"/>
      <c r="Q47" s="50" t="s">
        <v>4204</v>
      </c>
      <c r="R47" s="50"/>
      <c r="S47" s="38"/>
    </row>
    <row r="48" spans="1:19" s="34" customFormat="1" x14ac:dyDescent="0.25">
      <c r="A48" s="44" t="s">
        <v>4263</v>
      </c>
      <c r="B48" s="44"/>
      <c r="C48" s="44" t="s">
        <v>437</v>
      </c>
      <c r="D48" s="44" t="s">
        <v>3470</v>
      </c>
      <c r="E48" s="44" t="s">
        <v>4150</v>
      </c>
      <c r="F48" s="44"/>
      <c r="G48" s="44"/>
      <c r="H48" s="54"/>
      <c r="I48" s="44"/>
      <c r="J48" s="44"/>
      <c r="K48" s="47"/>
      <c r="L48" s="47"/>
      <c r="M48" s="48"/>
      <c r="N48" s="49"/>
      <c r="O48" s="44"/>
      <c r="P48" s="50"/>
      <c r="Q48" s="50" t="s">
        <v>4204</v>
      </c>
      <c r="R48" s="50"/>
      <c r="S48" s="38"/>
    </row>
    <row r="49" spans="1:25" s="34" customFormat="1" x14ac:dyDescent="0.25">
      <c r="A49" s="44" t="s">
        <v>4264</v>
      </c>
      <c r="B49" s="44"/>
      <c r="C49" s="44" t="s">
        <v>460</v>
      </c>
      <c r="D49" s="44" t="s">
        <v>4265</v>
      </c>
      <c r="E49" s="44" t="s">
        <v>4266</v>
      </c>
      <c r="F49" s="44"/>
      <c r="G49" s="44"/>
      <c r="H49" s="54"/>
      <c r="I49" s="44"/>
      <c r="J49" s="44"/>
      <c r="K49" s="47"/>
      <c r="L49" s="47"/>
      <c r="M49" s="48"/>
      <c r="N49" s="49"/>
      <c r="O49" s="44"/>
      <c r="P49" s="50"/>
      <c r="Q49" s="50" t="s">
        <v>4204</v>
      </c>
      <c r="R49" s="50"/>
      <c r="S49" s="38"/>
    </row>
    <row r="50" spans="1:25" s="34" customFormat="1" x14ac:dyDescent="0.25">
      <c r="A50" s="44" t="s">
        <v>4267</v>
      </c>
      <c r="B50" s="44"/>
      <c r="C50" s="44" t="s">
        <v>531</v>
      </c>
      <c r="D50" s="44" t="s">
        <v>544</v>
      </c>
      <c r="E50" s="44" t="s">
        <v>2594</v>
      </c>
      <c r="F50" s="44"/>
      <c r="G50" s="44"/>
      <c r="H50" s="54"/>
      <c r="I50" s="44"/>
      <c r="J50" s="44"/>
      <c r="K50" s="47"/>
      <c r="L50" s="47"/>
      <c r="M50" s="48"/>
      <c r="N50" s="49"/>
      <c r="O50" s="44"/>
      <c r="P50" s="50"/>
      <c r="Q50" s="50" t="s">
        <v>4204</v>
      </c>
      <c r="R50" s="50"/>
      <c r="S50" s="38"/>
    </row>
    <row r="51" spans="1:25" s="34" customFormat="1" x14ac:dyDescent="0.25">
      <c r="A51" s="44" t="s">
        <v>4268</v>
      </c>
      <c r="B51" s="44"/>
      <c r="C51" s="44" t="s">
        <v>817</v>
      </c>
      <c r="D51" s="44" t="s">
        <v>2004</v>
      </c>
      <c r="E51" s="44" t="s">
        <v>777</v>
      </c>
      <c r="F51" s="44"/>
      <c r="G51" s="44"/>
      <c r="H51" s="54"/>
      <c r="I51" s="44"/>
      <c r="J51" s="44"/>
      <c r="K51" s="47"/>
      <c r="L51" s="47"/>
      <c r="M51" s="48"/>
      <c r="N51" s="49"/>
      <c r="O51" s="44"/>
      <c r="P51" s="50"/>
      <c r="Q51" s="50" t="s">
        <v>4204</v>
      </c>
      <c r="R51" s="50"/>
      <c r="S51" s="38"/>
    </row>
    <row r="52" spans="1:25" s="34" customFormat="1" x14ac:dyDescent="0.25">
      <c r="A52" s="44" t="s">
        <v>4269</v>
      </c>
      <c r="B52" s="44"/>
      <c r="C52" s="44" t="s">
        <v>437</v>
      </c>
      <c r="D52" s="44" t="s">
        <v>3811</v>
      </c>
      <c r="E52" s="44" t="s">
        <v>1372</v>
      </c>
      <c r="F52" s="44"/>
      <c r="G52" s="44"/>
      <c r="H52" s="54"/>
      <c r="I52" s="44"/>
      <c r="J52" s="44"/>
      <c r="K52" s="47"/>
      <c r="L52" s="47"/>
      <c r="M52" s="48"/>
      <c r="N52" s="49"/>
      <c r="O52" s="44"/>
      <c r="P52" s="50"/>
      <c r="Q52" s="50" t="s">
        <v>4204</v>
      </c>
      <c r="R52" s="50"/>
      <c r="S52" s="38"/>
    </row>
    <row r="53" spans="1:25" s="34" customFormat="1" x14ac:dyDescent="0.25">
      <c r="A53" s="44" t="s">
        <v>4270</v>
      </c>
      <c r="B53" s="44"/>
      <c r="C53" s="44" t="s">
        <v>1008</v>
      </c>
      <c r="D53" s="44" t="s">
        <v>2004</v>
      </c>
      <c r="E53" s="44" t="s">
        <v>2298</v>
      </c>
      <c r="F53" s="44"/>
      <c r="G53" s="44"/>
      <c r="H53" s="54"/>
      <c r="I53" s="44"/>
      <c r="J53" s="44"/>
      <c r="K53" s="47"/>
      <c r="L53" s="47"/>
      <c r="M53" s="48"/>
      <c r="N53" s="49"/>
      <c r="O53" s="44"/>
      <c r="P53" s="50"/>
      <c r="Q53" s="50" t="s">
        <v>4204</v>
      </c>
      <c r="R53" s="50"/>
      <c r="S53" s="38"/>
    </row>
    <row r="54" spans="1:25" s="34" customFormat="1" x14ac:dyDescent="0.25">
      <c r="A54" s="44" t="s">
        <v>4271</v>
      </c>
      <c r="B54" s="44"/>
      <c r="C54" s="44" t="s">
        <v>542</v>
      </c>
      <c r="D54" s="44" t="s">
        <v>3975</v>
      </c>
      <c r="E54" s="44" t="s">
        <v>2298</v>
      </c>
      <c r="F54" s="44"/>
      <c r="G54" s="44"/>
      <c r="H54" s="54"/>
      <c r="I54" s="44"/>
      <c r="J54" s="44"/>
      <c r="K54" s="47"/>
      <c r="L54" s="47"/>
      <c r="M54" s="48"/>
      <c r="N54" s="49"/>
      <c r="O54" s="44"/>
      <c r="P54" s="50"/>
      <c r="Q54" s="50" t="s">
        <v>4204</v>
      </c>
      <c r="R54" s="50"/>
      <c r="S54" s="38"/>
    </row>
    <row r="55" spans="1:25" s="34" customFormat="1" x14ac:dyDescent="0.25">
      <c r="A55" s="76" t="s">
        <v>6763</v>
      </c>
      <c r="B55" s="76" t="s">
        <v>7581</v>
      </c>
      <c r="C55" s="76" t="s">
        <v>437</v>
      </c>
      <c r="D55" s="76" t="s">
        <v>6764</v>
      </c>
      <c r="E55" s="76" t="s">
        <v>6765</v>
      </c>
      <c r="F55" s="76"/>
      <c r="G55" s="76"/>
      <c r="H55" s="77"/>
      <c r="I55" s="76"/>
      <c r="J55" s="76"/>
      <c r="K55" s="76"/>
      <c r="L55" s="76"/>
      <c r="M55" s="76"/>
      <c r="N55" s="76"/>
      <c r="O55" s="76"/>
      <c r="P55" s="78"/>
      <c r="Q55" s="78"/>
      <c r="R55" s="73" t="s">
        <v>634</v>
      </c>
      <c r="S55" s="33"/>
      <c r="T55" s="36"/>
      <c r="U55" s="37"/>
      <c r="V55" s="35"/>
      <c r="W55" s="35"/>
      <c r="X55" s="35"/>
      <c r="Y55" s="35"/>
    </row>
    <row r="56" spans="1:25" s="34" customFormat="1" x14ac:dyDescent="0.25">
      <c r="A56" s="76" t="s">
        <v>6766</v>
      </c>
      <c r="B56" s="76" t="s">
        <v>7573</v>
      </c>
      <c r="C56" s="76" t="s">
        <v>421</v>
      </c>
      <c r="D56" s="76" t="s">
        <v>6764</v>
      </c>
      <c r="E56" s="76" t="s">
        <v>6765</v>
      </c>
      <c r="F56" s="76"/>
      <c r="G56" s="76"/>
      <c r="H56" s="77"/>
      <c r="I56" s="76"/>
      <c r="J56" s="76"/>
      <c r="K56" s="76"/>
      <c r="L56" s="76"/>
      <c r="M56" s="76"/>
      <c r="N56" s="76"/>
      <c r="O56" s="76"/>
      <c r="P56" s="78"/>
      <c r="Q56" s="78"/>
      <c r="R56" s="73" t="s">
        <v>634</v>
      </c>
      <c r="S56" s="33"/>
      <c r="T56" s="36"/>
      <c r="U56" s="37"/>
      <c r="V56" s="35"/>
      <c r="W56" s="35"/>
      <c r="X56" s="35"/>
      <c r="Y56" s="35"/>
    </row>
    <row r="57" spans="1:25" s="34" customFormat="1" x14ac:dyDescent="0.25">
      <c r="A57" s="76" t="s">
        <v>6935</v>
      </c>
      <c r="B57" s="76" t="s">
        <v>7565</v>
      </c>
      <c r="C57" s="76" t="s">
        <v>817</v>
      </c>
      <c r="D57" s="76" t="s">
        <v>6768</v>
      </c>
      <c r="E57" s="76" t="s">
        <v>6918</v>
      </c>
      <c r="F57" s="76"/>
      <c r="G57" s="76"/>
      <c r="H57" s="77"/>
      <c r="I57" s="76"/>
      <c r="J57" s="76"/>
      <c r="K57" s="76"/>
      <c r="L57" s="76"/>
      <c r="M57" s="76"/>
      <c r="N57" s="76"/>
      <c r="O57" s="76"/>
      <c r="P57" s="78"/>
      <c r="Q57" s="78"/>
      <c r="R57" s="73" t="s">
        <v>634</v>
      </c>
      <c r="S57" s="33"/>
      <c r="T57" s="36"/>
      <c r="U57" s="37"/>
      <c r="V57" s="35"/>
      <c r="W57" s="35"/>
      <c r="X57" s="35"/>
      <c r="Y57" s="35"/>
    </row>
    <row r="58" spans="1:25" s="34" customFormat="1" x14ac:dyDescent="0.25">
      <c r="A58" s="76" t="s">
        <v>6944</v>
      </c>
      <c r="B58" s="76" t="s">
        <v>7521</v>
      </c>
      <c r="C58" s="76" t="s">
        <v>437</v>
      </c>
      <c r="D58" s="76" t="s">
        <v>6945</v>
      </c>
      <c r="E58" s="76" t="s">
        <v>6946</v>
      </c>
      <c r="F58" s="76"/>
      <c r="G58" s="76"/>
      <c r="H58" s="77"/>
      <c r="I58" s="76"/>
      <c r="J58" s="76"/>
      <c r="K58" s="76"/>
      <c r="L58" s="76"/>
      <c r="M58" s="76"/>
      <c r="N58" s="76"/>
      <c r="O58" s="76"/>
      <c r="P58" s="78"/>
      <c r="Q58" s="78"/>
      <c r="R58" s="73" t="s">
        <v>634</v>
      </c>
      <c r="S58" s="33"/>
      <c r="T58" s="36"/>
      <c r="U58" s="37"/>
      <c r="V58" s="35"/>
      <c r="W58" s="35"/>
      <c r="X58" s="35"/>
      <c r="Y58" s="35"/>
    </row>
    <row r="59" spans="1:25" s="34" customFormat="1" x14ac:dyDescent="0.25">
      <c r="A59" s="76" t="s">
        <v>6969</v>
      </c>
      <c r="B59" s="76" t="s">
        <v>7604</v>
      </c>
      <c r="C59" s="76" t="s">
        <v>437</v>
      </c>
      <c r="D59" s="76" t="s">
        <v>6970</v>
      </c>
      <c r="E59" s="76" t="s">
        <v>6966</v>
      </c>
      <c r="F59" s="76"/>
      <c r="G59" s="76"/>
      <c r="H59" s="77"/>
      <c r="I59" s="76"/>
      <c r="J59" s="76"/>
      <c r="K59" s="76"/>
      <c r="L59" s="76"/>
      <c r="M59" s="76"/>
      <c r="N59" s="76"/>
      <c r="O59" s="76"/>
      <c r="P59" s="78"/>
      <c r="Q59" s="78"/>
      <c r="R59" s="73" t="s">
        <v>634</v>
      </c>
      <c r="S59" s="33"/>
      <c r="T59" s="36"/>
      <c r="U59" s="37"/>
      <c r="V59" s="35"/>
      <c r="W59" s="35"/>
      <c r="X59" s="35"/>
      <c r="Y59" s="35"/>
    </row>
    <row r="60" spans="1:25" s="34" customFormat="1" x14ac:dyDescent="0.25">
      <c r="A60" s="76" t="s">
        <v>6976</v>
      </c>
      <c r="B60" s="76" t="s">
        <v>7600</v>
      </c>
      <c r="C60" s="76" t="s">
        <v>545</v>
      </c>
      <c r="D60" s="76" t="s">
        <v>6977</v>
      </c>
      <c r="E60" s="76" t="s">
        <v>6972</v>
      </c>
      <c r="F60" s="76"/>
      <c r="G60" s="76"/>
      <c r="H60" s="77"/>
      <c r="I60" s="76"/>
      <c r="J60" s="76"/>
      <c r="K60" s="76"/>
      <c r="L60" s="76"/>
      <c r="M60" s="76"/>
      <c r="N60" s="76"/>
      <c r="O60" s="76"/>
      <c r="P60" s="78"/>
      <c r="Q60" s="78"/>
      <c r="R60" s="73" t="s">
        <v>634</v>
      </c>
      <c r="S60" s="33"/>
      <c r="T60" s="36"/>
      <c r="U60" s="37"/>
      <c r="V60" s="35"/>
      <c r="W60" s="35"/>
      <c r="X60" s="35"/>
      <c r="Y60" s="35"/>
    </row>
    <row r="61" spans="1:25" s="34" customFormat="1" x14ac:dyDescent="0.25">
      <c r="A61" s="76" t="s">
        <v>6978</v>
      </c>
      <c r="B61" s="76" t="s">
        <v>7566</v>
      </c>
      <c r="C61" s="76" t="s">
        <v>460</v>
      </c>
      <c r="D61" s="76" t="s">
        <v>6979</v>
      </c>
      <c r="E61" s="76" t="s">
        <v>6980</v>
      </c>
      <c r="F61" s="76"/>
      <c r="G61" s="76"/>
      <c r="H61" s="77"/>
      <c r="I61" s="76"/>
      <c r="J61" s="76"/>
      <c r="K61" s="76"/>
      <c r="L61" s="76"/>
      <c r="M61" s="76"/>
      <c r="N61" s="76"/>
      <c r="O61" s="76"/>
      <c r="P61" s="78"/>
      <c r="Q61" s="78"/>
      <c r="R61" s="73" t="s">
        <v>634</v>
      </c>
      <c r="S61" s="33"/>
      <c r="T61" s="36"/>
      <c r="U61" s="37"/>
      <c r="V61" s="35"/>
      <c r="W61" s="35"/>
      <c r="X61" s="35"/>
      <c r="Y61" s="35"/>
    </row>
    <row r="62" spans="1:25" s="34" customFormat="1" x14ac:dyDescent="0.25">
      <c r="A62" s="76" t="s">
        <v>6983</v>
      </c>
      <c r="B62" s="76" t="s">
        <v>7529</v>
      </c>
      <c r="C62" s="76" t="s">
        <v>817</v>
      </c>
      <c r="D62" s="76" t="s">
        <v>6977</v>
      </c>
      <c r="E62" s="76" t="s">
        <v>6980</v>
      </c>
      <c r="F62" s="76"/>
      <c r="G62" s="76"/>
      <c r="H62" s="77"/>
      <c r="I62" s="76"/>
      <c r="J62" s="76"/>
      <c r="K62" s="76"/>
      <c r="L62" s="76"/>
      <c r="M62" s="76"/>
      <c r="N62" s="76"/>
      <c r="O62" s="76"/>
      <c r="P62" s="78"/>
      <c r="Q62" s="78"/>
      <c r="R62" s="73" t="s">
        <v>634</v>
      </c>
      <c r="S62" s="33"/>
      <c r="T62" s="36"/>
      <c r="U62" s="37"/>
      <c r="V62" s="35"/>
      <c r="W62" s="35"/>
      <c r="X62" s="35"/>
      <c r="Y62" s="35"/>
    </row>
    <row r="63" spans="1:25" s="34" customFormat="1" x14ac:dyDescent="0.25">
      <c r="A63" s="76" t="s">
        <v>6984</v>
      </c>
      <c r="B63" s="76" t="s">
        <v>7613</v>
      </c>
      <c r="C63" s="76" t="s">
        <v>4249</v>
      </c>
      <c r="D63" s="76" t="s">
        <v>1372</v>
      </c>
      <c r="E63" s="76" t="s">
        <v>6985</v>
      </c>
      <c r="F63" s="76"/>
      <c r="G63" s="76"/>
      <c r="H63" s="77"/>
      <c r="I63" s="76"/>
      <c r="J63" s="76"/>
      <c r="K63" s="76"/>
      <c r="L63" s="76"/>
      <c r="M63" s="76"/>
      <c r="N63" s="76"/>
      <c r="O63" s="76"/>
      <c r="P63" s="78"/>
      <c r="Q63" s="78"/>
      <c r="R63" s="73" t="s">
        <v>634</v>
      </c>
      <c r="S63" s="33"/>
      <c r="T63" s="36"/>
      <c r="U63" s="37"/>
      <c r="V63" s="35"/>
      <c r="W63" s="35"/>
      <c r="X63" s="35"/>
      <c r="Y63" s="35"/>
    </row>
    <row r="64" spans="1:25" s="34" customFormat="1" x14ac:dyDescent="0.25">
      <c r="A64" s="76" t="s">
        <v>6986</v>
      </c>
      <c r="B64" s="76" t="s">
        <v>7535</v>
      </c>
      <c r="C64" s="76" t="s">
        <v>817</v>
      </c>
      <c r="D64" s="76" t="s">
        <v>1372</v>
      </c>
      <c r="E64" s="76" t="s">
        <v>6985</v>
      </c>
      <c r="F64" s="76"/>
      <c r="G64" s="76"/>
      <c r="H64" s="77"/>
      <c r="I64" s="76"/>
      <c r="J64" s="76"/>
      <c r="K64" s="76"/>
      <c r="L64" s="76"/>
      <c r="M64" s="76"/>
      <c r="N64" s="76"/>
      <c r="O64" s="76"/>
      <c r="P64" s="78"/>
      <c r="Q64" s="78"/>
      <c r="R64" s="73" t="s">
        <v>634</v>
      </c>
      <c r="S64" s="33"/>
      <c r="T64" s="36"/>
      <c r="U64" s="37"/>
      <c r="V64" s="35"/>
      <c r="W64" s="35"/>
      <c r="X64" s="35"/>
      <c r="Y64" s="35"/>
    </row>
    <row r="65" spans="1:25" s="34" customFormat="1" x14ac:dyDescent="0.25">
      <c r="A65" s="76" t="s">
        <v>7023</v>
      </c>
      <c r="B65" s="76" t="s">
        <v>7520</v>
      </c>
      <c r="C65" s="76" t="s">
        <v>1632</v>
      </c>
      <c r="D65" s="76" t="s">
        <v>2902</v>
      </c>
      <c r="E65" s="76" t="s">
        <v>7024</v>
      </c>
      <c r="F65" s="76"/>
      <c r="G65" s="76"/>
      <c r="H65" s="77"/>
      <c r="I65" s="76"/>
      <c r="J65" s="76"/>
      <c r="K65" s="76"/>
      <c r="L65" s="76"/>
      <c r="M65" s="76"/>
      <c r="N65" s="76"/>
      <c r="O65" s="76"/>
      <c r="P65" s="78"/>
      <c r="Q65" s="78"/>
      <c r="R65" s="73" t="s">
        <v>634</v>
      </c>
      <c r="S65" s="33"/>
      <c r="T65" s="36"/>
      <c r="U65" s="37"/>
      <c r="V65" s="35"/>
      <c r="W65" s="35"/>
      <c r="X65" s="35"/>
      <c r="Y65" s="35"/>
    </row>
    <row r="66" spans="1:25" s="34" customFormat="1" x14ac:dyDescent="0.25">
      <c r="A66" s="76" t="s">
        <v>7154</v>
      </c>
      <c r="B66" s="76" t="s">
        <v>7591</v>
      </c>
      <c r="C66" s="76" t="s">
        <v>399</v>
      </c>
      <c r="D66" s="76" t="s">
        <v>7069</v>
      </c>
      <c r="E66" s="76" t="s">
        <v>7143</v>
      </c>
      <c r="F66" s="76"/>
      <c r="G66" s="76"/>
      <c r="H66" s="77"/>
      <c r="I66" s="76"/>
      <c r="J66" s="76"/>
      <c r="K66" s="76"/>
      <c r="L66" s="76"/>
      <c r="M66" s="76"/>
      <c r="N66" s="76"/>
      <c r="O66" s="76"/>
      <c r="P66" s="78"/>
      <c r="Q66" s="78"/>
      <c r="R66" s="73" t="s">
        <v>634</v>
      </c>
      <c r="S66" s="33"/>
      <c r="T66" s="36"/>
      <c r="U66" s="37"/>
      <c r="V66" s="35"/>
      <c r="W66" s="35"/>
      <c r="X66" s="35"/>
      <c r="Y66" s="35"/>
    </row>
    <row r="67" spans="1:25" s="34" customFormat="1" x14ac:dyDescent="0.25">
      <c r="A67" s="76" t="s">
        <v>7188</v>
      </c>
      <c r="B67" s="76" t="s">
        <v>7554</v>
      </c>
      <c r="C67" s="76" t="s">
        <v>418</v>
      </c>
      <c r="D67" s="76" t="s">
        <v>1990</v>
      </c>
      <c r="E67" s="76" t="s">
        <v>7189</v>
      </c>
      <c r="F67" s="76"/>
      <c r="G67" s="76"/>
      <c r="H67" s="77"/>
      <c r="I67" s="76"/>
      <c r="J67" s="76"/>
      <c r="K67" s="76"/>
      <c r="L67" s="76"/>
      <c r="M67" s="76"/>
      <c r="N67" s="76"/>
      <c r="O67" s="76"/>
      <c r="P67" s="78"/>
      <c r="Q67" s="78"/>
      <c r="R67" s="73" t="s">
        <v>634</v>
      </c>
      <c r="S67" s="33"/>
      <c r="T67" s="36"/>
      <c r="U67" s="37"/>
      <c r="V67" s="35"/>
      <c r="W67" s="35"/>
      <c r="X67" s="35"/>
      <c r="Y67" s="35"/>
    </row>
    <row r="68" spans="1:25" s="34" customFormat="1" x14ac:dyDescent="0.25">
      <c r="A68" s="76" t="s">
        <v>7241</v>
      </c>
      <c r="B68" s="76" t="s">
        <v>7606</v>
      </c>
      <c r="C68" s="76" t="s">
        <v>457</v>
      </c>
      <c r="D68" s="76" t="s">
        <v>7228</v>
      </c>
      <c r="E68" s="76" t="s">
        <v>6945</v>
      </c>
      <c r="F68" s="76"/>
      <c r="G68" s="76"/>
      <c r="H68" s="77"/>
      <c r="I68" s="76"/>
      <c r="J68" s="76"/>
      <c r="K68" s="76"/>
      <c r="L68" s="76"/>
      <c r="M68" s="76"/>
      <c r="N68" s="76"/>
      <c r="O68" s="76"/>
      <c r="P68" s="78"/>
      <c r="Q68" s="78"/>
      <c r="R68" s="73" t="s">
        <v>634</v>
      </c>
      <c r="S68" s="33"/>
      <c r="T68" s="36"/>
      <c r="U68" s="37"/>
      <c r="V68" s="35"/>
      <c r="W68" s="35"/>
      <c r="X68" s="35"/>
      <c r="Y68" s="35"/>
    </row>
    <row r="69" spans="1:25" s="34" customFormat="1" x14ac:dyDescent="0.25">
      <c r="A69" s="76" t="s">
        <v>2332</v>
      </c>
      <c r="B69" s="76" t="s">
        <v>4765</v>
      </c>
      <c r="C69" s="76" t="s">
        <v>542</v>
      </c>
      <c r="D69" s="76" t="s">
        <v>7257</v>
      </c>
      <c r="E69" s="76" t="s">
        <v>7156</v>
      </c>
      <c r="F69" s="76"/>
      <c r="G69" s="76"/>
      <c r="H69" s="77"/>
      <c r="I69" s="76"/>
      <c r="J69" s="76"/>
      <c r="K69" s="76"/>
      <c r="L69" s="76"/>
      <c r="M69" s="76"/>
      <c r="N69" s="76"/>
      <c r="O69" s="76"/>
      <c r="P69" s="78"/>
      <c r="Q69" s="78"/>
      <c r="R69" s="73" t="s">
        <v>634</v>
      </c>
      <c r="S69" s="33"/>
      <c r="T69" s="36"/>
      <c r="U69" s="37"/>
      <c r="V69" s="35"/>
      <c r="W69" s="35"/>
      <c r="X69" s="35"/>
      <c r="Y69" s="35"/>
    </row>
    <row r="70" spans="1:25" s="34" customFormat="1" x14ac:dyDescent="0.25">
      <c r="A70" s="76" t="s">
        <v>4270</v>
      </c>
      <c r="B70" s="76" t="s">
        <v>7507</v>
      </c>
      <c r="C70" s="76" t="s">
        <v>1008</v>
      </c>
      <c r="D70" s="76" t="s">
        <v>2004</v>
      </c>
      <c r="E70" s="76" t="s">
        <v>2298</v>
      </c>
      <c r="F70" s="76"/>
      <c r="G70" s="76"/>
      <c r="H70" s="77"/>
      <c r="I70" s="76"/>
      <c r="J70" s="76"/>
      <c r="K70" s="76"/>
      <c r="L70" s="76"/>
      <c r="M70" s="76"/>
      <c r="N70" s="76"/>
      <c r="O70" s="76"/>
      <c r="P70" s="78"/>
      <c r="Q70" s="78"/>
      <c r="R70" s="73" t="s">
        <v>634</v>
      </c>
      <c r="S70" s="33"/>
      <c r="T70" s="36"/>
      <c r="U70" s="37"/>
      <c r="V70" s="35"/>
      <c r="W70" s="35"/>
      <c r="X70" s="35"/>
      <c r="Y70" s="35"/>
    </row>
    <row r="71" spans="1:25" s="34" customFormat="1" x14ac:dyDescent="0.25">
      <c r="A71" s="76" t="s">
        <v>4269</v>
      </c>
      <c r="B71" s="76" t="s">
        <v>7580</v>
      </c>
      <c r="C71" s="76" t="s">
        <v>437</v>
      </c>
      <c r="D71" s="76" t="s">
        <v>3811</v>
      </c>
      <c r="E71" s="76" t="s">
        <v>1372</v>
      </c>
      <c r="F71" s="76"/>
      <c r="G71" s="76"/>
      <c r="H71" s="77"/>
      <c r="I71" s="76"/>
      <c r="J71" s="76"/>
      <c r="K71" s="76"/>
      <c r="L71" s="76"/>
      <c r="M71" s="76"/>
      <c r="N71" s="76"/>
      <c r="O71" s="76"/>
      <c r="P71" s="78"/>
      <c r="Q71" s="78"/>
      <c r="R71" s="73" t="s">
        <v>634</v>
      </c>
      <c r="S71" s="33"/>
      <c r="T71" s="36"/>
      <c r="U71" s="37"/>
      <c r="V71" s="35"/>
      <c r="W71" s="35"/>
      <c r="X71" s="35"/>
      <c r="Y71" s="35"/>
    </row>
    <row r="72" spans="1:25" s="34" customFormat="1" x14ac:dyDescent="0.25">
      <c r="A72" s="76" t="s">
        <v>4268</v>
      </c>
      <c r="B72" s="76" t="s">
        <v>7541</v>
      </c>
      <c r="C72" s="76" t="s">
        <v>817</v>
      </c>
      <c r="D72" s="76" t="s">
        <v>2004</v>
      </c>
      <c r="E72" s="76" t="s">
        <v>777</v>
      </c>
      <c r="F72" s="76"/>
      <c r="G72" s="76"/>
      <c r="H72" s="77"/>
      <c r="I72" s="76"/>
      <c r="J72" s="76"/>
      <c r="K72" s="76"/>
      <c r="L72" s="76"/>
      <c r="M72" s="76"/>
      <c r="N72" s="76"/>
      <c r="O72" s="76"/>
      <c r="P72" s="78"/>
      <c r="Q72" s="78"/>
      <c r="R72" s="73" t="s">
        <v>634</v>
      </c>
      <c r="S72" s="33"/>
      <c r="T72" s="36"/>
      <c r="U72" s="37"/>
      <c r="V72" s="35"/>
      <c r="W72" s="35"/>
      <c r="X72" s="35"/>
      <c r="Y72" s="35"/>
    </row>
    <row r="73" spans="1:25" s="34" customFormat="1" x14ac:dyDescent="0.25">
      <c r="A73" s="76" t="s">
        <v>4267</v>
      </c>
      <c r="B73" s="76" t="s">
        <v>7559</v>
      </c>
      <c r="C73" s="76" t="s">
        <v>531</v>
      </c>
      <c r="D73" s="76" t="s">
        <v>544</v>
      </c>
      <c r="E73" s="76" t="s">
        <v>2594</v>
      </c>
      <c r="F73" s="76"/>
      <c r="G73" s="76"/>
      <c r="H73" s="77"/>
      <c r="I73" s="76"/>
      <c r="J73" s="76"/>
      <c r="K73" s="76"/>
      <c r="L73" s="76"/>
      <c r="M73" s="76"/>
      <c r="N73" s="76"/>
      <c r="O73" s="76"/>
      <c r="P73" s="78"/>
      <c r="Q73" s="78"/>
      <c r="R73" s="73" t="s">
        <v>634</v>
      </c>
      <c r="S73" s="33"/>
      <c r="T73" s="36"/>
      <c r="U73" s="37"/>
      <c r="V73" s="35"/>
      <c r="W73" s="35"/>
      <c r="X73" s="35"/>
      <c r="Y73" s="35"/>
    </row>
    <row r="74" spans="1:25" s="34" customFormat="1" x14ac:dyDescent="0.25">
      <c r="A74" s="76" t="s">
        <v>4264</v>
      </c>
      <c r="B74" s="76" t="s">
        <v>7534</v>
      </c>
      <c r="C74" s="76" t="s">
        <v>460</v>
      </c>
      <c r="D74" s="76" t="s">
        <v>4265</v>
      </c>
      <c r="E74" s="76" t="s">
        <v>4266</v>
      </c>
      <c r="F74" s="76"/>
      <c r="G74" s="76"/>
      <c r="H74" s="77"/>
      <c r="I74" s="76"/>
      <c r="J74" s="76"/>
      <c r="K74" s="76"/>
      <c r="L74" s="76"/>
      <c r="M74" s="76"/>
      <c r="N74" s="76"/>
      <c r="O74" s="76"/>
      <c r="P74" s="78"/>
      <c r="Q74" s="78"/>
      <c r="R74" s="73" t="s">
        <v>634</v>
      </c>
      <c r="S74" s="33"/>
      <c r="T74" s="36"/>
      <c r="U74" s="37"/>
      <c r="V74" s="35"/>
      <c r="W74" s="35"/>
      <c r="X74" s="35"/>
      <c r="Y74" s="35"/>
    </row>
    <row r="75" spans="1:25" s="34" customFormat="1" x14ac:dyDescent="0.25">
      <c r="A75" s="76" t="s">
        <v>4263</v>
      </c>
      <c r="B75" s="76" t="s">
        <v>7560</v>
      </c>
      <c r="C75" s="76" t="s">
        <v>437</v>
      </c>
      <c r="D75" s="76" t="s">
        <v>3470</v>
      </c>
      <c r="E75" s="76" t="s">
        <v>4150</v>
      </c>
      <c r="F75" s="76"/>
      <c r="G75" s="76"/>
      <c r="H75" s="77"/>
      <c r="I75" s="76"/>
      <c r="J75" s="76"/>
      <c r="K75" s="76"/>
      <c r="L75" s="76"/>
      <c r="M75" s="76"/>
      <c r="N75" s="76"/>
      <c r="O75" s="76"/>
      <c r="P75" s="78"/>
      <c r="Q75" s="78"/>
      <c r="R75" s="73" t="s">
        <v>634</v>
      </c>
      <c r="S75" s="33"/>
      <c r="T75" s="36"/>
      <c r="U75" s="37"/>
      <c r="V75" s="35"/>
      <c r="W75" s="35"/>
      <c r="X75" s="35"/>
      <c r="Y75" s="35"/>
    </row>
    <row r="76" spans="1:25" s="34" customFormat="1" x14ac:dyDescent="0.25">
      <c r="A76" s="76" t="s">
        <v>4262</v>
      </c>
      <c r="B76" s="76" t="s">
        <v>7617</v>
      </c>
      <c r="C76" s="76" t="s">
        <v>437</v>
      </c>
      <c r="D76" s="76" t="s">
        <v>928</v>
      </c>
      <c r="E76" s="76" t="s">
        <v>1035</v>
      </c>
      <c r="F76" s="76"/>
      <c r="G76" s="76"/>
      <c r="H76" s="77"/>
      <c r="I76" s="76"/>
      <c r="J76" s="76"/>
      <c r="K76" s="76"/>
      <c r="L76" s="76"/>
      <c r="M76" s="76"/>
      <c r="N76" s="76"/>
      <c r="O76" s="76"/>
      <c r="P76" s="78"/>
      <c r="Q76" s="78"/>
      <c r="R76" s="73" t="s">
        <v>634</v>
      </c>
      <c r="S76" s="33"/>
      <c r="T76" s="36"/>
      <c r="U76" s="37"/>
      <c r="V76" s="35"/>
      <c r="W76" s="35"/>
      <c r="X76" s="35"/>
      <c r="Y76" s="35"/>
    </row>
    <row r="77" spans="1:25" s="34" customFormat="1" x14ac:dyDescent="0.25">
      <c r="A77" s="76" t="s">
        <v>4260</v>
      </c>
      <c r="B77" s="76" t="s">
        <v>7570</v>
      </c>
      <c r="C77" s="76" t="s">
        <v>4138</v>
      </c>
      <c r="D77" s="76" t="s">
        <v>1717</v>
      </c>
      <c r="E77" s="76" t="s">
        <v>2400</v>
      </c>
      <c r="F77" s="76"/>
      <c r="G77" s="76"/>
      <c r="H77" s="77"/>
      <c r="I77" s="76"/>
      <c r="J77" s="76"/>
      <c r="K77" s="76"/>
      <c r="L77" s="76"/>
      <c r="M77" s="76"/>
      <c r="N77" s="76"/>
      <c r="O77" s="76"/>
      <c r="P77" s="78"/>
      <c r="Q77" s="78"/>
      <c r="R77" s="73" t="s">
        <v>634</v>
      </c>
      <c r="S77" s="33"/>
      <c r="T77" s="36"/>
      <c r="U77" s="37"/>
      <c r="V77" s="35"/>
      <c r="W77" s="35"/>
      <c r="X77" s="35"/>
      <c r="Y77" s="35"/>
    </row>
    <row r="78" spans="1:25" s="34" customFormat="1" x14ac:dyDescent="0.25">
      <c r="A78" s="76" t="s">
        <v>4257</v>
      </c>
      <c r="B78" s="76" t="s">
        <v>7551</v>
      </c>
      <c r="C78" s="76" t="s">
        <v>542</v>
      </c>
      <c r="D78" s="76" t="s">
        <v>4258</v>
      </c>
      <c r="E78" s="76" t="s">
        <v>4259</v>
      </c>
      <c r="F78" s="76"/>
      <c r="G78" s="76"/>
      <c r="H78" s="77"/>
      <c r="I78" s="76"/>
      <c r="J78" s="76"/>
      <c r="K78" s="76"/>
      <c r="L78" s="76"/>
      <c r="M78" s="76"/>
      <c r="N78" s="76"/>
      <c r="O78" s="76"/>
      <c r="P78" s="78"/>
      <c r="Q78" s="78"/>
      <c r="R78" s="73" t="s">
        <v>634</v>
      </c>
      <c r="S78" s="33"/>
      <c r="T78" s="36"/>
      <c r="U78" s="37"/>
      <c r="V78" s="35"/>
      <c r="W78" s="35"/>
      <c r="X78" s="35"/>
      <c r="Y78" s="35"/>
    </row>
    <row r="79" spans="1:25" s="34" customFormat="1" x14ac:dyDescent="0.25">
      <c r="A79" s="76" t="s">
        <v>4256</v>
      </c>
      <c r="B79" s="76" t="s">
        <v>7587</v>
      </c>
      <c r="C79" s="76" t="s">
        <v>609</v>
      </c>
      <c r="D79" s="76" t="s">
        <v>3282</v>
      </c>
      <c r="E79" s="76" t="s">
        <v>929</v>
      </c>
      <c r="F79" s="76"/>
      <c r="G79" s="76"/>
      <c r="H79" s="77"/>
      <c r="I79" s="76"/>
      <c r="J79" s="76"/>
      <c r="K79" s="76"/>
      <c r="L79" s="76"/>
      <c r="M79" s="76"/>
      <c r="N79" s="76"/>
      <c r="O79" s="76"/>
      <c r="P79" s="78"/>
      <c r="Q79" s="78"/>
      <c r="R79" s="73" t="s">
        <v>634</v>
      </c>
      <c r="S79" s="33"/>
      <c r="T79" s="36"/>
      <c r="U79" s="37"/>
      <c r="V79" s="35"/>
      <c r="W79" s="35"/>
      <c r="X79" s="35"/>
      <c r="Y79" s="35"/>
    </row>
    <row r="80" spans="1:25" s="34" customFormat="1" x14ac:dyDescent="0.25">
      <c r="A80" s="76" t="s">
        <v>4219</v>
      </c>
      <c r="B80" s="76" t="s">
        <v>4723</v>
      </c>
      <c r="C80" s="76" t="s">
        <v>446</v>
      </c>
      <c r="D80" s="76" t="s">
        <v>4220</v>
      </c>
      <c r="E80" s="76" t="s">
        <v>4221</v>
      </c>
      <c r="F80" s="76"/>
      <c r="G80" s="76"/>
      <c r="H80" s="77"/>
      <c r="I80" s="76"/>
      <c r="J80" s="76"/>
      <c r="K80" s="76"/>
      <c r="L80" s="76"/>
      <c r="M80" s="76"/>
      <c r="N80" s="76"/>
      <c r="O80" s="78"/>
      <c r="P80" s="78"/>
      <c r="Q80" s="82"/>
      <c r="R80" s="73" t="s">
        <v>634</v>
      </c>
      <c r="S80" s="36"/>
      <c r="T80" s="37"/>
      <c r="U80" s="35"/>
      <c r="V80" s="35"/>
      <c r="W80" s="35"/>
      <c r="X80" s="35"/>
    </row>
    <row r="81" spans="1:25" s="34" customFormat="1" x14ac:dyDescent="0.25">
      <c r="A81" s="83" t="s">
        <v>7483</v>
      </c>
      <c r="B81" s="83" t="s">
        <v>7544</v>
      </c>
      <c r="C81" s="83" t="s">
        <v>4253</v>
      </c>
      <c r="D81" s="83" t="s">
        <v>7377</v>
      </c>
      <c r="E81" s="83" t="s">
        <v>7484</v>
      </c>
      <c r="F81" s="83"/>
      <c r="G81" s="83"/>
      <c r="H81" s="84"/>
      <c r="I81" s="83"/>
      <c r="J81" s="83"/>
      <c r="K81" s="83"/>
      <c r="L81" s="83"/>
      <c r="M81" s="83"/>
      <c r="N81" s="83"/>
      <c r="O81" s="83"/>
      <c r="P81" s="85"/>
      <c r="Q81" s="85"/>
      <c r="R81" s="73" t="s">
        <v>634</v>
      </c>
      <c r="S81" s="33"/>
      <c r="T81" s="36"/>
      <c r="U81" s="37"/>
      <c r="V81" s="35"/>
      <c r="W81" s="35"/>
      <c r="X81" s="35"/>
      <c r="Y81" s="35"/>
    </row>
    <row r="82" spans="1:25" s="34" customFormat="1" x14ac:dyDescent="0.25">
      <c r="A82" s="83" t="s">
        <v>7472</v>
      </c>
      <c r="B82" s="83" t="s">
        <v>7572</v>
      </c>
      <c r="C82" s="83" t="s">
        <v>450</v>
      </c>
      <c r="D82" s="83" t="s">
        <v>6833</v>
      </c>
      <c r="E82" s="83" t="s">
        <v>7473</v>
      </c>
      <c r="F82" s="83"/>
      <c r="G82" s="83"/>
      <c r="H82" s="84"/>
      <c r="I82" s="83"/>
      <c r="J82" s="83"/>
      <c r="K82" s="83"/>
      <c r="L82" s="83"/>
      <c r="M82" s="83"/>
      <c r="N82" s="83"/>
      <c r="O82" s="83"/>
      <c r="P82" s="85"/>
      <c r="Q82" s="85"/>
      <c r="R82" s="73" t="s">
        <v>634</v>
      </c>
      <c r="S82" s="33"/>
      <c r="T82" s="36"/>
      <c r="U82" s="37"/>
      <c r="V82" s="35"/>
      <c r="W82" s="35"/>
      <c r="X82" s="35"/>
      <c r="Y82" s="35"/>
    </row>
    <row r="83" spans="1:25" s="34" customFormat="1" x14ac:dyDescent="0.25">
      <c r="A83" s="83" t="s">
        <v>7474</v>
      </c>
      <c r="B83" s="83" t="s">
        <v>7586</v>
      </c>
      <c r="C83" s="83" t="s">
        <v>409</v>
      </c>
      <c r="D83" s="83" t="s">
        <v>6772</v>
      </c>
      <c r="E83" s="83" t="s">
        <v>7473</v>
      </c>
      <c r="F83" s="83"/>
      <c r="G83" s="83"/>
      <c r="H83" s="84"/>
      <c r="I83" s="83"/>
      <c r="J83" s="83"/>
      <c r="K83" s="83"/>
      <c r="L83" s="83"/>
      <c r="M83" s="83"/>
      <c r="N83" s="83"/>
      <c r="O83" s="83"/>
      <c r="P83" s="85"/>
      <c r="Q83" s="85"/>
      <c r="R83" s="73" t="s">
        <v>634</v>
      </c>
      <c r="S83" s="33"/>
      <c r="T83" s="36"/>
      <c r="U83" s="37"/>
      <c r="V83" s="35"/>
      <c r="W83" s="35"/>
      <c r="X83" s="35"/>
      <c r="Y83" s="35"/>
    </row>
    <row r="84" spans="1:25" s="34" customFormat="1" x14ac:dyDescent="0.25">
      <c r="A84" s="83" t="s">
        <v>7459</v>
      </c>
      <c r="B84" s="83" t="s">
        <v>7555</v>
      </c>
      <c r="C84" s="83" t="s">
        <v>437</v>
      </c>
      <c r="D84" s="83" t="s">
        <v>6966</v>
      </c>
      <c r="E84" s="83" t="s">
        <v>7460</v>
      </c>
      <c r="F84" s="83"/>
      <c r="G84" s="83"/>
      <c r="H84" s="84"/>
      <c r="I84" s="83"/>
      <c r="J84" s="83"/>
      <c r="K84" s="83"/>
      <c r="L84" s="83"/>
      <c r="M84" s="83"/>
      <c r="N84" s="83"/>
      <c r="O84" s="83"/>
      <c r="P84" s="85"/>
      <c r="Q84" s="85"/>
      <c r="R84" s="73" t="s">
        <v>634</v>
      </c>
      <c r="S84" s="33"/>
      <c r="T84" s="36"/>
      <c r="U84" s="37"/>
      <c r="V84" s="35"/>
      <c r="W84" s="35"/>
      <c r="X84" s="35"/>
      <c r="Y84" s="35"/>
    </row>
    <row r="85" spans="1:25" s="34" customFormat="1" x14ac:dyDescent="0.25">
      <c r="A85" s="83" t="s">
        <v>7454</v>
      </c>
      <c r="B85" s="83" t="s">
        <v>7598</v>
      </c>
      <c r="C85" s="83" t="s">
        <v>421</v>
      </c>
      <c r="D85" s="83" t="s">
        <v>7455</v>
      </c>
      <c r="E85" s="83" t="s">
        <v>7403</v>
      </c>
      <c r="F85" s="83"/>
      <c r="G85" s="83"/>
      <c r="H85" s="84"/>
      <c r="I85" s="83"/>
      <c r="J85" s="83"/>
      <c r="K85" s="83"/>
      <c r="L85" s="83"/>
      <c r="M85" s="83"/>
      <c r="N85" s="83"/>
      <c r="O85" s="83"/>
      <c r="P85" s="85"/>
      <c r="Q85" s="85"/>
      <c r="R85" s="73" t="s">
        <v>634</v>
      </c>
      <c r="S85" s="33"/>
      <c r="T85" s="36"/>
      <c r="U85" s="37"/>
      <c r="V85" s="35"/>
      <c r="W85" s="35"/>
      <c r="X85" s="35"/>
      <c r="Y85" s="35"/>
    </row>
    <row r="86" spans="1:25" s="34" customFormat="1" x14ac:dyDescent="0.25">
      <c r="A86" s="83" t="s">
        <v>142</v>
      </c>
      <c r="B86" s="83" t="s">
        <v>4441</v>
      </c>
      <c r="C86" s="83" t="s">
        <v>503</v>
      </c>
      <c r="D86" s="83" t="s">
        <v>7434</v>
      </c>
      <c r="E86" s="83" t="s">
        <v>7403</v>
      </c>
      <c r="F86" s="83"/>
      <c r="G86" s="83"/>
      <c r="H86" s="84"/>
      <c r="I86" s="83"/>
      <c r="J86" s="83"/>
      <c r="K86" s="83"/>
      <c r="L86" s="83"/>
      <c r="M86" s="83"/>
      <c r="N86" s="83"/>
      <c r="O86" s="83"/>
      <c r="P86" s="85"/>
      <c r="Q86" s="85"/>
      <c r="R86" s="73" t="s">
        <v>634</v>
      </c>
      <c r="S86" s="33"/>
      <c r="T86" s="36"/>
      <c r="U86" s="37"/>
      <c r="V86" s="35"/>
      <c r="W86" s="35"/>
      <c r="X86" s="35"/>
      <c r="Y86" s="35"/>
    </row>
    <row r="87" spans="1:25" s="34" customFormat="1" x14ac:dyDescent="0.25">
      <c r="A87" s="83" t="s">
        <v>7384</v>
      </c>
      <c r="B87" s="83" t="s">
        <v>7583</v>
      </c>
      <c r="C87" s="83" t="s">
        <v>7385</v>
      </c>
      <c r="D87" s="83" t="s">
        <v>7382</v>
      </c>
      <c r="E87" s="83" t="s">
        <v>7378</v>
      </c>
      <c r="F87" s="83"/>
      <c r="G87" s="83"/>
      <c r="H87" s="84"/>
      <c r="I87" s="83"/>
      <c r="J87" s="83"/>
      <c r="K87" s="83"/>
      <c r="L87" s="83"/>
      <c r="M87" s="83"/>
      <c r="N87" s="83"/>
      <c r="O87" s="83"/>
      <c r="P87" s="85"/>
      <c r="Q87" s="85"/>
      <c r="R87" s="73" t="s">
        <v>634</v>
      </c>
      <c r="S87" s="33"/>
      <c r="T87" s="36"/>
      <c r="U87" s="37"/>
      <c r="V87" s="35"/>
      <c r="W87" s="35"/>
      <c r="X87" s="35"/>
      <c r="Y87" s="35"/>
    </row>
    <row r="88" spans="1:25" s="34" customFormat="1" x14ac:dyDescent="0.25">
      <c r="A88" s="83" t="s">
        <v>7386</v>
      </c>
      <c r="B88" s="83" t="s">
        <v>7500</v>
      </c>
      <c r="C88" s="83" t="s">
        <v>7387</v>
      </c>
      <c r="D88" s="83" t="s">
        <v>7388</v>
      </c>
      <c r="E88" s="83" t="s">
        <v>7378</v>
      </c>
      <c r="F88" s="83"/>
      <c r="G88" s="83"/>
      <c r="H88" s="84"/>
      <c r="I88" s="83"/>
      <c r="J88" s="83"/>
      <c r="K88" s="83"/>
      <c r="L88" s="83"/>
      <c r="M88" s="83"/>
      <c r="N88" s="83"/>
      <c r="O88" s="83"/>
      <c r="P88" s="85"/>
      <c r="Q88" s="85"/>
      <c r="R88" s="73" t="s">
        <v>634</v>
      </c>
      <c r="S88" s="33"/>
      <c r="T88" s="36"/>
      <c r="U88" s="37"/>
      <c r="V88" s="35"/>
      <c r="W88" s="35"/>
      <c r="X88" s="35"/>
      <c r="Y88" s="35"/>
    </row>
    <row r="89" spans="1:25" s="34" customFormat="1" x14ac:dyDescent="0.25">
      <c r="A89" s="83" t="s">
        <v>3319</v>
      </c>
      <c r="B89" s="83" t="s">
        <v>5104</v>
      </c>
      <c r="C89" s="83" t="s">
        <v>418</v>
      </c>
      <c r="D89" s="83" t="s">
        <v>6765</v>
      </c>
      <c r="E89" s="83" t="s">
        <v>7331</v>
      </c>
      <c r="F89" s="83"/>
      <c r="G89" s="83"/>
      <c r="H89" s="84"/>
      <c r="I89" s="83"/>
      <c r="J89" s="83"/>
      <c r="K89" s="83"/>
      <c r="L89" s="83"/>
      <c r="M89" s="83"/>
      <c r="N89" s="83"/>
      <c r="O89" s="83"/>
      <c r="P89" s="85"/>
      <c r="Q89" s="85"/>
      <c r="R89" s="73" t="s">
        <v>634</v>
      </c>
      <c r="S89" s="33"/>
      <c r="T89" s="36"/>
      <c r="U89" s="37"/>
      <c r="V89" s="35"/>
      <c r="W89" s="35"/>
      <c r="X89" s="35"/>
      <c r="Y89" s="35"/>
    </row>
    <row r="90" spans="1:25" s="34" customFormat="1" x14ac:dyDescent="0.25">
      <c r="A90" s="83" t="s">
        <v>7364</v>
      </c>
      <c r="B90" s="83" t="s">
        <v>7597</v>
      </c>
      <c r="C90" s="83" t="s">
        <v>817</v>
      </c>
      <c r="D90" s="83" t="s">
        <v>6810</v>
      </c>
      <c r="E90" s="83" t="s">
        <v>7365</v>
      </c>
      <c r="F90" s="83"/>
      <c r="G90" s="83"/>
      <c r="H90" s="84"/>
      <c r="I90" s="83"/>
      <c r="J90" s="83"/>
      <c r="K90" s="83"/>
      <c r="L90" s="83"/>
      <c r="M90" s="83"/>
      <c r="N90" s="83"/>
      <c r="O90" s="83"/>
      <c r="P90" s="85"/>
      <c r="Q90" s="85"/>
      <c r="R90" s="73" t="s">
        <v>634</v>
      </c>
      <c r="S90" s="33"/>
      <c r="T90" s="36"/>
      <c r="U90" s="37"/>
      <c r="V90" s="35"/>
      <c r="W90" s="35"/>
      <c r="X90" s="35"/>
      <c r="Y90" s="35"/>
    </row>
    <row r="91" spans="1:25" s="34" customFormat="1" x14ac:dyDescent="0.25">
      <c r="A91" s="83" t="s">
        <v>7375</v>
      </c>
      <c r="B91" s="83" t="s">
        <v>7614</v>
      </c>
      <c r="C91" s="83" t="s">
        <v>7376</v>
      </c>
      <c r="D91" s="83" t="s">
        <v>7377</v>
      </c>
      <c r="E91" s="83" t="s">
        <v>7378</v>
      </c>
      <c r="F91" s="83"/>
      <c r="G91" s="83"/>
      <c r="H91" s="84"/>
      <c r="I91" s="83"/>
      <c r="J91" s="83"/>
      <c r="K91" s="83"/>
      <c r="L91" s="83"/>
      <c r="M91" s="83"/>
      <c r="N91" s="83"/>
      <c r="O91" s="83"/>
      <c r="P91" s="85"/>
      <c r="Q91" s="85"/>
      <c r="R91" s="73" t="s">
        <v>634</v>
      </c>
      <c r="S91" s="33"/>
      <c r="T91" s="36"/>
      <c r="U91" s="37"/>
      <c r="V91" s="35"/>
      <c r="W91" s="35"/>
      <c r="X91" s="35"/>
      <c r="Y91" s="3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590"/>
  <sheetViews>
    <sheetView zoomScaleNormal="100" workbookViewId="0">
      <pane xSplit="3" ySplit="1" topLeftCell="J106" activePane="bottomRight" state="frozen"/>
      <selection activeCell="F360" sqref="F360"/>
      <selection pane="topRight" activeCell="F360" sqref="F360"/>
      <selection pane="bottomLeft" activeCell="F360" sqref="F360"/>
      <selection pane="bottomRight" activeCell="J109" sqref="J109"/>
    </sheetView>
  </sheetViews>
  <sheetFormatPr defaultColWidth="9" defaultRowHeight="15" x14ac:dyDescent="0.25"/>
  <cols>
    <col min="1" max="1" width="7.85546875" style="9" bestFit="1" customWidth="1"/>
    <col min="2" max="2" width="49.28515625" style="11" bestFit="1" customWidth="1"/>
    <col min="3" max="3" width="9.28515625" style="11" bestFit="1" customWidth="1"/>
    <col min="4" max="4" width="16.140625" style="87" bestFit="1" customWidth="1"/>
    <col min="5" max="5" width="34" style="10" bestFit="1" customWidth="1"/>
    <col min="6" max="6" width="7.42578125" style="12" bestFit="1" customWidth="1"/>
    <col min="7" max="7" width="22.140625" style="10" bestFit="1" customWidth="1"/>
    <col min="8" max="8" width="14.5703125" style="87" customWidth="1"/>
    <col min="9" max="9" width="20.7109375" style="87" customWidth="1"/>
    <col min="10" max="10" width="33.7109375" style="11" customWidth="1"/>
    <col min="11" max="11" width="24.42578125" style="11" bestFit="1" customWidth="1"/>
    <col min="12" max="12" width="24.42578125" style="402" customWidth="1"/>
    <col min="13" max="13" width="24.42578125" style="408" customWidth="1"/>
    <col min="14" max="14" width="53.42578125" style="11" customWidth="1"/>
    <col min="15" max="15" width="20.7109375" style="11" customWidth="1"/>
    <col min="16" max="16" width="29.5703125" style="87" customWidth="1"/>
    <col min="17" max="17" width="27.5703125" style="10" customWidth="1"/>
    <col min="18" max="18" width="31.28515625" style="10" bestFit="1" customWidth="1"/>
    <col min="19" max="19" width="15.28515625" style="10" bestFit="1" customWidth="1"/>
    <col min="20" max="20" width="53.42578125" style="10" customWidth="1"/>
    <col min="21" max="21" width="23.140625" style="9" bestFit="1" customWidth="1"/>
    <col min="22" max="23" width="20.7109375" style="9" customWidth="1"/>
    <col min="24" max="16384" width="9" style="9"/>
  </cols>
  <sheetData>
    <row r="1" spans="1:23" s="366" customFormat="1" ht="29.25" x14ac:dyDescent="0.25">
      <c r="A1" s="165" t="s">
        <v>8165</v>
      </c>
      <c r="B1" s="67" t="s">
        <v>389</v>
      </c>
      <c r="C1" s="67" t="s">
        <v>619</v>
      </c>
      <c r="D1" s="68" t="s">
        <v>4272</v>
      </c>
      <c r="E1" s="31" t="s">
        <v>390</v>
      </c>
      <c r="F1" s="163" t="s">
        <v>11171</v>
      </c>
      <c r="G1" s="31" t="s">
        <v>4274</v>
      </c>
      <c r="H1" s="157" t="s">
        <v>11973</v>
      </c>
      <c r="I1" s="157" t="s">
        <v>4277</v>
      </c>
      <c r="J1" s="68" t="s">
        <v>11764</v>
      </c>
      <c r="K1" s="68" t="s">
        <v>11975</v>
      </c>
      <c r="L1" s="68" t="s">
        <v>11779</v>
      </c>
      <c r="M1" s="68" t="s">
        <v>11974</v>
      </c>
      <c r="N1" s="68" t="s">
        <v>4275</v>
      </c>
      <c r="O1" s="68" t="s">
        <v>11956</v>
      </c>
      <c r="P1" s="346" t="s">
        <v>11745</v>
      </c>
      <c r="Q1" s="68" t="s">
        <v>4279</v>
      </c>
      <c r="R1" s="68" t="s">
        <v>4280</v>
      </c>
      <c r="S1" s="68" t="s">
        <v>391</v>
      </c>
      <c r="T1" s="68" t="s">
        <v>10883</v>
      </c>
      <c r="U1" s="68" t="s">
        <v>4281</v>
      </c>
      <c r="V1" s="68" t="s">
        <v>4282</v>
      </c>
      <c r="W1" s="68" t="s">
        <v>4283</v>
      </c>
    </row>
    <row r="2" spans="1:23" s="91" customFormat="1" ht="30" x14ac:dyDescent="0.25">
      <c r="A2" s="165" t="str">
        <f t="shared" ref="A2:A65" si="0">IF(COUNTIF(B:B,B2)&gt;=2,"DUP","")</f>
        <v/>
      </c>
      <c r="B2" s="23" t="s">
        <v>1339</v>
      </c>
      <c r="C2" s="23" t="s">
        <v>4470</v>
      </c>
      <c r="D2" s="166" t="s">
        <v>4471</v>
      </c>
      <c r="E2" s="242" t="s">
        <v>418</v>
      </c>
      <c r="F2" s="169">
        <v>2</v>
      </c>
      <c r="G2" s="243" t="s">
        <v>4472</v>
      </c>
      <c r="H2" s="89">
        <v>38000000</v>
      </c>
      <c r="I2" s="89" t="str">
        <f>IF($H2&lt;='Abbrev Key'!$A$2,'Abbrev Key'!$B$2,IF($H2&lt;='Abbrev Key'!$A$3,'Abbrev Key'!$B$3,IF($H2&lt;='Abbrev Key'!$A$4,'Abbrev Key'!$B$4,IF($H2&lt;='Abbrev Key'!$A$5,'Abbrev Key'!$B$5,IF($H2&lt;='Abbrev Key'!$A$6,'Abbrev Key'!$B$6,IF($H2&gt;='Abbrev Key'!$A$7,'Abbrev Key'!$B$7,IF($H2='Abbrev Key'!$A$8,'Abbrev Key'!$B$8,"")))))))</f>
        <v>B</v>
      </c>
      <c r="J2" s="17" t="s">
        <v>1343</v>
      </c>
      <c r="K2" s="23" t="s">
        <v>637</v>
      </c>
      <c r="L2" s="354">
        <v>33303.61</v>
      </c>
      <c r="M2" s="405">
        <f t="shared" ref="M2:M65" si="1">IFERROR((L2/H2),"DC")</f>
        <v>8.7641078947368423E-4</v>
      </c>
      <c r="N2" s="92" t="s">
        <v>597</v>
      </c>
      <c r="O2" s="92"/>
      <c r="P2" s="167" t="s">
        <v>4408</v>
      </c>
      <c r="Q2" s="392">
        <v>42018</v>
      </c>
      <c r="R2" s="392">
        <v>42017</v>
      </c>
      <c r="S2" s="392">
        <v>41810</v>
      </c>
      <c r="T2" s="168" t="s">
        <v>682</v>
      </c>
      <c r="U2" s="92"/>
      <c r="V2" s="92"/>
      <c r="W2" s="92"/>
    </row>
    <row r="3" spans="1:23" s="91" customFormat="1" ht="75" x14ac:dyDescent="0.25">
      <c r="A3" s="165" t="str">
        <f t="shared" si="0"/>
        <v/>
      </c>
      <c r="B3" s="23" t="s">
        <v>3685</v>
      </c>
      <c r="C3" s="23" t="s">
        <v>5251</v>
      </c>
      <c r="D3" s="166" t="s">
        <v>11077</v>
      </c>
      <c r="E3" s="242" t="s">
        <v>496</v>
      </c>
      <c r="F3" s="169">
        <v>6</v>
      </c>
      <c r="G3" s="243" t="s">
        <v>5252</v>
      </c>
      <c r="H3" s="89">
        <v>83000000</v>
      </c>
      <c r="I3" s="89" t="str">
        <f>IF($H3&lt;='Abbrev Key'!$A$2,'Abbrev Key'!$B$2,IF($H3&lt;='Abbrev Key'!$A$3,'Abbrev Key'!$B$3,IF($H3&lt;='Abbrev Key'!$A$4,'Abbrev Key'!$B$4,IF($H3&lt;='Abbrev Key'!$A$5,'Abbrev Key'!$B$5,IF($H3&lt;='Abbrev Key'!$A$6,'Abbrev Key'!$B$6,IF($H3&gt;='Abbrev Key'!$A$7,'Abbrev Key'!$B$7,IF($H3='Abbrev Key'!$A$8,'Abbrev Key'!$B$8,"")))))))</f>
        <v>C</v>
      </c>
      <c r="J3" s="23" t="s">
        <v>11918</v>
      </c>
      <c r="K3" s="23" t="s">
        <v>646</v>
      </c>
      <c r="L3" s="398">
        <v>12474</v>
      </c>
      <c r="M3" s="403">
        <f t="shared" si="1"/>
        <v>1.5028915662650602E-4</v>
      </c>
      <c r="N3" s="23" t="s">
        <v>1086</v>
      </c>
      <c r="O3" s="23"/>
      <c r="P3" s="167" t="s">
        <v>4408</v>
      </c>
      <c r="Q3" s="392">
        <v>42061</v>
      </c>
      <c r="R3" s="392">
        <v>42060</v>
      </c>
      <c r="S3" s="392">
        <v>42065</v>
      </c>
      <c r="T3" s="168" t="s">
        <v>682</v>
      </c>
      <c r="U3" s="92"/>
      <c r="V3" s="92"/>
      <c r="W3" s="92"/>
    </row>
    <row r="4" spans="1:23" s="91" customFormat="1" ht="30" x14ac:dyDescent="0.25">
      <c r="A4" s="164" t="str">
        <f t="shared" si="0"/>
        <v>DUP</v>
      </c>
      <c r="B4" s="289" t="s">
        <v>2728</v>
      </c>
      <c r="C4" s="289" t="s">
        <v>11732</v>
      </c>
      <c r="D4" s="367" t="s">
        <v>4922</v>
      </c>
      <c r="E4" s="367" t="s">
        <v>437</v>
      </c>
      <c r="F4" s="286">
        <v>3</v>
      </c>
      <c r="G4" s="246" t="s">
        <v>4923</v>
      </c>
      <c r="H4" s="287">
        <v>68000000</v>
      </c>
      <c r="I4" s="287" t="str">
        <f>IF($H4&lt;='Abbrev Key'!$A$2,'Abbrev Key'!$B$2,IF($H4&lt;='Abbrev Key'!$A$3,'Abbrev Key'!$B$3,IF($H4&lt;='Abbrev Key'!$A$4,'Abbrev Key'!$B$4,IF($H4&lt;='Abbrev Key'!$A$5,'Abbrev Key'!$B$5,IF($H4&lt;='Abbrev Key'!$A$6,'Abbrev Key'!$B$6,IF($H4&gt;='Abbrev Key'!$A$7,'Abbrev Key'!$B$7,IF($H4='Abbrev Key'!$A$8,'Abbrev Key'!$B$8,"")))))))</f>
        <v>C</v>
      </c>
      <c r="J4" s="17" t="s">
        <v>2730</v>
      </c>
      <c r="K4" s="23" t="s">
        <v>633</v>
      </c>
      <c r="L4" s="398">
        <v>83424.31</v>
      </c>
      <c r="M4" s="403">
        <f t="shared" si="1"/>
        <v>1.2268280882352942E-3</v>
      </c>
      <c r="N4" s="363" t="s">
        <v>56</v>
      </c>
      <c r="O4" s="363"/>
      <c r="P4" s="246" t="s">
        <v>4295</v>
      </c>
      <c r="Q4" s="393">
        <v>41746</v>
      </c>
      <c r="R4" s="393">
        <v>41745</v>
      </c>
      <c r="S4" s="393">
        <v>42143</v>
      </c>
      <c r="T4" s="368" t="s">
        <v>682</v>
      </c>
      <c r="U4" s="92"/>
      <c r="V4" s="92"/>
      <c r="W4" s="92"/>
    </row>
    <row r="5" spans="1:23" s="91" customFormat="1" ht="30" x14ac:dyDescent="0.25">
      <c r="A5" s="165" t="str">
        <f t="shared" si="0"/>
        <v>DUP</v>
      </c>
      <c r="B5" s="23" t="s">
        <v>296</v>
      </c>
      <c r="C5" s="23" t="s">
        <v>10778</v>
      </c>
      <c r="D5" s="166" t="s">
        <v>5272</v>
      </c>
      <c r="E5" s="242" t="s">
        <v>409</v>
      </c>
      <c r="F5" s="169">
        <v>1</v>
      </c>
      <c r="G5" s="243" t="s">
        <v>5273</v>
      </c>
      <c r="H5" s="89">
        <v>770000000</v>
      </c>
      <c r="I5" s="89" t="str">
        <f>IF($H5&lt;='Abbrev Key'!$A$2,'Abbrev Key'!$B$2,IF($H5&lt;='Abbrev Key'!$A$3,'Abbrev Key'!$B$3,IF($H5&lt;='Abbrev Key'!$A$4,'Abbrev Key'!$B$4,IF($H5&lt;='Abbrev Key'!$A$5,'Abbrev Key'!$B$5,IF($H5&lt;='Abbrev Key'!$A$6,'Abbrev Key'!$B$6,IF($H5&gt;='Abbrev Key'!$A$7,'Abbrev Key'!$B$7,IF($H5='Abbrev Key'!$A$8,'Abbrev Key'!$B$8,"")))))))</f>
        <v>F</v>
      </c>
      <c r="J5" s="92" t="s">
        <v>11967</v>
      </c>
      <c r="K5" s="92" t="s">
        <v>640</v>
      </c>
      <c r="L5" s="398">
        <v>1194554.3999999999</v>
      </c>
      <c r="M5" s="403">
        <f t="shared" si="1"/>
        <v>1.5513693506493506E-3</v>
      </c>
      <c r="N5" s="92" t="s">
        <v>5274</v>
      </c>
      <c r="O5" s="92" t="s">
        <v>11197</v>
      </c>
      <c r="P5" s="167" t="s">
        <v>4287</v>
      </c>
      <c r="Q5" s="392">
        <v>42255</v>
      </c>
      <c r="R5" s="392">
        <v>42254</v>
      </c>
      <c r="S5" s="392" t="s">
        <v>10898</v>
      </c>
      <c r="T5" s="168" t="s">
        <v>10899</v>
      </c>
      <c r="U5" s="92"/>
      <c r="V5" s="92"/>
      <c r="W5" s="92"/>
    </row>
    <row r="6" spans="1:23" s="91" customFormat="1" x14ac:dyDescent="0.25">
      <c r="A6" s="165" t="str">
        <f t="shared" si="0"/>
        <v/>
      </c>
      <c r="B6" s="23" t="s">
        <v>4054</v>
      </c>
      <c r="C6" s="23" t="s">
        <v>5363</v>
      </c>
      <c r="D6" s="166" t="s">
        <v>5364</v>
      </c>
      <c r="E6" s="242" t="s">
        <v>418</v>
      </c>
      <c r="F6" s="169">
        <v>2</v>
      </c>
      <c r="G6" s="243" t="s">
        <v>5365</v>
      </c>
      <c r="H6" s="89">
        <v>75000000</v>
      </c>
      <c r="I6" s="89" t="str">
        <f>IF($H6&lt;='Abbrev Key'!$A$2,'Abbrev Key'!$B$2,IF($H6&lt;='Abbrev Key'!$A$3,'Abbrev Key'!$B$3,IF($H6&lt;='Abbrev Key'!$A$4,'Abbrev Key'!$B$4,IF($H6&lt;='Abbrev Key'!$A$5,'Abbrev Key'!$B$5,IF($H6&lt;='Abbrev Key'!$A$6,'Abbrev Key'!$B$6,IF($H6&gt;='Abbrev Key'!$A$7,'Abbrev Key'!$B$7,IF($H6='Abbrev Key'!$A$8,'Abbrev Key'!$B$8,"")))))))</f>
        <v>C</v>
      </c>
      <c r="J6" s="17" t="s">
        <v>4056</v>
      </c>
      <c r="K6" s="92" t="s">
        <v>633</v>
      </c>
      <c r="L6" s="398">
        <v>679339.06</v>
      </c>
      <c r="M6" s="403">
        <f t="shared" si="1"/>
        <v>9.0578541333333346E-3</v>
      </c>
      <c r="N6" s="92" t="s">
        <v>5366</v>
      </c>
      <c r="O6" s="92"/>
      <c r="P6" s="167" t="s">
        <v>4287</v>
      </c>
      <c r="Q6" s="392">
        <v>42311</v>
      </c>
      <c r="R6" s="392">
        <v>42310</v>
      </c>
      <c r="S6" s="392">
        <v>42312</v>
      </c>
      <c r="T6" s="168" t="s">
        <v>79</v>
      </c>
      <c r="U6" s="92"/>
      <c r="V6" s="92"/>
      <c r="W6" s="92"/>
    </row>
    <row r="7" spans="1:23" s="91" customFormat="1" ht="45" x14ac:dyDescent="0.25">
      <c r="A7" s="165" t="str">
        <f t="shared" si="0"/>
        <v/>
      </c>
      <c r="B7" s="23" t="s">
        <v>3459</v>
      </c>
      <c r="C7" s="23" t="s">
        <v>5181</v>
      </c>
      <c r="D7" s="166" t="s">
        <v>5182</v>
      </c>
      <c r="E7" s="242" t="s">
        <v>446</v>
      </c>
      <c r="F7" s="169">
        <v>9</v>
      </c>
      <c r="G7" s="243" t="s">
        <v>5183</v>
      </c>
      <c r="H7" s="89">
        <v>150000000</v>
      </c>
      <c r="I7" s="89" t="str">
        <f>IF($H7&lt;='Abbrev Key'!$A$2,'Abbrev Key'!$B$2,IF($H7&lt;='Abbrev Key'!$A$3,'Abbrev Key'!$B$3,IF($H7&lt;='Abbrev Key'!$A$4,'Abbrev Key'!$B$4,IF($H7&lt;='Abbrev Key'!$A$5,'Abbrev Key'!$B$5,IF($H7&lt;='Abbrev Key'!$A$6,'Abbrev Key'!$B$6,IF($H7&gt;='Abbrev Key'!$A$7,'Abbrev Key'!$B$7,IF($H7='Abbrev Key'!$A$8,'Abbrev Key'!$B$8,"")))))))</f>
        <v>D</v>
      </c>
      <c r="J7" s="17" t="s">
        <v>3461</v>
      </c>
      <c r="K7" s="23" t="s">
        <v>637</v>
      </c>
      <c r="L7" s="398">
        <v>4364</v>
      </c>
      <c r="M7" s="403">
        <f t="shared" si="1"/>
        <v>2.9093333333333335E-5</v>
      </c>
      <c r="N7" s="92" t="s">
        <v>597</v>
      </c>
      <c r="O7" s="92"/>
      <c r="P7" s="167" t="s">
        <v>4295</v>
      </c>
      <c r="Q7" s="392">
        <v>42306</v>
      </c>
      <c r="R7" s="392">
        <v>42305</v>
      </c>
      <c r="S7" s="392">
        <v>42317</v>
      </c>
      <c r="T7" s="168" t="s">
        <v>682</v>
      </c>
      <c r="U7" s="92"/>
      <c r="V7" s="92"/>
      <c r="W7" s="92"/>
    </row>
    <row r="8" spans="1:23" s="91" customFormat="1" ht="30" x14ac:dyDescent="0.25">
      <c r="A8" s="165" t="str">
        <f t="shared" si="0"/>
        <v/>
      </c>
      <c r="B8" s="23" t="s">
        <v>1285</v>
      </c>
      <c r="C8" s="23" t="s">
        <v>4453</v>
      </c>
      <c r="D8" s="166" t="s">
        <v>4454</v>
      </c>
      <c r="E8" s="242" t="s">
        <v>424</v>
      </c>
      <c r="F8" s="169">
        <v>3</v>
      </c>
      <c r="G8" s="243" t="s">
        <v>4455</v>
      </c>
      <c r="H8" s="89">
        <v>47000000</v>
      </c>
      <c r="I8" s="89" t="str">
        <f>IF($H8&lt;='Abbrev Key'!$A$2,'Abbrev Key'!$B$2,IF($H8&lt;='Abbrev Key'!$A$3,'Abbrev Key'!$B$3,IF($H8&lt;='Abbrev Key'!$A$4,'Abbrev Key'!$B$4,IF($H8&lt;='Abbrev Key'!$A$5,'Abbrev Key'!$B$5,IF($H8&lt;='Abbrev Key'!$A$6,'Abbrev Key'!$B$6,IF($H8&gt;='Abbrev Key'!$A$7,'Abbrev Key'!$B$7,IF($H8='Abbrev Key'!$A$8,'Abbrev Key'!$B$8,"")))))))</f>
        <v>B</v>
      </c>
      <c r="J8" s="17" t="s">
        <v>1289</v>
      </c>
      <c r="K8" s="23" t="s">
        <v>637</v>
      </c>
      <c r="L8" s="398">
        <v>6853.51</v>
      </c>
      <c r="M8" s="403">
        <f t="shared" si="1"/>
        <v>1.4581936170212766E-4</v>
      </c>
      <c r="N8" s="92" t="s">
        <v>63</v>
      </c>
      <c r="O8" s="92"/>
      <c r="P8" s="167" t="s">
        <v>4295</v>
      </c>
      <c r="Q8" s="392">
        <v>42311</v>
      </c>
      <c r="R8" s="392">
        <v>42310</v>
      </c>
      <c r="S8" s="392">
        <v>42319</v>
      </c>
      <c r="T8" s="168" t="s">
        <v>157</v>
      </c>
      <c r="U8" s="92"/>
      <c r="V8" s="92"/>
      <c r="W8" s="92"/>
    </row>
    <row r="9" spans="1:23" s="91" customFormat="1" x14ac:dyDescent="0.25">
      <c r="A9" s="165" t="str">
        <f t="shared" si="0"/>
        <v/>
      </c>
      <c r="B9" s="23" t="s">
        <v>8</v>
      </c>
      <c r="C9" s="23" t="s">
        <v>4643</v>
      </c>
      <c r="D9" s="166" t="s">
        <v>4644</v>
      </c>
      <c r="E9" s="242" t="s">
        <v>421</v>
      </c>
      <c r="F9" s="169">
        <v>5</v>
      </c>
      <c r="G9" s="243" t="s">
        <v>4645</v>
      </c>
      <c r="H9" s="89">
        <v>200000000</v>
      </c>
      <c r="I9" s="89" t="str">
        <f>IF($H9&lt;='Abbrev Key'!$A$2,'Abbrev Key'!$B$2,IF($H9&lt;='Abbrev Key'!$A$3,'Abbrev Key'!$B$3,IF($H9&lt;='Abbrev Key'!$A$4,'Abbrev Key'!$B$4,IF($H9&lt;='Abbrev Key'!$A$5,'Abbrev Key'!$B$5,IF($H9&lt;='Abbrev Key'!$A$6,'Abbrev Key'!$B$6,IF($H9&gt;='Abbrev Key'!$A$7,'Abbrev Key'!$B$7,IF($H9='Abbrev Key'!$A$8,'Abbrev Key'!$B$8,"")))))))</f>
        <v>D</v>
      </c>
      <c r="J9" s="17" t="s">
        <v>6</v>
      </c>
      <c r="K9" s="92" t="s">
        <v>633</v>
      </c>
      <c r="L9" s="398">
        <v>226809.08</v>
      </c>
      <c r="M9" s="403">
        <f t="shared" si="1"/>
        <v>1.1340453999999999E-3</v>
      </c>
      <c r="N9" s="23" t="s">
        <v>1931</v>
      </c>
      <c r="O9" s="23"/>
      <c r="P9" s="167" t="s">
        <v>4287</v>
      </c>
      <c r="Q9" s="392">
        <v>42317</v>
      </c>
      <c r="R9" s="392">
        <v>42316</v>
      </c>
      <c r="S9" s="392">
        <v>42320</v>
      </c>
      <c r="T9" s="168" t="s">
        <v>682</v>
      </c>
      <c r="U9" s="92"/>
      <c r="V9" s="92"/>
      <c r="W9" s="92"/>
    </row>
    <row r="10" spans="1:23" s="91" customFormat="1" x14ac:dyDescent="0.25">
      <c r="A10" s="165" t="str">
        <f t="shared" si="0"/>
        <v/>
      </c>
      <c r="B10" s="23" t="s">
        <v>366</v>
      </c>
      <c r="C10" s="23" t="s">
        <v>4601</v>
      </c>
      <c r="D10" s="166" t="s">
        <v>4602</v>
      </c>
      <c r="E10" s="242" t="s">
        <v>418</v>
      </c>
      <c r="F10" s="169">
        <v>2</v>
      </c>
      <c r="G10" s="243" t="s">
        <v>4603</v>
      </c>
      <c r="H10" s="89">
        <v>18000000</v>
      </c>
      <c r="I10" s="89" t="str">
        <f>IF($H10&lt;='Abbrev Key'!$A$2,'Abbrev Key'!$B$2,IF($H10&lt;='Abbrev Key'!$A$3,'Abbrev Key'!$B$3,IF($H10&lt;='Abbrev Key'!$A$4,'Abbrev Key'!$B$4,IF($H10&lt;='Abbrev Key'!$A$5,'Abbrev Key'!$B$5,IF($H10&lt;='Abbrev Key'!$A$6,'Abbrev Key'!$B$6,IF($H10&gt;='Abbrev Key'!$A$7,'Abbrev Key'!$B$7,IF($H10='Abbrev Key'!$A$8,'Abbrev Key'!$B$8,"")))))))</f>
        <v>A</v>
      </c>
      <c r="J10" s="17" t="s">
        <v>11825</v>
      </c>
      <c r="K10" s="92" t="s">
        <v>646</v>
      </c>
      <c r="L10" s="354">
        <v>1304985.3500000001</v>
      </c>
      <c r="M10" s="405">
        <f t="shared" si="1"/>
        <v>7.2499186111111114E-2</v>
      </c>
      <c r="N10" s="92" t="s">
        <v>56</v>
      </c>
      <c r="O10" s="92"/>
      <c r="P10" s="167" t="s">
        <v>4295</v>
      </c>
      <c r="Q10" s="392">
        <v>42320</v>
      </c>
      <c r="R10" s="392">
        <v>42319</v>
      </c>
      <c r="S10" s="392">
        <v>42321</v>
      </c>
      <c r="T10" s="168" t="s">
        <v>597</v>
      </c>
      <c r="U10" s="92"/>
      <c r="V10" s="92"/>
      <c r="W10" s="92"/>
    </row>
    <row r="11" spans="1:23" s="91" customFormat="1" x14ac:dyDescent="0.25">
      <c r="A11" s="165" t="str">
        <f t="shared" si="0"/>
        <v/>
      </c>
      <c r="B11" s="23" t="s">
        <v>2821</v>
      </c>
      <c r="C11" s="23" t="s">
        <v>4956</v>
      </c>
      <c r="D11" s="166" t="s">
        <v>4957</v>
      </c>
      <c r="E11" s="242" t="s">
        <v>418</v>
      </c>
      <c r="F11" s="169">
        <v>2</v>
      </c>
      <c r="G11" s="243" t="s">
        <v>4958</v>
      </c>
      <c r="H11" s="89">
        <v>40000000</v>
      </c>
      <c r="I11" s="89" t="str">
        <f>IF($H11&lt;='Abbrev Key'!$A$2,'Abbrev Key'!$B$2,IF($H11&lt;='Abbrev Key'!$A$3,'Abbrev Key'!$B$3,IF($H11&lt;='Abbrev Key'!$A$4,'Abbrev Key'!$B$4,IF($H11&lt;='Abbrev Key'!$A$5,'Abbrev Key'!$B$5,IF($H11&lt;='Abbrev Key'!$A$6,'Abbrev Key'!$B$6,IF($H11&gt;='Abbrev Key'!$A$7,'Abbrev Key'!$B$7,IF($H11='Abbrev Key'!$A$8,'Abbrev Key'!$B$8,"")))))))</f>
        <v>B</v>
      </c>
      <c r="J11" s="17" t="s">
        <v>11883</v>
      </c>
      <c r="K11" s="23" t="s">
        <v>646</v>
      </c>
      <c r="L11" s="398">
        <v>133890</v>
      </c>
      <c r="M11" s="403">
        <f t="shared" si="1"/>
        <v>3.34725E-3</v>
      </c>
      <c r="N11" s="23" t="s">
        <v>2827</v>
      </c>
      <c r="O11" s="23"/>
      <c r="P11" s="167" t="s">
        <v>4408</v>
      </c>
      <c r="Q11" s="392">
        <v>42298</v>
      </c>
      <c r="R11" s="392">
        <v>42297</v>
      </c>
      <c r="S11" s="392">
        <v>42321</v>
      </c>
      <c r="T11" s="168" t="s">
        <v>192</v>
      </c>
      <c r="U11" s="92"/>
      <c r="V11" s="92"/>
      <c r="W11" s="92"/>
    </row>
    <row r="12" spans="1:23" s="91" customFormat="1" ht="30" x14ac:dyDescent="0.25">
      <c r="A12" s="165" t="str">
        <f t="shared" si="0"/>
        <v/>
      </c>
      <c r="B12" s="23" t="s">
        <v>3545</v>
      </c>
      <c r="C12" s="23" t="s">
        <v>5205</v>
      </c>
      <c r="D12" s="166" t="s">
        <v>5206</v>
      </c>
      <c r="E12" s="242" t="s">
        <v>424</v>
      </c>
      <c r="F12" s="169">
        <v>3</v>
      </c>
      <c r="G12" s="243" t="s">
        <v>5207</v>
      </c>
      <c r="H12" s="89">
        <v>130000000</v>
      </c>
      <c r="I12" s="89" t="str">
        <f>IF($H12&lt;='Abbrev Key'!$A$2,'Abbrev Key'!$B$2,IF($H12&lt;='Abbrev Key'!$A$3,'Abbrev Key'!$B$3,IF($H12&lt;='Abbrev Key'!$A$4,'Abbrev Key'!$B$4,IF($H12&lt;='Abbrev Key'!$A$5,'Abbrev Key'!$B$5,IF($H12&lt;='Abbrev Key'!$A$6,'Abbrev Key'!$B$6,IF($H12&gt;='Abbrev Key'!$A$7,'Abbrev Key'!$B$7,IF($H12='Abbrev Key'!$A$8,'Abbrev Key'!$B$8,"")))))))</f>
        <v>D</v>
      </c>
      <c r="J12" s="17" t="s">
        <v>3552</v>
      </c>
      <c r="K12" s="23" t="s">
        <v>637</v>
      </c>
      <c r="L12" s="398">
        <v>3816131.82</v>
      </c>
      <c r="M12" s="403">
        <f t="shared" si="1"/>
        <v>2.9354860153846151E-2</v>
      </c>
      <c r="N12" s="23" t="s">
        <v>3554</v>
      </c>
      <c r="O12" s="23"/>
      <c r="P12" s="167" t="s">
        <v>4408</v>
      </c>
      <c r="Q12" s="392">
        <v>42313</v>
      </c>
      <c r="R12" s="392">
        <v>42312</v>
      </c>
      <c r="S12" s="392">
        <v>42321</v>
      </c>
      <c r="T12" s="168" t="s">
        <v>682</v>
      </c>
      <c r="U12" s="92"/>
      <c r="V12" s="92"/>
      <c r="W12" s="92"/>
    </row>
    <row r="13" spans="1:23" s="91" customFormat="1" ht="75" x14ac:dyDescent="0.25">
      <c r="A13" s="165" t="str">
        <f t="shared" si="0"/>
        <v/>
      </c>
      <c r="B13" s="23" t="s">
        <v>1076</v>
      </c>
      <c r="C13" s="23" t="s">
        <v>4415</v>
      </c>
      <c r="D13" s="166" t="s">
        <v>4416</v>
      </c>
      <c r="E13" s="242" t="s">
        <v>446</v>
      </c>
      <c r="F13" s="169">
        <v>9</v>
      </c>
      <c r="G13" s="243" t="s">
        <v>4417</v>
      </c>
      <c r="H13" s="89">
        <v>38000000</v>
      </c>
      <c r="I13" s="89" t="str">
        <f>IF($H13&lt;='Abbrev Key'!$A$2,'Abbrev Key'!$B$2,IF($H13&lt;='Abbrev Key'!$A$3,'Abbrev Key'!$B$3,IF($H13&lt;='Abbrev Key'!$A$4,'Abbrev Key'!$B$4,IF($H13&lt;='Abbrev Key'!$A$5,'Abbrev Key'!$B$5,IF($H13&lt;='Abbrev Key'!$A$6,'Abbrev Key'!$B$6,IF($H13&gt;='Abbrev Key'!$A$7,'Abbrev Key'!$B$7,IF($H13='Abbrev Key'!$A$8,'Abbrev Key'!$B$8,"")))))))</f>
        <v>B</v>
      </c>
      <c r="J13" s="17" t="s">
        <v>10431</v>
      </c>
      <c r="K13" s="92" t="s">
        <v>637</v>
      </c>
      <c r="L13" s="354">
        <v>789293.15</v>
      </c>
      <c r="M13" s="405">
        <f t="shared" si="1"/>
        <v>2.0770872368421053E-2</v>
      </c>
      <c r="N13" s="92" t="s">
        <v>597</v>
      </c>
      <c r="O13" s="92"/>
      <c r="P13" s="167" t="s">
        <v>4287</v>
      </c>
      <c r="Q13" s="392">
        <v>42313</v>
      </c>
      <c r="R13" s="392">
        <v>42312</v>
      </c>
      <c r="S13" s="392">
        <v>42324</v>
      </c>
      <c r="T13" s="168" t="s">
        <v>597</v>
      </c>
      <c r="U13" s="92"/>
      <c r="V13" s="92"/>
      <c r="W13" s="92"/>
    </row>
    <row r="14" spans="1:23" s="91" customFormat="1" x14ac:dyDescent="0.25">
      <c r="A14" s="165" t="str">
        <f t="shared" si="0"/>
        <v/>
      </c>
      <c r="B14" s="23" t="s">
        <v>2659</v>
      </c>
      <c r="C14" s="23" t="s">
        <v>4887</v>
      </c>
      <c r="D14" s="166" t="s">
        <v>4888</v>
      </c>
      <c r="E14" s="242" t="s">
        <v>480</v>
      </c>
      <c r="F14" s="169">
        <v>9</v>
      </c>
      <c r="G14" s="243" t="s">
        <v>4889</v>
      </c>
      <c r="H14" s="89">
        <v>80000000</v>
      </c>
      <c r="I14" s="89" t="str">
        <f>IF($H14&lt;='Abbrev Key'!$A$2,'Abbrev Key'!$B$2,IF($H14&lt;='Abbrev Key'!$A$3,'Abbrev Key'!$B$3,IF($H14&lt;='Abbrev Key'!$A$4,'Abbrev Key'!$B$4,IF($H14&lt;='Abbrev Key'!$A$5,'Abbrev Key'!$B$5,IF($H14&lt;='Abbrev Key'!$A$6,'Abbrev Key'!$B$6,IF($H14&gt;='Abbrev Key'!$A$7,'Abbrev Key'!$B$7,IF($H14='Abbrev Key'!$A$8,'Abbrev Key'!$B$8,"")))))))</f>
        <v>C</v>
      </c>
      <c r="J14" s="17" t="s">
        <v>2661</v>
      </c>
      <c r="K14" s="92" t="s">
        <v>637</v>
      </c>
      <c r="L14" s="398">
        <v>12153</v>
      </c>
      <c r="M14" s="403">
        <f t="shared" si="1"/>
        <v>1.5191250000000001E-4</v>
      </c>
      <c r="N14" s="23" t="s">
        <v>1015</v>
      </c>
      <c r="O14" s="23"/>
      <c r="P14" s="167" t="s">
        <v>4295</v>
      </c>
      <c r="Q14" s="392">
        <v>41900</v>
      </c>
      <c r="R14" s="392">
        <v>41899</v>
      </c>
      <c r="S14" s="392">
        <v>42325</v>
      </c>
      <c r="T14" s="168" t="s">
        <v>682</v>
      </c>
      <c r="U14" s="92"/>
      <c r="V14" s="92"/>
      <c r="W14" s="92"/>
    </row>
    <row r="15" spans="1:23" s="91" customFormat="1" x14ac:dyDescent="0.25">
      <c r="A15" s="165" t="str">
        <f t="shared" si="0"/>
        <v/>
      </c>
      <c r="B15" s="23" t="s">
        <v>1387</v>
      </c>
      <c r="C15" s="23" t="s">
        <v>4484</v>
      </c>
      <c r="D15" s="166" t="s">
        <v>4485</v>
      </c>
      <c r="E15" s="242" t="s">
        <v>545</v>
      </c>
      <c r="F15" s="169">
        <v>10</v>
      </c>
      <c r="G15" s="243" t="s">
        <v>4486</v>
      </c>
      <c r="H15" s="89">
        <v>875000000</v>
      </c>
      <c r="I15" s="89" t="str">
        <f>IF($H15&lt;='Abbrev Key'!$A$2,'Abbrev Key'!$B$2,IF($H15&lt;='Abbrev Key'!$A$3,'Abbrev Key'!$B$3,IF($H15&lt;='Abbrev Key'!$A$4,'Abbrev Key'!$B$4,IF($H15&lt;='Abbrev Key'!$A$5,'Abbrev Key'!$B$5,IF($H15&lt;='Abbrev Key'!$A$6,'Abbrev Key'!$B$6,IF($H15&gt;='Abbrev Key'!$A$7,'Abbrev Key'!$B$7,IF($H15='Abbrev Key'!$A$8,'Abbrev Key'!$B$8,"")))))))</f>
        <v>F</v>
      </c>
      <c r="J15" s="17" t="s">
        <v>11803</v>
      </c>
      <c r="K15" s="23" t="s">
        <v>640</v>
      </c>
      <c r="L15" s="354">
        <v>13436422.289999999</v>
      </c>
      <c r="M15" s="405">
        <f t="shared" si="1"/>
        <v>1.5355911188571427E-2</v>
      </c>
      <c r="N15" s="23" t="s">
        <v>1392</v>
      </c>
      <c r="O15" s="23"/>
      <c r="P15" s="167" t="s">
        <v>4408</v>
      </c>
      <c r="Q15" s="392">
        <v>42467</v>
      </c>
      <c r="R15" s="392">
        <v>42466</v>
      </c>
      <c r="S15" s="392">
        <v>42327</v>
      </c>
      <c r="T15" s="168" t="s">
        <v>10934</v>
      </c>
      <c r="U15" s="92"/>
      <c r="V15" s="92"/>
      <c r="W15" s="92"/>
    </row>
    <row r="16" spans="1:23" s="91" customFormat="1" x14ac:dyDescent="0.25">
      <c r="A16" s="165" t="str">
        <f t="shared" si="0"/>
        <v/>
      </c>
      <c r="B16" s="23" t="s">
        <v>2990</v>
      </c>
      <c r="C16" s="23" t="s">
        <v>5011</v>
      </c>
      <c r="D16" s="166" t="s">
        <v>5012</v>
      </c>
      <c r="E16" s="242" t="s">
        <v>817</v>
      </c>
      <c r="F16" s="169">
        <v>4</v>
      </c>
      <c r="G16" s="243" t="s">
        <v>5013</v>
      </c>
      <c r="H16" s="89">
        <v>30000000</v>
      </c>
      <c r="I16" s="89" t="str">
        <f>IF($H16&lt;='Abbrev Key'!$A$2,'Abbrev Key'!$B$2,IF($H16&lt;='Abbrev Key'!$A$3,'Abbrev Key'!$B$3,IF($H16&lt;='Abbrev Key'!$A$4,'Abbrev Key'!$B$4,IF($H16&lt;='Abbrev Key'!$A$5,'Abbrev Key'!$B$5,IF($H16&lt;='Abbrev Key'!$A$6,'Abbrev Key'!$B$6,IF($H16&gt;='Abbrev Key'!$A$7,'Abbrev Key'!$B$7,IF($H16='Abbrev Key'!$A$8,'Abbrev Key'!$B$8,"")))))))</f>
        <v>B</v>
      </c>
      <c r="J16" s="17" t="s">
        <v>3003</v>
      </c>
      <c r="K16" s="23" t="s">
        <v>637</v>
      </c>
      <c r="L16" s="398">
        <v>89885.49</v>
      </c>
      <c r="M16" s="403">
        <f t="shared" si="1"/>
        <v>2.9961830000000004E-3</v>
      </c>
      <c r="N16" s="23" t="s">
        <v>3005</v>
      </c>
      <c r="O16" s="23"/>
      <c r="P16" s="167" t="s">
        <v>4408</v>
      </c>
      <c r="Q16" s="392">
        <v>42328</v>
      </c>
      <c r="R16" s="392">
        <v>42327</v>
      </c>
      <c r="S16" s="392">
        <v>42331</v>
      </c>
      <c r="T16" s="168" t="s">
        <v>561</v>
      </c>
      <c r="U16" s="92"/>
      <c r="V16" s="92"/>
      <c r="W16" s="92"/>
    </row>
    <row r="17" spans="1:23" s="91" customFormat="1" ht="30" x14ac:dyDescent="0.25">
      <c r="A17" s="165" t="str">
        <f t="shared" si="0"/>
        <v>DUP</v>
      </c>
      <c r="B17" s="23" t="s">
        <v>246</v>
      </c>
      <c r="C17" s="23" t="s">
        <v>10659</v>
      </c>
      <c r="D17" s="166" t="s">
        <v>5082</v>
      </c>
      <c r="E17" s="242" t="s">
        <v>557</v>
      </c>
      <c r="F17" s="169">
        <v>9</v>
      </c>
      <c r="G17" s="243" t="s">
        <v>5083</v>
      </c>
      <c r="H17" s="89">
        <v>2000000000</v>
      </c>
      <c r="I17" s="89" t="str">
        <f>IF($H17&lt;='Abbrev Key'!$A$2,'Abbrev Key'!$B$2,IF($H17&lt;='Abbrev Key'!$A$3,'Abbrev Key'!$B$3,IF($H17&lt;='Abbrev Key'!$A$4,'Abbrev Key'!$B$4,IF($H17&lt;='Abbrev Key'!$A$5,'Abbrev Key'!$B$5,IF($H17&lt;='Abbrev Key'!$A$6,'Abbrev Key'!$B$6,IF($H17&gt;='Abbrev Key'!$A$7,'Abbrev Key'!$B$7,IF($H17='Abbrev Key'!$A$8,'Abbrev Key'!$B$8,"")))))))</f>
        <v>F</v>
      </c>
      <c r="J17" s="17" t="s">
        <v>249</v>
      </c>
      <c r="K17" s="23" t="s">
        <v>633</v>
      </c>
      <c r="L17" s="398">
        <v>10697807.74</v>
      </c>
      <c r="M17" s="403">
        <f t="shared" si="1"/>
        <v>5.3489038700000003E-3</v>
      </c>
      <c r="N17" s="23" t="s">
        <v>10840</v>
      </c>
      <c r="O17" s="23"/>
      <c r="P17" s="167" t="s">
        <v>4287</v>
      </c>
      <c r="Q17" s="392">
        <v>42207</v>
      </c>
      <c r="R17" s="392">
        <v>42206</v>
      </c>
      <c r="S17" s="392">
        <v>42338</v>
      </c>
      <c r="T17" s="168" t="s">
        <v>597</v>
      </c>
      <c r="U17" s="92"/>
      <c r="V17" s="92"/>
      <c r="W17" s="92"/>
    </row>
    <row r="18" spans="1:23" s="91" customFormat="1" ht="60" x14ac:dyDescent="0.25">
      <c r="A18" s="165" t="str">
        <f t="shared" si="0"/>
        <v/>
      </c>
      <c r="B18" s="23" t="s">
        <v>182</v>
      </c>
      <c r="C18" s="23" t="s">
        <v>5212</v>
      </c>
      <c r="D18" s="166" t="s">
        <v>5213</v>
      </c>
      <c r="E18" s="242" t="s">
        <v>531</v>
      </c>
      <c r="F18" s="169">
        <v>8</v>
      </c>
      <c r="G18" s="243" t="s">
        <v>5214</v>
      </c>
      <c r="H18" s="89">
        <v>300000000</v>
      </c>
      <c r="I18" s="89" t="str">
        <f>IF($H18&lt;='Abbrev Key'!$A$2,'Abbrev Key'!$B$2,IF($H18&lt;='Abbrev Key'!$A$3,'Abbrev Key'!$B$3,IF($H18&lt;='Abbrev Key'!$A$4,'Abbrev Key'!$B$4,IF($H18&lt;='Abbrev Key'!$A$5,'Abbrev Key'!$B$5,IF($H18&lt;='Abbrev Key'!$A$6,'Abbrev Key'!$B$6,IF($H18&gt;='Abbrev Key'!$A$7,'Abbrev Key'!$B$7,IF($H18='Abbrev Key'!$A$8,'Abbrev Key'!$B$8,"")))))))</f>
        <v>E</v>
      </c>
      <c r="J18" s="17" t="s">
        <v>3558</v>
      </c>
      <c r="K18" s="23" t="s">
        <v>633</v>
      </c>
      <c r="L18" s="398">
        <v>8319268.9500000002</v>
      </c>
      <c r="M18" s="403">
        <f t="shared" si="1"/>
        <v>2.7730896500000001E-2</v>
      </c>
      <c r="N18" s="23" t="s">
        <v>3560</v>
      </c>
      <c r="O18" s="23"/>
      <c r="P18" s="167" t="s">
        <v>4287</v>
      </c>
      <c r="Q18" s="392">
        <v>42464</v>
      </c>
      <c r="R18" s="392">
        <v>42463</v>
      </c>
      <c r="S18" s="392">
        <v>42338</v>
      </c>
      <c r="T18" s="168" t="s">
        <v>10936</v>
      </c>
      <c r="U18" s="92"/>
      <c r="V18" s="92"/>
      <c r="W18" s="92"/>
    </row>
    <row r="19" spans="1:23" s="91" customFormat="1" ht="30" x14ac:dyDescent="0.25">
      <c r="A19" s="165" t="str">
        <f t="shared" si="0"/>
        <v/>
      </c>
      <c r="B19" s="23" t="s">
        <v>1765</v>
      </c>
      <c r="C19" s="23" t="s">
        <v>4598</v>
      </c>
      <c r="D19" s="166" t="s">
        <v>4599</v>
      </c>
      <c r="E19" s="242" t="s">
        <v>603</v>
      </c>
      <c r="F19" s="169">
        <v>11</v>
      </c>
      <c r="G19" s="243" t="s">
        <v>4600</v>
      </c>
      <c r="H19" s="89">
        <v>5000000</v>
      </c>
      <c r="I19" s="89" t="str">
        <f>IF($H19&lt;='Abbrev Key'!$A$2,'Abbrev Key'!$B$2,IF($H19&lt;='Abbrev Key'!$A$3,'Abbrev Key'!$B$3,IF($H19&lt;='Abbrev Key'!$A$4,'Abbrev Key'!$B$4,IF($H19&lt;='Abbrev Key'!$A$5,'Abbrev Key'!$B$5,IF($H19&lt;='Abbrev Key'!$A$6,'Abbrev Key'!$B$6,IF($H19&gt;='Abbrev Key'!$A$7,'Abbrev Key'!$B$7,IF($H19='Abbrev Key'!$A$8,'Abbrev Key'!$B$8,"")))))))</f>
        <v>A</v>
      </c>
      <c r="J19" s="17" t="s">
        <v>1767</v>
      </c>
      <c r="K19" s="23" t="s">
        <v>637</v>
      </c>
      <c r="L19" s="398">
        <v>14450</v>
      </c>
      <c r="M19" s="403">
        <f t="shared" si="1"/>
        <v>2.8900000000000002E-3</v>
      </c>
      <c r="N19" s="23" t="s">
        <v>1015</v>
      </c>
      <c r="O19" s="23"/>
      <c r="P19" s="167" t="s">
        <v>4408</v>
      </c>
      <c r="Q19" s="392">
        <v>42328</v>
      </c>
      <c r="R19" s="392">
        <v>42327</v>
      </c>
      <c r="S19" s="392">
        <v>42340</v>
      </c>
      <c r="T19" s="168" t="s">
        <v>682</v>
      </c>
      <c r="U19" s="92"/>
      <c r="V19" s="92"/>
      <c r="W19" s="92"/>
    </row>
    <row r="20" spans="1:23" s="91" customFormat="1" x14ac:dyDescent="0.25">
      <c r="A20" s="165" t="str">
        <f t="shared" si="0"/>
        <v/>
      </c>
      <c r="B20" s="23" t="s">
        <v>4081</v>
      </c>
      <c r="C20" s="23" t="s">
        <v>5370</v>
      </c>
      <c r="D20" s="166" t="s">
        <v>5371</v>
      </c>
      <c r="E20" s="242" t="s">
        <v>557</v>
      </c>
      <c r="F20" s="169">
        <v>9</v>
      </c>
      <c r="G20" s="243" t="s">
        <v>5372</v>
      </c>
      <c r="H20" s="89">
        <v>250000000</v>
      </c>
      <c r="I20" s="89" t="str">
        <f>IF($H20&lt;='Abbrev Key'!$A$2,'Abbrev Key'!$B$2,IF($H20&lt;='Abbrev Key'!$A$3,'Abbrev Key'!$B$3,IF($H20&lt;='Abbrev Key'!$A$4,'Abbrev Key'!$B$4,IF($H20&lt;='Abbrev Key'!$A$5,'Abbrev Key'!$B$5,IF($H20&lt;='Abbrev Key'!$A$6,'Abbrev Key'!$B$6,IF($H20&gt;='Abbrev Key'!$A$7,'Abbrev Key'!$B$7,IF($H20='Abbrev Key'!$A$8,'Abbrev Key'!$B$8,"")))))))</f>
        <v>D</v>
      </c>
      <c r="J20" s="23" t="s">
        <v>4084</v>
      </c>
      <c r="K20" s="92" t="s">
        <v>637</v>
      </c>
      <c r="L20" s="398">
        <v>24534.44</v>
      </c>
      <c r="M20" s="403">
        <f t="shared" si="1"/>
        <v>9.8137759999999998E-5</v>
      </c>
      <c r="N20" s="92" t="s">
        <v>63</v>
      </c>
      <c r="O20" s="92"/>
      <c r="P20" s="167" t="s">
        <v>4295</v>
      </c>
      <c r="Q20" s="392">
        <v>42237</v>
      </c>
      <c r="R20" s="392">
        <v>42236</v>
      </c>
      <c r="S20" s="392">
        <v>42340</v>
      </c>
      <c r="T20" s="168" t="s">
        <v>63</v>
      </c>
      <c r="U20" s="92"/>
      <c r="V20" s="92"/>
      <c r="W20" s="92"/>
    </row>
    <row r="21" spans="1:23" s="91" customFormat="1" ht="60" x14ac:dyDescent="0.25">
      <c r="A21" s="165" t="str">
        <f t="shared" si="0"/>
        <v/>
      </c>
      <c r="B21" s="23" t="s">
        <v>2270</v>
      </c>
      <c r="C21" s="23" t="s">
        <v>4743</v>
      </c>
      <c r="D21" s="166" t="s">
        <v>4744</v>
      </c>
      <c r="E21" s="242" t="s">
        <v>457</v>
      </c>
      <c r="F21" s="169">
        <v>9</v>
      </c>
      <c r="G21" s="243" t="s">
        <v>4745</v>
      </c>
      <c r="H21" s="89">
        <v>3650000</v>
      </c>
      <c r="I21" s="89" t="str">
        <f>IF($H21&lt;='Abbrev Key'!$A$2,'Abbrev Key'!$B$2,IF($H21&lt;='Abbrev Key'!$A$3,'Abbrev Key'!$B$3,IF($H21&lt;='Abbrev Key'!$A$4,'Abbrev Key'!$B$4,IF($H21&lt;='Abbrev Key'!$A$5,'Abbrev Key'!$B$5,IF($H21&lt;='Abbrev Key'!$A$6,'Abbrev Key'!$B$6,IF($H21&gt;='Abbrev Key'!$A$7,'Abbrev Key'!$B$7,IF($H21='Abbrev Key'!$A$8,'Abbrev Key'!$B$8,"")))))))</f>
        <v>A</v>
      </c>
      <c r="J21" s="92" t="s">
        <v>2272</v>
      </c>
      <c r="K21" s="92" t="s">
        <v>637</v>
      </c>
      <c r="L21" s="398">
        <v>947025.72</v>
      </c>
      <c r="M21" s="403">
        <f t="shared" si="1"/>
        <v>0.259459101369863</v>
      </c>
      <c r="N21" s="92" t="s">
        <v>1944</v>
      </c>
      <c r="O21" s="92"/>
      <c r="P21" s="167" t="s">
        <v>4295</v>
      </c>
      <c r="Q21" s="392">
        <v>42338</v>
      </c>
      <c r="R21" s="392">
        <v>42337</v>
      </c>
      <c r="S21" s="392">
        <v>42345</v>
      </c>
      <c r="T21" s="168" t="s">
        <v>10935</v>
      </c>
      <c r="U21" s="92"/>
      <c r="V21" s="92"/>
      <c r="W21" s="92"/>
    </row>
    <row r="22" spans="1:23" s="91" customFormat="1" ht="45" x14ac:dyDescent="0.25">
      <c r="A22" s="285" t="str">
        <f t="shared" si="0"/>
        <v/>
      </c>
      <c r="B22" s="289" t="s">
        <v>4</v>
      </c>
      <c r="C22" s="289" t="s">
        <v>5127</v>
      </c>
      <c r="D22" s="367" t="s">
        <v>5359</v>
      </c>
      <c r="E22" s="247" t="s">
        <v>418</v>
      </c>
      <c r="F22" s="286">
        <v>2</v>
      </c>
      <c r="G22" s="244" t="s">
        <v>5360</v>
      </c>
      <c r="H22" s="287">
        <v>500000000</v>
      </c>
      <c r="I22" s="287" t="str">
        <f>IF($H22&lt;='Abbrev Key'!$A$2,'Abbrev Key'!$B$2,IF($H22&lt;='Abbrev Key'!$A$3,'Abbrev Key'!$B$3,IF($H22&lt;='Abbrev Key'!$A$4,'Abbrev Key'!$B$4,IF($H22&lt;='Abbrev Key'!$A$5,'Abbrev Key'!$B$5,IF($H22&lt;='Abbrev Key'!$A$6,'Abbrev Key'!$B$6,IF($H22&gt;='Abbrev Key'!$A$7,'Abbrev Key'!$B$7,IF($H22='Abbrev Key'!$A$8,'Abbrev Key'!$B$8,"")))))))</f>
        <v>E</v>
      </c>
      <c r="J22" s="17" t="s">
        <v>11981</v>
      </c>
      <c r="K22" s="363" t="s">
        <v>640</v>
      </c>
      <c r="L22" s="400">
        <v>15297748.09</v>
      </c>
      <c r="M22" s="407">
        <f t="shared" si="1"/>
        <v>3.0595496180000001E-2</v>
      </c>
      <c r="N22" s="363" t="s">
        <v>1</v>
      </c>
      <c r="O22" s="363"/>
      <c r="P22" s="246" t="s">
        <v>4287</v>
      </c>
      <c r="Q22" s="393">
        <v>42338</v>
      </c>
      <c r="R22" s="392">
        <v>42337</v>
      </c>
      <c r="S22" s="392">
        <v>42345</v>
      </c>
      <c r="T22" s="168" t="s">
        <v>682</v>
      </c>
      <c r="U22" s="363"/>
      <c r="V22" s="363"/>
      <c r="W22" s="363"/>
    </row>
    <row r="23" spans="1:23" s="91" customFormat="1" ht="60" x14ac:dyDescent="0.25">
      <c r="A23" s="165" t="str">
        <f t="shared" si="0"/>
        <v/>
      </c>
      <c r="B23" s="23" t="s">
        <v>3622</v>
      </c>
      <c r="C23" s="23" t="s">
        <v>5222</v>
      </c>
      <c r="D23" s="166" t="s">
        <v>5223</v>
      </c>
      <c r="E23" s="242" t="s">
        <v>418</v>
      </c>
      <c r="F23" s="169">
        <v>2</v>
      </c>
      <c r="G23" s="243" t="s">
        <v>5224</v>
      </c>
      <c r="H23" s="89">
        <v>15000000</v>
      </c>
      <c r="I23" s="89" t="str">
        <f>IF($H23&lt;='Abbrev Key'!$A$2,'Abbrev Key'!$B$2,IF($H23&lt;='Abbrev Key'!$A$3,'Abbrev Key'!$B$3,IF($H23&lt;='Abbrev Key'!$A$4,'Abbrev Key'!$B$4,IF($H23&lt;='Abbrev Key'!$A$5,'Abbrev Key'!$B$5,IF($H23&lt;='Abbrev Key'!$A$6,'Abbrev Key'!$B$6,IF($H23&gt;='Abbrev Key'!$A$7,'Abbrev Key'!$B$7,IF($H23='Abbrev Key'!$A$8,'Abbrev Key'!$B$8,"")))))))</f>
        <v>A</v>
      </c>
      <c r="J23" s="17" t="s">
        <v>3623</v>
      </c>
      <c r="K23" s="23" t="s">
        <v>637</v>
      </c>
      <c r="L23" s="398">
        <v>203741</v>
      </c>
      <c r="M23" s="403">
        <f t="shared" si="1"/>
        <v>1.3582733333333333E-2</v>
      </c>
      <c r="N23" s="23" t="s">
        <v>584</v>
      </c>
      <c r="O23" s="23"/>
      <c r="P23" s="167" t="s">
        <v>4295</v>
      </c>
      <c r="Q23" s="392">
        <v>42335</v>
      </c>
      <c r="R23" s="392">
        <v>42334</v>
      </c>
      <c r="S23" s="392">
        <v>42347</v>
      </c>
      <c r="T23" s="168" t="s">
        <v>7</v>
      </c>
      <c r="U23" s="92"/>
      <c r="V23" s="92"/>
      <c r="W23" s="92"/>
    </row>
    <row r="24" spans="1:23" s="91" customFormat="1" ht="45" x14ac:dyDescent="0.25">
      <c r="A24" s="165" t="str">
        <f t="shared" si="0"/>
        <v/>
      </c>
      <c r="B24" s="23" t="s">
        <v>162</v>
      </c>
      <c r="C24" s="23" t="s">
        <v>4547</v>
      </c>
      <c r="D24" s="166" t="s">
        <v>4548</v>
      </c>
      <c r="E24" s="242" t="s">
        <v>437</v>
      </c>
      <c r="F24" s="169">
        <v>3</v>
      </c>
      <c r="G24" s="243" t="s">
        <v>4549</v>
      </c>
      <c r="H24" s="89">
        <v>325000000</v>
      </c>
      <c r="I24" s="89" t="str">
        <f>IF($H24&lt;='Abbrev Key'!$A$2,'Abbrev Key'!$B$2,IF($H24&lt;='Abbrev Key'!$A$3,'Abbrev Key'!$B$3,IF($H24&lt;='Abbrev Key'!$A$4,'Abbrev Key'!$B$4,IF($H24&lt;='Abbrev Key'!$A$5,'Abbrev Key'!$B$5,IF($H24&lt;='Abbrev Key'!$A$6,'Abbrev Key'!$B$6,IF($H24&gt;='Abbrev Key'!$A$7,'Abbrev Key'!$B$7,IF($H24='Abbrev Key'!$A$8,'Abbrev Key'!$B$8,"")))))))</f>
        <v>E</v>
      </c>
      <c r="J24" s="23" t="s">
        <v>11813</v>
      </c>
      <c r="K24" s="92" t="s">
        <v>640</v>
      </c>
      <c r="L24" s="357" t="s">
        <v>10798</v>
      </c>
      <c r="M24" s="406" t="str">
        <f t="shared" si="1"/>
        <v>DC</v>
      </c>
      <c r="N24" s="23" t="s">
        <v>1643</v>
      </c>
      <c r="O24" s="23"/>
      <c r="P24" s="167" t="s">
        <v>4408</v>
      </c>
      <c r="Q24" s="392">
        <v>41578</v>
      </c>
      <c r="R24" s="392">
        <v>41577</v>
      </c>
      <c r="S24" s="392">
        <v>42348</v>
      </c>
      <c r="T24" s="168" t="s">
        <v>1</v>
      </c>
      <c r="U24" s="92"/>
      <c r="V24" s="92"/>
      <c r="W24" s="92"/>
    </row>
    <row r="25" spans="1:23" s="91" customFormat="1" ht="30" x14ac:dyDescent="0.25">
      <c r="A25" s="165" t="str">
        <f t="shared" si="0"/>
        <v/>
      </c>
      <c r="B25" s="23" t="s">
        <v>57</v>
      </c>
      <c r="C25" s="23" t="s">
        <v>4963</v>
      </c>
      <c r="D25" s="166" t="s">
        <v>4964</v>
      </c>
      <c r="E25" s="242" t="s">
        <v>457</v>
      </c>
      <c r="F25" s="169">
        <v>9</v>
      </c>
      <c r="G25" s="243" t="s">
        <v>4965</v>
      </c>
      <c r="H25" s="89">
        <v>300000000</v>
      </c>
      <c r="I25" s="89" t="str">
        <f>IF($H25&lt;='Abbrev Key'!$A$2,'Abbrev Key'!$B$2,IF($H25&lt;='Abbrev Key'!$A$3,'Abbrev Key'!$B$3,IF($H25&lt;='Abbrev Key'!$A$4,'Abbrev Key'!$B$4,IF($H25&lt;='Abbrev Key'!$A$5,'Abbrev Key'!$B$5,IF($H25&lt;='Abbrev Key'!$A$6,'Abbrev Key'!$B$6,IF($H25&gt;='Abbrev Key'!$A$7,'Abbrev Key'!$B$7,IF($H25='Abbrev Key'!$A$8,'Abbrev Key'!$B$8,"")))))))</f>
        <v>E</v>
      </c>
      <c r="J25" s="17" t="s">
        <v>39</v>
      </c>
      <c r="K25" s="23" t="s">
        <v>633</v>
      </c>
      <c r="L25" s="398">
        <v>1177771.58</v>
      </c>
      <c r="M25" s="403">
        <f t="shared" si="1"/>
        <v>3.9259052666666665E-3</v>
      </c>
      <c r="N25" s="23" t="s">
        <v>2847</v>
      </c>
      <c r="O25" s="23"/>
      <c r="P25" s="167" t="s">
        <v>4287</v>
      </c>
      <c r="Q25" s="392">
        <v>42327</v>
      </c>
      <c r="R25" s="392">
        <v>42326</v>
      </c>
      <c r="S25" s="392">
        <v>42355</v>
      </c>
      <c r="T25" s="168" t="s">
        <v>7</v>
      </c>
      <c r="U25" s="92"/>
      <c r="V25" s="92"/>
      <c r="W25" s="92"/>
    </row>
    <row r="26" spans="1:23" s="91" customFormat="1" x14ac:dyDescent="0.25">
      <c r="A26" s="165" t="str">
        <f t="shared" si="0"/>
        <v/>
      </c>
      <c r="B26" s="23" t="s">
        <v>616</v>
      </c>
      <c r="C26" s="23" t="s">
        <v>4822</v>
      </c>
      <c r="D26" s="166" t="s">
        <v>4823</v>
      </c>
      <c r="E26" s="242" t="s">
        <v>457</v>
      </c>
      <c r="F26" s="169">
        <v>9</v>
      </c>
      <c r="G26" s="243" t="s">
        <v>4824</v>
      </c>
      <c r="H26" s="89">
        <v>30000000</v>
      </c>
      <c r="I26" s="89" t="str">
        <f>IF($H26&lt;='Abbrev Key'!$A$2,'Abbrev Key'!$B$2,IF($H26&lt;='Abbrev Key'!$A$3,'Abbrev Key'!$B$3,IF($H26&lt;='Abbrev Key'!$A$4,'Abbrev Key'!$B$4,IF($H26&lt;='Abbrev Key'!$A$5,'Abbrev Key'!$B$5,IF($H26&lt;='Abbrev Key'!$A$6,'Abbrev Key'!$B$6,IF($H26&gt;='Abbrev Key'!$A$7,'Abbrev Key'!$B$7,IF($H26='Abbrev Key'!$A$8,'Abbrev Key'!$B$8,"")))))))</f>
        <v>B</v>
      </c>
      <c r="J26" s="92" t="s">
        <v>11859</v>
      </c>
      <c r="K26" s="92" t="s">
        <v>646</v>
      </c>
      <c r="L26" s="398">
        <v>615410</v>
      </c>
      <c r="M26" s="403">
        <f t="shared" si="1"/>
        <v>2.0513666666666666E-2</v>
      </c>
      <c r="N26" s="92" t="s">
        <v>675</v>
      </c>
      <c r="O26" s="92"/>
      <c r="P26" s="167" t="s">
        <v>4408</v>
      </c>
      <c r="Q26" s="392">
        <v>42354</v>
      </c>
      <c r="R26" s="392">
        <v>42353</v>
      </c>
      <c r="S26" s="392">
        <v>42356</v>
      </c>
      <c r="T26" s="168" t="s">
        <v>597</v>
      </c>
      <c r="U26" s="92"/>
      <c r="V26" s="92"/>
      <c r="W26" s="92"/>
    </row>
    <row r="27" spans="1:23" s="91" customFormat="1" ht="45" x14ac:dyDescent="0.25">
      <c r="A27" s="165" t="str">
        <f t="shared" si="0"/>
        <v/>
      </c>
      <c r="B27" s="23" t="s">
        <v>3996</v>
      </c>
      <c r="C27" s="23" t="s">
        <v>5350</v>
      </c>
      <c r="D27" s="166" t="s">
        <v>5351</v>
      </c>
      <c r="E27" s="242" t="s">
        <v>1815</v>
      </c>
      <c r="F27" s="169">
        <v>5</v>
      </c>
      <c r="G27" s="243" t="s">
        <v>5352</v>
      </c>
      <c r="H27" s="89">
        <v>215000000</v>
      </c>
      <c r="I27" s="89" t="str">
        <f>IF($H27&lt;='Abbrev Key'!$A$2,'Abbrev Key'!$B$2,IF($H27&lt;='Abbrev Key'!$A$3,'Abbrev Key'!$B$3,IF($H27&lt;='Abbrev Key'!$A$4,'Abbrev Key'!$B$4,IF($H27&lt;='Abbrev Key'!$A$5,'Abbrev Key'!$B$5,IF($H27&lt;='Abbrev Key'!$A$6,'Abbrev Key'!$B$6,IF($H27&gt;='Abbrev Key'!$A$7,'Abbrev Key'!$B$7,IF($H27='Abbrev Key'!$A$8,'Abbrev Key'!$B$8,"")))))))</f>
        <v>D</v>
      </c>
      <c r="J27" s="17" t="s">
        <v>4003</v>
      </c>
      <c r="K27" s="23" t="s">
        <v>637</v>
      </c>
      <c r="L27" s="398">
        <v>820189.87</v>
      </c>
      <c r="M27" s="403">
        <f t="shared" si="1"/>
        <v>3.8148366046511627E-3</v>
      </c>
      <c r="N27" s="23" t="s">
        <v>1921</v>
      </c>
      <c r="O27" s="23"/>
      <c r="P27" s="167" t="s">
        <v>4408</v>
      </c>
      <c r="Q27" s="392">
        <v>42404</v>
      </c>
      <c r="R27" s="392">
        <v>42403</v>
      </c>
      <c r="S27" s="392">
        <v>42359</v>
      </c>
      <c r="T27" s="168" t="s">
        <v>597</v>
      </c>
      <c r="U27" s="92"/>
      <c r="V27" s="92"/>
      <c r="W27" s="92"/>
    </row>
    <row r="28" spans="1:23" s="91" customFormat="1" x14ac:dyDescent="0.25">
      <c r="A28" s="165" t="str">
        <f t="shared" si="0"/>
        <v/>
      </c>
      <c r="B28" s="23" t="s">
        <v>880</v>
      </c>
      <c r="C28" s="23" t="s">
        <v>4356</v>
      </c>
      <c r="D28" s="166" t="s">
        <v>4357</v>
      </c>
      <c r="E28" s="242" t="s">
        <v>418</v>
      </c>
      <c r="F28" s="169">
        <v>2</v>
      </c>
      <c r="G28" s="243" t="s">
        <v>4358</v>
      </c>
      <c r="H28" s="89">
        <v>45000000</v>
      </c>
      <c r="I28" s="89" t="str">
        <f>IF($H28&lt;='Abbrev Key'!$A$2,'Abbrev Key'!$B$2,IF($H28&lt;='Abbrev Key'!$A$3,'Abbrev Key'!$B$3,IF($H28&lt;='Abbrev Key'!$A$4,'Abbrev Key'!$B$4,IF($H28&lt;='Abbrev Key'!$A$5,'Abbrev Key'!$B$5,IF($H28&lt;='Abbrev Key'!$A$6,'Abbrev Key'!$B$6,IF($H28&gt;='Abbrev Key'!$A$7,'Abbrev Key'!$B$7,IF($H28='Abbrev Key'!$A$8,'Abbrev Key'!$B$8,"")))))))</f>
        <v>B</v>
      </c>
      <c r="J28" s="92" t="s">
        <v>888</v>
      </c>
      <c r="K28" s="23" t="s">
        <v>637</v>
      </c>
      <c r="L28" s="398">
        <v>29111.919999999998</v>
      </c>
      <c r="M28" s="403">
        <f t="shared" si="1"/>
        <v>6.4693155555555556E-4</v>
      </c>
      <c r="N28" s="92" t="s">
        <v>4359</v>
      </c>
      <c r="O28" s="92"/>
      <c r="P28" s="167" t="s">
        <v>4295</v>
      </c>
      <c r="Q28" s="392">
        <v>42368</v>
      </c>
      <c r="R28" s="392">
        <v>42367</v>
      </c>
      <c r="S28" s="392">
        <v>42368</v>
      </c>
      <c r="T28" s="168" t="s">
        <v>79</v>
      </c>
      <c r="U28" s="92"/>
      <c r="V28" s="92"/>
      <c r="W28" s="92"/>
    </row>
    <row r="29" spans="1:23" s="91" customFormat="1" ht="30" x14ac:dyDescent="0.25">
      <c r="A29" s="165" t="str">
        <f t="shared" si="0"/>
        <v/>
      </c>
      <c r="B29" s="17" t="s">
        <v>699</v>
      </c>
      <c r="C29" s="17" t="s">
        <v>4315</v>
      </c>
      <c r="D29" s="242" t="s">
        <v>4316</v>
      </c>
      <c r="E29" s="242" t="s">
        <v>418</v>
      </c>
      <c r="F29" s="169">
        <v>2</v>
      </c>
      <c r="G29" s="243" t="s">
        <v>4317</v>
      </c>
      <c r="H29" s="89">
        <v>6000000</v>
      </c>
      <c r="I29" s="89" t="str">
        <f>IF($H29&lt;='Abbrev Key'!$A$2,'Abbrev Key'!$B$2,IF($H29&lt;='Abbrev Key'!$A$3,'Abbrev Key'!$B$3,IF($H29&lt;='Abbrev Key'!$A$4,'Abbrev Key'!$B$4,IF($H29&lt;='Abbrev Key'!$A$5,'Abbrev Key'!$B$5,IF($H29&lt;='Abbrev Key'!$A$6,'Abbrev Key'!$B$6,IF($H29&gt;='Abbrev Key'!$A$7,'Abbrev Key'!$B$7,IF($H29='Abbrev Key'!$A$8,'Abbrev Key'!$B$8,"")))))))</f>
        <v>A</v>
      </c>
      <c r="J29" s="14" t="s">
        <v>701</v>
      </c>
      <c r="K29" s="14" t="s">
        <v>637</v>
      </c>
      <c r="L29" s="399">
        <v>4150.33</v>
      </c>
      <c r="M29" s="404">
        <f t="shared" si="1"/>
        <v>6.9172166666666671E-4</v>
      </c>
      <c r="N29" s="14" t="s">
        <v>597</v>
      </c>
      <c r="O29" s="14"/>
      <c r="P29" s="167" t="s">
        <v>4295</v>
      </c>
      <c r="Q29" s="394">
        <v>42347</v>
      </c>
      <c r="R29" s="392">
        <v>42346</v>
      </c>
      <c r="S29" s="392" t="str">
        <f>_xlfn.IFNA(VLOOKUP(B29,'[1]VLOOKUP NO DUPS'!$A$1:$C$456,2,FALSE),"")</f>
        <v>01/04/2016</v>
      </c>
      <c r="T29" s="168" t="str">
        <f>_xlfn.IFNA(VLOOKUP(B29,'[1]VLOOKUP NO DUPS'!$A$1:$C$456,3,FALSE),"")</f>
        <v>Glancy Prongay &amp; Murray, LLP; Law Offices of Howard G. Smith</v>
      </c>
      <c r="U29" s="14"/>
      <c r="V29" s="14"/>
      <c r="W29" s="14"/>
    </row>
    <row r="30" spans="1:23" s="288" customFormat="1" ht="30" x14ac:dyDescent="0.25">
      <c r="A30" s="165" t="str">
        <f t="shared" si="0"/>
        <v/>
      </c>
      <c r="B30" s="23" t="s">
        <v>353</v>
      </c>
      <c r="C30" s="23" t="s">
        <v>4834</v>
      </c>
      <c r="D30" s="166" t="s">
        <v>4835</v>
      </c>
      <c r="E30" s="242" t="s">
        <v>603</v>
      </c>
      <c r="F30" s="169">
        <v>11</v>
      </c>
      <c r="G30" s="243" t="s">
        <v>4836</v>
      </c>
      <c r="H30" s="89">
        <v>200000000</v>
      </c>
      <c r="I30" s="89" t="str">
        <f>IF($H30&lt;='Abbrev Key'!$A$2,'Abbrev Key'!$B$2,IF($H30&lt;='Abbrev Key'!$A$3,'Abbrev Key'!$B$3,IF($H30&lt;='Abbrev Key'!$A$4,'Abbrev Key'!$B$4,IF($H30&lt;='Abbrev Key'!$A$5,'Abbrev Key'!$B$5,IF($H30&lt;='Abbrev Key'!$A$6,'Abbrev Key'!$B$6,IF($H30&gt;='Abbrev Key'!$A$7,'Abbrev Key'!$B$7,IF($H30='Abbrev Key'!$A$8,'Abbrev Key'!$B$8,"")))))))</f>
        <v>D</v>
      </c>
      <c r="J30" s="17" t="s">
        <v>11861</v>
      </c>
      <c r="K30" s="92" t="s">
        <v>640</v>
      </c>
      <c r="L30" s="398">
        <v>310415.67</v>
      </c>
      <c r="M30" s="403">
        <f t="shared" si="1"/>
        <v>1.5520783499999998E-3</v>
      </c>
      <c r="N30" s="23" t="s">
        <v>2529</v>
      </c>
      <c r="O30" s="23"/>
      <c r="P30" s="167" t="s">
        <v>4295</v>
      </c>
      <c r="Q30" s="392">
        <v>42319</v>
      </c>
      <c r="R30" s="392">
        <v>42318</v>
      </c>
      <c r="S30" s="392" t="str">
        <f>_xlfn.IFNA(VLOOKUP(B30,'[1]VLOOKUP NO DUPS'!$A$1:$C$456,2,FALSE),"")</f>
        <v>01/06/2016</v>
      </c>
      <c r="T30" s="168" t="str">
        <f>_xlfn.IFNA(VLOOKUP(B30,'[1]VLOOKUP NO DUPS'!$A$1:$C$456,3,FALSE),"")</f>
        <v>Cullin O'Brien Law, P.A.; Levi &amp; Korsinsky, LLP</v>
      </c>
      <c r="U30" s="92"/>
      <c r="V30" s="92"/>
      <c r="W30" s="92"/>
    </row>
    <row r="31" spans="1:23" s="91" customFormat="1" x14ac:dyDescent="0.25">
      <c r="A31" s="165" t="str">
        <f t="shared" si="0"/>
        <v/>
      </c>
      <c r="B31" s="23" t="s">
        <v>1889</v>
      </c>
      <c r="C31" s="23" t="s">
        <v>4628</v>
      </c>
      <c r="D31" s="166" t="s">
        <v>4629</v>
      </c>
      <c r="E31" s="242" t="s">
        <v>418</v>
      </c>
      <c r="F31" s="169">
        <v>2</v>
      </c>
      <c r="G31" s="243" t="s">
        <v>4630</v>
      </c>
      <c r="H31" s="89">
        <v>80000000</v>
      </c>
      <c r="I31" s="89" t="str">
        <f>IF($H31&lt;='Abbrev Key'!$A$2,'Abbrev Key'!$B$2,IF($H31&lt;='Abbrev Key'!$A$3,'Abbrev Key'!$B$3,IF($H31&lt;='Abbrev Key'!$A$4,'Abbrev Key'!$B$4,IF($H31&lt;='Abbrev Key'!$A$5,'Abbrev Key'!$B$5,IF($H31&lt;='Abbrev Key'!$A$6,'Abbrev Key'!$B$6,IF($H31&gt;='Abbrev Key'!$A$7,'Abbrev Key'!$B$7,IF($H31='Abbrev Key'!$A$8,'Abbrev Key'!$B$8,"")))))))</f>
        <v>C</v>
      </c>
      <c r="J31" s="17" t="s">
        <v>1891</v>
      </c>
      <c r="K31" s="23" t="s">
        <v>637</v>
      </c>
      <c r="L31" s="398">
        <v>215265.25</v>
      </c>
      <c r="M31" s="403">
        <f t="shared" si="1"/>
        <v>2.6908156250000002E-3</v>
      </c>
      <c r="N31" s="92" t="s">
        <v>597</v>
      </c>
      <c r="O31" s="92"/>
      <c r="P31" s="167" t="s">
        <v>4408</v>
      </c>
      <c r="Q31" s="392">
        <v>42376</v>
      </c>
      <c r="R31" s="392">
        <v>42375</v>
      </c>
      <c r="S31" s="392" t="str">
        <f>_xlfn.IFNA(VLOOKUP(B31,'[1]VLOOKUP NO DUPS'!$A$1:$C$456,2,FALSE),"")</f>
        <v>01/07/2016</v>
      </c>
      <c r="T31" s="168" t="str">
        <f>_xlfn.IFNA(VLOOKUP(B31,'[1]VLOOKUP NO DUPS'!$A$1:$C$456,3,FALSE),"")</f>
        <v>Diserio Martin O'Connor &amp; Castiglioni LLC; Holzer &amp; Holzer, LLC</v>
      </c>
      <c r="U31" s="92"/>
      <c r="V31" s="92"/>
      <c r="W31" s="92"/>
    </row>
    <row r="32" spans="1:23" s="91" customFormat="1" x14ac:dyDescent="0.25">
      <c r="A32" s="165" t="str">
        <f t="shared" si="0"/>
        <v>DUP</v>
      </c>
      <c r="B32" s="23" t="s">
        <v>40</v>
      </c>
      <c r="C32" s="23" t="s">
        <v>10494</v>
      </c>
      <c r="D32" s="166" t="s">
        <v>4473</v>
      </c>
      <c r="E32" s="242" t="s">
        <v>418</v>
      </c>
      <c r="F32" s="169">
        <v>2</v>
      </c>
      <c r="G32" s="243" t="s">
        <v>4474</v>
      </c>
      <c r="H32" s="89">
        <v>750000000</v>
      </c>
      <c r="I32" s="89" t="str">
        <f>IF($H32&lt;='Abbrev Key'!$A$2,'Abbrev Key'!$B$2,IF($H32&lt;='Abbrev Key'!$A$3,'Abbrev Key'!$B$3,IF($H32&lt;='Abbrev Key'!$A$4,'Abbrev Key'!$B$4,IF($H32&lt;='Abbrev Key'!$A$5,'Abbrev Key'!$B$5,IF($H32&lt;='Abbrev Key'!$A$6,'Abbrev Key'!$B$6,IF($H32&gt;='Abbrev Key'!$A$7,'Abbrev Key'!$B$7,IF($H32='Abbrev Key'!$A$8,'Abbrev Key'!$B$8,"")))))))</f>
        <v>F</v>
      </c>
      <c r="J32" s="17" t="s">
        <v>11804</v>
      </c>
      <c r="K32" s="23" t="s">
        <v>640</v>
      </c>
      <c r="L32" s="398">
        <v>2072857.83</v>
      </c>
      <c r="M32" s="403">
        <f t="shared" si="1"/>
        <v>2.7638104400000002E-3</v>
      </c>
      <c r="N32" s="92" t="s">
        <v>119</v>
      </c>
      <c r="O32" s="92"/>
      <c r="P32" s="167" t="s">
        <v>4287</v>
      </c>
      <c r="Q32" s="392">
        <v>42402</v>
      </c>
      <c r="R32" s="392">
        <v>42401</v>
      </c>
      <c r="S32" s="392" t="s">
        <v>453</v>
      </c>
      <c r="T32" s="168" t="s">
        <v>79</v>
      </c>
      <c r="U32" s="92"/>
      <c r="V32" s="92"/>
      <c r="W32" s="92"/>
    </row>
    <row r="33" spans="1:23" s="91" customFormat="1" x14ac:dyDescent="0.25">
      <c r="A33" s="165" t="str">
        <f t="shared" si="0"/>
        <v>DUP</v>
      </c>
      <c r="B33" s="23" t="s">
        <v>2654</v>
      </c>
      <c r="C33" s="23" t="s">
        <v>10619</v>
      </c>
      <c r="D33" s="166" t="s">
        <v>4885</v>
      </c>
      <c r="E33" s="242" t="s">
        <v>446</v>
      </c>
      <c r="F33" s="169">
        <v>9</v>
      </c>
      <c r="G33" s="243" t="s">
        <v>4886</v>
      </c>
      <c r="H33" s="89">
        <v>70000000</v>
      </c>
      <c r="I33" s="89" t="str">
        <f>IF($H33&lt;='Abbrev Key'!$A$2,'Abbrev Key'!$B$2,IF($H33&lt;='Abbrev Key'!$A$3,'Abbrev Key'!$B$3,IF($H33&lt;='Abbrev Key'!$A$4,'Abbrev Key'!$B$4,IF($H33&lt;='Abbrev Key'!$A$5,'Abbrev Key'!$B$5,IF($H33&lt;='Abbrev Key'!$A$6,'Abbrev Key'!$B$6,IF($H33&gt;='Abbrev Key'!$A$7,'Abbrev Key'!$B$7,IF($H33='Abbrev Key'!$A$8,'Abbrev Key'!$B$8,"")))))))</f>
        <v>C</v>
      </c>
      <c r="J33" s="17" t="s">
        <v>2658</v>
      </c>
      <c r="K33" s="92" t="s">
        <v>637</v>
      </c>
      <c r="L33" s="398">
        <v>154709.20000000001</v>
      </c>
      <c r="M33" s="403">
        <f t="shared" si="1"/>
        <v>2.2101314285714289E-3</v>
      </c>
      <c r="N33" s="92" t="s">
        <v>4336</v>
      </c>
      <c r="O33" s="92"/>
      <c r="P33" s="167" t="s">
        <v>4295</v>
      </c>
      <c r="Q33" s="392">
        <v>42374</v>
      </c>
      <c r="R33" s="392">
        <v>42373</v>
      </c>
      <c r="S33" s="392" t="s">
        <v>453</v>
      </c>
      <c r="T33" s="168" t="s">
        <v>554</v>
      </c>
      <c r="U33" s="92"/>
      <c r="V33" s="92"/>
      <c r="W33" s="92"/>
    </row>
    <row r="34" spans="1:23" s="91" customFormat="1" ht="60" x14ac:dyDescent="0.25">
      <c r="A34" s="165" t="str">
        <f t="shared" si="0"/>
        <v>DUP</v>
      </c>
      <c r="B34" s="23" t="s">
        <v>101</v>
      </c>
      <c r="C34" s="23" t="s">
        <v>11318</v>
      </c>
      <c r="D34" s="166" t="s">
        <v>4640</v>
      </c>
      <c r="E34" s="242" t="s">
        <v>457</v>
      </c>
      <c r="F34" s="169">
        <v>9</v>
      </c>
      <c r="G34" s="243" t="s">
        <v>4641</v>
      </c>
      <c r="H34" s="89">
        <v>42000000</v>
      </c>
      <c r="I34" s="89" t="str">
        <f>IF($H34&lt;='Abbrev Key'!$A$2,'Abbrev Key'!$B$2,IF($H34&lt;='Abbrev Key'!$A$3,'Abbrev Key'!$B$3,IF($H34&lt;='Abbrev Key'!$A$4,'Abbrev Key'!$B$4,IF($H34&lt;='Abbrev Key'!$A$5,'Abbrev Key'!$B$5,IF($H34&lt;='Abbrev Key'!$A$6,'Abbrev Key'!$B$6,IF($H34&gt;='Abbrev Key'!$A$7,'Abbrev Key'!$B$7,IF($H34='Abbrev Key'!$A$8,'Abbrev Key'!$B$8,"")))))))</f>
        <v>B</v>
      </c>
      <c r="J34" s="17" t="s">
        <v>11835</v>
      </c>
      <c r="K34" s="23" t="s">
        <v>646</v>
      </c>
      <c r="L34" s="398">
        <v>3176023</v>
      </c>
      <c r="M34" s="403">
        <f t="shared" si="1"/>
        <v>7.5619595238095236E-2</v>
      </c>
      <c r="N34" s="23" t="s">
        <v>885</v>
      </c>
      <c r="O34" s="23"/>
      <c r="P34" s="167" t="s">
        <v>4408</v>
      </c>
      <c r="Q34" s="392">
        <v>42509</v>
      </c>
      <c r="R34" s="392">
        <v>42508</v>
      </c>
      <c r="S34" s="392" t="s">
        <v>423</v>
      </c>
      <c r="T34" s="168" t="s">
        <v>79</v>
      </c>
      <c r="U34" s="92"/>
      <c r="V34" s="92"/>
      <c r="W34" s="92"/>
    </row>
    <row r="35" spans="1:23" s="91" customFormat="1" x14ac:dyDescent="0.25">
      <c r="A35" s="165" t="str">
        <f t="shared" si="0"/>
        <v/>
      </c>
      <c r="B35" s="23" t="s">
        <v>2770</v>
      </c>
      <c r="C35" s="23" t="s">
        <v>4938</v>
      </c>
      <c r="D35" s="166" t="s">
        <v>4939</v>
      </c>
      <c r="E35" s="242" t="s">
        <v>446</v>
      </c>
      <c r="F35" s="169">
        <v>9</v>
      </c>
      <c r="G35" s="243" t="s">
        <v>4940</v>
      </c>
      <c r="H35" s="89">
        <v>35000000</v>
      </c>
      <c r="I35" s="89" t="str">
        <f>IF($H35&lt;='Abbrev Key'!$A$2,'Abbrev Key'!$B$2,IF($H35&lt;='Abbrev Key'!$A$3,'Abbrev Key'!$B$3,IF($H35&lt;='Abbrev Key'!$A$4,'Abbrev Key'!$B$4,IF($H35&lt;='Abbrev Key'!$A$5,'Abbrev Key'!$B$5,IF($H35&lt;='Abbrev Key'!$A$6,'Abbrev Key'!$B$6,IF($H35&gt;='Abbrev Key'!$A$7,'Abbrev Key'!$B$7,IF($H35='Abbrev Key'!$A$8,'Abbrev Key'!$B$8,"")))))))</f>
        <v>B</v>
      </c>
      <c r="J35" s="92" t="s">
        <v>11955</v>
      </c>
      <c r="K35" s="92" t="s">
        <v>646</v>
      </c>
      <c r="L35" s="398">
        <f>203274.51+234560.39</f>
        <v>437834.9</v>
      </c>
      <c r="M35" s="403">
        <f t="shared" si="1"/>
        <v>1.2509568571428572E-2</v>
      </c>
      <c r="N35" s="92" t="s">
        <v>4941</v>
      </c>
      <c r="O35" s="92" t="s">
        <v>11197</v>
      </c>
      <c r="P35" s="167" t="s">
        <v>4408</v>
      </c>
      <c r="Q35" s="392">
        <v>42444</v>
      </c>
      <c r="R35" s="392">
        <v>42443</v>
      </c>
      <c r="S35" s="392" t="str">
        <f>_xlfn.IFNA(VLOOKUP(B35,'[1]VLOOKUP NO DUPS'!$A$1:$C$456,2,FALSE),"")</f>
        <v>01/12/2016</v>
      </c>
      <c r="T35" s="168" t="str">
        <f>_xlfn.IFNA(VLOOKUP(B35,'[1]VLOOKUP NO DUPS'!$A$1:$C$456,3,FALSE),"")</f>
        <v>Pomerantz LLP; The Rosen Law Firm, P.A.</v>
      </c>
      <c r="U35" s="92"/>
      <c r="V35" s="92"/>
      <c r="W35" s="92"/>
    </row>
    <row r="36" spans="1:23" s="91" customFormat="1" ht="75" x14ac:dyDescent="0.25">
      <c r="A36" s="165" t="str">
        <f t="shared" si="0"/>
        <v>DUP</v>
      </c>
      <c r="B36" s="23" t="s">
        <v>1786</v>
      </c>
      <c r="C36" s="23" t="s">
        <v>10529</v>
      </c>
      <c r="D36" s="166" t="s">
        <v>4604</v>
      </c>
      <c r="E36" s="166" t="s">
        <v>8609</v>
      </c>
      <c r="F36" s="169">
        <v>6</v>
      </c>
      <c r="G36" s="243" t="s">
        <v>4605</v>
      </c>
      <c r="H36" s="89">
        <v>150000000</v>
      </c>
      <c r="I36" s="89" t="str">
        <f>IF($H36&lt;='Abbrev Key'!$A$2,'Abbrev Key'!$B$2,IF($H36&lt;='Abbrev Key'!$A$3,'Abbrev Key'!$B$3,IF($H36&lt;='Abbrev Key'!$A$4,'Abbrev Key'!$B$4,IF($H36&lt;='Abbrev Key'!$A$5,'Abbrev Key'!$B$5,IF($H36&lt;='Abbrev Key'!$A$6,'Abbrev Key'!$B$6,IF($H36&gt;='Abbrev Key'!$A$7,'Abbrev Key'!$B$7,IF($H36='Abbrev Key'!$A$8,'Abbrev Key'!$B$8,"")))))))</f>
        <v>D</v>
      </c>
      <c r="J36" s="17" t="s">
        <v>11826</v>
      </c>
      <c r="K36" s="92" t="s">
        <v>646</v>
      </c>
      <c r="L36" s="398">
        <v>223600.58000000002</v>
      </c>
      <c r="M36" s="403">
        <f t="shared" si="1"/>
        <v>1.4906705333333334E-3</v>
      </c>
      <c r="N36" s="23" t="s">
        <v>11172</v>
      </c>
      <c r="O36" s="23"/>
      <c r="P36" s="167" t="s">
        <v>4287</v>
      </c>
      <c r="Q36" s="392">
        <v>42275</v>
      </c>
      <c r="R36" s="392">
        <v>42274</v>
      </c>
      <c r="S36" s="392" t="s">
        <v>607</v>
      </c>
      <c r="T36" s="168" t="s">
        <v>1583</v>
      </c>
      <c r="U36" s="92"/>
      <c r="V36" s="92"/>
      <c r="W36" s="92"/>
    </row>
    <row r="37" spans="1:23" s="91" customFormat="1" ht="60" x14ac:dyDescent="0.25">
      <c r="A37" s="165" t="str">
        <f t="shared" si="0"/>
        <v>DUP</v>
      </c>
      <c r="B37" s="23" t="s">
        <v>61</v>
      </c>
      <c r="C37" s="23" t="s">
        <v>10533</v>
      </c>
      <c r="D37" s="166" t="s">
        <v>4702</v>
      </c>
      <c r="E37" s="242" t="s">
        <v>457</v>
      </c>
      <c r="F37" s="169">
        <v>9</v>
      </c>
      <c r="G37" s="243" t="s">
        <v>4703</v>
      </c>
      <c r="H37" s="89">
        <v>355000000</v>
      </c>
      <c r="I37" s="89" t="str">
        <f>IF($H37&lt;='Abbrev Key'!$A$2,'Abbrev Key'!$B$2,IF($H37&lt;='Abbrev Key'!$A$3,'Abbrev Key'!$B$3,IF($H37&lt;='Abbrev Key'!$A$4,'Abbrev Key'!$B$4,IF($H37&lt;='Abbrev Key'!$A$5,'Abbrev Key'!$B$5,IF($H37&lt;='Abbrev Key'!$A$6,'Abbrev Key'!$B$6,IF($H37&gt;='Abbrev Key'!$A$7,'Abbrev Key'!$B$7,IF($H37='Abbrev Key'!$A$8,'Abbrev Key'!$B$8,"")))))))</f>
        <v>E</v>
      </c>
      <c r="J37" s="17" t="s">
        <v>85</v>
      </c>
      <c r="K37" s="92" t="s">
        <v>633</v>
      </c>
      <c r="L37" s="398">
        <v>904799.71</v>
      </c>
      <c r="M37" s="403">
        <f t="shared" si="1"/>
        <v>2.5487315774647885E-3</v>
      </c>
      <c r="N37" s="92" t="s">
        <v>7</v>
      </c>
      <c r="O37" s="92"/>
      <c r="P37" s="167" t="s">
        <v>4295</v>
      </c>
      <c r="Q37" s="392">
        <v>42382</v>
      </c>
      <c r="R37" s="392">
        <v>42381</v>
      </c>
      <c r="S37" s="392" t="s">
        <v>468</v>
      </c>
      <c r="T37" s="168" t="s">
        <v>10924</v>
      </c>
      <c r="U37" s="92"/>
      <c r="V37" s="92"/>
      <c r="W37" s="92"/>
    </row>
    <row r="38" spans="1:23" s="91" customFormat="1" x14ac:dyDescent="0.25">
      <c r="A38" s="165" t="str">
        <f t="shared" si="0"/>
        <v/>
      </c>
      <c r="B38" s="23" t="s">
        <v>2856</v>
      </c>
      <c r="C38" s="23" t="s">
        <v>11729</v>
      </c>
      <c r="D38" s="166" t="s">
        <v>4473</v>
      </c>
      <c r="E38" s="242" t="s">
        <v>421</v>
      </c>
      <c r="F38" s="169">
        <v>5</v>
      </c>
      <c r="G38" s="243" t="s">
        <v>4966</v>
      </c>
      <c r="H38" s="89">
        <v>80000000</v>
      </c>
      <c r="I38" s="89" t="str">
        <f>IF($H38&lt;='Abbrev Key'!$A$2,'Abbrev Key'!$B$2,IF($H38&lt;='Abbrev Key'!$A$3,'Abbrev Key'!$B$3,IF($H38&lt;='Abbrev Key'!$A$4,'Abbrev Key'!$B$4,IF($H38&lt;='Abbrev Key'!$A$5,'Abbrev Key'!$B$5,IF($H38&lt;='Abbrev Key'!$A$6,'Abbrev Key'!$B$6,IF($H38&gt;='Abbrev Key'!$A$7,'Abbrev Key'!$B$7,IF($H38='Abbrev Key'!$A$8,'Abbrev Key'!$B$8,"")))))))</f>
        <v>C</v>
      </c>
      <c r="J38" s="17" t="s">
        <v>2857</v>
      </c>
      <c r="K38" s="23" t="s">
        <v>637</v>
      </c>
      <c r="L38" s="398">
        <v>4035</v>
      </c>
      <c r="M38" s="403">
        <f t="shared" si="1"/>
        <v>5.0437499999999999E-5</v>
      </c>
      <c r="N38" s="23" t="s">
        <v>2858</v>
      </c>
      <c r="O38" s="23"/>
      <c r="P38" s="167" t="s">
        <v>4295</v>
      </c>
      <c r="Q38" s="392">
        <v>42375</v>
      </c>
      <c r="R38" s="392">
        <v>42374</v>
      </c>
      <c r="S38" s="392" t="str">
        <f>_xlfn.IFNA(VLOOKUP(B38,'[1]VLOOKUP NO DUPS'!$A$1:$C$456,2,FALSE),"")</f>
        <v>01/19/2016</v>
      </c>
      <c r="T38" s="168" t="str">
        <f>_xlfn.IFNA(VLOOKUP(B38,'[1]VLOOKUP NO DUPS'!$A$1:$C$456,3,FALSE),"")</f>
        <v>Pomerantz LLP; The Briscoe Law Firm, PLLC</v>
      </c>
      <c r="U38" s="92"/>
      <c r="V38" s="92"/>
      <c r="W38" s="92"/>
    </row>
    <row r="39" spans="1:23" s="91" customFormat="1" ht="45" x14ac:dyDescent="0.25">
      <c r="A39" s="165" t="str">
        <f t="shared" si="0"/>
        <v/>
      </c>
      <c r="B39" s="23" t="s">
        <v>1420</v>
      </c>
      <c r="C39" s="23" t="s">
        <v>4487</v>
      </c>
      <c r="D39" s="166" t="s">
        <v>4488</v>
      </c>
      <c r="E39" s="242" t="s">
        <v>418</v>
      </c>
      <c r="F39" s="169">
        <v>2</v>
      </c>
      <c r="G39" s="243" t="s">
        <v>4489</v>
      </c>
      <c r="H39" s="89">
        <v>129000000</v>
      </c>
      <c r="I39" s="89" t="str">
        <f>IF($H39&lt;='Abbrev Key'!$A$2,'Abbrev Key'!$B$2,IF($H39&lt;='Abbrev Key'!$A$3,'Abbrev Key'!$B$3,IF($H39&lt;='Abbrev Key'!$A$4,'Abbrev Key'!$B$4,IF($H39&lt;='Abbrev Key'!$A$5,'Abbrev Key'!$B$5,IF($H39&lt;='Abbrev Key'!$A$6,'Abbrev Key'!$B$6,IF($H39&gt;='Abbrev Key'!$A$7,'Abbrev Key'!$B$7,IF($H39='Abbrev Key'!$A$8,'Abbrev Key'!$B$8,"")))))))</f>
        <v>D</v>
      </c>
      <c r="J39" s="17" t="s">
        <v>11805</v>
      </c>
      <c r="K39" s="92" t="s">
        <v>646</v>
      </c>
      <c r="L39" s="398">
        <v>1282556.8399999999</v>
      </c>
      <c r="M39" s="403">
        <f t="shared" si="1"/>
        <v>9.9423010852713167E-3</v>
      </c>
      <c r="N39" s="92" t="s">
        <v>1328</v>
      </c>
      <c r="O39" s="92"/>
      <c r="P39" s="167" t="s">
        <v>4408</v>
      </c>
      <c r="Q39" s="392">
        <v>42356</v>
      </c>
      <c r="R39" s="392">
        <v>42355</v>
      </c>
      <c r="S39" s="392" t="str">
        <f>_xlfn.IFNA(VLOOKUP(B39,'[1]VLOOKUP NO DUPS'!$A$1:$C$456,2,FALSE),"")</f>
        <v>01/20/2016</v>
      </c>
      <c r="T39" s="168" t="str">
        <f>_xlfn.IFNA(VLOOKUP(B39,'[1]VLOOKUP NO DUPS'!$A$1:$C$456,3,FALSE),"")</f>
        <v>Glancy Prongay &amp; Murray, LLP; Law Offices of Howard G. Smith; Pomerantz LLP</v>
      </c>
      <c r="U39" s="92"/>
      <c r="V39" s="92"/>
      <c r="W39" s="92"/>
    </row>
    <row r="40" spans="1:23" s="91" customFormat="1" x14ac:dyDescent="0.25">
      <c r="A40" s="165" t="str">
        <f t="shared" si="0"/>
        <v/>
      </c>
      <c r="B40" s="23" t="s">
        <v>2195</v>
      </c>
      <c r="C40" s="23" t="s">
        <v>4707</v>
      </c>
      <c r="D40" s="166" t="s">
        <v>4708</v>
      </c>
      <c r="E40" s="242" t="s">
        <v>418</v>
      </c>
      <c r="F40" s="169">
        <v>2</v>
      </c>
      <c r="G40" s="243" t="s">
        <v>4709</v>
      </c>
      <c r="H40" s="89">
        <v>60000000</v>
      </c>
      <c r="I40" s="89" t="str">
        <f>IF($H40&lt;='Abbrev Key'!$A$2,'Abbrev Key'!$B$2,IF($H40&lt;='Abbrev Key'!$A$3,'Abbrev Key'!$B$3,IF($H40&lt;='Abbrev Key'!$A$4,'Abbrev Key'!$B$4,IF($H40&lt;='Abbrev Key'!$A$5,'Abbrev Key'!$B$5,IF($H40&lt;='Abbrev Key'!$A$6,'Abbrev Key'!$B$6,IF($H40&gt;='Abbrev Key'!$A$7,'Abbrev Key'!$B$7,IF($H40='Abbrev Key'!$A$8,'Abbrev Key'!$B$8,"")))))))</f>
        <v>C</v>
      </c>
      <c r="J40" s="92" t="s">
        <v>11942</v>
      </c>
      <c r="K40" s="92" t="s">
        <v>646</v>
      </c>
      <c r="L40" s="398">
        <f>332209.39+364517</f>
        <v>696726.39</v>
      </c>
      <c r="M40" s="403">
        <f t="shared" si="1"/>
        <v>1.16121065E-2</v>
      </c>
      <c r="N40" s="92" t="s">
        <v>4710</v>
      </c>
      <c r="O40" s="92" t="s">
        <v>11197</v>
      </c>
      <c r="P40" s="167" t="s">
        <v>4295</v>
      </c>
      <c r="Q40" s="392">
        <v>42377</v>
      </c>
      <c r="R40" s="392">
        <v>42376</v>
      </c>
      <c r="S40" s="392" t="str">
        <f>_xlfn.IFNA(VLOOKUP(B40,'[1]VLOOKUP NO DUPS'!$A$1:$C$456,2,FALSE),"")</f>
        <v>01/21/2016</v>
      </c>
      <c r="T40" s="168" t="str">
        <f>_xlfn.IFNA(VLOOKUP(B40,'[1]VLOOKUP NO DUPS'!$A$1:$C$456,3,FALSE),"")</f>
        <v>Bronstein, Gewirtz &amp; Grossman, LLC; Pomerantz LLP</v>
      </c>
      <c r="U40" s="92"/>
      <c r="V40" s="92"/>
      <c r="W40" s="92"/>
    </row>
    <row r="41" spans="1:23" s="91" customFormat="1" ht="45" x14ac:dyDescent="0.25">
      <c r="A41" s="165" t="str">
        <f t="shared" si="0"/>
        <v/>
      </c>
      <c r="B41" s="23" t="s">
        <v>344</v>
      </c>
      <c r="C41" s="23" t="s">
        <v>4720</v>
      </c>
      <c r="D41" s="166" t="s">
        <v>4721</v>
      </c>
      <c r="E41" s="242" t="s">
        <v>418</v>
      </c>
      <c r="F41" s="169">
        <v>2</v>
      </c>
      <c r="G41" s="243" t="s">
        <v>4722</v>
      </c>
      <c r="H41" s="89">
        <v>250000000</v>
      </c>
      <c r="I41" s="89" t="str">
        <f>IF($H41&lt;='Abbrev Key'!$A$2,'Abbrev Key'!$B$2,IF($H41&lt;='Abbrev Key'!$A$3,'Abbrev Key'!$B$3,IF($H41&lt;='Abbrev Key'!$A$4,'Abbrev Key'!$B$4,IF($H41&lt;='Abbrev Key'!$A$5,'Abbrev Key'!$B$5,IF($H41&lt;='Abbrev Key'!$A$6,'Abbrev Key'!$B$6,IF($H41&gt;='Abbrev Key'!$A$7,'Abbrev Key'!$B$7,IF($H41='Abbrev Key'!$A$8,'Abbrev Key'!$B$8,"")))))))</f>
        <v>D</v>
      </c>
      <c r="J41" s="17" t="s">
        <v>341</v>
      </c>
      <c r="K41" s="92" t="s">
        <v>633</v>
      </c>
      <c r="L41" s="398">
        <v>895774.83</v>
      </c>
      <c r="M41" s="403">
        <f t="shared" si="1"/>
        <v>3.5830993199999998E-3</v>
      </c>
      <c r="N41" s="92" t="s">
        <v>1</v>
      </c>
      <c r="O41" s="92"/>
      <c r="P41" s="167" t="s">
        <v>4408</v>
      </c>
      <c r="Q41" s="392">
        <v>42379</v>
      </c>
      <c r="R41" s="392">
        <v>42378</v>
      </c>
      <c r="S41" s="392" t="str">
        <f>_xlfn.IFNA(VLOOKUP(B41,'[1]VLOOKUP NO DUPS'!$A$1:$C$456,2,FALSE),"")</f>
        <v>01/22/2016</v>
      </c>
      <c r="T41" s="168" t="str">
        <f>_xlfn.IFNA(VLOOKUP(B41,'[1]VLOOKUP NO DUPS'!$A$1:$C$456,3,FALSE),"")</f>
        <v>Bernstein Litowitz Berger &amp; Grossmann LLP</v>
      </c>
      <c r="U41" s="92"/>
      <c r="V41" s="92"/>
      <c r="W41" s="92"/>
    </row>
    <row r="42" spans="1:23" s="91" customFormat="1" x14ac:dyDescent="0.25">
      <c r="A42" s="165" t="str">
        <f t="shared" si="0"/>
        <v/>
      </c>
      <c r="B42" s="23" t="s">
        <v>3861</v>
      </c>
      <c r="C42" s="23" t="s">
        <v>5315</v>
      </c>
      <c r="D42" s="166" t="s">
        <v>5316</v>
      </c>
      <c r="E42" s="242" t="s">
        <v>446</v>
      </c>
      <c r="F42" s="169">
        <v>9</v>
      </c>
      <c r="G42" s="243" t="s">
        <v>5317</v>
      </c>
      <c r="H42" s="89">
        <v>55000000</v>
      </c>
      <c r="I42" s="89" t="str">
        <f>IF($H42&lt;='Abbrev Key'!$A$2,'Abbrev Key'!$B$2,IF($H42&lt;='Abbrev Key'!$A$3,'Abbrev Key'!$B$3,IF($H42&lt;='Abbrev Key'!$A$4,'Abbrev Key'!$B$4,IF($H42&lt;='Abbrev Key'!$A$5,'Abbrev Key'!$B$5,IF($H42&lt;='Abbrev Key'!$A$6,'Abbrev Key'!$B$6,IF($H42&gt;='Abbrev Key'!$A$7,'Abbrev Key'!$B$7,IF($H42='Abbrev Key'!$A$8,'Abbrev Key'!$B$8,"")))))))</f>
        <v>C</v>
      </c>
      <c r="J42" s="17" t="s">
        <v>3866</v>
      </c>
      <c r="K42" s="23" t="s">
        <v>637</v>
      </c>
      <c r="L42" s="398">
        <v>47644.68</v>
      </c>
      <c r="M42" s="403">
        <f t="shared" si="1"/>
        <v>8.6626690909090908E-4</v>
      </c>
      <c r="N42" s="23" t="s">
        <v>682</v>
      </c>
      <c r="O42" s="23"/>
      <c r="P42" s="167" t="s">
        <v>4295</v>
      </c>
      <c r="Q42" s="392">
        <v>42383</v>
      </c>
      <c r="R42" s="392">
        <v>42382</v>
      </c>
      <c r="S42" s="392" t="str">
        <f>_xlfn.IFNA(VLOOKUP(B42,'[1]VLOOKUP NO DUPS'!$A$1:$C$456,2,FALSE),"")</f>
        <v>01/22/2016</v>
      </c>
      <c r="T42" s="168" t="str">
        <f>_xlfn.IFNA(VLOOKUP(B42,'[1]VLOOKUP NO DUPS'!$A$1:$C$456,3,FALSE),"")</f>
        <v>Goldberg Law PC; Pomerantz LLP; The Rosen Law Firm, P.A.</v>
      </c>
      <c r="U42" s="92"/>
      <c r="V42" s="92"/>
      <c r="W42" s="92"/>
    </row>
    <row r="43" spans="1:23" s="91" customFormat="1" x14ac:dyDescent="0.25">
      <c r="A43" s="165" t="str">
        <f t="shared" si="0"/>
        <v/>
      </c>
      <c r="B43" s="23" t="s">
        <v>126</v>
      </c>
      <c r="C43" s="23" t="s">
        <v>4652</v>
      </c>
      <c r="D43" s="166" t="s">
        <v>4653</v>
      </c>
      <c r="E43" s="242" t="s">
        <v>399</v>
      </c>
      <c r="F43" s="169">
        <v>9</v>
      </c>
      <c r="G43" s="243" t="s">
        <v>4654</v>
      </c>
      <c r="H43" s="89">
        <v>1250000000</v>
      </c>
      <c r="I43" s="89" t="str">
        <f>IF($H43&lt;='Abbrev Key'!$A$2,'Abbrev Key'!$B$2,IF($H43&lt;='Abbrev Key'!$A$3,'Abbrev Key'!$B$3,IF($H43&lt;='Abbrev Key'!$A$4,'Abbrev Key'!$B$4,IF($H43&lt;='Abbrev Key'!$A$5,'Abbrev Key'!$B$5,IF($H43&lt;='Abbrev Key'!$A$6,'Abbrev Key'!$B$6,IF($H43&gt;='Abbrev Key'!$A$7,'Abbrev Key'!$B$7,IF($H43='Abbrev Key'!$A$8,'Abbrev Key'!$B$8,"")))))))</f>
        <v>F</v>
      </c>
      <c r="J43" s="18" t="s">
        <v>1973</v>
      </c>
      <c r="K43" s="23" t="s">
        <v>633</v>
      </c>
      <c r="L43" s="398">
        <v>5153394.13</v>
      </c>
      <c r="M43" s="403">
        <f t="shared" si="1"/>
        <v>4.1227153039999995E-3</v>
      </c>
      <c r="N43" s="23" t="s">
        <v>1975</v>
      </c>
      <c r="O43" s="23"/>
      <c r="P43" s="167" t="s">
        <v>4295</v>
      </c>
      <c r="Q43" s="392">
        <v>42384</v>
      </c>
      <c r="R43" s="392">
        <v>42383</v>
      </c>
      <c r="S43" s="392" t="str">
        <f>_xlfn.IFNA(VLOOKUP(B43,'[1]VLOOKUP NO DUPS'!$A$1:$C$456,2,FALSE),"")</f>
        <v>01/26/2016</v>
      </c>
      <c r="T43" s="168" t="str">
        <f>_xlfn.IFNA(VLOOKUP(B43,'[1]VLOOKUP NO DUPS'!$A$1:$C$456,3,FALSE),"")</f>
        <v>Martin &amp; Bonnett, PLLC; Pomerantz LLP</v>
      </c>
      <c r="U43" s="92"/>
      <c r="V43" s="92"/>
      <c r="W43" s="92"/>
    </row>
    <row r="44" spans="1:23" s="91" customFormat="1" x14ac:dyDescent="0.25">
      <c r="A44" s="165" t="str">
        <f t="shared" si="0"/>
        <v/>
      </c>
      <c r="B44" s="23" t="s">
        <v>3841</v>
      </c>
      <c r="C44" s="23" t="s">
        <v>11080</v>
      </c>
      <c r="D44" s="166" t="s">
        <v>5305</v>
      </c>
      <c r="E44" s="242" t="s">
        <v>418</v>
      </c>
      <c r="F44" s="169">
        <v>2</v>
      </c>
      <c r="G44" s="243" t="s">
        <v>5306</v>
      </c>
      <c r="H44" s="89">
        <v>300000000</v>
      </c>
      <c r="I44" s="89" t="str">
        <f>IF($H44&lt;='Abbrev Key'!$A$2,'Abbrev Key'!$B$2,IF($H44&lt;='Abbrev Key'!$A$3,'Abbrev Key'!$B$3,IF($H44&lt;='Abbrev Key'!$A$4,'Abbrev Key'!$B$4,IF($H44&lt;='Abbrev Key'!$A$5,'Abbrev Key'!$B$5,IF($H44&lt;='Abbrev Key'!$A$6,'Abbrev Key'!$B$6,IF($H44&gt;='Abbrev Key'!$A$7,'Abbrev Key'!$B$7,IF($H44='Abbrev Key'!$A$8,'Abbrev Key'!$B$8,"")))))))</f>
        <v>E</v>
      </c>
      <c r="J44" s="17" t="s">
        <v>11920</v>
      </c>
      <c r="K44" s="23" t="s">
        <v>646</v>
      </c>
      <c r="L44" s="398">
        <v>135414.64000000001</v>
      </c>
      <c r="M44" s="403">
        <f t="shared" si="1"/>
        <v>4.5138213333333337E-4</v>
      </c>
      <c r="N44" s="23" t="s">
        <v>1691</v>
      </c>
      <c r="O44" s="23"/>
      <c r="P44" s="167" t="s">
        <v>4408</v>
      </c>
      <c r="Q44" s="392">
        <v>42348</v>
      </c>
      <c r="R44" s="392">
        <v>42347</v>
      </c>
      <c r="S44" s="392" t="str">
        <f>_xlfn.IFNA(VLOOKUP(B44,'[1]VLOOKUP NO DUPS'!$A$1:$C$456,2,FALSE),"")</f>
        <v>01/28/2016</v>
      </c>
      <c r="T44" s="168" t="str">
        <f>_xlfn.IFNA(VLOOKUP(B44,'[1]VLOOKUP NO DUPS'!$A$1:$C$456,3,FALSE),"")</f>
        <v>Sparer Law Group</v>
      </c>
      <c r="U44" s="92"/>
      <c r="V44" s="92"/>
      <c r="W44" s="92"/>
    </row>
    <row r="45" spans="1:23" s="91" customFormat="1" x14ac:dyDescent="0.25">
      <c r="A45" s="165" t="str">
        <f t="shared" si="0"/>
        <v/>
      </c>
      <c r="B45" s="23" t="s">
        <v>2320</v>
      </c>
      <c r="C45" s="23" t="s">
        <v>4759</v>
      </c>
      <c r="D45" s="166" t="s">
        <v>4760</v>
      </c>
      <c r="E45" s="242" t="s">
        <v>409</v>
      </c>
      <c r="F45" s="169">
        <v>1</v>
      </c>
      <c r="G45" s="243" t="s">
        <v>4761</v>
      </c>
      <c r="H45" s="89">
        <v>60000000</v>
      </c>
      <c r="I45" s="89" t="str">
        <f>IF($H45&lt;='Abbrev Key'!$A$2,'Abbrev Key'!$B$2,IF($H45&lt;='Abbrev Key'!$A$3,'Abbrev Key'!$B$3,IF($H45&lt;='Abbrev Key'!$A$4,'Abbrev Key'!$B$4,IF($H45&lt;='Abbrev Key'!$A$5,'Abbrev Key'!$B$5,IF($H45&lt;='Abbrev Key'!$A$6,'Abbrev Key'!$B$6,IF($H45&gt;='Abbrev Key'!$A$7,'Abbrev Key'!$B$7,IF($H45='Abbrev Key'!$A$8,'Abbrev Key'!$B$8,"")))))))</f>
        <v>C</v>
      </c>
      <c r="J45" s="17" t="s">
        <v>2324</v>
      </c>
      <c r="K45" s="92" t="s">
        <v>637</v>
      </c>
      <c r="L45" s="398">
        <v>41573.86</v>
      </c>
      <c r="M45" s="403">
        <f t="shared" si="1"/>
        <v>6.9289766666666669E-4</v>
      </c>
      <c r="N45" s="23" t="s">
        <v>2326</v>
      </c>
      <c r="O45" s="23"/>
      <c r="P45" s="167" t="s">
        <v>4295</v>
      </c>
      <c r="Q45" s="392">
        <v>42310</v>
      </c>
      <c r="R45" s="392">
        <v>42309</v>
      </c>
      <c r="S45" s="392" t="str">
        <f>_xlfn.IFNA(VLOOKUP(B45,'[1]VLOOKUP NO DUPS'!$A$1:$C$456,2,FALSE),"")</f>
        <v>02/02/2016</v>
      </c>
      <c r="T45" s="168" t="str">
        <f>_xlfn.IFNA(VLOOKUP(B45,'[1]VLOOKUP NO DUPS'!$A$1:$C$456,3,FALSE),"")</f>
        <v>Law Office of Alan L. Kovacs; Robbins, Geller, Rudman &amp; Dowd, LLP</v>
      </c>
      <c r="U45" s="92"/>
      <c r="V45" s="92"/>
      <c r="W45" s="92"/>
    </row>
    <row r="46" spans="1:23" s="91" customFormat="1" ht="45" x14ac:dyDescent="0.25">
      <c r="A46" s="165" t="str">
        <f t="shared" si="0"/>
        <v>DUP</v>
      </c>
      <c r="B46" s="23" t="s">
        <v>2370</v>
      </c>
      <c r="C46" s="23" t="s">
        <v>10737</v>
      </c>
      <c r="D46" s="166" t="s">
        <v>4778</v>
      </c>
      <c r="E46" s="242" t="s">
        <v>399</v>
      </c>
      <c r="F46" s="169">
        <v>9</v>
      </c>
      <c r="G46" s="243" t="s">
        <v>4779</v>
      </c>
      <c r="H46" s="89">
        <v>8000000</v>
      </c>
      <c r="I46" s="89" t="str">
        <f>IF($H46&lt;='Abbrev Key'!$A$2,'Abbrev Key'!$B$2,IF($H46&lt;='Abbrev Key'!$A$3,'Abbrev Key'!$B$3,IF($H46&lt;='Abbrev Key'!$A$4,'Abbrev Key'!$B$4,IF($H46&lt;='Abbrev Key'!$A$5,'Abbrev Key'!$B$5,IF($H46&lt;='Abbrev Key'!$A$6,'Abbrev Key'!$B$6,IF($H46&gt;='Abbrev Key'!$A$7,'Abbrev Key'!$B$7,IF($H46='Abbrev Key'!$A$8,'Abbrev Key'!$B$8,"")))))))</f>
        <v>A</v>
      </c>
      <c r="J46" s="17" t="s">
        <v>2371</v>
      </c>
      <c r="K46" s="92" t="s">
        <v>637</v>
      </c>
      <c r="L46" s="398">
        <v>64511.17</v>
      </c>
      <c r="M46" s="403">
        <f t="shared" si="1"/>
        <v>8.0638962499999991E-3</v>
      </c>
      <c r="N46" s="23" t="s">
        <v>10814</v>
      </c>
      <c r="O46" s="23"/>
      <c r="P46" s="167" t="s">
        <v>4287</v>
      </c>
      <c r="Q46" s="392">
        <v>42712</v>
      </c>
      <c r="R46" s="392">
        <v>42711</v>
      </c>
      <c r="S46" s="392" t="s">
        <v>2321</v>
      </c>
      <c r="T46" s="168" t="s">
        <v>10922</v>
      </c>
      <c r="U46" s="92"/>
      <c r="V46" s="92"/>
      <c r="W46" s="92"/>
    </row>
    <row r="47" spans="1:23" s="91" customFormat="1" ht="30" x14ac:dyDescent="0.25">
      <c r="A47" s="165" t="str">
        <f t="shared" si="0"/>
        <v/>
      </c>
      <c r="B47" s="23" t="s">
        <v>1361</v>
      </c>
      <c r="C47" s="23" t="s">
        <v>4475</v>
      </c>
      <c r="D47" s="166" t="s">
        <v>4476</v>
      </c>
      <c r="E47" s="242" t="s">
        <v>511</v>
      </c>
      <c r="F47" s="169">
        <v>2</v>
      </c>
      <c r="G47" s="243" t="s">
        <v>4477</v>
      </c>
      <c r="H47" s="89">
        <v>500000000</v>
      </c>
      <c r="I47" s="89" t="str">
        <f>IF($H47&lt;='Abbrev Key'!$A$2,'Abbrev Key'!$B$2,IF($H47&lt;='Abbrev Key'!$A$3,'Abbrev Key'!$B$3,IF($H47&lt;='Abbrev Key'!$A$4,'Abbrev Key'!$B$4,IF($H47&lt;='Abbrev Key'!$A$5,'Abbrev Key'!$B$5,IF($H47&lt;='Abbrev Key'!$A$6,'Abbrev Key'!$B$6,IF($H47&gt;='Abbrev Key'!$A$7,'Abbrev Key'!$B$7,IF($H47='Abbrev Key'!$A$8,'Abbrev Key'!$B$8,"")))))))</f>
        <v>E</v>
      </c>
      <c r="J47" s="17" t="s">
        <v>1364</v>
      </c>
      <c r="K47" s="23" t="s">
        <v>637</v>
      </c>
      <c r="L47" s="354">
        <v>255988.21</v>
      </c>
      <c r="M47" s="405">
        <f t="shared" si="1"/>
        <v>5.1197641999999998E-4</v>
      </c>
      <c r="N47" s="23" t="s">
        <v>1366</v>
      </c>
      <c r="O47" s="23"/>
      <c r="P47" s="167" t="s">
        <v>4287</v>
      </c>
      <c r="Q47" s="392">
        <v>42584</v>
      </c>
      <c r="R47" s="392">
        <v>42583</v>
      </c>
      <c r="S47" s="392" t="str">
        <f>_xlfn.IFNA(VLOOKUP(B47,'[1]VLOOKUP NO DUPS'!$A$1:$C$456,2,FALSE),"")</f>
        <v>02/04/2016</v>
      </c>
      <c r="T47" s="168" t="str">
        <f>_xlfn.IFNA(VLOOKUP(B47,'[1]VLOOKUP NO DUPS'!$A$1:$C$456,3,FALSE),"")</f>
        <v>Pomerantz LLP</v>
      </c>
      <c r="U47" s="92"/>
      <c r="V47" s="92"/>
      <c r="W47" s="92"/>
    </row>
    <row r="48" spans="1:23" s="91" customFormat="1" x14ac:dyDescent="0.25">
      <c r="A48" s="165" t="str">
        <f t="shared" si="0"/>
        <v/>
      </c>
      <c r="B48" s="23" t="s">
        <v>86</v>
      </c>
      <c r="C48" s="23" t="s">
        <v>4518</v>
      </c>
      <c r="D48" s="166" t="s">
        <v>4519</v>
      </c>
      <c r="E48" s="242" t="s">
        <v>480</v>
      </c>
      <c r="F48" s="169">
        <v>9</v>
      </c>
      <c r="G48" s="243" t="s">
        <v>4520</v>
      </c>
      <c r="H48" s="89">
        <v>75000000</v>
      </c>
      <c r="I48" s="89" t="str">
        <f>IF($H48&lt;='Abbrev Key'!$A$2,'Abbrev Key'!$B$2,IF($H48&lt;='Abbrev Key'!$A$3,'Abbrev Key'!$B$3,IF($H48&lt;='Abbrev Key'!$A$4,'Abbrev Key'!$B$4,IF($H48&lt;='Abbrev Key'!$A$5,'Abbrev Key'!$B$5,IF($H48&lt;='Abbrev Key'!$A$6,'Abbrev Key'!$B$6,IF($H48&gt;='Abbrev Key'!$A$7,'Abbrev Key'!$B$7,IF($H48='Abbrev Key'!$A$8,'Abbrev Key'!$B$8,"")))))))</f>
        <v>C</v>
      </c>
      <c r="J48" s="17" t="s">
        <v>11807</v>
      </c>
      <c r="K48" s="92" t="s">
        <v>640</v>
      </c>
      <c r="L48" s="398">
        <v>1391359.7</v>
      </c>
      <c r="M48" s="403">
        <f t="shared" si="1"/>
        <v>1.8551462666666668E-2</v>
      </c>
      <c r="N48" s="92" t="s">
        <v>1</v>
      </c>
      <c r="O48" s="92"/>
      <c r="P48" s="167" t="s">
        <v>4408</v>
      </c>
      <c r="Q48" s="392">
        <v>42409</v>
      </c>
      <c r="R48" s="392">
        <v>42408</v>
      </c>
      <c r="S48" s="392" t="str">
        <f>_xlfn.IFNA(VLOOKUP(B48,'[1]VLOOKUP NO DUPS'!$A$1:$C$456,2,FALSE),"")</f>
        <v>02/10/2016</v>
      </c>
      <c r="T48" s="168" t="str">
        <f>_xlfn.IFNA(VLOOKUP(B48,'[1]VLOOKUP NO DUPS'!$A$1:$C$456,3,FALSE),"")</f>
        <v>Glancy Prongay &amp; Murray, LLP</v>
      </c>
      <c r="U48" s="92"/>
      <c r="V48" s="92"/>
      <c r="W48" s="92"/>
    </row>
    <row r="49" spans="1:23" s="91" customFormat="1" ht="30" x14ac:dyDescent="0.25">
      <c r="A49" s="165" t="str">
        <f t="shared" si="0"/>
        <v/>
      </c>
      <c r="B49" s="17" t="s">
        <v>679</v>
      </c>
      <c r="C49" s="17" t="s">
        <v>4296</v>
      </c>
      <c r="D49" s="242" t="s">
        <v>4297</v>
      </c>
      <c r="E49" s="242" t="s">
        <v>446</v>
      </c>
      <c r="F49" s="169">
        <v>9</v>
      </c>
      <c r="G49" s="243" t="s">
        <v>4298</v>
      </c>
      <c r="H49" s="89">
        <v>21000000</v>
      </c>
      <c r="I49" s="89" t="str">
        <f>IF($H49&lt;='Abbrev Key'!$A$2,'Abbrev Key'!$B$2,IF($H49&lt;='Abbrev Key'!$A$3,'Abbrev Key'!$B$3,IF($H49&lt;='Abbrev Key'!$A$4,'Abbrev Key'!$B$4,IF($H49&lt;='Abbrev Key'!$A$5,'Abbrev Key'!$B$5,IF($H49&lt;='Abbrev Key'!$A$6,'Abbrev Key'!$B$6,IF($H49&gt;='Abbrev Key'!$A$7,'Abbrev Key'!$B$7,IF($H49='Abbrev Key'!$A$8,'Abbrev Key'!$B$8,"")))))))</f>
        <v>A</v>
      </c>
      <c r="J49" s="14" t="s">
        <v>680</v>
      </c>
      <c r="K49" s="14" t="s">
        <v>637</v>
      </c>
      <c r="L49" s="399">
        <v>72.72</v>
      </c>
      <c r="M49" s="404">
        <f t="shared" si="1"/>
        <v>3.4628571428571428E-6</v>
      </c>
      <c r="N49" s="14" t="s">
        <v>682</v>
      </c>
      <c r="O49" s="14"/>
      <c r="P49" s="167" t="s">
        <v>4295</v>
      </c>
      <c r="Q49" s="394">
        <v>42401</v>
      </c>
      <c r="R49" s="392">
        <v>42400</v>
      </c>
      <c r="S49" s="392" t="str">
        <f>_xlfn.IFNA(VLOOKUP(B49,'[1]VLOOKUP NO DUPS'!$A$1:$C$456,2,FALSE),"")</f>
        <v>02/11/2016</v>
      </c>
      <c r="T49" s="168" t="str">
        <f>_xlfn.IFNA(VLOOKUP(B49,'[1]VLOOKUP NO DUPS'!$A$1:$C$456,3,FALSE),"")</f>
        <v>The Rosen Law Firm, P.A.</v>
      </c>
      <c r="U49" s="14"/>
      <c r="V49" s="14"/>
      <c r="W49" s="14"/>
    </row>
    <row r="50" spans="1:23" s="91" customFormat="1" ht="30" x14ac:dyDescent="0.25">
      <c r="A50" s="165" t="str">
        <f t="shared" si="0"/>
        <v/>
      </c>
      <c r="B50" s="23" t="s">
        <v>136</v>
      </c>
      <c r="C50" s="23" t="s">
        <v>4422</v>
      </c>
      <c r="D50" s="166" t="s">
        <v>4423</v>
      </c>
      <c r="E50" s="242" t="s">
        <v>491</v>
      </c>
      <c r="F50" s="169">
        <v>8</v>
      </c>
      <c r="G50" s="243" t="s">
        <v>4424</v>
      </c>
      <c r="H50" s="89">
        <v>158000000</v>
      </c>
      <c r="I50" s="89" t="str">
        <f>IF($H50&lt;='Abbrev Key'!$A$2,'Abbrev Key'!$B$2,IF($H50&lt;='Abbrev Key'!$A$3,'Abbrev Key'!$B$3,IF($H50&lt;='Abbrev Key'!$A$4,'Abbrev Key'!$B$4,IF($H50&lt;='Abbrev Key'!$A$5,'Abbrev Key'!$B$5,IF($H50&lt;='Abbrev Key'!$A$6,'Abbrev Key'!$B$6,IF($H50&gt;='Abbrev Key'!$A$7,'Abbrev Key'!$B$7,IF($H50='Abbrev Key'!$A$8,'Abbrev Key'!$B$8,"")))))))</f>
        <v>D</v>
      </c>
      <c r="J50" s="92" t="s">
        <v>11808</v>
      </c>
      <c r="K50" s="92" t="s">
        <v>640</v>
      </c>
      <c r="L50" s="398">
        <f>268918.76+203588.48+252517.86</f>
        <v>725025.1</v>
      </c>
      <c r="M50" s="403">
        <f t="shared" si="1"/>
        <v>4.5887664556962023E-3</v>
      </c>
      <c r="N50" s="92" t="s">
        <v>95</v>
      </c>
      <c r="O50" s="92" t="s">
        <v>11197</v>
      </c>
      <c r="P50" s="167" t="s">
        <v>4295</v>
      </c>
      <c r="Q50" s="392">
        <v>42390</v>
      </c>
      <c r="R50" s="392">
        <v>42389</v>
      </c>
      <c r="S50" s="392" t="str">
        <f>_xlfn.IFNA(VLOOKUP(B50,'[1]VLOOKUP NO DUPS'!$A$1:$C$456,2,FALSE),"")</f>
        <v>02/12/2016</v>
      </c>
      <c r="T50" s="168" t="str">
        <f>_xlfn.IFNA(VLOOKUP(B50,'[1]VLOOKUP NO DUPS'!$A$1:$C$456,3,FALSE),"")</f>
        <v>The Rosen Law Firm, P.A.</v>
      </c>
      <c r="U50" s="92"/>
      <c r="V50" s="92"/>
      <c r="W50" s="92"/>
    </row>
    <row r="51" spans="1:23" s="91" customFormat="1" ht="30" x14ac:dyDescent="0.25">
      <c r="A51" s="165" t="str">
        <f t="shared" si="0"/>
        <v/>
      </c>
      <c r="B51" s="23" t="s">
        <v>3429</v>
      </c>
      <c r="C51" s="23" t="s">
        <v>5161</v>
      </c>
      <c r="D51" s="166" t="s">
        <v>5162</v>
      </c>
      <c r="E51" s="242" t="s">
        <v>536</v>
      </c>
      <c r="F51" s="169">
        <v>10</v>
      </c>
      <c r="G51" s="243" t="s">
        <v>5163</v>
      </c>
      <c r="H51" s="89">
        <v>35000000</v>
      </c>
      <c r="I51" s="89" t="str">
        <f>IF($H51&lt;='Abbrev Key'!$A$2,'Abbrev Key'!$B$2,IF($H51&lt;='Abbrev Key'!$A$3,'Abbrev Key'!$B$3,IF($H51&lt;='Abbrev Key'!$A$4,'Abbrev Key'!$B$4,IF($H51&lt;='Abbrev Key'!$A$5,'Abbrev Key'!$B$5,IF($H51&lt;='Abbrev Key'!$A$6,'Abbrev Key'!$B$6,IF($H51&gt;='Abbrev Key'!$A$7,'Abbrev Key'!$B$7,IF($H51='Abbrev Key'!$A$8,'Abbrev Key'!$B$8,"")))))))</f>
        <v>B</v>
      </c>
      <c r="J51" s="17" t="s">
        <v>11980</v>
      </c>
      <c r="K51" s="23" t="s">
        <v>646</v>
      </c>
      <c r="L51" s="398">
        <v>200604</v>
      </c>
      <c r="M51" s="403">
        <f t="shared" si="1"/>
        <v>5.7315428571428568E-3</v>
      </c>
      <c r="N51" s="23" t="s">
        <v>3432</v>
      </c>
      <c r="O51" s="23"/>
      <c r="P51" s="167" t="s">
        <v>4295</v>
      </c>
      <c r="Q51" s="392">
        <v>42380</v>
      </c>
      <c r="R51" s="392">
        <v>42379</v>
      </c>
      <c r="S51" s="392" t="str">
        <f>_xlfn.IFNA(VLOOKUP(B51,'[1]VLOOKUP NO DUPS'!$A$1:$C$456,2,FALSE),"")</f>
        <v>02/12/2016</v>
      </c>
      <c r="T51" s="168" t="str">
        <f>_xlfn.IFNA(VLOOKUP(B51,'[1]VLOOKUP NO DUPS'!$A$1:$C$456,3,FALSE),"")</f>
        <v>Cohne Kinghorn, P.C.; Law Offices of Curtis V. Trinko; Ryan &amp; Maniskas, LLP; Saxena White P.A.</v>
      </c>
      <c r="U51" s="92"/>
      <c r="V51" s="92"/>
      <c r="W51" s="92"/>
    </row>
    <row r="52" spans="1:23" s="91" customFormat="1" x14ac:dyDescent="0.25">
      <c r="A52" s="165" t="str">
        <f t="shared" si="0"/>
        <v/>
      </c>
      <c r="B52" s="23" t="s">
        <v>3166</v>
      </c>
      <c r="C52" s="23" t="s">
        <v>5066</v>
      </c>
      <c r="D52" s="166" t="s">
        <v>5067</v>
      </c>
      <c r="E52" s="242" t="s">
        <v>446</v>
      </c>
      <c r="F52" s="169">
        <v>9</v>
      </c>
      <c r="G52" s="243" t="s">
        <v>5068</v>
      </c>
      <c r="H52" s="89">
        <v>45000000</v>
      </c>
      <c r="I52" s="89" t="str">
        <f>IF($H52&lt;='Abbrev Key'!$A$2,'Abbrev Key'!$B$2,IF($H52&lt;='Abbrev Key'!$A$3,'Abbrev Key'!$B$3,IF($H52&lt;='Abbrev Key'!$A$4,'Abbrev Key'!$B$4,IF($H52&lt;='Abbrev Key'!$A$5,'Abbrev Key'!$B$5,IF($H52&lt;='Abbrev Key'!$A$6,'Abbrev Key'!$B$6,IF($H52&gt;='Abbrev Key'!$A$7,'Abbrev Key'!$B$7,IF($H52='Abbrev Key'!$A$8,'Abbrev Key'!$B$8,"")))))))</f>
        <v>B</v>
      </c>
      <c r="J52" s="17" t="s">
        <v>11892</v>
      </c>
      <c r="K52" s="92" t="s">
        <v>640</v>
      </c>
      <c r="L52" s="398">
        <v>126883.51000000001</v>
      </c>
      <c r="M52" s="403">
        <f t="shared" si="1"/>
        <v>2.8196335555555558E-3</v>
      </c>
      <c r="N52" s="92" t="s">
        <v>407</v>
      </c>
      <c r="O52" s="92"/>
      <c r="P52" s="167" t="s">
        <v>4287</v>
      </c>
      <c r="Q52" s="392">
        <v>42403</v>
      </c>
      <c r="R52" s="392">
        <v>42402</v>
      </c>
      <c r="S52" s="392" t="str">
        <f>_xlfn.IFNA(VLOOKUP(B52,'[1]VLOOKUP NO DUPS'!$A$1:$C$456,2,FALSE),"")</f>
        <v>02/15/2016</v>
      </c>
      <c r="T52" s="168" t="str">
        <f>_xlfn.IFNA(VLOOKUP(B52,'[1]VLOOKUP NO DUPS'!$A$1:$C$456,3,FALSE),"")</f>
        <v>Pomerantz LLP; The Rosen Law Firm, P.A.</v>
      </c>
      <c r="U52" s="92"/>
      <c r="V52" s="92"/>
      <c r="W52" s="92"/>
    </row>
    <row r="53" spans="1:23" s="91" customFormat="1" ht="30" x14ac:dyDescent="0.25">
      <c r="A53" s="165" t="str">
        <f t="shared" si="0"/>
        <v/>
      </c>
      <c r="B53" s="23" t="s">
        <v>116</v>
      </c>
      <c r="C53" s="23" t="s">
        <v>10484</v>
      </c>
      <c r="D53" s="166" t="s">
        <v>4393</v>
      </c>
      <c r="E53" s="242" t="s">
        <v>418</v>
      </c>
      <c r="F53" s="169">
        <v>2</v>
      </c>
      <c r="G53" s="243" t="s">
        <v>4394</v>
      </c>
      <c r="H53" s="89">
        <v>2500000000</v>
      </c>
      <c r="I53" s="89" t="str">
        <f>IF($H53&lt;='Abbrev Key'!$A$2,'Abbrev Key'!$B$2,IF($H53&lt;='Abbrev Key'!$A$3,'Abbrev Key'!$B$3,IF($H53&lt;='Abbrev Key'!$A$4,'Abbrev Key'!$B$4,IF($H53&lt;='Abbrev Key'!$A$5,'Abbrev Key'!$B$5,IF($H53&lt;='Abbrev Key'!$A$6,'Abbrev Key'!$B$6,IF($H53&gt;='Abbrev Key'!$A$7,'Abbrev Key'!$B$7,IF($H53='Abbrev Key'!$A$8,'Abbrev Key'!$B$8,"")))))))</f>
        <v>F</v>
      </c>
      <c r="J53" s="17" t="s">
        <v>11790</v>
      </c>
      <c r="K53" s="92" t="s">
        <v>640</v>
      </c>
      <c r="L53" s="398">
        <v>473049.63</v>
      </c>
      <c r="M53" s="403">
        <f t="shared" si="1"/>
        <v>1.89219852E-4</v>
      </c>
      <c r="N53" s="92" t="s">
        <v>7</v>
      </c>
      <c r="O53" s="92"/>
      <c r="P53" s="167" t="s">
        <v>4408</v>
      </c>
      <c r="Q53" s="392">
        <v>42338</v>
      </c>
      <c r="R53" s="392">
        <v>42337</v>
      </c>
      <c r="S53" s="392" t="str">
        <f>_xlfn.IFNA(VLOOKUP(B53,'[1]VLOOKUP NO DUPS'!$A$1:$C$456,2,FALSE),"")</f>
        <v>02/24/2016</v>
      </c>
      <c r="T53" s="168" t="str">
        <f>_xlfn.IFNA(VLOOKUP(B53,'[1]VLOOKUP NO DUPS'!$A$1:$C$456,3,FALSE),"")</f>
        <v>Bronstein, Gewirtz &amp; Grossman, LLC; Pomerantz LLP; Robbins, Geller, Rudman &amp; Dowd, LLP; VanOverbeke Michaud &amp; Timmony, P.C.</v>
      </c>
      <c r="U53" s="92"/>
      <c r="V53" s="92"/>
      <c r="W53" s="92"/>
    </row>
    <row r="54" spans="1:23" s="91" customFormat="1" x14ac:dyDescent="0.25">
      <c r="A54" s="165" t="str">
        <f t="shared" si="0"/>
        <v/>
      </c>
      <c r="B54" s="23" t="s">
        <v>2665</v>
      </c>
      <c r="C54" s="23" t="s">
        <v>4891</v>
      </c>
      <c r="D54" s="166" t="s">
        <v>4892</v>
      </c>
      <c r="E54" s="242" t="s">
        <v>1815</v>
      </c>
      <c r="F54" s="169">
        <v>5</v>
      </c>
      <c r="G54" s="243" t="s">
        <v>4893</v>
      </c>
      <c r="H54" s="89">
        <v>45000000</v>
      </c>
      <c r="I54" s="89" t="str">
        <f>IF($H54&lt;='Abbrev Key'!$A$2,'Abbrev Key'!$B$2,IF($H54&lt;='Abbrev Key'!$A$3,'Abbrev Key'!$B$3,IF($H54&lt;='Abbrev Key'!$A$4,'Abbrev Key'!$B$4,IF($H54&lt;='Abbrev Key'!$A$5,'Abbrev Key'!$B$5,IF($H54&lt;='Abbrev Key'!$A$6,'Abbrev Key'!$B$6,IF($H54&gt;='Abbrev Key'!$A$7,'Abbrev Key'!$B$7,IF($H54='Abbrev Key'!$A$8,'Abbrev Key'!$B$8,"")))))))</f>
        <v>B</v>
      </c>
      <c r="J54" s="17" t="s">
        <v>11873</v>
      </c>
      <c r="K54" s="92" t="s">
        <v>646</v>
      </c>
      <c r="L54" s="398">
        <v>21282.55</v>
      </c>
      <c r="M54" s="403">
        <f t="shared" si="1"/>
        <v>4.7294555555555556E-4</v>
      </c>
      <c r="N54" s="23" t="s">
        <v>2670</v>
      </c>
      <c r="O54" s="23"/>
      <c r="P54" s="167" t="s">
        <v>4287</v>
      </c>
      <c r="Q54" s="392">
        <v>42426</v>
      </c>
      <c r="R54" s="392">
        <v>42425</v>
      </c>
      <c r="S54" s="392" t="str">
        <f>_xlfn.IFNA(VLOOKUP(B54,'[1]VLOOKUP NO DUPS'!$A$1:$C$456,2,FALSE),"")</f>
        <v>02/26/2016</v>
      </c>
      <c r="T54" s="168" t="str">
        <f>_xlfn.IFNA(VLOOKUP(B54,'[1]VLOOKUP NO DUPS'!$A$1:$C$456,3,FALSE),"")</f>
        <v>Bronstein, Gewirtz &amp; Grossman, LLC; Gainey McKenna &amp; Egleston; Lackey Hershman, LLP; Pomerantz LLP; The Briscoe Law Firm, PLLC</v>
      </c>
      <c r="U54" s="92"/>
      <c r="V54" s="92"/>
      <c r="W54" s="92"/>
    </row>
    <row r="55" spans="1:23" s="91" customFormat="1" ht="75" x14ac:dyDescent="0.25">
      <c r="A55" s="165" t="str">
        <f t="shared" si="0"/>
        <v>DUP</v>
      </c>
      <c r="B55" s="23" t="s">
        <v>13</v>
      </c>
      <c r="C55" s="23" t="s">
        <v>10624</v>
      </c>
      <c r="D55" s="166" t="s">
        <v>4945</v>
      </c>
      <c r="E55" s="242" t="s">
        <v>437</v>
      </c>
      <c r="F55" s="169">
        <v>3</v>
      </c>
      <c r="G55" s="243" t="s">
        <v>4946</v>
      </c>
      <c r="H55" s="89">
        <v>545000000</v>
      </c>
      <c r="I55" s="89" t="str">
        <f>IF($H55&lt;='Abbrev Key'!$A$2,'Abbrev Key'!$B$2,IF($H55&lt;='Abbrev Key'!$A$3,'Abbrev Key'!$B$3,IF($H55&lt;='Abbrev Key'!$A$4,'Abbrev Key'!$B$4,IF($H55&lt;='Abbrev Key'!$A$5,'Abbrev Key'!$B$5,IF($H55&lt;='Abbrev Key'!$A$6,'Abbrev Key'!$B$6,IF($H55&gt;='Abbrev Key'!$A$7,'Abbrev Key'!$B$7,IF($H55='Abbrev Key'!$A$8,'Abbrev Key'!$B$8,"")))))))</f>
        <v>F</v>
      </c>
      <c r="J55" s="17" t="s">
        <v>11877</v>
      </c>
      <c r="K55" s="23" t="s">
        <v>640</v>
      </c>
      <c r="L55" s="398">
        <v>13654122.329999998</v>
      </c>
      <c r="M55" s="403">
        <f t="shared" si="1"/>
        <v>2.5053435467889906E-2</v>
      </c>
      <c r="N55" s="23" t="s">
        <v>2790</v>
      </c>
      <c r="O55" s="23"/>
      <c r="P55" s="167" t="s">
        <v>4287</v>
      </c>
      <c r="Q55" s="392">
        <v>42405</v>
      </c>
      <c r="R55" s="392">
        <v>42404</v>
      </c>
      <c r="S55" s="392" t="s">
        <v>2666</v>
      </c>
      <c r="T55" s="168" t="s">
        <v>10913</v>
      </c>
      <c r="U55" s="92"/>
      <c r="V55" s="92"/>
      <c r="W55" s="92"/>
    </row>
    <row r="56" spans="1:23" s="91" customFormat="1" ht="60" x14ac:dyDescent="0.25">
      <c r="A56" s="165" t="str">
        <f t="shared" si="0"/>
        <v/>
      </c>
      <c r="B56" s="23" t="s">
        <v>3386</v>
      </c>
      <c r="C56" s="23" t="s">
        <v>5142</v>
      </c>
      <c r="D56" s="166" t="s">
        <v>5143</v>
      </c>
      <c r="E56" s="242" t="s">
        <v>557</v>
      </c>
      <c r="F56" s="169">
        <v>9</v>
      </c>
      <c r="G56" s="243" t="s">
        <v>5144</v>
      </c>
      <c r="H56" s="89">
        <v>875000000</v>
      </c>
      <c r="I56" s="89" t="str">
        <f>IF($H56&lt;='Abbrev Key'!$A$2,'Abbrev Key'!$B$2,IF($H56&lt;='Abbrev Key'!$A$3,'Abbrev Key'!$B$3,IF($H56&lt;='Abbrev Key'!$A$4,'Abbrev Key'!$B$4,IF($H56&lt;='Abbrev Key'!$A$5,'Abbrev Key'!$B$5,IF($H56&lt;='Abbrev Key'!$A$6,'Abbrev Key'!$B$6,IF($H56&gt;='Abbrev Key'!$A$7,'Abbrev Key'!$B$7,IF($H56='Abbrev Key'!$A$8,'Abbrev Key'!$B$8,"")))))))</f>
        <v>F</v>
      </c>
      <c r="J56" s="92" t="s">
        <v>11968</v>
      </c>
      <c r="K56" s="92" t="s">
        <v>646</v>
      </c>
      <c r="L56" s="398">
        <f>1792+2419.3</f>
        <v>4211.3</v>
      </c>
      <c r="M56" s="403">
        <f t="shared" si="1"/>
        <v>4.8129142857142861E-6</v>
      </c>
      <c r="N56" s="92" t="s">
        <v>5053</v>
      </c>
      <c r="O56" s="92" t="s">
        <v>11197</v>
      </c>
      <c r="P56" s="167" t="s">
        <v>4287</v>
      </c>
      <c r="Q56" s="392">
        <v>42376</v>
      </c>
      <c r="R56" s="392">
        <v>42375</v>
      </c>
      <c r="S56" s="392" t="str">
        <f>_xlfn.IFNA(VLOOKUP(B56,'[1]VLOOKUP NO DUPS'!$A$1:$C$456,2,FALSE),"")</f>
        <v>02/29/2016</v>
      </c>
      <c r="T56" s="168" t="str">
        <f>_xlfn.IFNA(VLOOKUP(B56,'[1]VLOOKUP NO DUPS'!$A$1:$C$456,3,FALSE),"")</f>
        <v>Pomerantz LLP</v>
      </c>
      <c r="U56" s="92"/>
      <c r="V56" s="92"/>
      <c r="W56" s="92"/>
    </row>
    <row r="57" spans="1:23" s="91" customFormat="1" ht="30" x14ac:dyDescent="0.25">
      <c r="A57" s="165" t="str">
        <f t="shared" si="0"/>
        <v/>
      </c>
      <c r="B57" s="23" t="s">
        <v>2260</v>
      </c>
      <c r="C57" s="23" t="s">
        <v>4737</v>
      </c>
      <c r="D57" s="166" t="s">
        <v>4738</v>
      </c>
      <c r="E57" s="242" t="s">
        <v>457</v>
      </c>
      <c r="F57" s="169">
        <v>9</v>
      </c>
      <c r="G57" s="243" t="s">
        <v>4739</v>
      </c>
      <c r="H57" s="89">
        <v>50000000</v>
      </c>
      <c r="I57" s="89" t="str">
        <f>IF($H57&lt;='Abbrev Key'!$A$2,'Abbrev Key'!$B$2,IF($H57&lt;='Abbrev Key'!$A$3,'Abbrev Key'!$B$3,IF($H57&lt;='Abbrev Key'!$A$4,'Abbrev Key'!$B$4,IF($H57&lt;='Abbrev Key'!$A$5,'Abbrev Key'!$B$5,IF($H57&lt;='Abbrev Key'!$A$6,'Abbrev Key'!$B$6,IF($H57&gt;='Abbrev Key'!$A$7,'Abbrev Key'!$B$7,IF($H57='Abbrev Key'!$A$8,'Abbrev Key'!$B$8,"")))))))</f>
        <v>B</v>
      </c>
      <c r="J57" s="17" t="s">
        <v>2261</v>
      </c>
      <c r="K57" s="23" t="s">
        <v>637</v>
      </c>
      <c r="L57" s="398">
        <v>99550</v>
      </c>
      <c r="M57" s="403">
        <f t="shared" si="1"/>
        <v>1.9910000000000001E-3</v>
      </c>
      <c r="N57" s="92" t="s">
        <v>79</v>
      </c>
      <c r="O57" s="92"/>
      <c r="P57" s="167" t="s">
        <v>4408</v>
      </c>
      <c r="Q57" s="392">
        <v>42384</v>
      </c>
      <c r="R57" s="392">
        <v>42383</v>
      </c>
      <c r="S57" s="392" t="str">
        <f>_xlfn.IFNA(VLOOKUP(B57,'[1]VLOOKUP NO DUPS'!$A$1:$C$456,2,FALSE),"")</f>
        <v>02/29/2016</v>
      </c>
      <c r="T57" s="168" t="str">
        <f>_xlfn.IFNA(VLOOKUP(B57,'[1]VLOOKUP NO DUPS'!$A$1:$C$456,3,FALSE),"")</f>
        <v>Pomerantz LLP</v>
      </c>
      <c r="U57" s="92"/>
      <c r="V57" s="92"/>
      <c r="W57" s="92"/>
    </row>
    <row r="58" spans="1:23" s="91" customFormat="1" x14ac:dyDescent="0.25">
      <c r="A58" s="165" t="str">
        <f t="shared" si="0"/>
        <v/>
      </c>
      <c r="B58" s="23" t="s">
        <v>2032</v>
      </c>
      <c r="C58" s="23" t="s">
        <v>4671</v>
      </c>
      <c r="D58" s="166" t="s">
        <v>4672</v>
      </c>
      <c r="E58" s="242" t="s">
        <v>418</v>
      </c>
      <c r="F58" s="169">
        <v>2</v>
      </c>
      <c r="G58" s="243" t="s">
        <v>4673</v>
      </c>
      <c r="H58" s="89">
        <v>15000000</v>
      </c>
      <c r="I58" s="89" t="str">
        <f>IF($H58&lt;='Abbrev Key'!$A$2,'Abbrev Key'!$B$2,IF($H58&lt;='Abbrev Key'!$A$3,'Abbrev Key'!$B$3,IF($H58&lt;='Abbrev Key'!$A$4,'Abbrev Key'!$B$4,IF($H58&lt;='Abbrev Key'!$A$5,'Abbrev Key'!$B$5,IF($H58&lt;='Abbrev Key'!$A$6,'Abbrev Key'!$B$6,IF($H58&gt;='Abbrev Key'!$A$7,'Abbrev Key'!$B$7,IF($H58='Abbrev Key'!$A$8,'Abbrev Key'!$B$8,"")))))))</f>
        <v>A</v>
      </c>
      <c r="J58" s="17" t="s">
        <v>2035</v>
      </c>
      <c r="K58" s="92" t="s">
        <v>637</v>
      </c>
      <c r="L58" s="398">
        <v>10108</v>
      </c>
      <c r="M58" s="403">
        <f t="shared" si="1"/>
        <v>6.7386666666666671E-4</v>
      </c>
      <c r="N58" s="92" t="s">
        <v>584</v>
      </c>
      <c r="O58" s="92"/>
      <c r="P58" s="167" t="s">
        <v>4295</v>
      </c>
      <c r="Q58" s="392">
        <v>42418</v>
      </c>
      <c r="R58" s="392">
        <v>42417</v>
      </c>
      <c r="S58" s="392" t="str">
        <f>_xlfn.IFNA(VLOOKUP(B58,'[1]VLOOKUP NO DUPS'!$A$1:$C$456,2,FALSE),"")</f>
        <v>02/29/2016</v>
      </c>
      <c r="T58" s="168" t="str">
        <f>_xlfn.IFNA(VLOOKUP(B58,'[1]VLOOKUP NO DUPS'!$A$1:$C$456,3,FALSE),"")</f>
        <v>The Rosen Law Firm, P.A.</v>
      </c>
      <c r="U58" s="92"/>
      <c r="V58" s="92"/>
      <c r="W58" s="92"/>
    </row>
    <row r="59" spans="1:23" s="91" customFormat="1" x14ac:dyDescent="0.25">
      <c r="A59" s="165" t="str">
        <f t="shared" si="0"/>
        <v/>
      </c>
      <c r="B59" s="23" t="s">
        <v>3696</v>
      </c>
      <c r="C59" s="23" t="s">
        <v>5257</v>
      </c>
      <c r="D59" s="166" t="s">
        <v>5258</v>
      </c>
      <c r="E59" s="242" t="s">
        <v>480</v>
      </c>
      <c r="F59" s="169">
        <v>9</v>
      </c>
      <c r="G59" s="243" t="s">
        <v>5259</v>
      </c>
      <c r="H59" s="89">
        <v>250000000</v>
      </c>
      <c r="I59" s="89" t="str">
        <f>IF($H59&lt;='Abbrev Key'!$A$2,'Abbrev Key'!$B$2,IF($H59&lt;='Abbrev Key'!$A$3,'Abbrev Key'!$B$3,IF($H59&lt;='Abbrev Key'!$A$4,'Abbrev Key'!$B$4,IF($H59&lt;='Abbrev Key'!$A$5,'Abbrev Key'!$B$5,IF($H59&lt;='Abbrev Key'!$A$6,'Abbrev Key'!$B$6,IF($H59&gt;='Abbrev Key'!$A$7,'Abbrev Key'!$B$7,IF($H59='Abbrev Key'!$A$8,'Abbrev Key'!$B$8,"")))))))</f>
        <v>D</v>
      </c>
      <c r="J59" s="17" t="s">
        <v>3701</v>
      </c>
      <c r="K59" s="23" t="s">
        <v>633</v>
      </c>
      <c r="L59" s="398">
        <v>506482.14</v>
      </c>
      <c r="M59" s="403">
        <f t="shared" si="1"/>
        <v>2.0259285600000001E-3</v>
      </c>
      <c r="N59" s="23" t="s">
        <v>10816</v>
      </c>
      <c r="O59" s="23"/>
      <c r="P59" s="167" t="s">
        <v>4295</v>
      </c>
      <c r="Q59" s="392">
        <v>42354</v>
      </c>
      <c r="R59" s="392">
        <v>42353</v>
      </c>
      <c r="S59" s="392" t="str">
        <f>_xlfn.IFNA(VLOOKUP(B59,'[1]VLOOKUP NO DUPS'!$A$1:$C$456,2,FALSE),"")</f>
        <v>03/01/2016</v>
      </c>
      <c r="T59" s="168" t="str">
        <f>_xlfn.IFNA(VLOOKUP(B59,'[1]VLOOKUP NO DUPS'!$A$1:$C$456,3,FALSE),"")</f>
        <v>Scott &amp; Scott,  LLP</v>
      </c>
      <c r="U59" s="92"/>
      <c r="V59" s="92"/>
      <c r="W59" s="92"/>
    </row>
    <row r="60" spans="1:23" s="91" customFormat="1" ht="60" x14ac:dyDescent="0.25">
      <c r="A60" s="165" t="str">
        <f t="shared" si="0"/>
        <v/>
      </c>
      <c r="B60" s="23" t="s">
        <v>77</v>
      </c>
      <c r="C60" s="23" t="s">
        <v>5078</v>
      </c>
      <c r="D60" s="166" t="s">
        <v>5079</v>
      </c>
      <c r="E60" s="242" t="s">
        <v>424</v>
      </c>
      <c r="F60" s="169">
        <v>3</v>
      </c>
      <c r="G60" s="243" t="s">
        <v>5080</v>
      </c>
      <c r="H60" s="89">
        <v>550000000</v>
      </c>
      <c r="I60" s="89" t="str">
        <f>IF($H60&lt;='Abbrev Key'!$A$2,'Abbrev Key'!$B$2,IF($H60&lt;='Abbrev Key'!$A$3,'Abbrev Key'!$B$3,IF($H60&lt;='Abbrev Key'!$A$4,'Abbrev Key'!$B$4,IF($H60&lt;='Abbrev Key'!$A$5,'Abbrev Key'!$B$5,IF($H60&lt;='Abbrev Key'!$A$6,'Abbrev Key'!$B$6,IF($H60&gt;='Abbrev Key'!$A$7,'Abbrev Key'!$B$7,IF($H60='Abbrev Key'!$A$8,'Abbrev Key'!$B$8,"")))))))</f>
        <v>F</v>
      </c>
      <c r="J60" s="92" t="s">
        <v>11971</v>
      </c>
      <c r="K60" s="92" t="s">
        <v>662</v>
      </c>
      <c r="L60" s="398">
        <f>1355286.87+1285865.56</f>
        <v>2641152.4300000002</v>
      </c>
      <c r="M60" s="403">
        <f t="shared" si="1"/>
        <v>4.8020953272727273E-3</v>
      </c>
      <c r="N60" s="92" t="s">
        <v>5081</v>
      </c>
      <c r="O60" s="92" t="s">
        <v>11197</v>
      </c>
      <c r="P60" s="167" t="s">
        <v>4408</v>
      </c>
      <c r="Q60" s="392">
        <v>42429</v>
      </c>
      <c r="R60" s="392">
        <v>42428</v>
      </c>
      <c r="S60" s="392" t="str">
        <f>_xlfn.IFNA(VLOOKUP(B60,'[1]VLOOKUP NO DUPS'!$A$1:$C$456,2,FALSE),"")</f>
        <v>03/03/2016</v>
      </c>
      <c r="T60" s="168" t="str">
        <f>_xlfn.IFNA(VLOOKUP(B60,'[1]VLOOKUP NO DUPS'!$A$1:$C$456,3,FALSE),"")</f>
        <v>Carella, Byrne, Cecchi, Olstein, Brody &amp; Agnello P.C.; Cohn, Lifland, Pearlman, Herrmann,  &amp; Knopf,  LLP; Glancy Prongay &amp; Murray, LLP; Lite Depalma Greenberg, LLC; Pomerantz LLP; Wolf Popper LLP</v>
      </c>
      <c r="U60" s="92"/>
      <c r="V60" s="92"/>
      <c r="W60" s="92"/>
    </row>
    <row r="61" spans="1:23" s="91" customFormat="1" ht="30" x14ac:dyDescent="0.25">
      <c r="A61" s="165" t="str">
        <f t="shared" si="0"/>
        <v>DUP</v>
      </c>
      <c r="B61" s="23" t="s">
        <v>3351</v>
      </c>
      <c r="C61" s="23" t="s">
        <v>10679</v>
      </c>
      <c r="D61" s="166" t="s">
        <v>5117</v>
      </c>
      <c r="E61" s="242" t="s">
        <v>418</v>
      </c>
      <c r="F61" s="169">
        <v>2</v>
      </c>
      <c r="G61" s="243" t="s">
        <v>5118</v>
      </c>
      <c r="H61" s="89">
        <v>45000000</v>
      </c>
      <c r="I61" s="89" t="str">
        <f>IF($H61&lt;='Abbrev Key'!$A$2,'Abbrev Key'!$B$2,IF($H61&lt;='Abbrev Key'!$A$3,'Abbrev Key'!$B$3,IF($H61&lt;='Abbrev Key'!$A$4,'Abbrev Key'!$B$4,IF($H61&lt;='Abbrev Key'!$A$5,'Abbrev Key'!$B$5,IF($H61&lt;='Abbrev Key'!$A$6,'Abbrev Key'!$B$6,IF($H61&gt;='Abbrev Key'!$A$7,'Abbrev Key'!$B$7,IF($H61='Abbrev Key'!$A$8,'Abbrev Key'!$B$8,"")))))))</f>
        <v>B</v>
      </c>
      <c r="J61" s="92" t="s">
        <v>11962</v>
      </c>
      <c r="K61" s="92" t="s">
        <v>646</v>
      </c>
      <c r="L61" s="398">
        <f>64669.23+86238</f>
        <v>150907.23000000001</v>
      </c>
      <c r="M61" s="403">
        <f t="shared" si="1"/>
        <v>3.3534940000000003E-3</v>
      </c>
      <c r="N61" s="92" t="s">
        <v>5119</v>
      </c>
      <c r="O61" s="92" t="s">
        <v>11197</v>
      </c>
      <c r="P61" s="167" t="s">
        <v>4295</v>
      </c>
      <c r="Q61" s="392">
        <v>42429</v>
      </c>
      <c r="R61" s="392">
        <v>42428</v>
      </c>
      <c r="S61" s="392" t="s">
        <v>501</v>
      </c>
      <c r="T61" s="168" t="s">
        <v>986</v>
      </c>
      <c r="U61" s="92"/>
      <c r="V61" s="92"/>
      <c r="W61" s="92"/>
    </row>
    <row r="62" spans="1:23" s="91" customFormat="1" x14ac:dyDescent="0.25">
      <c r="A62" s="165" t="str">
        <f t="shared" si="0"/>
        <v/>
      </c>
      <c r="B62" s="23" t="s">
        <v>3203</v>
      </c>
      <c r="C62" s="23" t="s">
        <v>5075</v>
      </c>
      <c r="D62" s="166" t="s">
        <v>5076</v>
      </c>
      <c r="E62" s="242" t="s">
        <v>409</v>
      </c>
      <c r="F62" s="169">
        <v>1</v>
      </c>
      <c r="G62" s="243" t="s">
        <v>5077</v>
      </c>
      <c r="H62" s="89">
        <v>100000000</v>
      </c>
      <c r="I62" s="89" t="str">
        <f>IF($H62&lt;='Abbrev Key'!$A$2,'Abbrev Key'!$B$2,IF($H62&lt;='Abbrev Key'!$A$3,'Abbrev Key'!$B$3,IF($H62&lt;='Abbrev Key'!$A$4,'Abbrev Key'!$B$4,IF($H62&lt;='Abbrev Key'!$A$5,'Abbrev Key'!$B$5,IF($H62&lt;='Abbrev Key'!$A$6,'Abbrev Key'!$B$6,IF($H62&gt;='Abbrev Key'!$A$7,'Abbrev Key'!$B$7,IF($H62='Abbrev Key'!$A$8,'Abbrev Key'!$B$8,"")))))))</f>
        <v>C</v>
      </c>
      <c r="J62" s="17" t="s">
        <v>3205</v>
      </c>
      <c r="K62" s="23" t="s">
        <v>637</v>
      </c>
      <c r="L62" s="398">
        <v>160.53</v>
      </c>
      <c r="M62" s="403">
        <f t="shared" si="1"/>
        <v>1.6053000000000001E-6</v>
      </c>
      <c r="N62" s="23" t="s">
        <v>2326</v>
      </c>
      <c r="O62" s="23"/>
      <c r="P62" s="167" t="s">
        <v>4408</v>
      </c>
      <c r="Q62" s="392">
        <v>42214</v>
      </c>
      <c r="R62" s="392">
        <v>42213</v>
      </c>
      <c r="S62" s="392" t="str">
        <f>_xlfn.IFNA(VLOOKUP(B62,'[1]VLOOKUP NO DUPS'!$A$1:$C$456,2,FALSE),"")</f>
        <v>03/07/2016</v>
      </c>
      <c r="T62" s="168" t="str">
        <f>_xlfn.IFNA(VLOOKUP(B62,'[1]VLOOKUP NO DUPS'!$A$1:$C$456,3,FALSE),"")</f>
        <v>Block &amp; Leviton LLP; The Rosen Law Firm, P.A.</v>
      </c>
      <c r="U62" s="92"/>
      <c r="V62" s="92"/>
      <c r="W62" s="92"/>
    </row>
    <row r="63" spans="1:23" s="91" customFormat="1" ht="30" x14ac:dyDescent="0.25">
      <c r="A63" s="165" t="str">
        <f t="shared" si="0"/>
        <v/>
      </c>
      <c r="B63" s="23" t="s">
        <v>4137</v>
      </c>
      <c r="C63" s="23" t="s">
        <v>5392</v>
      </c>
      <c r="D63" s="166" t="s">
        <v>5393</v>
      </c>
      <c r="E63" s="242" t="s">
        <v>4138</v>
      </c>
      <c r="F63" s="169">
        <v>10</v>
      </c>
      <c r="G63" s="243" t="s">
        <v>5394</v>
      </c>
      <c r="H63" s="89">
        <v>400000000</v>
      </c>
      <c r="I63" s="89" t="str">
        <f>IF($H63&lt;='Abbrev Key'!$A$2,'Abbrev Key'!$B$2,IF($H63&lt;='Abbrev Key'!$A$3,'Abbrev Key'!$B$3,IF($H63&lt;='Abbrev Key'!$A$4,'Abbrev Key'!$B$4,IF($H63&lt;='Abbrev Key'!$A$5,'Abbrev Key'!$B$5,IF($H63&lt;='Abbrev Key'!$A$6,'Abbrev Key'!$B$6,IF($H63&gt;='Abbrev Key'!$A$7,'Abbrev Key'!$B$7,IF($H63='Abbrev Key'!$A$8,'Abbrev Key'!$B$8,"")))))))</f>
        <v>E</v>
      </c>
      <c r="J63" s="17" t="s">
        <v>4146</v>
      </c>
      <c r="K63" s="23" t="s">
        <v>633</v>
      </c>
      <c r="L63" s="398">
        <v>111358.31</v>
      </c>
      <c r="M63" s="403">
        <f t="shared" si="1"/>
        <v>2.7839577500000001E-4</v>
      </c>
      <c r="N63" s="23" t="s">
        <v>4148</v>
      </c>
      <c r="O63" s="23"/>
      <c r="P63" s="167" t="s">
        <v>4295</v>
      </c>
      <c r="Q63" s="392">
        <v>42174</v>
      </c>
      <c r="R63" s="392">
        <v>42173</v>
      </c>
      <c r="S63" s="392" t="str">
        <f>_xlfn.IFNA(VLOOKUP(B63,'[1]VLOOKUP NO DUPS'!$A$1:$C$456,2,FALSE),"")</f>
        <v>03/07/2016</v>
      </c>
      <c r="T63" s="168" t="str">
        <f>_xlfn.IFNA(VLOOKUP(B63,'[1]VLOOKUP NO DUPS'!$A$1:$C$456,3,FALSE),"")</f>
        <v>Berger &amp; Montague, P.C.; Federman &amp; Sherwood</v>
      </c>
      <c r="U63" s="92"/>
      <c r="V63" s="92"/>
      <c r="W63" s="92"/>
    </row>
    <row r="64" spans="1:23" s="91" customFormat="1" x14ac:dyDescent="0.25">
      <c r="A64" s="165" t="str">
        <f t="shared" si="0"/>
        <v/>
      </c>
      <c r="B64" s="23" t="s">
        <v>90</v>
      </c>
      <c r="C64" s="23" t="s">
        <v>4730</v>
      </c>
      <c r="D64" s="166" t="s">
        <v>4731</v>
      </c>
      <c r="E64" s="242" t="s">
        <v>418</v>
      </c>
      <c r="F64" s="169">
        <v>2</v>
      </c>
      <c r="G64" s="243" t="s">
        <v>4732</v>
      </c>
      <c r="H64" s="89">
        <v>225000000</v>
      </c>
      <c r="I64" s="89" t="str">
        <f>IF($H64&lt;='Abbrev Key'!$A$2,'Abbrev Key'!$B$2,IF($H64&lt;='Abbrev Key'!$A$3,'Abbrev Key'!$B$3,IF($H64&lt;='Abbrev Key'!$A$4,'Abbrev Key'!$B$4,IF($H64&lt;='Abbrev Key'!$A$5,'Abbrev Key'!$B$5,IF($H64&lt;='Abbrev Key'!$A$6,'Abbrev Key'!$B$6,IF($H64&gt;='Abbrev Key'!$A$7,'Abbrev Key'!$B$7,IF($H64='Abbrev Key'!$A$8,'Abbrev Key'!$B$8,"")))))))</f>
        <v>D</v>
      </c>
      <c r="J64" s="17" t="s">
        <v>11852</v>
      </c>
      <c r="K64" s="92" t="s">
        <v>640</v>
      </c>
      <c r="L64" s="398">
        <v>524529.23</v>
      </c>
      <c r="M64" s="403">
        <f t="shared" si="1"/>
        <v>2.3312410222222223E-3</v>
      </c>
      <c r="N64" s="92" t="s">
        <v>56</v>
      </c>
      <c r="O64" s="92"/>
      <c r="P64" s="167" t="s">
        <v>4295</v>
      </c>
      <c r="Q64" s="392">
        <v>42472</v>
      </c>
      <c r="R64" s="392">
        <v>42471</v>
      </c>
      <c r="S64" s="392" t="str">
        <f>_xlfn.IFNA(VLOOKUP(B64,'[1]VLOOKUP NO DUPS'!$A$1:$C$456,2,FALSE),"")</f>
        <v>03/08/2016</v>
      </c>
      <c r="T64" s="168" t="str">
        <f>_xlfn.IFNA(VLOOKUP(B64,'[1]VLOOKUP NO DUPS'!$A$1:$C$456,3,FALSE),"")</f>
        <v>Levi &amp; Korsinsky, LLP; Pomerantz LLP</v>
      </c>
      <c r="U64" s="92"/>
      <c r="V64" s="92"/>
      <c r="W64" s="92"/>
    </row>
    <row r="65" spans="1:23" s="91" customFormat="1" ht="30" x14ac:dyDescent="0.25">
      <c r="A65" s="165" t="str">
        <f t="shared" si="0"/>
        <v/>
      </c>
      <c r="B65" s="23" t="s">
        <v>187</v>
      </c>
      <c r="C65" s="23" t="s">
        <v>4500</v>
      </c>
      <c r="D65" s="166" t="s">
        <v>4501</v>
      </c>
      <c r="E65" s="242" t="s">
        <v>418</v>
      </c>
      <c r="F65" s="169">
        <v>2</v>
      </c>
      <c r="G65" s="243" t="s">
        <v>4502</v>
      </c>
      <c r="H65" s="89">
        <v>350000000</v>
      </c>
      <c r="I65" s="89" t="str">
        <f>IF($H65&lt;='Abbrev Key'!$A$2,'Abbrev Key'!$B$2,IF($H65&lt;='Abbrev Key'!$A$3,'Abbrev Key'!$B$3,IF($H65&lt;='Abbrev Key'!$A$4,'Abbrev Key'!$B$4,IF($H65&lt;='Abbrev Key'!$A$5,'Abbrev Key'!$B$5,IF($H65&lt;='Abbrev Key'!$A$6,'Abbrev Key'!$B$6,IF($H65&gt;='Abbrev Key'!$A$7,'Abbrev Key'!$B$7,IF($H65='Abbrev Key'!$A$8,'Abbrev Key'!$B$8,"")))))))</f>
        <v>E</v>
      </c>
      <c r="J65" s="23" t="s">
        <v>11907</v>
      </c>
      <c r="K65" s="23" t="s">
        <v>640</v>
      </c>
      <c r="L65" s="398">
        <v>642559.84</v>
      </c>
      <c r="M65" s="403">
        <f t="shared" si="1"/>
        <v>1.8358852571428571E-3</v>
      </c>
      <c r="N65" s="92" t="s">
        <v>1</v>
      </c>
      <c r="O65" s="92"/>
      <c r="P65" s="167" t="s">
        <v>4408</v>
      </c>
      <c r="Q65" s="392">
        <v>42697</v>
      </c>
      <c r="R65" s="392">
        <v>42696</v>
      </c>
      <c r="S65" s="392" t="str">
        <f>_xlfn.IFNA(VLOOKUP(B65,'[1]VLOOKUP NO DUPS'!$A$1:$C$456,2,FALSE),"")</f>
        <v>03/10/2016</v>
      </c>
      <c r="T65" s="168" t="str">
        <f>_xlfn.IFNA(VLOOKUP(B65,'[1]VLOOKUP NO DUPS'!$A$1:$C$456,3,FALSE),"")</f>
        <v>Glancy Prongay &amp; Murray, LLP</v>
      </c>
      <c r="U65" s="92"/>
      <c r="V65" s="92"/>
      <c r="W65" s="92"/>
    </row>
    <row r="66" spans="1:23" s="91" customFormat="1" x14ac:dyDescent="0.25">
      <c r="A66" s="165" t="str">
        <f t="shared" ref="A66:A129" si="2">IF(COUNTIF(B:B,B66)&gt;=2,"DUP","")</f>
        <v/>
      </c>
      <c r="B66" s="23" t="s">
        <v>2634</v>
      </c>
      <c r="C66" s="23" t="s">
        <v>4877</v>
      </c>
      <c r="D66" s="166" t="s">
        <v>4878</v>
      </c>
      <c r="E66" s="242" t="s">
        <v>418</v>
      </c>
      <c r="F66" s="169">
        <v>2</v>
      </c>
      <c r="G66" s="243" t="s">
        <v>4879</v>
      </c>
      <c r="H66" s="89">
        <v>30000000</v>
      </c>
      <c r="I66" s="89" t="str">
        <f>IF($H66&lt;='Abbrev Key'!$A$2,'Abbrev Key'!$B$2,IF($H66&lt;='Abbrev Key'!$A$3,'Abbrev Key'!$B$3,IF($H66&lt;='Abbrev Key'!$A$4,'Abbrev Key'!$B$4,IF($H66&lt;='Abbrev Key'!$A$5,'Abbrev Key'!$B$5,IF($H66&lt;='Abbrev Key'!$A$6,'Abbrev Key'!$B$6,IF($H66&gt;='Abbrev Key'!$A$7,'Abbrev Key'!$B$7,IF($H66='Abbrev Key'!$A$8,'Abbrev Key'!$B$8,"")))))))</f>
        <v>B</v>
      </c>
      <c r="J66" s="17" t="s">
        <v>2635</v>
      </c>
      <c r="K66" s="92" t="s">
        <v>637</v>
      </c>
      <c r="L66" s="354">
        <v>77075.12</v>
      </c>
      <c r="M66" s="405">
        <f t="shared" ref="M66:M129" si="3">IFERROR((L66/H66),"DC")</f>
        <v>2.5691706666666667E-3</v>
      </c>
      <c r="N66" s="92" t="s">
        <v>4359</v>
      </c>
      <c r="O66" s="92"/>
      <c r="P66" s="167" t="s">
        <v>4408</v>
      </c>
      <c r="Q66" s="392">
        <v>41710</v>
      </c>
      <c r="R66" s="392">
        <v>41709</v>
      </c>
      <c r="S66" s="392" t="str">
        <f>_xlfn.IFNA(VLOOKUP(B66,'[1]VLOOKUP NO DUPS'!$A$1:$C$456,2,FALSE),"")</f>
        <v>03/11/2016</v>
      </c>
      <c r="T66" s="168" t="str">
        <f>_xlfn.IFNA(VLOOKUP(B66,'[1]VLOOKUP NO DUPS'!$A$1:$C$456,3,FALSE),"")</f>
        <v>Levi &amp; Korsinsky, LLP</v>
      </c>
      <c r="U66" s="92"/>
      <c r="V66" s="92"/>
      <c r="W66" s="92"/>
    </row>
    <row r="67" spans="1:23" s="91" customFormat="1" ht="45" x14ac:dyDescent="0.25">
      <c r="A67" s="165" t="str">
        <f t="shared" si="2"/>
        <v/>
      </c>
      <c r="B67" s="23" t="s">
        <v>202</v>
      </c>
      <c r="C67" s="23" t="s">
        <v>4363</v>
      </c>
      <c r="D67" s="166" t="s">
        <v>4364</v>
      </c>
      <c r="E67" s="242" t="s">
        <v>399</v>
      </c>
      <c r="F67" s="169">
        <v>9</v>
      </c>
      <c r="G67" s="243" t="s">
        <v>4365</v>
      </c>
      <c r="H67" s="89">
        <v>130000000</v>
      </c>
      <c r="I67" s="89" t="str">
        <f>IF($H67&lt;='Abbrev Key'!$A$2,'Abbrev Key'!$B$2,IF($H67&lt;='Abbrev Key'!$A$3,'Abbrev Key'!$B$3,IF($H67&lt;='Abbrev Key'!$A$4,'Abbrev Key'!$B$4,IF($H67&lt;='Abbrev Key'!$A$5,'Abbrev Key'!$B$5,IF($H67&lt;='Abbrev Key'!$A$6,'Abbrev Key'!$B$6,IF($H67&gt;='Abbrev Key'!$A$7,'Abbrev Key'!$B$7,IF($H67='Abbrev Key'!$A$8,'Abbrev Key'!$B$8,"")))))))</f>
        <v>D</v>
      </c>
      <c r="J67" s="23" t="s">
        <v>905</v>
      </c>
      <c r="K67" s="23" t="s">
        <v>633</v>
      </c>
      <c r="L67" s="354">
        <v>545742.94999999995</v>
      </c>
      <c r="M67" s="405">
        <f t="shared" si="3"/>
        <v>4.1980226923076921E-3</v>
      </c>
      <c r="N67" s="23" t="s">
        <v>907</v>
      </c>
      <c r="O67" s="23"/>
      <c r="P67" s="167" t="s">
        <v>4287</v>
      </c>
      <c r="Q67" s="392">
        <v>42298</v>
      </c>
      <c r="R67" s="392">
        <v>42297</v>
      </c>
      <c r="S67" s="392" t="str">
        <f>_xlfn.IFNA(VLOOKUP(B67,'[1]VLOOKUP NO DUPS'!$A$1:$C$456,2,FALSE),"")</f>
        <v>03/14/2016</v>
      </c>
      <c r="T67" s="168" t="str">
        <f>_xlfn.IFNA(VLOOKUP(B67,'[1]VLOOKUP NO DUPS'!$A$1:$C$456,3,FALSE),"")</f>
        <v>Holzer &amp; Holzer, LLC; Robbins, Geller, Rudman &amp; Dowd, LLP; Zimmerman Reed, PLLP</v>
      </c>
      <c r="U67" s="92"/>
      <c r="V67" s="92"/>
      <c r="W67" s="92"/>
    </row>
    <row r="68" spans="1:23" s="91" customFormat="1" x14ac:dyDescent="0.25">
      <c r="A68" s="165" t="str">
        <f t="shared" si="2"/>
        <v/>
      </c>
      <c r="B68" s="23" t="s">
        <v>2707</v>
      </c>
      <c r="C68" s="23" t="s">
        <v>4912</v>
      </c>
      <c r="D68" s="166" t="s">
        <v>4913</v>
      </c>
      <c r="E68" s="242" t="s">
        <v>515</v>
      </c>
      <c r="F68" s="169">
        <v>6</v>
      </c>
      <c r="G68" s="243" t="s">
        <v>4914</v>
      </c>
      <c r="H68" s="89">
        <v>15000000</v>
      </c>
      <c r="I68" s="89" t="str">
        <f>IF($H68&lt;='Abbrev Key'!$A$2,'Abbrev Key'!$B$2,IF($H68&lt;='Abbrev Key'!$A$3,'Abbrev Key'!$B$3,IF($H68&lt;='Abbrev Key'!$A$4,'Abbrev Key'!$B$4,IF($H68&lt;='Abbrev Key'!$A$5,'Abbrev Key'!$B$5,IF($H68&lt;='Abbrev Key'!$A$6,'Abbrev Key'!$B$6,IF($H68&gt;='Abbrev Key'!$A$7,'Abbrev Key'!$B$7,IF($H68='Abbrev Key'!$A$8,'Abbrev Key'!$B$8,"")))))))</f>
        <v>A</v>
      </c>
      <c r="J68" s="17" t="s">
        <v>11871</v>
      </c>
      <c r="K68" s="23" t="s">
        <v>646</v>
      </c>
      <c r="L68" s="398">
        <v>1267405.0899999999</v>
      </c>
      <c r="M68" s="403">
        <f t="shared" si="3"/>
        <v>8.4493672666666658E-2</v>
      </c>
      <c r="N68" s="23" t="s">
        <v>11069</v>
      </c>
      <c r="O68" s="23"/>
      <c r="P68" s="167" t="s">
        <v>4287</v>
      </c>
      <c r="Q68" s="392">
        <v>42444</v>
      </c>
      <c r="R68" s="392">
        <v>42443</v>
      </c>
      <c r="S68" s="392" t="str">
        <f>_xlfn.IFNA(VLOOKUP(B68,'[1]VLOOKUP NO DUPS'!$A$1:$C$456,2,FALSE),"")</f>
        <v>03/15/2016</v>
      </c>
      <c r="T68" s="168" t="str">
        <f>_xlfn.IFNA(VLOOKUP(B68,'[1]VLOOKUP NO DUPS'!$A$1:$C$456,3,FALSE),"")</f>
        <v>Gordon Ball PLLC</v>
      </c>
      <c r="U68" s="92"/>
      <c r="V68" s="92"/>
      <c r="W68" s="92"/>
    </row>
    <row r="69" spans="1:23" s="91" customFormat="1" x14ac:dyDescent="0.25">
      <c r="A69" s="165" t="str">
        <f t="shared" si="2"/>
        <v/>
      </c>
      <c r="B69" s="23" t="s">
        <v>3372</v>
      </c>
      <c r="C69" s="23" t="s">
        <v>5133</v>
      </c>
      <c r="D69" s="166" t="s">
        <v>11074</v>
      </c>
      <c r="E69" s="242" t="s">
        <v>1815</v>
      </c>
      <c r="F69" s="169">
        <v>5</v>
      </c>
      <c r="G69" s="243" t="s">
        <v>5134</v>
      </c>
      <c r="H69" s="89">
        <v>119000000</v>
      </c>
      <c r="I69" s="89" t="str">
        <f>IF($H69&lt;='Abbrev Key'!$A$2,'Abbrev Key'!$B$2,IF($H69&lt;='Abbrev Key'!$A$3,'Abbrev Key'!$B$3,IF($H69&lt;='Abbrev Key'!$A$4,'Abbrev Key'!$B$4,IF($H69&lt;='Abbrev Key'!$A$5,'Abbrev Key'!$B$5,IF($H69&lt;='Abbrev Key'!$A$6,'Abbrev Key'!$B$6,IF($H69&gt;='Abbrev Key'!$A$7,'Abbrev Key'!$B$7,IF($H69='Abbrev Key'!$A$8,'Abbrev Key'!$B$8,"")))))))</f>
        <v>D</v>
      </c>
      <c r="J69" s="92" t="s">
        <v>11970</v>
      </c>
      <c r="K69" s="92" t="s">
        <v>646</v>
      </c>
      <c r="L69" s="398">
        <f>12148.02+8558.18</f>
        <v>20706.2</v>
      </c>
      <c r="M69" s="403">
        <f t="shared" si="3"/>
        <v>1.7400168067226892E-4</v>
      </c>
      <c r="N69" s="92" t="s">
        <v>11075</v>
      </c>
      <c r="O69" s="92" t="s">
        <v>11197</v>
      </c>
      <c r="P69" s="167" t="s">
        <v>4287</v>
      </c>
      <c r="Q69" s="392">
        <v>41877</v>
      </c>
      <c r="R69" s="392">
        <v>41876</v>
      </c>
      <c r="S69" s="392" t="str">
        <f>_xlfn.IFNA(VLOOKUP(B69,'[1]VLOOKUP NO DUPS'!$A$1:$C$456,2,FALSE),"")</f>
        <v>03/18/2016</v>
      </c>
      <c r="T69" s="168" t="str">
        <f>_xlfn.IFNA(VLOOKUP(B69,'[1]VLOOKUP NO DUPS'!$A$1:$C$456,3,FALSE),"")</f>
        <v>Bronstein, Gewirtz &amp; Grossman, LLC; Carter Scholer Arnett Hamada &amp; Mockler, PLLC; Glancy Prongay &amp; Murray, LLP; Pomerantz LLP; The Briscoe Law Firm, PLLC</v>
      </c>
      <c r="U69" s="92"/>
      <c r="V69" s="92"/>
      <c r="W69" s="92"/>
    </row>
    <row r="70" spans="1:23" s="91" customFormat="1" ht="30" x14ac:dyDescent="0.25">
      <c r="A70" s="165" t="str">
        <f t="shared" si="2"/>
        <v/>
      </c>
      <c r="B70" s="23" t="s">
        <v>2690</v>
      </c>
      <c r="C70" s="23" t="s">
        <v>4902</v>
      </c>
      <c r="D70" s="166" t="s">
        <v>4903</v>
      </c>
      <c r="E70" s="242" t="s">
        <v>443</v>
      </c>
      <c r="F70" s="169">
        <v>9</v>
      </c>
      <c r="G70" s="243" t="s">
        <v>4904</v>
      </c>
      <c r="H70" s="89">
        <v>480000000</v>
      </c>
      <c r="I70" s="89" t="str">
        <f>IF($H70&lt;='Abbrev Key'!$A$2,'Abbrev Key'!$B$2,IF($H70&lt;='Abbrev Key'!$A$3,'Abbrev Key'!$B$3,IF($H70&lt;='Abbrev Key'!$A$4,'Abbrev Key'!$B$4,IF($H70&lt;='Abbrev Key'!$A$5,'Abbrev Key'!$B$5,IF($H70&lt;='Abbrev Key'!$A$6,'Abbrev Key'!$B$6,IF($H70&gt;='Abbrev Key'!$A$7,'Abbrev Key'!$B$7,IF($H70='Abbrev Key'!$A$8,'Abbrev Key'!$B$8,"")))))))</f>
        <v>E</v>
      </c>
      <c r="J70" s="17" t="s">
        <v>2695</v>
      </c>
      <c r="K70" s="23" t="s">
        <v>633</v>
      </c>
      <c r="L70" s="398">
        <v>43798.74</v>
      </c>
      <c r="M70" s="403">
        <f t="shared" si="3"/>
        <v>9.1247374999999995E-5</v>
      </c>
      <c r="N70" s="23" t="s">
        <v>2697</v>
      </c>
      <c r="O70" s="23"/>
      <c r="P70" s="167" t="s">
        <v>4287</v>
      </c>
      <c r="Q70" s="392">
        <v>42327</v>
      </c>
      <c r="R70" s="392">
        <v>42326</v>
      </c>
      <c r="S70" s="392" t="str">
        <f>_xlfn.IFNA(VLOOKUP(B70,'[1]VLOOKUP NO DUPS'!$A$1:$C$456,2,FALSE),"")</f>
        <v>03/18/2016</v>
      </c>
      <c r="T70" s="168" t="str">
        <f>_xlfn.IFNA(VLOOKUP(B70,'[1]VLOOKUP NO DUPS'!$A$1:$C$456,3,FALSE),"")</f>
        <v>Holzer &amp; Holzer, LLC; Robbins, Geller, Rudman &amp; Dowd, LLP; Stoll Stoll Berne Lokting &amp; Schlachter P.C.</v>
      </c>
      <c r="U70" s="92"/>
      <c r="V70" s="92"/>
      <c r="W70" s="92"/>
    </row>
    <row r="71" spans="1:23" s="91" customFormat="1" ht="75" x14ac:dyDescent="0.25">
      <c r="A71" s="165" t="str">
        <f t="shared" si="2"/>
        <v/>
      </c>
      <c r="B71" s="23" t="s">
        <v>292</v>
      </c>
      <c r="C71" s="23" t="s">
        <v>5034</v>
      </c>
      <c r="D71" s="166" t="s">
        <v>5035</v>
      </c>
      <c r="E71" s="242" t="s">
        <v>418</v>
      </c>
      <c r="F71" s="169">
        <v>2</v>
      </c>
      <c r="G71" s="243" t="s">
        <v>5036</v>
      </c>
      <c r="H71" s="89">
        <v>144000000</v>
      </c>
      <c r="I71" s="89" t="str">
        <f>IF($H71&lt;='Abbrev Key'!$A$2,'Abbrev Key'!$B$2,IF($H71&lt;='Abbrev Key'!$A$3,'Abbrev Key'!$B$3,IF($H71&lt;='Abbrev Key'!$A$4,'Abbrev Key'!$B$4,IF($H71&lt;='Abbrev Key'!$A$5,'Abbrev Key'!$B$5,IF($H71&lt;='Abbrev Key'!$A$6,'Abbrev Key'!$B$6,IF($H71&gt;='Abbrev Key'!$A$7,'Abbrev Key'!$B$7,IF($H71='Abbrev Key'!$A$8,'Abbrev Key'!$B$8,"")))))))</f>
        <v>D</v>
      </c>
      <c r="J71" s="17" t="s">
        <v>291</v>
      </c>
      <c r="K71" s="23" t="s">
        <v>633</v>
      </c>
      <c r="L71" s="398">
        <v>928077.31</v>
      </c>
      <c r="M71" s="403">
        <f t="shared" si="3"/>
        <v>6.4449813194444447E-3</v>
      </c>
      <c r="N71" s="23" t="s">
        <v>3071</v>
      </c>
      <c r="O71" s="23"/>
      <c r="P71" s="167" t="s">
        <v>4287</v>
      </c>
      <c r="Q71" s="392">
        <v>42443</v>
      </c>
      <c r="R71" s="392">
        <v>42442</v>
      </c>
      <c r="S71" s="392" t="str">
        <f>_xlfn.IFNA(VLOOKUP(B71,'[1]VLOOKUP NO DUPS'!$A$1:$C$456,2,FALSE),"")</f>
        <v>03/18/2016</v>
      </c>
      <c r="T71" s="168" t="str">
        <f>_xlfn.IFNA(VLOOKUP(B71,'[1]VLOOKUP NO DUPS'!$A$1:$C$456,3,FALSE),"")</f>
        <v>The Rosen Law Firm, P.A.</v>
      </c>
      <c r="U71" s="92"/>
      <c r="V71" s="92"/>
      <c r="W71" s="92"/>
    </row>
    <row r="72" spans="1:23" s="91" customFormat="1" ht="30" x14ac:dyDescent="0.25">
      <c r="A72" s="165" t="str">
        <f t="shared" si="2"/>
        <v/>
      </c>
      <c r="B72" s="23" t="s">
        <v>2630</v>
      </c>
      <c r="C72" s="23" t="s">
        <v>4874</v>
      </c>
      <c r="D72" s="166" t="s">
        <v>4875</v>
      </c>
      <c r="E72" s="242" t="s">
        <v>557</v>
      </c>
      <c r="F72" s="169">
        <v>9</v>
      </c>
      <c r="G72" s="243" t="s">
        <v>4876</v>
      </c>
      <c r="H72" s="89">
        <v>135000000</v>
      </c>
      <c r="I72" s="89" t="str">
        <f>IF($H72&lt;='Abbrev Key'!$A$2,'Abbrev Key'!$B$2,IF($H72&lt;='Abbrev Key'!$A$3,'Abbrev Key'!$B$3,IF($H72&lt;='Abbrev Key'!$A$4,'Abbrev Key'!$B$4,IF($H72&lt;='Abbrev Key'!$A$5,'Abbrev Key'!$B$5,IF($H72&lt;='Abbrev Key'!$A$6,'Abbrev Key'!$B$6,IF($H72&gt;='Abbrev Key'!$A$7,'Abbrev Key'!$B$7,IF($H72='Abbrev Key'!$A$8,'Abbrev Key'!$B$8,"")))))))</f>
        <v>D</v>
      </c>
      <c r="J72" s="17" t="s">
        <v>2632</v>
      </c>
      <c r="K72" s="92" t="s">
        <v>633</v>
      </c>
      <c r="L72" s="398">
        <v>78902.179999999993</v>
      </c>
      <c r="M72" s="403">
        <f t="shared" si="3"/>
        <v>5.8446059259259259E-4</v>
      </c>
      <c r="N72" s="92" t="s">
        <v>7</v>
      </c>
      <c r="O72" s="92"/>
      <c r="P72" s="167" t="s">
        <v>4287</v>
      </c>
      <c r="Q72" s="392">
        <v>42411</v>
      </c>
      <c r="R72" s="392">
        <v>42410</v>
      </c>
      <c r="S72" s="392" t="str">
        <f>_xlfn.IFNA(VLOOKUP(B72,'[1]VLOOKUP NO DUPS'!$A$1:$C$456,2,FALSE),"")</f>
        <v>03/22/2016</v>
      </c>
      <c r="T72" s="168" t="str">
        <f>_xlfn.IFNA(VLOOKUP(B72,'[1]VLOOKUP NO DUPS'!$A$1:$C$456,3,FALSE),"")</f>
        <v>Robbins, Geller, Rudman &amp; Dowd, LLP; VanOverbeke Michaud &amp; Timmony, P.C.</v>
      </c>
      <c r="U72" s="92"/>
      <c r="V72" s="92"/>
      <c r="W72" s="92"/>
    </row>
    <row r="73" spans="1:23" s="91" customFormat="1" ht="30" x14ac:dyDescent="0.25">
      <c r="A73" s="165" t="str">
        <f t="shared" si="2"/>
        <v/>
      </c>
      <c r="B73" s="23" t="s">
        <v>2762</v>
      </c>
      <c r="C73" s="23" t="s">
        <v>4933</v>
      </c>
      <c r="D73" s="166" t="s">
        <v>4934</v>
      </c>
      <c r="E73" s="242" t="s">
        <v>446</v>
      </c>
      <c r="F73" s="169">
        <v>9</v>
      </c>
      <c r="G73" s="243" t="s">
        <v>4935</v>
      </c>
      <c r="H73" s="89">
        <v>12000000</v>
      </c>
      <c r="I73" s="89" t="str">
        <f>IF($H73&lt;='Abbrev Key'!$A$2,'Abbrev Key'!$B$2,IF($H73&lt;='Abbrev Key'!$A$3,'Abbrev Key'!$B$3,IF($H73&lt;='Abbrev Key'!$A$4,'Abbrev Key'!$B$4,IF($H73&lt;='Abbrev Key'!$A$5,'Abbrev Key'!$B$5,IF($H73&lt;='Abbrev Key'!$A$6,'Abbrev Key'!$B$6,IF($H73&gt;='Abbrev Key'!$A$7,'Abbrev Key'!$B$7,IF($H73='Abbrev Key'!$A$8,'Abbrev Key'!$B$8,"")))))))</f>
        <v>A</v>
      </c>
      <c r="J73" s="17" t="s">
        <v>11880</v>
      </c>
      <c r="K73" s="92" t="s">
        <v>646</v>
      </c>
      <c r="L73" s="398">
        <v>236015.78</v>
      </c>
      <c r="M73" s="403">
        <f t="shared" si="3"/>
        <v>1.9667981666666667E-2</v>
      </c>
      <c r="N73" s="23" t="s">
        <v>2765</v>
      </c>
      <c r="O73" s="23"/>
      <c r="P73" s="167" t="s">
        <v>4287</v>
      </c>
      <c r="Q73" s="392">
        <v>42458</v>
      </c>
      <c r="R73" s="392">
        <v>42457</v>
      </c>
      <c r="S73" s="392" t="str">
        <f>_xlfn.IFNA(VLOOKUP(B73,'[1]VLOOKUP NO DUPS'!$A$1:$C$456,2,FALSE),"")</f>
        <v>03/22/2016</v>
      </c>
      <c r="T73" s="168" t="str">
        <f>_xlfn.IFNA(VLOOKUP(B73,'[1]VLOOKUP NO DUPS'!$A$1:$C$456,3,FALSE),"")</f>
        <v>Bottini &amp; Bottini, Inc.; Bragar Eagel &amp; Squire, PC; Bronstein, Gewirtz &amp; Grossman, LLC; Glancy Prongay &amp; Murray, LLP; Goldberg Law PC; Pomerantz LLP; Robbins, Geller, Rudman &amp; Dowd, LLP; Stull, Stull &amp; Brody</v>
      </c>
      <c r="U73" s="92"/>
      <c r="V73" s="92"/>
      <c r="W73" s="92"/>
    </row>
    <row r="74" spans="1:23" s="91" customFormat="1" ht="45" x14ac:dyDescent="0.25">
      <c r="A74" s="165" t="str">
        <f t="shared" si="2"/>
        <v/>
      </c>
      <c r="B74" s="23" t="s">
        <v>791</v>
      </c>
      <c r="C74" s="23" t="s">
        <v>4333</v>
      </c>
      <c r="D74" s="166" t="s">
        <v>4334</v>
      </c>
      <c r="E74" s="242" t="s">
        <v>424</v>
      </c>
      <c r="F74" s="169">
        <v>3</v>
      </c>
      <c r="G74" s="243" t="s">
        <v>4335</v>
      </c>
      <c r="H74" s="89">
        <v>25000000</v>
      </c>
      <c r="I74" s="89" t="str">
        <f>IF($H74&lt;='Abbrev Key'!$A$2,'Abbrev Key'!$B$2,IF($H74&lt;='Abbrev Key'!$A$3,'Abbrev Key'!$B$3,IF($H74&lt;='Abbrev Key'!$A$4,'Abbrev Key'!$B$4,IF($H74&lt;='Abbrev Key'!$A$5,'Abbrev Key'!$B$5,IF($H74&lt;='Abbrev Key'!$A$6,'Abbrev Key'!$B$6,IF($H74&gt;='Abbrev Key'!$A$7,'Abbrev Key'!$B$7,IF($H74='Abbrev Key'!$A$8,'Abbrev Key'!$B$8,"")))))))</f>
        <v>A</v>
      </c>
      <c r="J74" s="17" t="s">
        <v>11787</v>
      </c>
      <c r="K74" s="23" t="s">
        <v>646</v>
      </c>
      <c r="L74" s="398">
        <v>65659.67</v>
      </c>
      <c r="M74" s="403">
        <f t="shared" si="3"/>
        <v>2.6263867999999999E-3</v>
      </c>
      <c r="N74" s="23" t="s">
        <v>797</v>
      </c>
      <c r="O74" s="23"/>
      <c r="P74" s="167" t="s">
        <v>4408</v>
      </c>
      <c r="Q74" s="392">
        <v>42451</v>
      </c>
      <c r="R74" s="392">
        <v>42450</v>
      </c>
      <c r="S74" s="392" t="str">
        <f>_xlfn.IFNA(VLOOKUP(B74,'[1]VLOOKUP NO DUPS'!$A$1:$C$456,2,FALSE),"")</f>
        <v>03/25/2016</v>
      </c>
      <c r="T74" s="168" t="str">
        <f>_xlfn.IFNA(VLOOKUP(B74,'[1]VLOOKUP NO DUPS'!$A$1:$C$456,3,FALSE),"")</f>
        <v>Glancy Prongay &amp; Murray, LLP</v>
      </c>
      <c r="U74" s="92"/>
      <c r="V74" s="92"/>
      <c r="W74" s="92"/>
    </row>
    <row r="75" spans="1:23" s="91" customFormat="1" x14ac:dyDescent="0.25">
      <c r="A75" s="165" t="str">
        <f t="shared" si="2"/>
        <v/>
      </c>
      <c r="B75" s="23" t="s">
        <v>1957</v>
      </c>
      <c r="C75" s="23" t="s">
        <v>4649</v>
      </c>
      <c r="D75" s="166" t="s">
        <v>4650</v>
      </c>
      <c r="E75" s="242" t="s">
        <v>418</v>
      </c>
      <c r="F75" s="169">
        <v>2</v>
      </c>
      <c r="G75" s="243" t="s">
        <v>4651</v>
      </c>
      <c r="H75" s="89">
        <v>36000000</v>
      </c>
      <c r="I75" s="89" t="str">
        <f>IF($H75&lt;='Abbrev Key'!$A$2,'Abbrev Key'!$B$2,IF($H75&lt;='Abbrev Key'!$A$3,'Abbrev Key'!$B$3,IF($H75&lt;='Abbrev Key'!$A$4,'Abbrev Key'!$B$4,IF($H75&lt;='Abbrev Key'!$A$5,'Abbrev Key'!$B$5,IF($H75&lt;='Abbrev Key'!$A$6,'Abbrev Key'!$B$6,IF($H75&gt;='Abbrev Key'!$A$7,'Abbrev Key'!$B$7,IF($H75='Abbrev Key'!$A$8,'Abbrev Key'!$B$8,"")))))))</f>
        <v>B</v>
      </c>
      <c r="J75" s="17" t="s">
        <v>1958</v>
      </c>
      <c r="K75" s="92" t="s">
        <v>637</v>
      </c>
      <c r="L75" s="398">
        <v>17347.27</v>
      </c>
      <c r="M75" s="403">
        <f t="shared" si="3"/>
        <v>4.8186861111111114E-4</v>
      </c>
      <c r="N75" s="92" t="s">
        <v>4359</v>
      </c>
      <c r="O75" s="92"/>
      <c r="P75" s="167" t="s">
        <v>4295</v>
      </c>
      <c r="Q75" s="392">
        <v>42436</v>
      </c>
      <c r="R75" s="392">
        <v>42435</v>
      </c>
      <c r="S75" s="392" t="str">
        <f>_xlfn.IFNA(VLOOKUP(B75,'[1]VLOOKUP NO DUPS'!$A$1:$C$456,2,FALSE),"")</f>
        <v>03/25/2016</v>
      </c>
      <c r="T75" s="168" t="str">
        <f>_xlfn.IFNA(VLOOKUP(B75,'[1]VLOOKUP NO DUPS'!$A$1:$C$456,3,FALSE),"")</f>
        <v>Goldberg Law PC; Pomerantz LLP</v>
      </c>
      <c r="U75" s="92"/>
      <c r="V75" s="92"/>
      <c r="W75" s="92"/>
    </row>
    <row r="76" spans="1:23" s="91" customFormat="1" ht="60" x14ac:dyDescent="0.25">
      <c r="A76" s="165" t="str">
        <f t="shared" si="2"/>
        <v/>
      </c>
      <c r="B76" s="23" t="s">
        <v>30</v>
      </c>
      <c r="C76" s="23" t="s">
        <v>5063</v>
      </c>
      <c r="D76" s="166" t="s">
        <v>5064</v>
      </c>
      <c r="E76" s="242" t="s">
        <v>443</v>
      </c>
      <c r="F76" s="169">
        <v>9</v>
      </c>
      <c r="G76" s="243" t="s">
        <v>5065</v>
      </c>
      <c r="H76" s="89">
        <v>3000000000</v>
      </c>
      <c r="I76" s="89" t="str">
        <f>IF($H76&lt;='Abbrev Key'!$A$2,'Abbrev Key'!$B$2,IF($H76&lt;='Abbrev Key'!$A$3,'Abbrev Key'!$B$3,IF($H76&lt;='Abbrev Key'!$A$4,'Abbrev Key'!$B$4,IF($H76&lt;='Abbrev Key'!$A$5,'Abbrev Key'!$B$5,IF($H76&lt;='Abbrev Key'!$A$6,'Abbrev Key'!$B$6,IF($H76&gt;='Abbrev Key'!$A$7,'Abbrev Key'!$B$7,IF($H76='Abbrev Key'!$A$8,'Abbrev Key'!$B$8,"")))))))</f>
        <v>F</v>
      </c>
      <c r="J76" s="23" t="s">
        <v>11887</v>
      </c>
      <c r="K76" s="23" t="s">
        <v>640</v>
      </c>
      <c r="L76" s="398">
        <v>3108874.39</v>
      </c>
      <c r="M76" s="403">
        <f t="shared" si="3"/>
        <v>1.0362914633333335E-3</v>
      </c>
      <c r="N76" s="23" t="s">
        <v>10808</v>
      </c>
      <c r="O76" s="23"/>
      <c r="P76" s="167" t="s">
        <v>4287</v>
      </c>
      <c r="Q76" s="392">
        <v>42019</v>
      </c>
      <c r="R76" s="392">
        <v>42018</v>
      </c>
      <c r="S76" s="392" t="str">
        <f>_xlfn.IFNA(VLOOKUP(B76,'[1]VLOOKUP NO DUPS'!$A$1:$C$456,2,FALSE),"")</f>
        <v>03/25/2016</v>
      </c>
      <c r="T76" s="168" t="str">
        <f>_xlfn.IFNA(VLOOKUP(B76,'[1]VLOOKUP NO DUPS'!$A$1:$C$456,3,FALSE),"")</f>
        <v>Glancy Prongay &amp; Murray, LLP; Ransom, Gilbertson, Martin &amp; Ratliff LLP</v>
      </c>
      <c r="U76" s="92"/>
      <c r="V76" s="92"/>
      <c r="W76" s="92"/>
    </row>
    <row r="77" spans="1:23" s="91" customFormat="1" ht="45" x14ac:dyDescent="0.25">
      <c r="A77" s="165" t="str">
        <f t="shared" si="2"/>
        <v/>
      </c>
      <c r="B77" s="23" t="s">
        <v>1669</v>
      </c>
      <c r="C77" s="23" t="s">
        <v>4553</v>
      </c>
      <c r="D77" s="166" t="s">
        <v>4554</v>
      </c>
      <c r="E77" s="242" t="s">
        <v>603</v>
      </c>
      <c r="F77" s="169">
        <v>11</v>
      </c>
      <c r="G77" s="243" t="s">
        <v>4555</v>
      </c>
      <c r="H77" s="89">
        <v>4500000</v>
      </c>
      <c r="I77" s="89" t="str">
        <f>IF($H77&lt;='Abbrev Key'!$A$2,'Abbrev Key'!$B$2,IF($H77&lt;='Abbrev Key'!$A$3,'Abbrev Key'!$B$3,IF($H77&lt;='Abbrev Key'!$A$4,'Abbrev Key'!$B$4,IF($H77&lt;='Abbrev Key'!$A$5,'Abbrev Key'!$B$5,IF($H77&lt;='Abbrev Key'!$A$6,'Abbrev Key'!$B$6,IF($H77&gt;='Abbrev Key'!$A$7,'Abbrev Key'!$B$7,IF($H77='Abbrev Key'!$A$8,'Abbrev Key'!$B$8,"")))))))</f>
        <v>A</v>
      </c>
      <c r="J77" s="17" t="s">
        <v>11815</v>
      </c>
      <c r="K77" s="23" t="s">
        <v>646</v>
      </c>
      <c r="L77" s="398">
        <v>305834.07</v>
      </c>
      <c r="M77" s="403">
        <f t="shared" si="3"/>
        <v>6.7963126666666665E-2</v>
      </c>
      <c r="N77" s="92" t="s">
        <v>682</v>
      </c>
      <c r="O77" s="92"/>
      <c r="P77" s="167" t="s">
        <v>4408</v>
      </c>
      <c r="Q77" s="392">
        <v>42463</v>
      </c>
      <c r="R77" s="392">
        <v>42462</v>
      </c>
      <c r="S77" s="392" t="str">
        <f>_xlfn.IFNA(VLOOKUP(B77,'[1]VLOOKUP NO DUPS'!$A$1:$C$456,2,FALSE),"")</f>
        <v>03/29/2016</v>
      </c>
      <c r="T77" s="168" t="str">
        <f>_xlfn.IFNA(VLOOKUP(B77,'[1]VLOOKUP NO DUPS'!$A$1:$C$456,3,FALSE),"")</f>
        <v>Glancy Prongay &amp; Murray, LLP; Saxena White P.A.; The Rosen Law Firm, P.A.</v>
      </c>
      <c r="U77" s="92"/>
      <c r="V77" s="92"/>
      <c r="W77" s="92"/>
    </row>
    <row r="78" spans="1:23" s="91" customFormat="1" x14ac:dyDescent="0.25">
      <c r="A78" s="165" t="str">
        <f t="shared" si="2"/>
        <v/>
      </c>
      <c r="B78" s="23" t="s">
        <v>170</v>
      </c>
      <c r="C78" s="23" t="s">
        <v>5235</v>
      </c>
      <c r="D78" s="166" t="s">
        <v>5236</v>
      </c>
      <c r="E78" s="242" t="s">
        <v>421</v>
      </c>
      <c r="F78" s="169">
        <v>5</v>
      </c>
      <c r="G78" s="243" t="s">
        <v>5237</v>
      </c>
      <c r="H78" s="89">
        <v>825000000</v>
      </c>
      <c r="I78" s="89" t="str">
        <f>IF($H78&lt;='Abbrev Key'!$A$2,'Abbrev Key'!$B$2,IF($H78&lt;='Abbrev Key'!$A$3,'Abbrev Key'!$B$3,IF($H78&lt;='Abbrev Key'!$A$4,'Abbrev Key'!$B$4,IF($H78&lt;='Abbrev Key'!$A$5,'Abbrev Key'!$B$5,IF($H78&lt;='Abbrev Key'!$A$6,'Abbrev Key'!$B$6,IF($H78&gt;='Abbrev Key'!$A$7,'Abbrev Key'!$B$7,IF($H78='Abbrev Key'!$A$8,'Abbrev Key'!$B$8,"")))))))</f>
        <v>F</v>
      </c>
      <c r="J78" s="17" t="s">
        <v>355</v>
      </c>
      <c r="K78" s="23" t="s">
        <v>633</v>
      </c>
      <c r="L78" s="398">
        <v>2096045.22</v>
      </c>
      <c r="M78" s="403">
        <f t="shared" si="3"/>
        <v>2.5406608727272725E-3</v>
      </c>
      <c r="N78" s="23" t="s">
        <v>3660</v>
      </c>
      <c r="O78" s="23"/>
      <c r="P78" s="167" t="s">
        <v>4295</v>
      </c>
      <c r="Q78" s="392">
        <v>42347</v>
      </c>
      <c r="R78" s="392">
        <v>42346</v>
      </c>
      <c r="S78" s="392" t="str">
        <f>_xlfn.IFNA(VLOOKUP(B78,'[1]VLOOKUP NO DUPS'!$A$1:$C$456,2,FALSE),"")</f>
        <v>03/29/2016</v>
      </c>
      <c r="T78" s="168" t="str">
        <f>_xlfn.IFNA(VLOOKUP(B78,'[1]VLOOKUP NO DUPS'!$A$1:$C$456,3,FALSE),"")</f>
        <v>The Bilek Law Firm LLP; The Miller Law Firm, P.C.; Wolf Haldenstein Adler Freeman &amp; Herz LLP</v>
      </c>
      <c r="U78" s="92"/>
      <c r="V78" s="92"/>
      <c r="W78" s="92"/>
    </row>
    <row r="79" spans="1:23" s="91" customFormat="1" ht="60" x14ac:dyDescent="0.25">
      <c r="A79" s="165" t="str">
        <f t="shared" si="2"/>
        <v/>
      </c>
      <c r="B79" s="23" t="s">
        <v>3118</v>
      </c>
      <c r="C79" s="23" t="s">
        <v>5050</v>
      </c>
      <c r="D79" s="166" t="s">
        <v>5051</v>
      </c>
      <c r="E79" s="242" t="s">
        <v>603</v>
      </c>
      <c r="F79" s="169">
        <v>11</v>
      </c>
      <c r="G79" s="243" t="s">
        <v>5052</v>
      </c>
      <c r="H79" s="89">
        <v>100000000</v>
      </c>
      <c r="I79" s="89" t="str">
        <f>IF($H79&lt;='Abbrev Key'!$A$2,'Abbrev Key'!$B$2,IF($H79&lt;='Abbrev Key'!$A$3,'Abbrev Key'!$B$3,IF($H79&lt;='Abbrev Key'!$A$4,'Abbrev Key'!$B$4,IF($H79&lt;='Abbrev Key'!$A$5,'Abbrev Key'!$B$5,IF($H79&lt;='Abbrev Key'!$A$6,'Abbrev Key'!$B$6,IF($H79&gt;='Abbrev Key'!$A$7,'Abbrev Key'!$B$7,IF($H79='Abbrev Key'!$A$8,'Abbrev Key'!$B$8,"")))))))</f>
        <v>C</v>
      </c>
      <c r="J79" s="92" t="s">
        <v>11959</v>
      </c>
      <c r="K79" s="92" t="s">
        <v>646</v>
      </c>
      <c r="L79" s="398">
        <f>20447.6+8625</f>
        <v>29072.6</v>
      </c>
      <c r="M79" s="403">
        <f t="shared" si="3"/>
        <v>2.9072599999999999E-4</v>
      </c>
      <c r="N79" s="92" t="s">
        <v>5053</v>
      </c>
      <c r="O79" s="92" t="s">
        <v>11197</v>
      </c>
      <c r="P79" s="167" t="s">
        <v>4295</v>
      </c>
      <c r="Q79" s="392">
        <v>42443</v>
      </c>
      <c r="R79" s="392">
        <v>42442</v>
      </c>
      <c r="S79" s="392" t="str">
        <f>_xlfn.IFNA(VLOOKUP(B79,'[1]VLOOKUP NO DUPS'!$A$1:$C$456,2,FALSE),"")</f>
        <v>03/30/2016</v>
      </c>
      <c r="T79" s="168" t="str">
        <f>_xlfn.IFNA(VLOOKUP(B79,'[1]VLOOKUP NO DUPS'!$A$1:$C$456,3,FALSE),"")</f>
        <v>Goldberg Law PC; Pomerantz LLP</v>
      </c>
      <c r="U79" s="92"/>
      <c r="V79" s="92"/>
      <c r="W79" s="92"/>
    </row>
    <row r="80" spans="1:23" s="91" customFormat="1" ht="30" x14ac:dyDescent="0.25">
      <c r="A80" s="165" t="str">
        <f t="shared" si="2"/>
        <v/>
      </c>
      <c r="B80" s="23" t="s">
        <v>96</v>
      </c>
      <c r="C80" s="23" t="s">
        <v>4405</v>
      </c>
      <c r="D80" s="166" t="s">
        <v>4406</v>
      </c>
      <c r="E80" s="242" t="s">
        <v>418</v>
      </c>
      <c r="F80" s="169">
        <v>2</v>
      </c>
      <c r="G80" s="243" t="s">
        <v>4407</v>
      </c>
      <c r="H80" s="89">
        <v>450000000</v>
      </c>
      <c r="I80" s="89" t="str">
        <f>IF($H80&lt;='Abbrev Key'!$A$2,'Abbrev Key'!$B$2,IF($H80&lt;='Abbrev Key'!$A$3,'Abbrev Key'!$B$3,IF($H80&lt;='Abbrev Key'!$A$4,'Abbrev Key'!$B$4,IF($H80&lt;='Abbrev Key'!$A$5,'Abbrev Key'!$B$5,IF($H80&lt;='Abbrev Key'!$A$6,'Abbrev Key'!$B$6,IF($H80&gt;='Abbrev Key'!$A$7,'Abbrev Key'!$B$7,IF($H80='Abbrev Key'!$A$8,'Abbrev Key'!$B$8,"")))))))</f>
        <v>E</v>
      </c>
      <c r="J80" s="17" t="s">
        <v>11793</v>
      </c>
      <c r="K80" s="23" t="s">
        <v>640</v>
      </c>
      <c r="L80" s="398">
        <v>117721</v>
      </c>
      <c r="M80" s="403">
        <f t="shared" si="3"/>
        <v>2.6160222222222223E-4</v>
      </c>
      <c r="N80" s="23" t="s">
        <v>1057</v>
      </c>
      <c r="O80" s="23"/>
      <c r="P80" s="167" t="s">
        <v>4408</v>
      </c>
      <c r="Q80" s="392">
        <v>42405</v>
      </c>
      <c r="R80" s="392">
        <v>42404</v>
      </c>
      <c r="S80" s="392" t="str">
        <f>_xlfn.IFNA(VLOOKUP(B80,'[1]VLOOKUP NO DUPS'!$A$1:$C$456,2,FALSE),"")</f>
        <v>03/31/2016</v>
      </c>
      <c r="T80" s="168" t="str">
        <f>_xlfn.IFNA(VLOOKUP(B80,'[1]VLOOKUP NO DUPS'!$A$1:$C$456,3,FALSE),"")</f>
        <v>Law Offices of Curtis V. Trinko; Saxena White P.A.</v>
      </c>
      <c r="U80" s="92"/>
      <c r="V80" s="92"/>
      <c r="W80" s="92"/>
    </row>
    <row r="81" spans="1:23" s="91" customFormat="1" ht="30" x14ac:dyDescent="0.25">
      <c r="A81" s="165" t="str">
        <f t="shared" si="2"/>
        <v/>
      </c>
      <c r="B81" s="23" t="s">
        <v>3727</v>
      </c>
      <c r="C81" s="23" t="s">
        <v>5266</v>
      </c>
      <c r="D81" s="166" t="s">
        <v>5267</v>
      </c>
      <c r="E81" s="242" t="s">
        <v>817</v>
      </c>
      <c r="F81" s="169">
        <v>4</v>
      </c>
      <c r="G81" s="243" t="s">
        <v>5268</v>
      </c>
      <c r="H81" s="89">
        <v>25000000</v>
      </c>
      <c r="I81" s="89" t="str">
        <f>IF($H81&lt;='Abbrev Key'!$A$2,'Abbrev Key'!$B$2,IF($H81&lt;='Abbrev Key'!$A$3,'Abbrev Key'!$B$3,IF($H81&lt;='Abbrev Key'!$A$4,'Abbrev Key'!$B$4,IF($H81&lt;='Abbrev Key'!$A$5,'Abbrev Key'!$B$5,IF($H81&lt;='Abbrev Key'!$A$6,'Abbrev Key'!$B$6,IF($H81&gt;='Abbrev Key'!$A$7,'Abbrev Key'!$B$7,IF($H81='Abbrev Key'!$A$8,'Abbrev Key'!$B$8,"")))))))</f>
        <v>A</v>
      </c>
      <c r="J81" s="17" t="s">
        <v>11919</v>
      </c>
      <c r="K81" s="23" t="s">
        <v>646</v>
      </c>
      <c r="L81" s="398">
        <v>63148</v>
      </c>
      <c r="M81" s="403">
        <f t="shared" si="3"/>
        <v>2.5259200000000001E-3</v>
      </c>
      <c r="N81" s="23" t="s">
        <v>3730</v>
      </c>
      <c r="O81" s="23"/>
      <c r="P81" s="167" t="s">
        <v>4408</v>
      </c>
      <c r="Q81" s="392">
        <v>42444</v>
      </c>
      <c r="R81" s="392">
        <v>42443</v>
      </c>
      <c r="S81" s="392" t="str">
        <f>_xlfn.IFNA(VLOOKUP(B81,'[1]VLOOKUP NO DUPS'!$A$1:$C$456,2,FALSE),"")</f>
        <v>04/04/2016</v>
      </c>
      <c r="T81" s="168" t="str">
        <f>_xlfn.IFNA(VLOOKUP(B81,'[1]VLOOKUP NO DUPS'!$A$1:$C$456,3,FALSE),"")</f>
        <v>Bronstein, Gewirtz &amp; Grossman, LLC; Cohen Milstein Sellers &amp; Toll PLLC; Pomerantz LLP</v>
      </c>
      <c r="U81" s="92"/>
      <c r="V81" s="92"/>
      <c r="W81" s="92"/>
    </row>
    <row r="82" spans="1:23" s="91" customFormat="1" ht="45" x14ac:dyDescent="0.25">
      <c r="A82" s="165" t="str">
        <f t="shared" si="2"/>
        <v/>
      </c>
      <c r="B82" s="23" t="s">
        <v>3113</v>
      </c>
      <c r="C82" s="23" t="s">
        <v>5047</v>
      </c>
      <c r="D82" s="166" t="s">
        <v>5048</v>
      </c>
      <c r="E82" s="242" t="s">
        <v>418</v>
      </c>
      <c r="F82" s="169">
        <v>2</v>
      </c>
      <c r="G82" s="243" t="s">
        <v>5049</v>
      </c>
      <c r="H82" s="89">
        <v>25000000</v>
      </c>
      <c r="I82" s="89" t="str">
        <f>IF($H82&lt;='Abbrev Key'!$A$2,'Abbrev Key'!$B$2,IF($H82&lt;='Abbrev Key'!$A$3,'Abbrev Key'!$B$3,IF($H82&lt;='Abbrev Key'!$A$4,'Abbrev Key'!$B$4,IF($H82&lt;='Abbrev Key'!$A$5,'Abbrev Key'!$B$5,IF($H82&lt;='Abbrev Key'!$A$6,'Abbrev Key'!$B$6,IF($H82&gt;='Abbrev Key'!$A$7,'Abbrev Key'!$B$7,IF($H82='Abbrev Key'!$A$8,'Abbrev Key'!$B$8,"")))))))</f>
        <v>A</v>
      </c>
      <c r="J82" s="17" t="s">
        <v>3116</v>
      </c>
      <c r="K82" s="23" t="s">
        <v>637</v>
      </c>
      <c r="L82" s="398">
        <v>150</v>
      </c>
      <c r="M82" s="403">
        <f t="shared" si="3"/>
        <v>6.0000000000000002E-6</v>
      </c>
      <c r="N82" s="92" t="s">
        <v>79</v>
      </c>
      <c r="O82" s="92"/>
      <c r="P82" s="167" t="s">
        <v>4295</v>
      </c>
      <c r="Q82" s="392">
        <v>42457</v>
      </c>
      <c r="R82" s="392">
        <v>42456</v>
      </c>
      <c r="S82" s="392" t="str">
        <f>_xlfn.IFNA(VLOOKUP(B82,'[1]VLOOKUP NO DUPS'!$A$1:$C$456,2,FALSE),"")</f>
        <v>04/15/2016</v>
      </c>
      <c r="T82" s="168" t="str">
        <f>_xlfn.IFNA(VLOOKUP(B82,'[1]VLOOKUP NO DUPS'!$A$1:$C$456,3,FALSE),"")</f>
        <v>Bronstein, Gewirtz &amp; Grossman, LLC; Pomerantz LLP</v>
      </c>
      <c r="U82" s="92"/>
      <c r="V82" s="92"/>
      <c r="W82" s="92"/>
    </row>
    <row r="83" spans="1:23" s="91" customFormat="1" x14ac:dyDescent="0.25">
      <c r="A83" s="165" t="str">
        <f t="shared" si="2"/>
        <v/>
      </c>
      <c r="B83" s="17" t="s">
        <v>262</v>
      </c>
      <c r="C83" s="17" t="s">
        <v>4321</v>
      </c>
      <c r="D83" s="242" t="s">
        <v>4322</v>
      </c>
      <c r="E83" s="242" t="s">
        <v>409</v>
      </c>
      <c r="F83" s="169">
        <v>1</v>
      </c>
      <c r="G83" s="243" t="s">
        <v>4323</v>
      </c>
      <c r="H83" s="89">
        <v>500000000</v>
      </c>
      <c r="I83" s="89" t="str">
        <f>IF($H83&lt;='Abbrev Key'!$A$2,'Abbrev Key'!$B$2,IF($H83&lt;='Abbrev Key'!$A$3,'Abbrev Key'!$B$3,IF($H83&lt;='Abbrev Key'!$A$4,'Abbrev Key'!$B$4,IF($H83&lt;='Abbrev Key'!$A$5,'Abbrev Key'!$B$5,IF($H83&lt;='Abbrev Key'!$A$6,'Abbrev Key'!$B$6,IF($H83&gt;='Abbrev Key'!$A$7,'Abbrev Key'!$B$7,IF($H83='Abbrev Key'!$A$8,'Abbrev Key'!$B$8,"")))))))</f>
        <v>E</v>
      </c>
      <c r="J83" s="17" t="s">
        <v>11773</v>
      </c>
      <c r="K83" s="17" t="s">
        <v>640</v>
      </c>
      <c r="L83" s="399">
        <v>9679399.5899999999</v>
      </c>
      <c r="M83" s="404">
        <f t="shared" si="3"/>
        <v>1.935879918E-2</v>
      </c>
      <c r="N83" s="17" t="s">
        <v>714</v>
      </c>
      <c r="O83" s="17"/>
      <c r="P83" s="167" t="s">
        <v>4287</v>
      </c>
      <c r="Q83" s="394">
        <v>42711</v>
      </c>
      <c r="R83" s="392">
        <v>42710</v>
      </c>
      <c r="S83" s="392" t="str">
        <f>_xlfn.IFNA(VLOOKUP(B83,'[1]VLOOKUP NO DUPS'!$A$1:$C$456,2,FALSE),"")</f>
        <v>04/21/2016</v>
      </c>
      <c r="T83" s="168" t="str">
        <f>_xlfn.IFNA(VLOOKUP(B83,'[1]VLOOKUP NO DUPS'!$A$1:$C$456,3,FALSE),"")</f>
        <v>Block &amp; Leviton LLP; Glancy Prongay &amp; Murray, LLP; Pomerantz LLP</v>
      </c>
      <c r="U83" s="14"/>
      <c r="V83" s="14"/>
      <c r="W83" s="14"/>
    </row>
    <row r="84" spans="1:23" s="91" customFormat="1" ht="30" x14ac:dyDescent="0.25">
      <c r="A84" s="165" t="str">
        <f t="shared" si="2"/>
        <v/>
      </c>
      <c r="B84" s="23" t="s">
        <v>10</v>
      </c>
      <c r="C84" s="23" t="s">
        <v>4655</v>
      </c>
      <c r="D84" s="166" t="s">
        <v>4656</v>
      </c>
      <c r="E84" s="242" t="s">
        <v>424</v>
      </c>
      <c r="F84" s="169">
        <v>3</v>
      </c>
      <c r="G84" s="243" t="s">
        <v>4657</v>
      </c>
      <c r="H84" s="89">
        <v>3000000</v>
      </c>
      <c r="I84" s="89" t="str">
        <f>IF($H84&lt;='Abbrev Key'!$A$2,'Abbrev Key'!$B$2,IF($H84&lt;='Abbrev Key'!$A$3,'Abbrev Key'!$B$3,IF($H84&lt;='Abbrev Key'!$A$4,'Abbrev Key'!$B$4,IF($H84&lt;='Abbrev Key'!$A$5,'Abbrev Key'!$B$5,IF($H84&lt;='Abbrev Key'!$A$6,'Abbrev Key'!$B$6,IF($H84&gt;='Abbrev Key'!$A$7,'Abbrev Key'!$B$7,IF($H84='Abbrev Key'!$A$8,'Abbrev Key'!$B$8,"")))))))</f>
        <v>A</v>
      </c>
      <c r="J84" s="17" t="s">
        <v>6</v>
      </c>
      <c r="K84" s="23" t="s">
        <v>633</v>
      </c>
      <c r="L84" s="398">
        <v>555860.24</v>
      </c>
      <c r="M84" s="403">
        <f t="shared" si="3"/>
        <v>0.18528674666666667</v>
      </c>
      <c r="N84" s="23" t="s">
        <v>1988</v>
      </c>
      <c r="O84" s="23"/>
      <c r="P84" s="167" t="s">
        <v>4287</v>
      </c>
      <c r="Q84" s="392">
        <v>42319</v>
      </c>
      <c r="R84" s="392">
        <v>42318</v>
      </c>
      <c r="S84" s="392" t="str">
        <f>_xlfn.IFNA(VLOOKUP(B84,'[1]VLOOKUP NO DUPS'!$A$1:$C$456,2,FALSE),"")</f>
        <v>04/21/2016</v>
      </c>
      <c r="T84" s="168" t="str">
        <f>_xlfn.IFNA(VLOOKUP(B84,'[1]VLOOKUP NO DUPS'!$A$1:$C$456,3,FALSE),"")</f>
        <v>Carella, Byrne, Cecchi, Olstein, Brody &amp; Agnello P.C.; Johnson &amp; Weaver LLP; Robbins, Geller, Rudman &amp; Dowd, LLP</v>
      </c>
      <c r="U84" s="92"/>
      <c r="V84" s="92"/>
      <c r="W84" s="92"/>
    </row>
    <row r="85" spans="1:23" s="91" customFormat="1" ht="75" x14ac:dyDescent="0.25">
      <c r="A85" s="165" t="str">
        <f t="shared" si="2"/>
        <v/>
      </c>
      <c r="B85" s="23" t="s">
        <v>2236</v>
      </c>
      <c r="C85" s="23" t="s">
        <v>4733</v>
      </c>
      <c r="D85" s="166" t="s">
        <v>4734</v>
      </c>
      <c r="E85" s="242" t="s">
        <v>437</v>
      </c>
      <c r="F85" s="169">
        <v>3</v>
      </c>
      <c r="G85" s="243" t="s">
        <v>4735</v>
      </c>
      <c r="H85" s="89">
        <v>225000000</v>
      </c>
      <c r="I85" s="89" t="str">
        <f>IF($H85&lt;='Abbrev Key'!$A$2,'Abbrev Key'!$B$2,IF($H85&lt;='Abbrev Key'!$A$3,'Abbrev Key'!$B$3,IF($H85&lt;='Abbrev Key'!$A$4,'Abbrev Key'!$B$4,IF($H85&lt;='Abbrev Key'!$A$5,'Abbrev Key'!$B$5,IF($H85&lt;='Abbrev Key'!$A$6,'Abbrev Key'!$B$6,IF($H85&gt;='Abbrev Key'!$A$7,'Abbrev Key'!$B$7,IF($H85='Abbrev Key'!$A$8,'Abbrev Key'!$B$8,"")))))))</f>
        <v>D</v>
      </c>
      <c r="J85" s="23" t="s">
        <v>11992</v>
      </c>
      <c r="K85" s="23" t="s">
        <v>662</v>
      </c>
      <c r="L85" s="398">
        <v>453447.1</v>
      </c>
      <c r="M85" s="403">
        <f t="shared" si="3"/>
        <v>2.0153204444444445E-3</v>
      </c>
      <c r="N85" s="23" t="s">
        <v>11047</v>
      </c>
      <c r="O85" s="23"/>
      <c r="P85" s="167" t="s">
        <v>4287</v>
      </c>
      <c r="Q85" s="392">
        <v>42402</v>
      </c>
      <c r="R85" s="392">
        <v>42401</v>
      </c>
      <c r="S85" s="392" t="str">
        <f>_xlfn.IFNA(VLOOKUP(B85,'[1]VLOOKUP NO DUPS'!$A$1:$C$456,2,FALSE),"")</f>
        <v>04/22/2016</v>
      </c>
      <c r="T85" s="168" t="str">
        <f>_xlfn.IFNA(VLOOKUP(B85,'[1]VLOOKUP NO DUPS'!$A$1:$C$456,3,FALSE),"")</f>
        <v>Andrews &amp; Springer, LLC; Bronstein, Gewirtz &amp; Grossman, LLC; Pomerantz LLP; Robbins, Geller, Rudman &amp; Dowd, LLP</v>
      </c>
      <c r="U85" s="92"/>
      <c r="V85" s="92"/>
      <c r="W85" s="92"/>
    </row>
    <row r="86" spans="1:23" s="91" customFormat="1" ht="30" x14ac:dyDescent="0.25">
      <c r="A86" s="165" t="str">
        <f t="shared" si="2"/>
        <v/>
      </c>
      <c r="B86" s="23" t="s">
        <v>2534</v>
      </c>
      <c r="C86" s="23" t="s">
        <v>4841</v>
      </c>
      <c r="D86" s="166" t="s">
        <v>4842</v>
      </c>
      <c r="E86" s="242" t="s">
        <v>418</v>
      </c>
      <c r="F86" s="169">
        <v>2</v>
      </c>
      <c r="G86" s="243" t="s">
        <v>4843</v>
      </c>
      <c r="H86" s="89">
        <v>285000000</v>
      </c>
      <c r="I86" s="89" t="str">
        <f>IF($H86&lt;='Abbrev Key'!$A$2,'Abbrev Key'!$B$2,IF($H86&lt;='Abbrev Key'!$A$3,'Abbrev Key'!$B$3,IF($H86&lt;='Abbrev Key'!$A$4,'Abbrev Key'!$B$4,IF($H86&lt;='Abbrev Key'!$A$5,'Abbrev Key'!$B$5,IF($H86&lt;='Abbrev Key'!$A$6,'Abbrev Key'!$B$6,IF($H86&gt;='Abbrev Key'!$A$7,'Abbrev Key'!$B$7,IF($H86='Abbrev Key'!$A$8,'Abbrev Key'!$B$8,"")))))))</f>
        <v>E</v>
      </c>
      <c r="J86" s="17" t="s">
        <v>2535</v>
      </c>
      <c r="K86" s="92" t="s">
        <v>633</v>
      </c>
      <c r="L86" s="398">
        <v>197110</v>
      </c>
      <c r="M86" s="403">
        <f t="shared" si="3"/>
        <v>6.9161403508771931E-4</v>
      </c>
      <c r="N86" s="92" t="s">
        <v>309</v>
      </c>
      <c r="O86" s="92"/>
      <c r="P86" s="167" t="s">
        <v>4295</v>
      </c>
      <c r="Q86" s="392">
        <v>42424</v>
      </c>
      <c r="R86" s="392">
        <v>42423</v>
      </c>
      <c r="S86" s="392" t="str">
        <f>_xlfn.IFNA(VLOOKUP(B86,'[1]VLOOKUP NO DUPS'!$A$1:$C$456,2,FALSE),"")</f>
        <v>04/25/2016</v>
      </c>
      <c r="T86" s="168" t="str">
        <f>_xlfn.IFNA(VLOOKUP(B86,'[1]VLOOKUP NO DUPS'!$A$1:$C$456,3,FALSE),"")</f>
        <v>Robbins, Geller, Rudman &amp; Dowd, LLP</v>
      </c>
      <c r="U86" s="92"/>
      <c r="V86" s="92"/>
      <c r="W86" s="92"/>
    </row>
    <row r="87" spans="1:23" s="91" customFormat="1" ht="30" x14ac:dyDescent="0.25">
      <c r="A87" s="165" t="str">
        <f t="shared" si="2"/>
        <v/>
      </c>
      <c r="B87" s="23" t="s">
        <v>1545</v>
      </c>
      <c r="C87" s="23" t="s">
        <v>4512</v>
      </c>
      <c r="D87" s="166" t="s">
        <v>4513</v>
      </c>
      <c r="E87" s="242" t="s">
        <v>418</v>
      </c>
      <c r="F87" s="169">
        <v>2</v>
      </c>
      <c r="G87" s="243" t="s">
        <v>4514</v>
      </c>
      <c r="H87" s="89">
        <v>7000000</v>
      </c>
      <c r="I87" s="89" t="str">
        <f>IF($H87&lt;='Abbrev Key'!$A$2,'Abbrev Key'!$B$2,IF($H87&lt;='Abbrev Key'!$A$3,'Abbrev Key'!$B$3,IF($H87&lt;='Abbrev Key'!$A$4,'Abbrev Key'!$B$4,IF($H87&lt;='Abbrev Key'!$A$5,'Abbrev Key'!$B$5,IF($H87&lt;='Abbrev Key'!$A$6,'Abbrev Key'!$B$6,IF($H87&gt;='Abbrev Key'!$A$7,'Abbrev Key'!$B$7,IF($H87='Abbrev Key'!$A$8,'Abbrev Key'!$B$8,"")))))))</f>
        <v>A</v>
      </c>
      <c r="J87" s="92" t="s">
        <v>1547</v>
      </c>
      <c r="K87" s="92" t="s">
        <v>637</v>
      </c>
      <c r="L87" s="398">
        <v>1833.7</v>
      </c>
      <c r="M87" s="403">
        <f t="shared" si="3"/>
        <v>2.6195714285714289E-4</v>
      </c>
      <c r="N87" s="92" t="s">
        <v>4336</v>
      </c>
      <c r="O87" s="92"/>
      <c r="P87" s="167" t="s">
        <v>4295</v>
      </c>
      <c r="Q87" s="392">
        <v>42368</v>
      </c>
      <c r="R87" s="392">
        <v>42367</v>
      </c>
      <c r="S87" s="392" t="str">
        <f>_xlfn.IFNA(VLOOKUP(B87,'[1]VLOOKUP NO DUPS'!$A$1:$C$456,2,FALSE),"")</f>
        <v>04/29/2016</v>
      </c>
      <c r="T87" s="168" t="str">
        <f>_xlfn.IFNA(VLOOKUP(B87,'[1]VLOOKUP NO DUPS'!$A$1:$C$456,3,FALSE),"")</f>
        <v>The Rosen Law Firm, P.A.</v>
      </c>
      <c r="U87" s="92"/>
      <c r="V87" s="92"/>
      <c r="W87" s="92"/>
    </row>
    <row r="88" spans="1:23" s="91" customFormat="1" ht="30" x14ac:dyDescent="0.25">
      <c r="A88" s="165" t="str">
        <f t="shared" si="2"/>
        <v/>
      </c>
      <c r="B88" s="23" t="s">
        <v>1596</v>
      </c>
      <c r="C88" s="23" t="s">
        <v>10437</v>
      </c>
      <c r="D88" s="166" t="s">
        <v>4528</v>
      </c>
      <c r="E88" s="242" t="s">
        <v>446</v>
      </c>
      <c r="F88" s="169">
        <v>9</v>
      </c>
      <c r="G88" s="167" t="s">
        <v>4529</v>
      </c>
      <c r="H88" s="89">
        <v>170000000</v>
      </c>
      <c r="I88" s="89" t="str">
        <f>IF($H88&lt;='Abbrev Key'!$A$2,'Abbrev Key'!$B$2,IF($H88&lt;='Abbrev Key'!$A$3,'Abbrev Key'!$B$3,IF($H88&lt;='Abbrev Key'!$A$4,'Abbrev Key'!$B$4,IF($H88&lt;='Abbrev Key'!$A$5,'Abbrev Key'!$B$5,IF($H88&lt;='Abbrev Key'!$A$6,'Abbrev Key'!$B$6,IF($H88&gt;='Abbrev Key'!$A$7,'Abbrev Key'!$B$7,IF($H88='Abbrev Key'!$A$8,'Abbrev Key'!$B$8,"")))))))</f>
        <v>D</v>
      </c>
      <c r="J88" s="17" t="s">
        <v>1599</v>
      </c>
      <c r="K88" s="23" t="s">
        <v>633</v>
      </c>
      <c r="L88" s="398">
        <v>345280.15</v>
      </c>
      <c r="M88" s="403">
        <f t="shared" si="3"/>
        <v>2.031059705882353E-3</v>
      </c>
      <c r="N88" s="23" t="s">
        <v>1600</v>
      </c>
      <c r="O88" s="23"/>
      <c r="P88" s="167" t="s">
        <v>4287</v>
      </c>
      <c r="Q88" s="392">
        <v>42481</v>
      </c>
      <c r="R88" s="392">
        <v>42480</v>
      </c>
      <c r="S88" s="392" t="str">
        <f>_xlfn.IFNA(VLOOKUP(B88,'[1]VLOOKUP NO DUPS'!$A$1:$C$456,2,FALSE),"")</f>
        <v>04/29/2016</v>
      </c>
      <c r="T88" s="168" t="str">
        <f>_xlfn.IFNA(VLOOKUP(B88,'[1]VLOOKUP NO DUPS'!$A$1:$C$456,3,FALSE),"")</f>
        <v>Bronstein, Gewirtz &amp; Grossman, LLC; Pomerantz LLP; The Rosen Law Firm, P.A.</v>
      </c>
      <c r="U88" s="92"/>
      <c r="V88" s="92"/>
      <c r="W88" s="92"/>
    </row>
    <row r="89" spans="1:23" s="91" customFormat="1" x14ac:dyDescent="0.25">
      <c r="A89" s="165" t="str">
        <f t="shared" si="2"/>
        <v/>
      </c>
      <c r="B89" s="23" t="s">
        <v>3355</v>
      </c>
      <c r="C89" s="23" t="s">
        <v>5120</v>
      </c>
      <c r="D89" s="166" t="s">
        <v>5121</v>
      </c>
      <c r="E89" s="242" t="s">
        <v>418</v>
      </c>
      <c r="F89" s="169">
        <v>2</v>
      </c>
      <c r="G89" s="243" t="s">
        <v>5122</v>
      </c>
      <c r="H89" s="89">
        <v>20000000</v>
      </c>
      <c r="I89" s="89" t="str">
        <f>IF($H89&lt;='Abbrev Key'!$A$2,'Abbrev Key'!$B$2,IF($H89&lt;='Abbrev Key'!$A$3,'Abbrev Key'!$B$3,IF($H89&lt;='Abbrev Key'!$A$4,'Abbrev Key'!$B$4,IF($H89&lt;='Abbrev Key'!$A$5,'Abbrev Key'!$B$5,IF($H89&lt;='Abbrev Key'!$A$6,'Abbrev Key'!$B$6,IF($H89&gt;='Abbrev Key'!$A$7,'Abbrev Key'!$B$7,IF($H89='Abbrev Key'!$A$8,'Abbrev Key'!$B$8,"")))))))</f>
        <v>A</v>
      </c>
      <c r="J89" s="17" t="s">
        <v>3356</v>
      </c>
      <c r="K89" s="92" t="s">
        <v>637</v>
      </c>
      <c r="L89" s="398">
        <v>72517.990000000005</v>
      </c>
      <c r="M89" s="403">
        <f t="shared" si="3"/>
        <v>3.6258995000000003E-3</v>
      </c>
      <c r="N89" s="92" t="s">
        <v>561</v>
      </c>
      <c r="O89" s="92"/>
      <c r="P89" s="167" t="s">
        <v>4295</v>
      </c>
      <c r="Q89" s="392">
        <v>42467</v>
      </c>
      <c r="R89" s="392">
        <v>42466</v>
      </c>
      <c r="S89" s="392" t="str">
        <f>_xlfn.IFNA(VLOOKUP(B89,'[1]VLOOKUP NO DUPS'!$A$1:$C$456,2,FALSE),"")</f>
        <v>04/29/2016</v>
      </c>
      <c r="T89" s="168" t="str">
        <f>_xlfn.IFNA(VLOOKUP(B89,'[1]VLOOKUP NO DUPS'!$A$1:$C$456,3,FALSE),"")</f>
        <v>The Rosen Law Firm, P.A.</v>
      </c>
      <c r="U89" s="92"/>
      <c r="V89" s="92"/>
      <c r="W89" s="92"/>
    </row>
    <row r="90" spans="1:23" s="91" customFormat="1" ht="30" x14ac:dyDescent="0.25">
      <c r="A90" s="165" t="str">
        <f t="shared" si="2"/>
        <v/>
      </c>
      <c r="B90" s="23" t="s">
        <v>4088</v>
      </c>
      <c r="C90" s="23" t="s">
        <v>5373</v>
      </c>
      <c r="D90" s="166" t="s">
        <v>5374</v>
      </c>
      <c r="E90" s="242" t="s">
        <v>531</v>
      </c>
      <c r="F90" s="169">
        <v>8</v>
      </c>
      <c r="G90" s="243" t="s">
        <v>5375</v>
      </c>
      <c r="H90" s="89">
        <v>40000000</v>
      </c>
      <c r="I90" s="89" t="str">
        <f>IF($H90&lt;='Abbrev Key'!$A$2,'Abbrev Key'!$B$2,IF($H90&lt;='Abbrev Key'!$A$3,'Abbrev Key'!$B$3,IF($H90&lt;='Abbrev Key'!$A$4,'Abbrev Key'!$B$4,IF($H90&lt;='Abbrev Key'!$A$5,'Abbrev Key'!$B$5,IF($H90&lt;='Abbrev Key'!$A$6,'Abbrev Key'!$B$6,IF($H90&gt;='Abbrev Key'!$A$7,'Abbrev Key'!$B$7,IF($H90='Abbrev Key'!$A$8,'Abbrev Key'!$B$8,"")))))))</f>
        <v>B</v>
      </c>
      <c r="J90" s="23" t="s">
        <v>4089</v>
      </c>
      <c r="K90" s="23" t="s">
        <v>637</v>
      </c>
      <c r="L90" s="398">
        <v>61765</v>
      </c>
      <c r="M90" s="403">
        <f t="shared" si="3"/>
        <v>1.5441249999999999E-3</v>
      </c>
      <c r="N90" s="23" t="s">
        <v>11093</v>
      </c>
      <c r="O90" s="23"/>
      <c r="P90" s="167" t="s">
        <v>4408</v>
      </c>
      <c r="Q90" s="392">
        <v>42436</v>
      </c>
      <c r="R90" s="392">
        <v>42435</v>
      </c>
      <c r="S90" s="392" t="str">
        <f>_xlfn.IFNA(VLOOKUP(B90,'[1]VLOOKUP NO DUPS'!$A$1:$C$456,2,FALSE),"")</f>
        <v>05/03/2016</v>
      </c>
      <c r="T90" s="168" t="str">
        <f>_xlfn.IFNA(VLOOKUP(B90,'[1]VLOOKUP NO DUPS'!$A$1:$C$456,3,FALSE),"")</f>
        <v>Bronstein, Gewirtz &amp; Grossman, LLC; Pomerantz LLP; Wehrle Law, LLC</v>
      </c>
      <c r="U90" s="92"/>
      <c r="V90" s="92"/>
      <c r="W90" s="92"/>
    </row>
    <row r="91" spans="1:23" s="91" customFormat="1" ht="30" x14ac:dyDescent="0.25">
      <c r="A91" s="165" t="str">
        <f t="shared" si="2"/>
        <v/>
      </c>
      <c r="B91" s="23" t="s">
        <v>2389</v>
      </c>
      <c r="C91" s="23" t="s">
        <v>4789</v>
      </c>
      <c r="D91" s="166" t="s">
        <v>4790</v>
      </c>
      <c r="E91" s="242" t="s">
        <v>457</v>
      </c>
      <c r="F91" s="169">
        <v>9</v>
      </c>
      <c r="G91" s="243" t="s">
        <v>4791</v>
      </c>
      <c r="H91" s="89">
        <v>315000000</v>
      </c>
      <c r="I91" s="89" t="str">
        <f>IF($H91&lt;='Abbrev Key'!$A$2,'Abbrev Key'!$B$2,IF($H91&lt;='Abbrev Key'!$A$3,'Abbrev Key'!$B$3,IF($H91&lt;='Abbrev Key'!$A$4,'Abbrev Key'!$B$4,IF($H91&lt;='Abbrev Key'!$A$5,'Abbrev Key'!$B$5,IF($H91&lt;='Abbrev Key'!$A$6,'Abbrev Key'!$B$6,IF($H91&gt;='Abbrev Key'!$A$7,'Abbrev Key'!$B$7,IF($H91='Abbrev Key'!$A$8,'Abbrev Key'!$B$8,"")))))))</f>
        <v>E</v>
      </c>
      <c r="J91" s="17" t="s">
        <v>2391</v>
      </c>
      <c r="K91" s="92" t="s">
        <v>637</v>
      </c>
      <c r="L91" s="398">
        <v>242970.55</v>
      </c>
      <c r="M91" s="403">
        <f t="shared" si="3"/>
        <v>7.7133507936507934E-4</v>
      </c>
      <c r="N91" s="92" t="s">
        <v>597</v>
      </c>
      <c r="O91" s="92"/>
      <c r="P91" s="167" t="s">
        <v>4295</v>
      </c>
      <c r="Q91" s="392">
        <v>42487</v>
      </c>
      <c r="R91" s="392">
        <v>42486</v>
      </c>
      <c r="S91" s="392" t="str">
        <f>_xlfn.IFNA(VLOOKUP(B91,'[1]VLOOKUP NO DUPS'!$A$1:$C$456,2,FALSE),"")</f>
        <v>05/03/2016</v>
      </c>
      <c r="T91" s="168" t="str">
        <f>_xlfn.IFNA(VLOOKUP(B91,'[1]VLOOKUP NO DUPS'!$A$1:$C$456,3,FALSE),"")</f>
        <v>Bronstein, Gewirtz &amp; Grossman, LLC; Pomerantz LLP; The Rosen Law Firm, P.A.</v>
      </c>
      <c r="U91" s="92"/>
      <c r="V91" s="92"/>
      <c r="W91" s="92"/>
    </row>
    <row r="92" spans="1:23" s="91" customFormat="1" ht="30" x14ac:dyDescent="0.25">
      <c r="A92" s="165" t="str">
        <f t="shared" si="2"/>
        <v/>
      </c>
      <c r="B92" s="23" t="s">
        <v>132</v>
      </c>
      <c r="C92" s="23" t="s">
        <v>4606</v>
      </c>
      <c r="D92" s="166" t="s">
        <v>4607</v>
      </c>
      <c r="E92" s="242" t="s">
        <v>418</v>
      </c>
      <c r="F92" s="169">
        <v>2</v>
      </c>
      <c r="G92" s="243" t="s">
        <v>4608</v>
      </c>
      <c r="H92" s="89">
        <v>3500000000</v>
      </c>
      <c r="I92" s="89" t="str">
        <f>IF($H92&lt;='Abbrev Key'!$A$2,'Abbrev Key'!$B$2,IF($H92&lt;='Abbrev Key'!$A$3,'Abbrev Key'!$B$3,IF($H92&lt;='Abbrev Key'!$A$4,'Abbrev Key'!$B$4,IF($H92&lt;='Abbrev Key'!$A$5,'Abbrev Key'!$B$5,IF($H92&lt;='Abbrev Key'!$A$6,'Abbrev Key'!$B$6,IF($H92&gt;='Abbrev Key'!$A$7,'Abbrev Key'!$B$7,IF($H92='Abbrev Key'!$A$8,'Abbrev Key'!$B$8,"")))))))</f>
        <v>F</v>
      </c>
      <c r="J92" s="17" t="s">
        <v>362</v>
      </c>
      <c r="K92" s="92" t="s">
        <v>633</v>
      </c>
      <c r="L92" s="398">
        <v>50123636.979999997</v>
      </c>
      <c r="M92" s="403">
        <f t="shared" si="3"/>
        <v>1.4321039137142857E-2</v>
      </c>
      <c r="N92" s="92" t="s">
        <v>1</v>
      </c>
      <c r="O92" s="92"/>
      <c r="P92" s="167" t="s">
        <v>4287</v>
      </c>
      <c r="Q92" s="392">
        <v>42450</v>
      </c>
      <c r="R92" s="392">
        <v>42449</v>
      </c>
      <c r="S92" s="392" t="str">
        <f>_xlfn.IFNA(VLOOKUP(B92,'[1]VLOOKUP NO DUPS'!$A$1:$C$456,2,FALSE),"")</f>
        <v>05/04/2016</v>
      </c>
      <c r="T92" s="168" t="str">
        <f>_xlfn.IFNA(VLOOKUP(B92,'[1]VLOOKUP NO DUPS'!$A$1:$C$456,3,FALSE),"")</f>
        <v>Bernstein Litowitz Berger &amp; Grossmann LLP</v>
      </c>
      <c r="U92" s="92"/>
      <c r="V92" s="92"/>
      <c r="W92" s="92"/>
    </row>
    <row r="93" spans="1:23" s="91" customFormat="1" ht="30" x14ac:dyDescent="0.25">
      <c r="A93" s="165" t="str">
        <f t="shared" si="2"/>
        <v/>
      </c>
      <c r="B93" s="23" t="s">
        <v>270</v>
      </c>
      <c r="C93" s="23" t="s">
        <v>4631</v>
      </c>
      <c r="D93" s="166" t="s">
        <v>4632</v>
      </c>
      <c r="E93" s="242" t="s">
        <v>574</v>
      </c>
      <c r="F93" s="169">
        <v>5</v>
      </c>
      <c r="G93" s="243" t="s">
        <v>4633</v>
      </c>
      <c r="H93" s="89">
        <v>100000000</v>
      </c>
      <c r="I93" s="89" t="str">
        <f>IF($H93&lt;='Abbrev Key'!$A$2,'Abbrev Key'!$B$2,IF($H93&lt;='Abbrev Key'!$A$3,'Abbrev Key'!$B$3,IF($H93&lt;='Abbrev Key'!$A$4,'Abbrev Key'!$B$4,IF($H93&lt;='Abbrev Key'!$A$5,'Abbrev Key'!$B$5,IF($H93&lt;='Abbrev Key'!$A$6,'Abbrev Key'!$B$6,IF($H93&gt;='Abbrev Key'!$A$7,'Abbrev Key'!$B$7,IF($H93='Abbrev Key'!$A$8,'Abbrev Key'!$B$8,"")))))))</f>
        <v>C</v>
      </c>
      <c r="J93" s="92" t="s">
        <v>11941</v>
      </c>
      <c r="K93" s="92" t="s">
        <v>640</v>
      </c>
      <c r="L93" s="398">
        <v>723081</v>
      </c>
      <c r="M93" s="403">
        <f t="shared" si="3"/>
        <v>7.2308099999999998E-3</v>
      </c>
      <c r="N93" s="92" t="s">
        <v>4634</v>
      </c>
      <c r="O93" s="92" t="s">
        <v>11197</v>
      </c>
      <c r="P93" s="167" t="s">
        <v>4287</v>
      </c>
      <c r="Q93" s="392">
        <v>42663</v>
      </c>
      <c r="R93" s="392">
        <v>42662</v>
      </c>
      <c r="S93" s="392" t="str">
        <f>_xlfn.IFNA(VLOOKUP(B93,'[1]VLOOKUP NO DUPS'!$A$1:$C$456,2,FALSE),"")</f>
        <v>05/05/2016</v>
      </c>
      <c r="T93" s="168" t="str">
        <f>_xlfn.IFNA(VLOOKUP(B93,'[1]VLOOKUP NO DUPS'!$A$1:$C$456,3,FALSE),"")</f>
        <v>Johnson &amp; Weaver LLP; Lemmon Law Firm; Robbins, Geller, Rudman &amp; Dowd, LLP</v>
      </c>
      <c r="U93" s="92"/>
      <c r="V93" s="92"/>
      <c r="W93" s="92"/>
    </row>
    <row r="94" spans="1:23" s="91" customFormat="1" ht="45" x14ac:dyDescent="0.25">
      <c r="A94" s="165" t="str">
        <f t="shared" si="2"/>
        <v>DUP</v>
      </c>
      <c r="B94" s="23" t="s">
        <v>3616</v>
      </c>
      <c r="C94" s="23" t="s">
        <v>10747</v>
      </c>
      <c r="D94" s="166" t="s">
        <v>5220</v>
      </c>
      <c r="E94" s="242" t="s">
        <v>457</v>
      </c>
      <c r="F94" s="169">
        <v>9</v>
      </c>
      <c r="G94" s="243" t="s">
        <v>5221</v>
      </c>
      <c r="H94" s="89">
        <v>30000000</v>
      </c>
      <c r="I94" s="89" t="str">
        <f>IF($H94&lt;='Abbrev Key'!$A$2,'Abbrev Key'!$B$2,IF($H94&lt;='Abbrev Key'!$A$3,'Abbrev Key'!$B$3,IF($H94&lt;='Abbrev Key'!$A$4,'Abbrev Key'!$B$4,IF($H94&lt;='Abbrev Key'!$A$5,'Abbrev Key'!$B$5,IF($H94&lt;='Abbrev Key'!$A$6,'Abbrev Key'!$B$6,IF($H94&gt;='Abbrev Key'!$A$7,'Abbrev Key'!$B$7,IF($H94='Abbrev Key'!$A$8,'Abbrev Key'!$B$8,"")))))))</f>
        <v>B</v>
      </c>
      <c r="J94" s="92" t="s">
        <v>11964</v>
      </c>
      <c r="K94" s="92" t="s">
        <v>646</v>
      </c>
      <c r="L94" s="398">
        <v>52350</v>
      </c>
      <c r="M94" s="403">
        <f t="shared" si="3"/>
        <v>1.745E-3</v>
      </c>
      <c r="N94" s="92" t="s">
        <v>5141</v>
      </c>
      <c r="O94" s="92" t="s">
        <v>11197</v>
      </c>
      <c r="P94" s="167" t="s">
        <v>4295</v>
      </c>
      <c r="Q94" s="392">
        <v>42496</v>
      </c>
      <c r="R94" s="392">
        <v>42495</v>
      </c>
      <c r="S94" s="392" t="s">
        <v>3204</v>
      </c>
      <c r="T94" s="168" t="s">
        <v>79</v>
      </c>
      <c r="U94" s="92"/>
      <c r="V94" s="92"/>
      <c r="W94" s="92"/>
    </row>
    <row r="95" spans="1:23" s="91" customFormat="1" ht="60" x14ac:dyDescent="0.25">
      <c r="A95" s="165" t="str">
        <f t="shared" si="2"/>
        <v/>
      </c>
      <c r="B95" s="23" t="s">
        <v>120</v>
      </c>
      <c r="C95" s="23" t="s">
        <v>4717</v>
      </c>
      <c r="D95" s="166" t="s">
        <v>4718</v>
      </c>
      <c r="E95" s="242" t="s">
        <v>496</v>
      </c>
      <c r="F95" s="169">
        <v>6</v>
      </c>
      <c r="G95" s="243" t="s">
        <v>4719</v>
      </c>
      <c r="H95" s="89">
        <v>1600000000</v>
      </c>
      <c r="I95" s="89" t="str">
        <f>IF($H95&lt;='Abbrev Key'!$A$2,'Abbrev Key'!$B$2,IF($H95&lt;='Abbrev Key'!$A$3,'Abbrev Key'!$B$3,IF($H95&lt;='Abbrev Key'!$A$4,'Abbrev Key'!$B$4,IF($H95&lt;='Abbrev Key'!$A$5,'Abbrev Key'!$B$5,IF($H95&lt;='Abbrev Key'!$A$6,'Abbrev Key'!$B$6,IF($H95&gt;='Abbrev Key'!$A$7,'Abbrev Key'!$B$7,IF($H95='Abbrev Key'!$A$8,'Abbrev Key'!$B$8,"")))))))</f>
        <v>F</v>
      </c>
      <c r="J95" s="17" t="s">
        <v>11848</v>
      </c>
      <c r="K95" s="23" t="s">
        <v>640</v>
      </c>
      <c r="L95" s="398">
        <v>1920664.62</v>
      </c>
      <c r="M95" s="403">
        <f t="shared" si="3"/>
        <v>1.2004153875E-3</v>
      </c>
      <c r="N95" s="23" t="s">
        <v>2218</v>
      </c>
      <c r="O95" s="23"/>
      <c r="P95" s="167" t="s">
        <v>4287</v>
      </c>
      <c r="Q95" s="392">
        <v>42408</v>
      </c>
      <c r="R95" s="392">
        <v>42407</v>
      </c>
      <c r="S95" s="392" t="str">
        <f>_xlfn.IFNA(VLOOKUP(B95,'[1]VLOOKUP NO DUPS'!$A$1:$C$456,2,FALSE),"")</f>
        <v>05/09/2016</v>
      </c>
      <c r="T95" s="168" t="str">
        <f>_xlfn.IFNA(VLOOKUP(B95,'[1]VLOOKUP NO DUPS'!$A$1:$C$456,3,FALSE),"")</f>
        <v>Bernstein Litowitz Berger &amp; Grossmann LLP; Climaco, Wilcox, Peca, Tarantino &amp; Garofoli Co., L.P.A.</v>
      </c>
      <c r="U95" s="92"/>
      <c r="V95" s="92"/>
      <c r="W95" s="92"/>
    </row>
    <row r="96" spans="1:23" s="91" customFormat="1" x14ac:dyDescent="0.25">
      <c r="A96" s="165" t="str">
        <f t="shared" si="2"/>
        <v/>
      </c>
      <c r="B96" s="23" t="s">
        <v>2413</v>
      </c>
      <c r="C96" s="23" t="s">
        <v>4799</v>
      </c>
      <c r="D96" s="166" t="s">
        <v>4800</v>
      </c>
      <c r="E96" s="242" t="s">
        <v>418</v>
      </c>
      <c r="F96" s="169">
        <v>2</v>
      </c>
      <c r="G96" s="243" t="s">
        <v>4514</v>
      </c>
      <c r="H96" s="89">
        <v>22500000</v>
      </c>
      <c r="I96" s="89" t="str">
        <f>IF($H96&lt;='Abbrev Key'!$A$2,'Abbrev Key'!$B$2,IF($H96&lt;='Abbrev Key'!$A$3,'Abbrev Key'!$B$3,IF($H96&lt;='Abbrev Key'!$A$4,'Abbrev Key'!$B$4,IF($H96&lt;='Abbrev Key'!$A$5,'Abbrev Key'!$B$5,IF($H96&lt;='Abbrev Key'!$A$6,'Abbrev Key'!$B$6,IF($H96&gt;='Abbrev Key'!$A$7,'Abbrev Key'!$B$7,IF($H96='Abbrev Key'!$A$8,'Abbrev Key'!$B$8,"")))))))</f>
        <v>A</v>
      </c>
      <c r="J96" s="92" t="s">
        <v>2415</v>
      </c>
      <c r="K96" s="92" t="s">
        <v>637</v>
      </c>
      <c r="L96" s="398">
        <v>286.22000000000003</v>
      </c>
      <c r="M96" s="403">
        <f t="shared" si="3"/>
        <v>1.272088888888889E-5</v>
      </c>
      <c r="N96" s="92" t="s">
        <v>4336</v>
      </c>
      <c r="O96" s="92"/>
      <c r="P96" s="167" t="s">
        <v>4295</v>
      </c>
      <c r="Q96" s="392">
        <v>42368</v>
      </c>
      <c r="R96" s="392">
        <v>42367</v>
      </c>
      <c r="S96" s="392" t="s">
        <v>482</v>
      </c>
      <c r="T96" s="168" t="s">
        <v>682</v>
      </c>
      <c r="U96" s="92"/>
      <c r="V96" s="92"/>
      <c r="W96" s="92"/>
    </row>
    <row r="97" spans="1:23" s="91" customFormat="1" ht="30" x14ac:dyDescent="0.25">
      <c r="A97" s="165" t="str">
        <f t="shared" si="2"/>
        <v/>
      </c>
      <c r="B97" s="23" t="s">
        <v>1436</v>
      </c>
      <c r="C97" s="23" t="s">
        <v>4490</v>
      </c>
      <c r="D97" s="166" t="s">
        <v>4491</v>
      </c>
      <c r="E97" s="242" t="s">
        <v>418</v>
      </c>
      <c r="F97" s="169">
        <v>2</v>
      </c>
      <c r="G97" s="243" t="s">
        <v>4492</v>
      </c>
      <c r="H97" s="89">
        <v>10000000</v>
      </c>
      <c r="I97" s="89" t="str">
        <f>IF($H97&lt;='Abbrev Key'!$A$2,'Abbrev Key'!$B$2,IF($H97&lt;='Abbrev Key'!$A$3,'Abbrev Key'!$B$3,IF($H97&lt;='Abbrev Key'!$A$4,'Abbrev Key'!$B$4,IF($H97&lt;='Abbrev Key'!$A$5,'Abbrev Key'!$B$5,IF($H97&lt;='Abbrev Key'!$A$6,'Abbrev Key'!$B$6,IF($H97&gt;='Abbrev Key'!$A$7,'Abbrev Key'!$B$7,IF($H97='Abbrev Key'!$A$8,'Abbrev Key'!$B$8,"")))))))</f>
        <v>A</v>
      </c>
      <c r="J97" s="17" t="s">
        <v>11795</v>
      </c>
      <c r="K97" s="23" t="s">
        <v>646</v>
      </c>
      <c r="L97" s="398">
        <v>97775.32</v>
      </c>
      <c r="M97" s="403">
        <f t="shared" si="3"/>
        <v>9.7775320000000002E-3</v>
      </c>
      <c r="N97" s="23" t="s">
        <v>1443</v>
      </c>
      <c r="O97" s="23"/>
      <c r="P97" s="167" t="s">
        <v>4408</v>
      </c>
      <c r="Q97" s="392">
        <v>42867</v>
      </c>
      <c r="R97" s="392">
        <v>42866</v>
      </c>
      <c r="S97" s="392" t="str">
        <f>_xlfn.IFNA(VLOOKUP(B97,'[1]VLOOKUP NO DUPS'!$A$1:$C$456,2,FALSE),"")</f>
        <v>05/10/2016</v>
      </c>
      <c r="T97" s="168" t="str">
        <f>_xlfn.IFNA(VLOOKUP(B97,'[1]VLOOKUP NO DUPS'!$A$1:$C$456,3,FALSE),"")</f>
        <v>The Rosen Law Firm, P.A.</v>
      </c>
      <c r="U97" s="92"/>
      <c r="V97" s="92"/>
      <c r="W97" s="92"/>
    </row>
    <row r="98" spans="1:23" s="91" customFormat="1" ht="45" x14ac:dyDescent="0.25">
      <c r="A98" s="165" t="str">
        <f t="shared" si="2"/>
        <v>DUP</v>
      </c>
      <c r="B98" s="23" t="s">
        <v>98</v>
      </c>
      <c r="C98" s="23" t="s">
        <v>10762</v>
      </c>
      <c r="D98" s="166" t="s">
        <v>4539</v>
      </c>
      <c r="E98" s="242" t="s">
        <v>418</v>
      </c>
      <c r="F98" s="169">
        <v>2</v>
      </c>
      <c r="G98" s="243" t="s">
        <v>4540</v>
      </c>
      <c r="H98" s="89">
        <v>1200000000</v>
      </c>
      <c r="I98" s="89" t="str">
        <f>IF($H98&lt;='Abbrev Key'!$A$2,'Abbrev Key'!$B$2,IF($H98&lt;='Abbrev Key'!$A$3,'Abbrev Key'!$B$3,IF($H98&lt;='Abbrev Key'!$A$4,'Abbrev Key'!$B$4,IF($H98&lt;='Abbrev Key'!$A$5,'Abbrev Key'!$B$5,IF($H98&lt;='Abbrev Key'!$A$6,'Abbrev Key'!$B$6,IF($H98&gt;='Abbrev Key'!$A$7,'Abbrev Key'!$B$7,IF($H98='Abbrev Key'!$A$8,'Abbrev Key'!$B$8,"")))))))</f>
        <v>F</v>
      </c>
      <c r="J98" s="17" t="s">
        <v>1624</v>
      </c>
      <c r="K98" s="92" t="s">
        <v>637</v>
      </c>
      <c r="L98" s="398">
        <v>262921</v>
      </c>
      <c r="M98" s="403">
        <f t="shared" si="3"/>
        <v>2.1910083333333334E-4</v>
      </c>
      <c r="N98" s="23" t="s">
        <v>1204</v>
      </c>
      <c r="O98" s="23"/>
      <c r="P98" s="167" t="s">
        <v>4295</v>
      </c>
      <c r="Q98" s="392">
        <v>42577</v>
      </c>
      <c r="R98" s="392">
        <v>42576</v>
      </c>
      <c r="S98" s="392" t="s">
        <v>487</v>
      </c>
      <c r="T98" s="168" t="s">
        <v>10930</v>
      </c>
      <c r="U98" s="92"/>
      <c r="V98" s="92"/>
      <c r="W98" s="92"/>
    </row>
    <row r="99" spans="1:23" s="91" customFormat="1" x14ac:dyDescent="0.25">
      <c r="A99" s="165" t="str">
        <f t="shared" si="2"/>
        <v/>
      </c>
      <c r="B99" s="23" t="s">
        <v>2832</v>
      </c>
      <c r="C99" s="23" t="s">
        <v>4960</v>
      </c>
      <c r="D99" s="166" t="s">
        <v>4961</v>
      </c>
      <c r="E99" s="242" t="s">
        <v>418</v>
      </c>
      <c r="F99" s="169">
        <v>2</v>
      </c>
      <c r="G99" s="243" t="s">
        <v>4962</v>
      </c>
      <c r="H99" s="89">
        <v>90000000</v>
      </c>
      <c r="I99" s="89" t="str">
        <f>IF($H99&lt;='Abbrev Key'!$A$2,'Abbrev Key'!$B$2,IF($H99&lt;='Abbrev Key'!$A$3,'Abbrev Key'!$B$3,IF($H99&lt;='Abbrev Key'!$A$4,'Abbrev Key'!$B$4,IF($H99&lt;='Abbrev Key'!$A$5,'Abbrev Key'!$B$5,IF($H99&lt;='Abbrev Key'!$A$6,'Abbrev Key'!$B$6,IF($H99&gt;='Abbrev Key'!$A$7,'Abbrev Key'!$B$7,IF($H99='Abbrev Key'!$A$8,'Abbrev Key'!$B$8,"")))))))</f>
        <v>C</v>
      </c>
      <c r="J99" s="17" t="s">
        <v>2834</v>
      </c>
      <c r="K99" s="92" t="s">
        <v>637</v>
      </c>
      <c r="L99" s="398">
        <v>262680.5</v>
      </c>
      <c r="M99" s="403">
        <f t="shared" si="3"/>
        <v>2.9186722222222222E-3</v>
      </c>
      <c r="N99" s="92" t="s">
        <v>849</v>
      </c>
      <c r="O99" s="92"/>
      <c r="P99" s="167" t="s">
        <v>4287</v>
      </c>
      <c r="Q99" s="392">
        <v>42499</v>
      </c>
      <c r="R99" s="392">
        <v>42498</v>
      </c>
      <c r="S99" s="392" t="str">
        <f>_xlfn.IFNA(VLOOKUP(B99,'[1]VLOOKUP NO DUPS'!$A$1:$C$456,2,FALSE),"")</f>
        <v>05/12/2016</v>
      </c>
      <c r="T99" s="168" t="str">
        <f>_xlfn.IFNA(VLOOKUP(B99,'[1]VLOOKUP NO DUPS'!$A$1:$C$456,3,FALSE),"")</f>
        <v>Bronstein, Gewirtz &amp; Grossman, LLC; Pomerantz LLP</v>
      </c>
      <c r="U99" s="92"/>
      <c r="V99" s="92"/>
      <c r="W99" s="92"/>
    </row>
    <row r="100" spans="1:23" s="91" customFormat="1" ht="45" x14ac:dyDescent="0.25">
      <c r="A100" s="165" t="str">
        <f t="shared" si="2"/>
        <v/>
      </c>
      <c r="B100" s="23" t="s">
        <v>382</v>
      </c>
      <c r="C100" s="23" t="s">
        <v>4541</v>
      </c>
      <c r="D100" s="166" t="s">
        <v>4542</v>
      </c>
      <c r="E100" s="242" t="s">
        <v>465</v>
      </c>
      <c r="F100" s="169">
        <v>7</v>
      </c>
      <c r="G100" s="243" t="s">
        <v>4543</v>
      </c>
      <c r="H100" s="89">
        <v>195000000</v>
      </c>
      <c r="I100" s="89" t="str">
        <f>IF($H100&lt;='Abbrev Key'!$A$2,'Abbrev Key'!$B$2,IF($H100&lt;='Abbrev Key'!$A$3,'Abbrev Key'!$B$3,IF($H100&lt;='Abbrev Key'!$A$4,'Abbrev Key'!$B$4,IF($H100&lt;='Abbrev Key'!$A$5,'Abbrev Key'!$B$5,IF($H100&lt;='Abbrev Key'!$A$6,'Abbrev Key'!$B$6,IF($H100&gt;='Abbrev Key'!$A$7,'Abbrev Key'!$B$7,IF($H100='Abbrev Key'!$A$8,'Abbrev Key'!$B$8,"")))))))</f>
        <v>D</v>
      </c>
      <c r="J100" s="17" t="s">
        <v>378</v>
      </c>
      <c r="K100" s="23" t="s">
        <v>633</v>
      </c>
      <c r="L100" s="398">
        <v>7206832.9500000002</v>
      </c>
      <c r="M100" s="403">
        <f t="shared" si="3"/>
        <v>3.6958117692307696E-2</v>
      </c>
      <c r="N100" s="23" t="s">
        <v>1630</v>
      </c>
      <c r="O100" s="23"/>
      <c r="P100" s="167" t="s">
        <v>4287</v>
      </c>
      <c r="Q100" s="392">
        <v>42396</v>
      </c>
      <c r="R100" s="392">
        <v>42395</v>
      </c>
      <c r="S100" s="392" t="str">
        <f>_xlfn.IFNA(VLOOKUP(B100,'[1]VLOOKUP NO DUPS'!$A$1:$C$456,2,FALSE),"")</f>
        <v>05/13/2016</v>
      </c>
      <c r="T100" s="168" t="str">
        <f>_xlfn.IFNA(VLOOKUP(B100,'[1]VLOOKUP NO DUPS'!$A$1:$C$456,3,FALSE),"")</f>
        <v>Saxena White P.A.</v>
      </c>
      <c r="U100" s="92"/>
      <c r="V100" s="92"/>
      <c r="W100" s="92"/>
    </row>
    <row r="101" spans="1:23" s="91" customFormat="1" ht="45" x14ac:dyDescent="0.25">
      <c r="A101" s="165" t="str">
        <f t="shared" si="2"/>
        <v>DUP</v>
      </c>
      <c r="B101" s="23" t="s">
        <v>74</v>
      </c>
      <c r="C101" s="23" t="s">
        <v>10604</v>
      </c>
      <c r="D101" s="166" t="s">
        <v>4850</v>
      </c>
      <c r="E101" s="242" t="s">
        <v>457</v>
      </c>
      <c r="F101" s="169">
        <v>9</v>
      </c>
      <c r="G101" s="243" t="s">
        <v>4851</v>
      </c>
      <c r="H101" s="89">
        <v>770000000</v>
      </c>
      <c r="I101" s="89" t="str">
        <f>IF($H101&lt;='Abbrev Key'!$A$2,'Abbrev Key'!$B$2,IF($H101&lt;='Abbrev Key'!$A$3,'Abbrev Key'!$B$3,IF($H101&lt;='Abbrev Key'!$A$4,'Abbrev Key'!$B$4,IF($H101&lt;='Abbrev Key'!$A$5,'Abbrev Key'!$B$5,IF($H101&lt;='Abbrev Key'!$A$6,'Abbrev Key'!$B$6,IF($H101&gt;='Abbrev Key'!$A$7,'Abbrev Key'!$B$7,IF($H101='Abbrev Key'!$A$8,'Abbrev Key'!$B$8,"")))))))</f>
        <v>F</v>
      </c>
      <c r="J101" s="18" t="s">
        <v>2569</v>
      </c>
      <c r="K101" s="92" t="s">
        <v>633</v>
      </c>
      <c r="L101" s="398">
        <v>12927820.08</v>
      </c>
      <c r="M101" s="403">
        <f t="shared" si="3"/>
        <v>1.6789376727272726E-2</v>
      </c>
      <c r="N101" s="92" t="s">
        <v>7</v>
      </c>
      <c r="O101" s="92"/>
      <c r="P101" s="167" t="s">
        <v>4408</v>
      </c>
      <c r="Q101" s="392">
        <v>42496</v>
      </c>
      <c r="R101" s="392">
        <v>42495</v>
      </c>
      <c r="S101" s="392" t="s">
        <v>472</v>
      </c>
      <c r="T101" s="168" t="s">
        <v>10920</v>
      </c>
      <c r="U101" s="92"/>
      <c r="V101" s="92"/>
      <c r="W101" s="92"/>
    </row>
    <row r="102" spans="1:23" s="91" customFormat="1" x14ac:dyDescent="0.25">
      <c r="A102" s="165" t="str">
        <f t="shared" si="2"/>
        <v/>
      </c>
      <c r="B102" s="23" t="s">
        <v>3674</v>
      </c>
      <c r="C102" s="23" t="s">
        <v>5244</v>
      </c>
      <c r="D102" s="166" t="s">
        <v>5245</v>
      </c>
      <c r="E102" s="242" t="s">
        <v>491</v>
      </c>
      <c r="F102" s="169">
        <v>8</v>
      </c>
      <c r="G102" s="243" t="s">
        <v>5246</v>
      </c>
      <c r="H102" s="89">
        <v>1200000000</v>
      </c>
      <c r="I102" s="89" t="str">
        <f>IF($H102&lt;='Abbrev Key'!$A$2,'Abbrev Key'!$B$2,IF($H102&lt;='Abbrev Key'!$A$3,'Abbrev Key'!$B$3,IF($H102&lt;='Abbrev Key'!$A$4,'Abbrev Key'!$B$4,IF($H102&lt;='Abbrev Key'!$A$5,'Abbrev Key'!$B$5,IF($H102&lt;='Abbrev Key'!$A$6,'Abbrev Key'!$B$6,IF($H102&gt;='Abbrev Key'!$A$7,'Abbrev Key'!$B$7,IF($H102='Abbrev Key'!$A$8,'Abbrev Key'!$B$8,"")))))))</f>
        <v>F</v>
      </c>
      <c r="J102" s="17" t="s">
        <v>3675</v>
      </c>
      <c r="K102" s="23" t="s">
        <v>633</v>
      </c>
      <c r="L102" s="398">
        <v>282619.56</v>
      </c>
      <c r="M102" s="403">
        <f t="shared" si="3"/>
        <v>2.3551630000000001E-4</v>
      </c>
      <c r="N102" s="23" t="s">
        <v>11076</v>
      </c>
      <c r="O102" s="23"/>
      <c r="P102" s="167" t="s">
        <v>4287</v>
      </c>
      <c r="Q102" s="392">
        <v>41855</v>
      </c>
      <c r="R102" s="392">
        <v>41854</v>
      </c>
      <c r="S102" s="392" t="str">
        <f>_xlfn.IFNA(VLOOKUP(B102,'[1]VLOOKUP NO DUPS'!$A$1:$C$456,2,FALSE),"")</f>
        <v>05/17/2016</v>
      </c>
      <c r="T102" s="168" t="str">
        <f>_xlfn.IFNA(VLOOKUP(B102,'[1]VLOOKUP NO DUPS'!$A$1:$C$456,3,FALSE),"")</f>
        <v>Bronstein, Gewirtz &amp; Grossman, LLC; Labaton Sucharow LLP; Lockridge, Grindal, Nauen, PLLP; Pomerantz LLP; Robbins, Geller, Rudman &amp; Dowd, LLP; Zimmerman Reed, PLLP</v>
      </c>
      <c r="U102" s="92"/>
      <c r="V102" s="92"/>
      <c r="W102" s="92"/>
    </row>
    <row r="103" spans="1:23" s="91" customFormat="1" ht="30" x14ac:dyDescent="0.25">
      <c r="A103" s="165" t="str">
        <f t="shared" si="2"/>
        <v/>
      </c>
      <c r="B103" s="23" t="s">
        <v>239</v>
      </c>
      <c r="C103" s="23" t="s">
        <v>5037</v>
      </c>
      <c r="D103" s="166" t="s">
        <v>5038</v>
      </c>
      <c r="E103" s="242" t="s">
        <v>424</v>
      </c>
      <c r="F103" s="169">
        <v>3</v>
      </c>
      <c r="G103" s="243" t="s">
        <v>5039</v>
      </c>
      <c r="H103" s="89">
        <v>4500000000</v>
      </c>
      <c r="I103" s="89" t="str">
        <f>IF($H103&lt;='Abbrev Key'!$A$2,'Abbrev Key'!$B$2,IF($H103&lt;='Abbrev Key'!$A$3,'Abbrev Key'!$B$3,IF($H103&lt;='Abbrev Key'!$A$4,'Abbrev Key'!$B$4,IF($H103&lt;='Abbrev Key'!$A$5,'Abbrev Key'!$B$5,IF($H103&lt;='Abbrev Key'!$A$6,'Abbrev Key'!$B$6,IF($H103&gt;='Abbrev Key'!$A$7,'Abbrev Key'!$B$7,IF($H103='Abbrev Key'!$A$8,'Abbrev Key'!$B$8,"")))))))</f>
        <v>F</v>
      </c>
      <c r="J103" s="17" t="s">
        <v>11893</v>
      </c>
      <c r="K103" s="92" t="s">
        <v>640</v>
      </c>
      <c r="L103" s="398">
        <v>68161973</v>
      </c>
      <c r="M103" s="403">
        <f t="shared" si="3"/>
        <v>1.5147105111111111E-2</v>
      </c>
      <c r="N103" s="23" t="s">
        <v>238</v>
      </c>
      <c r="O103" s="23"/>
      <c r="P103" s="167" t="s">
        <v>4287</v>
      </c>
      <c r="Q103" s="392">
        <v>42858</v>
      </c>
      <c r="R103" s="392">
        <v>42857</v>
      </c>
      <c r="S103" s="392" t="str">
        <f>_xlfn.IFNA(VLOOKUP(B103,'[1]VLOOKUP NO DUPS'!$A$1:$C$456,2,FALSE),"")</f>
        <v>05/18/2016</v>
      </c>
      <c r="T103" s="168" t="str">
        <f>_xlfn.IFNA(VLOOKUP(B103,'[1]VLOOKUP NO DUPS'!$A$1:$C$456,3,FALSE),"")</f>
        <v>Bernstein Litowitz Berger &amp; Grossmann LLP; Kantrowitz, Goldhamer &amp; Graifman; Lowenstein Sandler, LLP; Safirstein Metcalf LLP</v>
      </c>
      <c r="U103" s="92"/>
      <c r="V103" s="92"/>
      <c r="W103" s="92"/>
    </row>
    <row r="104" spans="1:23" s="91" customFormat="1" ht="30" x14ac:dyDescent="0.25">
      <c r="A104" s="165" t="str">
        <f t="shared" si="2"/>
        <v/>
      </c>
      <c r="B104" s="23" t="s">
        <v>321</v>
      </c>
      <c r="C104" s="23" t="s">
        <v>5240</v>
      </c>
      <c r="D104" s="166" t="s">
        <v>5241</v>
      </c>
      <c r="E104" s="242" t="s">
        <v>511</v>
      </c>
      <c r="F104" s="169">
        <v>2</v>
      </c>
      <c r="G104" s="243" t="s">
        <v>5242</v>
      </c>
      <c r="H104" s="89">
        <v>15000000</v>
      </c>
      <c r="I104" s="89" t="str">
        <f>IF($H104&lt;='Abbrev Key'!$A$2,'Abbrev Key'!$B$2,IF($H104&lt;='Abbrev Key'!$A$3,'Abbrev Key'!$B$3,IF($H104&lt;='Abbrev Key'!$A$4,'Abbrev Key'!$B$4,IF($H104&lt;='Abbrev Key'!$A$5,'Abbrev Key'!$B$5,IF($H104&lt;='Abbrev Key'!$A$6,'Abbrev Key'!$B$6,IF($H104&gt;='Abbrev Key'!$A$7,'Abbrev Key'!$B$7,IF($H104='Abbrev Key'!$A$8,'Abbrev Key'!$B$8,"")))))))</f>
        <v>A</v>
      </c>
      <c r="J104" s="17" t="s">
        <v>318</v>
      </c>
      <c r="K104" s="23" t="s">
        <v>633</v>
      </c>
      <c r="L104" s="398">
        <v>16160.11</v>
      </c>
      <c r="M104" s="403">
        <f t="shared" si="3"/>
        <v>1.0773406666666667E-3</v>
      </c>
      <c r="N104" s="23" t="s">
        <v>3671</v>
      </c>
      <c r="O104" s="23"/>
      <c r="P104" s="167" t="s">
        <v>4295</v>
      </c>
      <c r="Q104" s="392">
        <v>42436</v>
      </c>
      <c r="R104" s="392">
        <v>42435</v>
      </c>
      <c r="S104" s="392" t="str">
        <f>_xlfn.IFNA(VLOOKUP(B104,'[1]VLOOKUP NO DUPS'!$A$1:$C$456,2,FALSE),"")</f>
        <v>05/24/2016</v>
      </c>
      <c r="T104" s="168" t="str">
        <f>_xlfn.IFNA(VLOOKUP(B104,'[1]VLOOKUP NO DUPS'!$A$1:$C$456,3,FALSE),"")</f>
        <v>The Rosen Law Firm, P.A.</v>
      </c>
      <c r="U104" s="92"/>
      <c r="V104" s="92"/>
      <c r="W104" s="92"/>
    </row>
    <row r="105" spans="1:23" s="91" customFormat="1" ht="30" x14ac:dyDescent="0.25">
      <c r="A105" s="165" t="str">
        <f t="shared" si="2"/>
        <v/>
      </c>
      <c r="B105" s="17" t="s">
        <v>627</v>
      </c>
      <c r="C105" s="17" t="s">
        <v>628</v>
      </c>
      <c r="D105" s="244" t="s">
        <v>4284</v>
      </c>
      <c r="E105" s="242" t="s">
        <v>418</v>
      </c>
      <c r="F105" s="169">
        <v>2</v>
      </c>
      <c r="G105" s="245" t="s">
        <v>4285</v>
      </c>
      <c r="H105" s="89">
        <v>15000000</v>
      </c>
      <c r="I105" s="89" t="str">
        <f>IF($H105&lt;='Abbrev Key'!$A$2,'Abbrev Key'!$B$2,IF($H105&lt;='Abbrev Key'!$A$3,'Abbrev Key'!$B$3,IF($H105&lt;='Abbrev Key'!$A$4,'Abbrev Key'!$B$4,IF($H105&lt;='Abbrev Key'!$A$5,'Abbrev Key'!$B$5,IF($H105&lt;='Abbrev Key'!$A$6,'Abbrev Key'!$B$6,IF($H105&gt;='Abbrev Key'!$A$7,'Abbrev Key'!$B$7,IF($H105='Abbrev Key'!$A$8,'Abbrev Key'!$B$8,"")))))))</f>
        <v>A</v>
      </c>
      <c r="J105" s="92" t="s">
        <v>11927</v>
      </c>
      <c r="K105" s="92" t="s">
        <v>662</v>
      </c>
      <c r="L105" s="398">
        <f>51587.92+72994.42</f>
        <v>124582.34</v>
      </c>
      <c r="M105" s="403">
        <f t="shared" si="3"/>
        <v>8.3054893333333324E-3</v>
      </c>
      <c r="N105" s="363" t="s">
        <v>4286</v>
      </c>
      <c r="O105" s="92" t="s">
        <v>11197</v>
      </c>
      <c r="P105" s="246" t="s">
        <v>4408</v>
      </c>
      <c r="Q105" s="395">
        <v>42492</v>
      </c>
      <c r="R105" s="392">
        <v>42491</v>
      </c>
      <c r="S105" s="392" t="str">
        <f>_xlfn.IFNA(VLOOKUP(B105,'[1]VLOOKUP NO DUPS'!$A$1:$C$456,2,FALSE),"")</f>
        <v>05/25/2016</v>
      </c>
      <c r="T105" s="168" t="str">
        <f>_xlfn.IFNA(VLOOKUP(B105,'[1]VLOOKUP NO DUPS'!$A$1:$C$456,3,FALSE),"")</f>
        <v>Glancy Prongay &amp; Murray, LLP; Robbins, Geller, Rudman &amp; Dowd, LLP</v>
      </c>
      <c r="U105" s="14"/>
      <c r="V105" s="14"/>
      <c r="W105" s="14"/>
    </row>
    <row r="106" spans="1:23" s="91" customFormat="1" ht="30" x14ac:dyDescent="0.25">
      <c r="A106" s="165" t="str">
        <f t="shared" si="2"/>
        <v>DUP</v>
      </c>
      <c r="B106" s="23" t="s">
        <v>51</v>
      </c>
      <c r="C106" s="23" t="s">
        <v>10506</v>
      </c>
      <c r="D106" s="166" t="s">
        <v>4586</v>
      </c>
      <c r="E106" s="242" t="s">
        <v>418</v>
      </c>
      <c r="F106" s="169">
        <v>2</v>
      </c>
      <c r="G106" s="243" t="s">
        <v>4587</v>
      </c>
      <c r="H106" s="89">
        <v>450000000</v>
      </c>
      <c r="I106" s="89" t="str">
        <f>IF($H106&lt;='Abbrev Key'!$A$2,'Abbrev Key'!$B$2,IF($H106&lt;='Abbrev Key'!$A$3,'Abbrev Key'!$B$3,IF($H106&lt;='Abbrev Key'!$A$4,'Abbrev Key'!$B$4,IF($H106&lt;='Abbrev Key'!$A$5,'Abbrev Key'!$B$5,IF($H106&lt;='Abbrev Key'!$A$6,'Abbrev Key'!$B$6,IF($H106&gt;='Abbrev Key'!$A$7,'Abbrev Key'!$B$7,IF($H106='Abbrev Key'!$A$8,'Abbrev Key'!$B$8,"")))))))</f>
        <v>E</v>
      </c>
      <c r="J106" s="17" t="s">
        <v>11823</v>
      </c>
      <c r="K106" s="92" t="s">
        <v>640</v>
      </c>
      <c r="L106" s="398">
        <v>3239923.61</v>
      </c>
      <c r="M106" s="403">
        <f t="shared" si="3"/>
        <v>7.1998302444444438E-3</v>
      </c>
      <c r="N106" s="92" t="s">
        <v>7</v>
      </c>
      <c r="O106" s="92"/>
      <c r="P106" s="167" t="s">
        <v>4287</v>
      </c>
      <c r="Q106" s="392">
        <v>42496</v>
      </c>
      <c r="R106" s="392">
        <v>42495</v>
      </c>
      <c r="S106" s="392" t="s">
        <v>455</v>
      </c>
      <c r="T106" s="168" t="s">
        <v>1598</v>
      </c>
      <c r="U106" s="92"/>
      <c r="V106" s="92"/>
      <c r="W106" s="92"/>
    </row>
    <row r="107" spans="1:23" s="91" customFormat="1" x14ac:dyDescent="0.25">
      <c r="A107" s="165" t="str">
        <f t="shared" si="2"/>
        <v/>
      </c>
      <c r="B107" s="23" t="s">
        <v>300</v>
      </c>
      <c r="C107" s="23" t="s">
        <v>4687</v>
      </c>
      <c r="D107" s="166" t="s">
        <v>4688</v>
      </c>
      <c r="E107" s="242" t="s">
        <v>418</v>
      </c>
      <c r="F107" s="169">
        <v>2</v>
      </c>
      <c r="G107" s="243" t="s">
        <v>4689</v>
      </c>
      <c r="H107" s="89">
        <v>190000000</v>
      </c>
      <c r="I107" s="89" t="str">
        <f>IF($H107&lt;='Abbrev Key'!$A$2,'Abbrev Key'!$B$2,IF($H107&lt;='Abbrev Key'!$A$3,'Abbrev Key'!$B$3,IF($H107&lt;='Abbrev Key'!$A$4,'Abbrev Key'!$B$4,IF($H107&lt;='Abbrev Key'!$A$5,'Abbrev Key'!$B$5,IF($H107&lt;='Abbrev Key'!$A$6,'Abbrev Key'!$B$6,IF($H107&gt;='Abbrev Key'!$A$7,'Abbrev Key'!$B$7,IF($H107='Abbrev Key'!$A$8,'Abbrev Key'!$B$8,"")))))))</f>
        <v>D</v>
      </c>
      <c r="J107" s="17" t="s">
        <v>298</v>
      </c>
      <c r="K107" s="92" t="s">
        <v>633</v>
      </c>
      <c r="L107" s="398">
        <v>1407110.19</v>
      </c>
      <c r="M107" s="403">
        <f t="shared" si="3"/>
        <v>7.4058431052631572E-3</v>
      </c>
      <c r="N107" s="92" t="s">
        <v>7</v>
      </c>
      <c r="O107" s="92"/>
      <c r="P107" s="167" t="s">
        <v>4408</v>
      </c>
      <c r="Q107" s="392">
        <v>42506</v>
      </c>
      <c r="R107" s="392">
        <v>42505</v>
      </c>
      <c r="S107" s="392" t="str">
        <f>_xlfn.IFNA(VLOOKUP(B107,'[1]VLOOKUP NO DUPS'!$A$1:$C$456,2,FALSE),"")</f>
        <v>05/26/2016</v>
      </c>
      <c r="T107" s="168" t="str">
        <f>_xlfn.IFNA(VLOOKUP(B107,'[1]VLOOKUP NO DUPS'!$A$1:$C$456,3,FALSE),"")</f>
        <v>Pomerantz LLP</v>
      </c>
      <c r="U107" s="92"/>
      <c r="V107" s="92"/>
      <c r="W107" s="92"/>
    </row>
    <row r="108" spans="1:23" s="91" customFormat="1" ht="30" x14ac:dyDescent="0.25">
      <c r="A108" s="165" t="str">
        <f t="shared" si="2"/>
        <v/>
      </c>
      <c r="B108" s="23" t="s">
        <v>3989</v>
      </c>
      <c r="C108" s="23" t="s">
        <v>5347</v>
      </c>
      <c r="D108" s="166" t="s">
        <v>5348</v>
      </c>
      <c r="E108" s="242" t="s">
        <v>418</v>
      </c>
      <c r="F108" s="169">
        <v>2</v>
      </c>
      <c r="G108" s="243" t="s">
        <v>5349</v>
      </c>
      <c r="H108" s="89">
        <v>26000000</v>
      </c>
      <c r="I108" s="89" t="str">
        <f>IF($H108&lt;='Abbrev Key'!$A$2,'Abbrev Key'!$B$2,IF($H108&lt;='Abbrev Key'!$A$3,'Abbrev Key'!$B$3,IF($H108&lt;='Abbrev Key'!$A$4,'Abbrev Key'!$B$4,IF($H108&lt;='Abbrev Key'!$A$5,'Abbrev Key'!$B$5,IF($H108&lt;='Abbrev Key'!$A$6,'Abbrev Key'!$B$6,IF($H108&gt;='Abbrev Key'!$A$7,'Abbrev Key'!$B$7,IF($H108='Abbrev Key'!$A$8,'Abbrev Key'!$B$8,"")))))))</f>
        <v>B</v>
      </c>
      <c r="J108" s="23" t="s">
        <v>11978</v>
      </c>
      <c r="K108" s="23" t="s">
        <v>646</v>
      </c>
      <c r="L108" s="398">
        <v>1178896.8600000001</v>
      </c>
      <c r="M108" s="403">
        <f t="shared" si="3"/>
        <v>4.5342186923076927E-2</v>
      </c>
      <c r="N108" s="23" t="s">
        <v>885</v>
      </c>
      <c r="O108" s="23"/>
      <c r="P108" s="167" t="s">
        <v>4408</v>
      </c>
      <c r="Q108" s="392">
        <v>42688</v>
      </c>
      <c r="R108" s="392">
        <v>42687</v>
      </c>
      <c r="S108" s="392" t="str">
        <f>_xlfn.IFNA(VLOOKUP(B108,'[1]VLOOKUP NO DUPS'!$A$1:$C$456,2,FALSE),"")</f>
        <v>05/26/2016</v>
      </c>
      <c r="T108" s="168" t="str">
        <f>_xlfn.IFNA(VLOOKUP(B108,'[1]VLOOKUP NO DUPS'!$A$1:$C$456,3,FALSE),"")</f>
        <v>Bronstein, Gewirtz &amp; Grossman, LLC; Glancy Prongay &amp; Murray, LLP; Pomerantz LLP</v>
      </c>
      <c r="U108" s="92"/>
      <c r="V108" s="92"/>
      <c r="W108" s="92"/>
    </row>
    <row r="109" spans="1:23" s="91" customFormat="1" ht="30" x14ac:dyDescent="0.25">
      <c r="A109" s="165" t="str">
        <f t="shared" si="2"/>
        <v/>
      </c>
      <c r="B109" s="23" t="s">
        <v>154</v>
      </c>
      <c r="C109" s="23" t="s">
        <v>4435</v>
      </c>
      <c r="D109" s="166" t="s">
        <v>4436</v>
      </c>
      <c r="E109" s="242" t="s">
        <v>515</v>
      </c>
      <c r="F109" s="169">
        <v>6</v>
      </c>
      <c r="G109" s="243" t="s">
        <v>4437</v>
      </c>
      <c r="H109" s="89">
        <v>130000000</v>
      </c>
      <c r="I109" s="89" t="str">
        <f>IF($H109&lt;='Abbrev Key'!$A$2,'Abbrev Key'!$B$2,IF($H109&lt;='Abbrev Key'!$A$3,'Abbrev Key'!$B$3,IF($H109&lt;='Abbrev Key'!$A$4,'Abbrev Key'!$B$4,IF($H109&lt;='Abbrev Key'!$A$5,'Abbrev Key'!$B$5,IF($H109&lt;='Abbrev Key'!$A$6,'Abbrev Key'!$B$6,IF($H109&gt;='Abbrev Key'!$A$7,'Abbrev Key'!$B$7,IF($H109='Abbrev Key'!$A$8,'Abbrev Key'!$B$8,"")))))))</f>
        <v>D</v>
      </c>
      <c r="J109" s="17" t="s">
        <v>1174</v>
      </c>
      <c r="K109" s="23" t="s">
        <v>633</v>
      </c>
      <c r="L109" s="354">
        <v>6373736.3899999997</v>
      </c>
      <c r="M109" s="405">
        <f t="shared" si="3"/>
        <v>4.9028741461538461E-2</v>
      </c>
      <c r="N109" s="23" t="s">
        <v>1176</v>
      </c>
      <c r="O109" s="23"/>
      <c r="P109" s="167" t="s">
        <v>4295</v>
      </c>
      <c r="Q109" s="392">
        <v>42514</v>
      </c>
      <c r="R109" s="392">
        <v>42513</v>
      </c>
      <c r="S109" s="392" t="str">
        <f>_xlfn.IFNA(VLOOKUP(B109,'[1]VLOOKUP NO DUPS'!$A$1:$C$456,2,FALSE),"")</f>
        <v>05/27/2016</v>
      </c>
      <c r="T109" s="168" t="str">
        <f>_xlfn.IFNA(VLOOKUP(B109,'[1]VLOOKUP NO DUPS'!$A$1:$C$456,3,FALSE),"")</f>
        <v>Block &amp; Leviton LLP; Bramlett Law Offices; Pomerantz LLP; Robbins, Geller, Rudman &amp; Dowd, LLP</v>
      </c>
      <c r="U109" s="92"/>
      <c r="V109" s="92"/>
      <c r="W109" s="92"/>
    </row>
    <row r="110" spans="1:23" s="91" customFormat="1" x14ac:dyDescent="0.25">
      <c r="A110" s="165" t="str">
        <f t="shared" si="2"/>
        <v/>
      </c>
      <c r="B110" s="23" t="s">
        <v>1701</v>
      </c>
      <c r="C110" s="23" t="s">
        <v>4562</v>
      </c>
      <c r="D110" s="166" t="s">
        <v>4563</v>
      </c>
      <c r="E110" s="242" t="s">
        <v>424</v>
      </c>
      <c r="F110" s="169">
        <v>3</v>
      </c>
      <c r="G110" s="243" t="s">
        <v>4564</v>
      </c>
      <c r="H110" s="89">
        <v>20000000</v>
      </c>
      <c r="I110" s="89" t="str">
        <f>IF($H110&lt;='Abbrev Key'!$A$2,'Abbrev Key'!$B$2,IF($H110&lt;='Abbrev Key'!$A$3,'Abbrev Key'!$B$3,IF($H110&lt;='Abbrev Key'!$A$4,'Abbrev Key'!$B$4,IF($H110&lt;='Abbrev Key'!$A$5,'Abbrev Key'!$B$5,IF($H110&lt;='Abbrev Key'!$A$6,'Abbrev Key'!$B$6,IF($H110&gt;='Abbrev Key'!$A$7,'Abbrev Key'!$B$7,IF($H110='Abbrev Key'!$A$8,'Abbrev Key'!$B$8,"")))))))</f>
        <v>A</v>
      </c>
      <c r="J110" s="17" t="s">
        <v>11821</v>
      </c>
      <c r="K110" s="92" t="s">
        <v>646</v>
      </c>
      <c r="L110" s="398">
        <v>23954</v>
      </c>
      <c r="M110" s="403">
        <f t="shared" si="3"/>
        <v>1.1976999999999999E-3</v>
      </c>
      <c r="N110" s="92" t="s">
        <v>309</v>
      </c>
      <c r="O110" s="92"/>
      <c r="P110" s="167" t="s">
        <v>4295</v>
      </c>
      <c r="Q110" s="392">
        <v>42447</v>
      </c>
      <c r="R110" s="392">
        <v>42446</v>
      </c>
      <c r="S110" s="392" t="str">
        <f>_xlfn.IFNA(VLOOKUP(B110,'[1]VLOOKUP NO DUPS'!$A$1:$C$456,2,FALSE),"")</f>
        <v>05/31/2016</v>
      </c>
      <c r="T110" s="168" t="str">
        <f>_xlfn.IFNA(VLOOKUP(B110,'[1]VLOOKUP NO DUPS'!$A$1:$C$456,3,FALSE),"")</f>
        <v>Bronstein, Gewirtz &amp; Grossman, LLC; Kirby McInerney LLP; Pomerantz LLP</v>
      </c>
      <c r="U110" s="92"/>
      <c r="V110" s="92"/>
      <c r="W110" s="92"/>
    </row>
    <row r="111" spans="1:23" s="91" customFormat="1" x14ac:dyDescent="0.25">
      <c r="A111" s="165" t="str">
        <f t="shared" si="2"/>
        <v/>
      </c>
      <c r="B111" s="23" t="s">
        <v>3868</v>
      </c>
      <c r="C111" s="23" t="s">
        <v>5318</v>
      </c>
      <c r="D111" s="166" t="s">
        <v>5319</v>
      </c>
      <c r="E111" s="242" t="s">
        <v>3869</v>
      </c>
      <c r="F111" s="169">
        <v>4</v>
      </c>
      <c r="G111" s="243" t="s">
        <v>5320</v>
      </c>
      <c r="H111" s="89">
        <v>40000000</v>
      </c>
      <c r="I111" s="89" t="str">
        <f>IF($H111&lt;='Abbrev Key'!$A$2,'Abbrev Key'!$B$2,IF($H111&lt;='Abbrev Key'!$A$3,'Abbrev Key'!$B$3,IF($H111&lt;='Abbrev Key'!$A$4,'Abbrev Key'!$B$4,IF($H111&lt;='Abbrev Key'!$A$5,'Abbrev Key'!$B$5,IF($H111&lt;='Abbrev Key'!$A$6,'Abbrev Key'!$B$6,IF($H111&gt;='Abbrev Key'!$A$7,'Abbrev Key'!$B$7,IF($H111='Abbrev Key'!$A$8,'Abbrev Key'!$B$8,"")))))))</f>
        <v>B</v>
      </c>
      <c r="J111" s="23" t="s">
        <v>11925</v>
      </c>
      <c r="K111" s="23" t="s">
        <v>662</v>
      </c>
      <c r="L111" s="398">
        <v>1745259.0699999998</v>
      </c>
      <c r="M111" s="403">
        <f t="shared" si="3"/>
        <v>4.3631476749999995E-2</v>
      </c>
      <c r="N111" s="23" t="s">
        <v>3902</v>
      </c>
      <c r="O111" s="23"/>
      <c r="P111" s="167" t="s">
        <v>4295</v>
      </c>
      <c r="Q111" s="392">
        <v>42500</v>
      </c>
      <c r="R111" s="392">
        <v>42499</v>
      </c>
      <c r="S111" s="392" t="str">
        <f>_xlfn.IFNA(VLOOKUP(B111,'[1]VLOOKUP NO DUPS'!$A$1:$C$456,2,FALSE),"")</f>
        <v>06/02/2016</v>
      </c>
      <c r="T111" s="168" t="str">
        <f>_xlfn.IFNA(VLOOKUP(B111,'[1]VLOOKUP NO DUPS'!$A$1:$C$456,3,FALSE),"")</f>
        <v>Holzer &amp; Holzer, LLC; McDaniel &amp; Anderson, LLP; Robbins, Geller, Rudman &amp; Dowd, LLP</v>
      </c>
      <c r="U111" s="92"/>
      <c r="V111" s="92"/>
      <c r="W111" s="92"/>
    </row>
    <row r="112" spans="1:23" s="91" customFormat="1" ht="45" x14ac:dyDescent="0.25">
      <c r="A112" s="165" t="str">
        <f t="shared" si="2"/>
        <v/>
      </c>
      <c r="B112" s="23" t="s">
        <v>257</v>
      </c>
      <c r="C112" s="23" t="s">
        <v>4389</v>
      </c>
      <c r="D112" s="166" t="s">
        <v>4390</v>
      </c>
      <c r="E112" s="242" t="s">
        <v>418</v>
      </c>
      <c r="F112" s="169">
        <v>2</v>
      </c>
      <c r="G112" s="243" t="s">
        <v>4391</v>
      </c>
      <c r="H112" s="89">
        <v>3000000000</v>
      </c>
      <c r="I112" s="89" t="str">
        <f>IF($H112&lt;='Abbrev Key'!$A$2,'Abbrev Key'!$B$2,IF($H112&lt;='Abbrev Key'!$A$3,'Abbrev Key'!$B$3,IF($H112&lt;='Abbrev Key'!$A$4,'Abbrev Key'!$B$4,IF($H112&lt;='Abbrev Key'!$A$5,'Abbrev Key'!$B$5,IF($H112&lt;='Abbrev Key'!$A$6,'Abbrev Key'!$B$6,IF($H112&gt;='Abbrev Key'!$A$7,'Abbrev Key'!$B$7,IF($H112='Abbrev Key'!$A$8,'Abbrev Key'!$B$8,"")))))))</f>
        <v>F</v>
      </c>
      <c r="J112" s="17" t="s">
        <v>249</v>
      </c>
      <c r="K112" s="23" t="s">
        <v>633</v>
      </c>
      <c r="L112" s="398">
        <v>6441574.3799999999</v>
      </c>
      <c r="M112" s="403">
        <f t="shared" si="3"/>
        <v>2.14719146E-3</v>
      </c>
      <c r="N112" s="23" t="s">
        <v>10810</v>
      </c>
      <c r="O112" s="23"/>
      <c r="P112" s="167" t="s">
        <v>4287</v>
      </c>
      <c r="Q112" s="392">
        <v>42578</v>
      </c>
      <c r="R112" s="392">
        <v>42577</v>
      </c>
      <c r="S112" s="392" t="str">
        <f>_xlfn.IFNA(VLOOKUP(B112,'[1]VLOOKUP NO DUPS'!$A$1:$C$456,2,FALSE),"")</f>
        <v>06/03/2016</v>
      </c>
      <c r="T112" s="168" t="str">
        <f>_xlfn.IFNA(VLOOKUP(B112,'[1]VLOOKUP NO DUPS'!$A$1:$C$456,3,FALSE),"")</f>
        <v>The Rosen Law Firm, P.A.</v>
      </c>
      <c r="U112" s="92"/>
      <c r="V112" s="92"/>
      <c r="W112" s="92"/>
    </row>
    <row r="113" spans="1:23" s="91" customFormat="1" x14ac:dyDescent="0.25">
      <c r="A113" s="165" t="str">
        <f t="shared" si="2"/>
        <v/>
      </c>
      <c r="B113" s="23" t="s">
        <v>2306</v>
      </c>
      <c r="C113" s="23" t="s">
        <v>4753</v>
      </c>
      <c r="D113" s="166" t="s">
        <v>4754</v>
      </c>
      <c r="E113" s="242" t="s">
        <v>424</v>
      </c>
      <c r="F113" s="169">
        <v>3</v>
      </c>
      <c r="G113" s="243" t="s">
        <v>4755</v>
      </c>
      <c r="H113" s="89">
        <v>25000000</v>
      </c>
      <c r="I113" s="89" t="str">
        <f>IF($H113&lt;='Abbrev Key'!$A$2,'Abbrev Key'!$B$2,IF($H113&lt;='Abbrev Key'!$A$3,'Abbrev Key'!$B$3,IF($H113&lt;='Abbrev Key'!$A$4,'Abbrev Key'!$B$4,IF($H113&lt;='Abbrev Key'!$A$5,'Abbrev Key'!$B$5,IF($H113&lt;='Abbrev Key'!$A$6,'Abbrev Key'!$B$6,IF($H113&gt;='Abbrev Key'!$A$7,'Abbrev Key'!$B$7,IF($H113='Abbrev Key'!$A$8,'Abbrev Key'!$B$8,"")))))))</f>
        <v>A</v>
      </c>
      <c r="J113" s="17" t="s">
        <v>2308</v>
      </c>
      <c r="K113" s="92" t="s">
        <v>637</v>
      </c>
      <c r="L113" s="398">
        <v>89692.4</v>
      </c>
      <c r="M113" s="403">
        <f t="shared" si="3"/>
        <v>3.5876959999999996E-3</v>
      </c>
      <c r="N113" s="23" t="s">
        <v>2310</v>
      </c>
      <c r="O113" s="23"/>
      <c r="P113" s="167" t="s">
        <v>4287</v>
      </c>
      <c r="Q113" s="392">
        <v>42524</v>
      </c>
      <c r="R113" s="392">
        <v>42523</v>
      </c>
      <c r="S113" s="392" t="str">
        <f>_xlfn.IFNA(VLOOKUP(B113,'[1]VLOOKUP NO DUPS'!$A$1:$C$456,2,FALSE),"")</f>
        <v>06/09/2016</v>
      </c>
      <c r="T113" s="168" t="str">
        <f>_xlfn.IFNA(VLOOKUP(B113,'[1]VLOOKUP NO DUPS'!$A$1:$C$456,3,FALSE),"")</f>
        <v>Block &amp; Leviton LLP; Gardy &amp; Notis, LLP; Lite Depalma Greenberg, LLC; Pomerantz LLP</v>
      </c>
      <c r="U113" s="92"/>
      <c r="V113" s="92"/>
      <c r="W113" s="92"/>
    </row>
    <row r="114" spans="1:23" s="91" customFormat="1" x14ac:dyDescent="0.25">
      <c r="A114" s="165" t="str">
        <f t="shared" si="2"/>
        <v/>
      </c>
      <c r="B114" s="23" t="s">
        <v>612</v>
      </c>
      <c r="C114" s="23" t="s">
        <v>4464</v>
      </c>
      <c r="D114" s="166" t="s">
        <v>4465</v>
      </c>
      <c r="E114" s="242" t="s">
        <v>409</v>
      </c>
      <c r="F114" s="169">
        <v>1</v>
      </c>
      <c r="G114" s="243" t="s">
        <v>4466</v>
      </c>
      <c r="H114" s="89">
        <v>90000000</v>
      </c>
      <c r="I114" s="89" t="str">
        <f>IF($H114&lt;='Abbrev Key'!$A$2,'Abbrev Key'!$B$2,IF($H114&lt;='Abbrev Key'!$A$3,'Abbrev Key'!$B$3,IF($H114&lt;='Abbrev Key'!$A$4,'Abbrev Key'!$B$4,IF($H114&lt;='Abbrev Key'!$A$5,'Abbrev Key'!$B$5,IF($H114&lt;='Abbrev Key'!$A$6,'Abbrev Key'!$B$6,IF($H114&gt;='Abbrev Key'!$A$7,'Abbrev Key'!$B$7,IF($H114='Abbrev Key'!$A$8,'Abbrev Key'!$B$8,"")))))))</f>
        <v>C</v>
      </c>
      <c r="J114" s="17" t="s">
        <v>11801</v>
      </c>
      <c r="K114" s="23" t="s">
        <v>662</v>
      </c>
      <c r="L114" s="398">
        <v>6120861.5099999998</v>
      </c>
      <c r="M114" s="403">
        <f t="shared" si="3"/>
        <v>6.8009572333333337E-2</v>
      </c>
      <c r="N114" s="23" t="s">
        <v>1313</v>
      </c>
      <c r="O114" s="23"/>
      <c r="P114" s="167" t="s">
        <v>4287</v>
      </c>
      <c r="Q114" s="392">
        <v>42477</v>
      </c>
      <c r="R114" s="392">
        <v>42476</v>
      </c>
      <c r="S114" s="392" t="str">
        <f>_xlfn.IFNA(VLOOKUP(B114,'[1]VLOOKUP NO DUPS'!$A$1:$C$456,2,FALSE),"")</f>
        <v>06/10/2016</v>
      </c>
      <c r="T114" s="168" t="str">
        <f>_xlfn.IFNA(VLOOKUP(B114,'[1]VLOOKUP NO DUPS'!$A$1:$C$456,3,FALSE),"")</f>
        <v>Block &amp; Leviton LLP; Bronstein, Gewirtz &amp; Grossman, LLC; Pomerantz LLP</v>
      </c>
      <c r="U114" s="92"/>
      <c r="V114" s="92"/>
      <c r="W114" s="92"/>
    </row>
    <row r="115" spans="1:23" s="91" customFormat="1" ht="30" x14ac:dyDescent="0.25">
      <c r="A115" s="165" t="str">
        <f t="shared" si="2"/>
        <v/>
      </c>
      <c r="B115" s="23" t="s">
        <v>2054</v>
      </c>
      <c r="C115" s="23" t="s">
        <v>10791</v>
      </c>
      <c r="D115" s="166" t="s">
        <v>4678</v>
      </c>
      <c r="E115" s="242" t="s">
        <v>511</v>
      </c>
      <c r="F115" s="169">
        <v>2</v>
      </c>
      <c r="G115" s="243" t="s">
        <v>4679</v>
      </c>
      <c r="H115" s="89" t="s">
        <v>4882</v>
      </c>
      <c r="I115" s="89" t="s">
        <v>6732</v>
      </c>
      <c r="J115" s="17" t="s">
        <v>11882</v>
      </c>
      <c r="K115" s="23" t="s">
        <v>646</v>
      </c>
      <c r="L115" s="398">
        <v>108274.45000000001</v>
      </c>
      <c r="M115" s="403" t="str">
        <f t="shared" si="3"/>
        <v>DC</v>
      </c>
      <c r="N115" s="23" t="s">
        <v>2057</v>
      </c>
      <c r="O115" s="23"/>
      <c r="P115" s="167" t="s">
        <v>4287</v>
      </c>
      <c r="Q115" s="392">
        <v>42556</v>
      </c>
      <c r="R115" s="392">
        <v>42555</v>
      </c>
      <c r="S115" s="392" t="str">
        <f>_xlfn.IFNA(VLOOKUP(B115,'[1]VLOOKUP NO DUPS'!$A$1:$C$456,2,FALSE),"")</f>
        <v>06/15/2016</v>
      </c>
      <c r="T115" s="168" t="str">
        <f>_xlfn.IFNA(VLOOKUP(B115,'[1]VLOOKUP NO DUPS'!$A$1:$C$456,3,FALSE),"")</f>
        <v>Izard Nobel LLP; Susman Godfrey, L.L.P.</v>
      </c>
      <c r="U115" s="92"/>
      <c r="V115" s="92"/>
      <c r="W115" s="92"/>
    </row>
    <row r="116" spans="1:23" s="91" customFormat="1" ht="30" x14ac:dyDescent="0.25">
      <c r="A116" s="165" t="str">
        <f t="shared" si="2"/>
        <v/>
      </c>
      <c r="B116" s="23" t="s">
        <v>1516</v>
      </c>
      <c r="C116" s="23" t="s">
        <v>4509</v>
      </c>
      <c r="D116" s="166" t="s">
        <v>4510</v>
      </c>
      <c r="E116" s="242" t="s">
        <v>418</v>
      </c>
      <c r="F116" s="169">
        <v>2</v>
      </c>
      <c r="G116" s="243" t="s">
        <v>4511</v>
      </c>
      <c r="H116" s="89">
        <v>92000000</v>
      </c>
      <c r="I116" s="89" t="str">
        <f>IF($H116&lt;='Abbrev Key'!$A$2,'Abbrev Key'!$B$2,IF($H116&lt;='Abbrev Key'!$A$3,'Abbrev Key'!$B$3,IF($H116&lt;='Abbrev Key'!$A$4,'Abbrev Key'!$B$4,IF($H116&lt;='Abbrev Key'!$A$5,'Abbrev Key'!$B$5,IF($H116&lt;='Abbrev Key'!$A$6,'Abbrev Key'!$B$6,IF($H116&gt;='Abbrev Key'!$A$7,'Abbrev Key'!$B$7,IF($H116='Abbrev Key'!$A$8,'Abbrev Key'!$B$8,"")))))))</f>
        <v>C</v>
      </c>
      <c r="J116" s="17" t="s">
        <v>1534</v>
      </c>
      <c r="K116" s="23" t="s">
        <v>637</v>
      </c>
      <c r="L116" s="398">
        <v>313942.65999999997</v>
      </c>
      <c r="M116" s="403">
        <f t="shared" si="3"/>
        <v>3.412420217391304E-3</v>
      </c>
      <c r="N116" s="92" t="s">
        <v>56</v>
      </c>
      <c r="O116" s="92"/>
      <c r="P116" s="167" t="s">
        <v>4408</v>
      </c>
      <c r="Q116" s="392">
        <v>42536</v>
      </c>
      <c r="R116" s="392">
        <v>42535</v>
      </c>
      <c r="S116" s="392" t="str">
        <f>_xlfn.IFNA(VLOOKUP(B116,'[1]VLOOKUP NO DUPS'!$A$1:$C$456,2,FALSE),"")</f>
        <v>06/15/2016</v>
      </c>
      <c r="T116" s="168" t="str">
        <f>_xlfn.IFNA(VLOOKUP(B116,'[1]VLOOKUP NO DUPS'!$A$1:$C$456,3,FALSE),"")</f>
        <v>Holzer &amp; Holzer, LLC; Johnson &amp; Weaver LLP; Robbins, Geller, Rudman &amp; Dowd, LLP</v>
      </c>
      <c r="U116" s="92"/>
      <c r="V116" s="92"/>
      <c r="W116" s="92"/>
    </row>
    <row r="117" spans="1:23" s="91" customFormat="1" ht="30" x14ac:dyDescent="0.25">
      <c r="A117" s="11" t="str">
        <f t="shared" si="2"/>
        <v/>
      </c>
      <c r="B117" s="23" t="s">
        <v>4092</v>
      </c>
      <c r="C117" s="23" t="s">
        <v>5376</v>
      </c>
      <c r="D117" s="166" t="s">
        <v>5377</v>
      </c>
      <c r="E117" s="242" t="s">
        <v>457</v>
      </c>
      <c r="F117" s="169">
        <v>9</v>
      </c>
      <c r="G117" s="243" t="s">
        <v>5378</v>
      </c>
      <c r="H117" s="89">
        <v>346000000</v>
      </c>
      <c r="I117" s="89" t="str">
        <f>IF($H117&lt;='Abbrev Key'!$A$2,'Abbrev Key'!$B$2,IF($H117&lt;='Abbrev Key'!$A$3,'Abbrev Key'!$B$3,IF($H117&lt;='Abbrev Key'!$A$4,'Abbrev Key'!$B$4,IF($H117&lt;='Abbrev Key'!$A$5,'Abbrev Key'!$B$5,IF($H117&lt;='Abbrev Key'!$A$6,'Abbrev Key'!$B$6,IF($H117&gt;='Abbrev Key'!$A$7,'Abbrev Key'!$B$7,IF($H117='Abbrev Key'!$A$8,'Abbrev Key'!$B$8,"")))))))</f>
        <v>E</v>
      </c>
      <c r="J117" s="92" t="s">
        <v>4093</v>
      </c>
      <c r="K117" s="92" t="s">
        <v>633</v>
      </c>
      <c r="L117" s="398">
        <v>66552.100000000006</v>
      </c>
      <c r="M117" s="403">
        <f t="shared" si="3"/>
        <v>1.923471098265896E-4</v>
      </c>
      <c r="N117" s="92" t="s">
        <v>166</v>
      </c>
      <c r="O117" s="92"/>
      <c r="P117" s="167" t="s">
        <v>4287</v>
      </c>
      <c r="Q117" s="392">
        <v>42269</v>
      </c>
      <c r="R117" s="392">
        <v>42268</v>
      </c>
      <c r="S117" s="392" t="s">
        <v>426</v>
      </c>
      <c r="T117" s="168" t="s">
        <v>10894</v>
      </c>
      <c r="U117" s="92"/>
      <c r="V117" s="92"/>
      <c r="W117" s="92"/>
    </row>
    <row r="118" spans="1:23" s="91" customFormat="1" ht="30" x14ac:dyDescent="0.25">
      <c r="A118" s="165" t="str">
        <f t="shared" si="2"/>
        <v/>
      </c>
      <c r="B118" s="23" t="s">
        <v>314</v>
      </c>
      <c r="C118" s="23" t="s">
        <v>4771</v>
      </c>
      <c r="D118" s="166" t="s">
        <v>4772</v>
      </c>
      <c r="E118" s="242" t="s">
        <v>418</v>
      </c>
      <c r="F118" s="169">
        <v>2</v>
      </c>
      <c r="G118" s="243" t="s">
        <v>4773</v>
      </c>
      <c r="H118" s="89" t="s">
        <v>4882</v>
      </c>
      <c r="I118" s="89" t="s">
        <v>6732</v>
      </c>
      <c r="J118" s="17" t="s">
        <v>313</v>
      </c>
      <c r="K118" s="92" t="s">
        <v>633</v>
      </c>
      <c r="L118" s="398">
        <v>114762.22</v>
      </c>
      <c r="M118" s="403" t="str">
        <f t="shared" si="3"/>
        <v>DC</v>
      </c>
      <c r="N118" s="23" t="s">
        <v>1144</v>
      </c>
      <c r="O118" s="23"/>
      <c r="P118" s="167" t="s">
        <v>4287</v>
      </c>
      <c r="Q118" s="392">
        <v>42545</v>
      </c>
      <c r="R118" s="392">
        <v>42544</v>
      </c>
      <c r="S118" s="392" t="str">
        <f>_xlfn.IFNA(VLOOKUP(B118,'[1]VLOOKUP NO DUPS'!$A$1:$C$456,2,FALSE),"")</f>
        <v>06/24/2016</v>
      </c>
      <c r="T118" s="168" t="str">
        <f>_xlfn.IFNA(VLOOKUP(B118,'[1]VLOOKUP NO DUPS'!$A$1:$C$456,3,FALSE),"")</f>
        <v>Bronstein, Gewirtz &amp; Grossman, LLC; Johnson &amp; Weaver LLP; Pomerantz LLP; Robbins, Geller, Rudman &amp; Dowd, LLP</v>
      </c>
      <c r="U118" s="92"/>
      <c r="V118" s="92"/>
      <c r="W118" s="92"/>
    </row>
    <row r="119" spans="1:23" s="91" customFormat="1" ht="30" x14ac:dyDescent="0.25">
      <c r="A119" s="165" t="str">
        <f t="shared" si="2"/>
        <v/>
      </c>
      <c r="B119" s="23" t="s">
        <v>804</v>
      </c>
      <c r="C119" s="23" t="s">
        <v>4337</v>
      </c>
      <c r="D119" s="166" t="s">
        <v>4338</v>
      </c>
      <c r="E119" s="242" t="s">
        <v>418</v>
      </c>
      <c r="F119" s="169">
        <v>2</v>
      </c>
      <c r="G119" s="243" t="s">
        <v>4339</v>
      </c>
      <c r="H119" s="89">
        <v>260000000</v>
      </c>
      <c r="I119" s="89" t="str">
        <f>IF($H119&lt;='Abbrev Key'!$A$2,'Abbrev Key'!$B$2,IF($H119&lt;='Abbrev Key'!$A$3,'Abbrev Key'!$B$3,IF($H119&lt;='Abbrev Key'!$A$4,'Abbrev Key'!$B$4,IF($H119&lt;='Abbrev Key'!$A$5,'Abbrev Key'!$B$5,IF($H119&lt;='Abbrev Key'!$A$6,'Abbrev Key'!$B$6,IF($H119&gt;='Abbrev Key'!$A$7,'Abbrev Key'!$B$7,IF($H119='Abbrev Key'!$A$8,'Abbrev Key'!$B$8,"")))))))</f>
        <v>E</v>
      </c>
      <c r="J119" s="17" t="s">
        <v>807</v>
      </c>
      <c r="K119" s="92" t="s">
        <v>637</v>
      </c>
      <c r="L119" s="398">
        <v>991862.05</v>
      </c>
      <c r="M119" s="403">
        <f t="shared" si="3"/>
        <v>3.8148540384615385E-3</v>
      </c>
      <c r="N119" s="92" t="s">
        <v>63</v>
      </c>
      <c r="O119" s="92"/>
      <c r="P119" s="167" t="s">
        <v>4295</v>
      </c>
      <c r="Q119" s="392">
        <v>42325</v>
      </c>
      <c r="R119" s="392">
        <v>42324</v>
      </c>
      <c r="S119" s="392" t="str">
        <f>_xlfn.IFNA(VLOOKUP(B119,'[1]VLOOKUP NO DUPS'!$A$1:$C$456,2,FALSE),"")</f>
        <v>06/28/2016</v>
      </c>
      <c r="T119" s="168" t="str">
        <f>_xlfn.IFNA(VLOOKUP(B119,'[1]VLOOKUP NO DUPS'!$A$1:$C$456,3,FALSE),"")</f>
        <v>Levi &amp; Korsinsky, LLP</v>
      </c>
      <c r="U119" s="92"/>
      <c r="V119" s="92"/>
      <c r="W119" s="92"/>
    </row>
    <row r="120" spans="1:23" s="91" customFormat="1" ht="30" x14ac:dyDescent="0.25">
      <c r="A120" s="165" t="str">
        <f t="shared" si="2"/>
        <v/>
      </c>
      <c r="B120" s="23" t="s">
        <v>2204</v>
      </c>
      <c r="C120" s="23" t="s">
        <v>4711</v>
      </c>
      <c r="D120" s="166" t="s">
        <v>4712</v>
      </c>
      <c r="E120" s="242" t="s">
        <v>418</v>
      </c>
      <c r="F120" s="169">
        <v>2</v>
      </c>
      <c r="G120" s="243" t="s">
        <v>4713</v>
      </c>
      <c r="H120" s="89">
        <v>33000000</v>
      </c>
      <c r="I120" s="89" t="str">
        <f>IF($H120&lt;='Abbrev Key'!$A$2,'Abbrev Key'!$B$2,IF($H120&lt;='Abbrev Key'!$A$3,'Abbrev Key'!$B$3,IF($H120&lt;='Abbrev Key'!$A$4,'Abbrev Key'!$B$4,IF($H120&lt;='Abbrev Key'!$A$5,'Abbrev Key'!$B$5,IF($H120&lt;='Abbrev Key'!$A$6,'Abbrev Key'!$B$6,IF($H120&gt;='Abbrev Key'!$A$7,'Abbrev Key'!$B$7,IF($H120='Abbrev Key'!$A$8,'Abbrev Key'!$B$8,"")))))))</f>
        <v>B</v>
      </c>
      <c r="J120" s="17" t="s">
        <v>2205</v>
      </c>
      <c r="K120" s="92" t="s">
        <v>637</v>
      </c>
      <c r="L120" s="398">
        <v>192986</v>
      </c>
      <c r="M120" s="403">
        <f t="shared" si="3"/>
        <v>5.8480606060606058E-3</v>
      </c>
      <c r="N120" s="92" t="s">
        <v>79</v>
      </c>
      <c r="O120" s="92"/>
      <c r="P120" s="167" t="s">
        <v>4287</v>
      </c>
      <c r="Q120" s="392">
        <v>42489</v>
      </c>
      <c r="R120" s="392">
        <v>42488</v>
      </c>
      <c r="S120" s="392">
        <v>42549</v>
      </c>
      <c r="T120" s="168" t="s">
        <v>79</v>
      </c>
      <c r="U120" s="92"/>
      <c r="V120" s="92"/>
      <c r="W120" s="92"/>
    </row>
    <row r="121" spans="1:23" s="91" customFormat="1" x14ac:dyDescent="0.25">
      <c r="A121" s="165" t="str">
        <f t="shared" si="2"/>
        <v/>
      </c>
      <c r="B121" s="23" t="s">
        <v>2616</v>
      </c>
      <c r="C121" s="23" t="s">
        <v>4871</v>
      </c>
      <c r="D121" s="166" t="s">
        <v>4872</v>
      </c>
      <c r="E121" s="242" t="s">
        <v>536</v>
      </c>
      <c r="F121" s="169">
        <v>10</v>
      </c>
      <c r="G121" s="243" t="s">
        <v>4873</v>
      </c>
      <c r="H121" s="89">
        <v>30000000</v>
      </c>
      <c r="I121" s="89" t="str">
        <f>IF($H121&lt;='Abbrev Key'!$A$2,'Abbrev Key'!$B$2,IF($H121&lt;='Abbrev Key'!$A$3,'Abbrev Key'!$B$3,IF($H121&lt;='Abbrev Key'!$A$4,'Abbrev Key'!$B$4,IF($H121&lt;='Abbrev Key'!$A$5,'Abbrev Key'!$B$5,IF($H121&lt;='Abbrev Key'!$A$6,'Abbrev Key'!$B$6,IF($H121&gt;='Abbrev Key'!$A$7,'Abbrev Key'!$B$7,IF($H121='Abbrev Key'!$A$8,'Abbrev Key'!$B$8,"")))))))</f>
        <v>B</v>
      </c>
      <c r="J121" s="17" t="s">
        <v>11867</v>
      </c>
      <c r="K121" s="23" t="s">
        <v>662</v>
      </c>
      <c r="L121" s="398">
        <v>262036</v>
      </c>
      <c r="M121" s="403">
        <f t="shared" si="3"/>
        <v>8.7345333333333341E-3</v>
      </c>
      <c r="N121" s="23" t="s">
        <v>11066</v>
      </c>
      <c r="O121" s="23"/>
      <c r="P121" s="167" t="s">
        <v>4408</v>
      </c>
      <c r="Q121" s="392">
        <v>42549</v>
      </c>
      <c r="R121" s="392">
        <v>42548</v>
      </c>
      <c r="S121" s="392" t="str">
        <f>_xlfn.IFNA(VLOOKUP(B121,'[1]VLOOKUP NO DUPS'!$A$1:$C$456,2,FALSE),"")</f>
        <v>07/01/2016</v>
      </c>
      <c r="T121" s="168" t="str">
        <f>_xlfn.IFNA(VLOOKUP(B121,'[1]VLOOKUP NO DUPS'!$A$1:$C$456,3,FALSE),"")</f>
        <v>Lite Depalma Greenberg, LLC; Pomerantz LLP; The Rosen Law Firm, P.A.</v>
      </c>
      <c r="U121" s="92"/>
      <c r="V121" s="92"/>
      <c r="W121" s="92"/>
    </row>
    <row r="122" spans="1:23" s="91" customFormat="1" ht="30" x14ac:dyDescent="0.25">
      <c r="A122" s="165" t="str">
        <f t="shared" si="2"/>
        <v/>
      </c>
      <c r="B122" s="23" t="s">
        <v>44</v>
      </c>
      <c r="C122" s="23" t="s">
        <v>5191</v>
      </c>
      <c r="D122" s="166" t="s">
        <v>5192</v>
      </c>
      <c r="E122" s="242" t="s">
        <v>465</v>
      </c>
      <c r="F122" s="169">
        <v>7</v>
      </c>
      <c r="G122" s="243" t="s">
        <v>5193</v>
      </c>
      <c r="H122" s="89">
        <v>3000000000</v>
      </c>
      <c r="I122" s="89" t="str">
        <f>IF($H122&lt;='Abbrev Key'!$A$2,'Abbrev Key'!$B$2,IF($H122&lt;='Abbrev Key'!$A$3,'Abbrev Key'!$B$3,IF($H122&lt;='Abbrev Key'!$A$4,'Abbrev Key'!$B$4,IF($H122&lt;='Abbrev Key'!$A$5,'Abbrev Key'!$B$5,IF($H122&lt;='Abbrev Key'!$A$6,'Abbrev Key'!$B$6,IF($H122&gt;='Abbrev Key'!$A$7,'Abbrev Key'!$B$7,IF($H122='Abbrev Key'!$A$8,'Abbrev Key'!$B$8,"")))))))</f>
        <v>F</v>
      </c>
      <c r="J122" s="23" t="s">
        <v>11914</v>
      </c>
      <c r="K122" s="92" t="s">
        <v>640</v>
      </c>
      <c r="L122" s="398">
        <v>13072867.09</v>
      </c>
      <c r="M122" s="403">
        <f t="shared" si="3"/>
        <v>4.3576223633333333E-3</v>
      </c>
      <c r="N122" s="92" t="s">
        <v>1</v>
      </c>
      <c r="O122" s="92"/>
      <c r="P122" s="167" t="s">
        <v>4287</v>
      </c>
      <c r="Q122" s="392">
        <v>42631</v>
      </c>
      <c r="R122" s="392">
        <v>42630</v>
      </c>
      <c r="S122" s="392" t="str">
        <f>_xlfn.IFNA(VLOOKUP(B122,'[1]VLOOKUP NO DUPS'!$A$1:$C$456,2,FALSE),"")</f>
        <v>07/11/2016</v>
      </c>
      <c r="T122" s="168" t="str">
        <f>_xlfn.IFNA(VLOOKUP(B122,'[1]VLOOKUP NO DUPS'!$A$1:$C$456,3,FALSE),"")</f>
        <v>Bernstein Litowitz Berger &amp; Grossmann LLP</v>
      </c>
      <c r="U122" s="92"/>
      <c r="V122" s="92"/>
      <c r="W122" s="92"/>
    </row>
    <row r="123" spans="1:23" s="91" customFormat="1" ht="30" x14ac:dyDescent="0.25">
      <c r="A123" s="165" t="str">
        <f t="shared" si="2"/>
        <v/>
      </c>
      <c r="B123" s="23" t="s">
        <v>2450</v>
      </c>
      <c r="C123" s="23" t="s">
        <v>4816</v>
      </c>
      <c r="D123" s="166" t="s">
        <v>4817</v>
      </c>
      <c r="E123" s="242" t="s">
        <v>480</v>
      </c>
      <c r="F123" s="169">
        <v>9</v>
      </c>
      <c r="G123" s="243" t="s">
        <v>4818</v>
      </c>
      <c r="H123" s="89">
        <v>130000000</v>
      </c>
      <c r="I123" s="89" t="str">
        <f>IF($H123&lt;='Abbrev Key'!$A$2,'Abbrev Key'!$B$2,IF($H123&lt;='Abbrev Key'!$A$3,'Abbrev Key'!$B$3,IF($H123&lt;='Abbrev Key'!$A$4,'Abbrev Key'!$B$4,IF($H123&lt;='Abbrev Key'!$A$5,'Abbrev Key'!$B$5,IF($H123&lt;='Abbrev Key'!$A$6,'Abbrev Key'!$B$6,IF($H123&gt;='Abbrev Key'!$A$7,'Abbrev Key'!$B$7,IF($H123='Abbrev Key'!$A$8,'Abbrev Key'!$B$8,"")))))))</f>
        <v>D</v>
      </c>
      <c r="J123" s="17" t="s">
        <v>2465</v>
      </c>
      <c r="K123" s="92" t="s">
        <v>637</v>
      </c>
      <c r="L123" s="398">
        <v>132002</v>
      </c>
      <c r="M123" s="403">
        <f t="shared" si="3"/>
        <v>1.0154000000000001E-3</v>
      </c>
      <c r="N123" s="23" t="s">
        <v>2467</v>
      </c>
      <c r="O123" s="23"/>
      <c r="P123" s="167" t="s">
        <v>4408</v>
      </c>
      <c r="Q123" s="392">
        <v>42696</v>
      </c>
      <c r="R123" s="392">
        <v>42695</v>
      </c>
      <c r="S123" s="392" t="str">
        <f>_xlfn.IFNA(VLOOKUP(B123,'[1]VLOOKUP NO DUPS'!$A$1:$C$456,2,FALSE),"")</f>
        <v>07/12/2016</v>
      </c>
      <c r="T123" s="168" t="str">
        <f>_xlfn.IFNA(VLOOKUP(B123,'[1]VLOOKUP NO DUPS'!$A$1:$C$456,3,FALSE),"")</f>
        <v>Badgley Mullins Turner PLLC; Block &amp; Leviton LLP; Glancy Prongay &amp; Murray, LLP; Law Offices of Clifford A. Cantor, P.C; Pomerantz LLP; Tousley Brain Stephens PLLC</v>
      </c>
      <c r="U123" s="92"/>
      <c r="V123" s="92"/>
      <c r="W123" s="92"/>
    </row>
    <row r="124" spans="1:23" s="91" customFormat="1" ht="30" x14ac:dyDescent="0.25">
      <c r="A124" s="165" t="str">
        <f t="shared" si="2"/>
        <v/>
      </c>
      <c r="B124" s="23" t="s">
        <v>83</v>
      </c>
      <c r="C124" s="23" t="s">
        <v>4774</v>
      </c>
      <c r="D124" s="166" t="s">
        <v>4775</v>
      </c>
      <c r="E124" s="242" t="s">
        <v>424</v>
      </c>
      <c r="F124" s="169">
        <v>3</v>
      </c>
      <c r="G124" s="243" t="s">
        <v>4776</v>
      </c>
      <c r="H124" s="89">
        <v>40000000</v>
      </c>
      <c r="I124" s="89" t="str">
        <f>IF($H124&lt;='Abbrev Key'!$A$2,'Abbrev Key'!$B$2,IF($H124&lt;='Abbrev Key'!$A$3,'Abbrev Key'!$B$3,IF($H124&lt;='Abbrev Key'!$A$4,'Abbrev Key'!$B$4,IF($H124&lt;='Abbrev Key'!$A$5,'Abbrev Key'!$B$5,IF($H124&lt;='Abbrev Key'!$A$6,'Abbrev Key'!$B$6,IF($H124&gt;='Abbrev Key'!$A$7,'Abbrev Key'!$B$7,IF($H124='Abbrev Key'!$A$8,'Abbrev Key'!$B$8,"")))))))</f>
        <v>B</v>
      </c>
      <c r="J124" s="17" t="s">
        <v>81</v>
      </c>
      <c r="K124" s="92" t="s">
        <v>633</v>
      </c>
      <c r="L124" s="398">
        <v>56804.12</v>
      </c>
      <c r="M124" s="403">
        <f t="shared" si="3"/>
        <v>1.420103E-3</v>
      </c>
      <c r="N124" s="23" t="s">
        <v>1988</v>
      </c>
      <c r="O124" s="23"/>
      <c r="P124" s="167" t="s">
        <v>4295</v>
      </c>
      <c r="Q124" s="392">
        <v>42529</v>
      </c>
      <c r="R124" s="392">
        <v>42528</v>
      </c>
      <c r="S124" s="392" t="str">
        <f>_xlfn.IFNA(VLOOKUP(B124,'[1]VLOOKUP NO DUPS'!$A$1:$C$456,2,FALSE),"")</f>
        <v>07/15/2016</v>
      </c>
      <c r="T124" s="168" t="str">
        <f>_xlfn.IFNA(VLOOKUP(B124,'[1]VLOOKUP NO DUPS'!$A$1:$C$456,3,FALSE),"")</f>
        <v>Bronstein, Gewirtz &amp; Grossman, LLC; Lite Depalma Greenberg, LLC; Pomerantz LLP</v>
      </c>
      <c r="U124" s="92"/>
      <c r="V124" s="92"/>
      <c r="W124" s="92"/>
    </row>
    <row r="125" spans="1:23" s="91" customFormat="1" ht="105" x14ac:dyDescent="0.25">
      <c r="A125" s="165" t="str">
        <f t="shared" si="2"/>
        <v/>
      </c>
      <c r="B125" s="23" t="s">
        <v>1741</v>
      </c>
      <c r="C125" s="23" t="s">
        <v>4583</v>
      </c>
      <c r="D125" s="166" t="s">
        <v>4584</v>
      </c>
      <c r="E125" s="242" t="s">
        <v>817</v>
      </c>
      <c r="F125" s="169">
        <v>4</v>
      </c>
      <c r="G125" s="243" t="s">
        <v>4585</v>
      </c>
      <c r="H125" s="89">
        <v>110000000</v>
      </c>
      <c r="I125" s="89" t="str">
        <f>IF($H125&lt;='Abbrev Key'!$A$2,'Abbrev Key'!$B$2,IF($H125&lt;='Abbrev Key'!$A$3,'Abbrev Key'!$B$3,IF($H125&lt;='Abbrev Key'!$A$4,'Abbrev Key'!$B$4,IF($H125&lt;='Abbrev Key'!$A$5,'Abbrev Key'!$B$5,IF($H125&lt;='Abbrev Key'!$A$6,'Abbrev Key'!$B$6,IF($H125&gt;='Abbrev Key'!$A$7,'Abbrev Key'!$B$7,IF($H125='Abbrev Key'!$A$8,'Abbrev Key'!$B$8,"")))))))</f>
        <v>D</v>
      </c>
      <c r="J125" s="17" t="s">
        <v>11817</v>
      </c>
      <c r="K125" s="23" t="s">
        <v>640</v>
      </c>
      <c r="L125" s="398">
        <v>120738.98000000001</v>
      </c>
      <c r="M125" s="403">
        <f t="shared" si="3"/>
        <v>1.0976270909090909E-3</v>
      </c>
      <c r="N125" s="23" t="s">
        <v>10952</v>
      </c>
      <c r="O125" s="23"/>
      <c r="P125" s="167" t="s">
        <v>4408</v>
      </c>
      <c r="Q125" s="392">
        <v>42542</v>
      </c>
      <c r="R125" s="392">
        <v>42541</v>
      </c>
      <c r="S125" s="392" t="str">
        <f>_xlfn.IFNA(VLOOKUP(B125,'[1]VLOOKUP NO DUPS'!$A$1:$C$456,2,FALSE),"")</f>
        <v>07/19/2016</v>
      </c>
      <c r="T125" s="168" t="str">
        <f>_xlfn.IFNA(VLOOKUP(B125,'[1]VLOOKUP NO DUPS'!$A$1:$C$456,3,FALSE),"")</f>
        <v>Brown Goldstein Levy, LLP; Holzer &amp; Holzer, LLC; Robbins, Geller, Rudman &amp; Dowd, LLP</v>
      </c>
      <c r="U125" s="92"/>
      <c r="V125" s="92"/>
      <c r="W125" s="92"/>
    </row>
    <row r="126" spans="1:23" s="91" customFormat="1" ht="30" x14ac:dyDescent="0.25">
      <c r="A126" s="165" t="str">
        <f t="shared" si="2"/>
        <v/>
      </c>
      <c r="B126" s="23" t="s">
        <v>2468</v>
      </c>
      <c r="C126" s="23" t="s">
        <v>4819</v>
      </c>
      <c r="D126" s="166" t="s">
        <v>4820</v>
      </c>
      <c r="E126" s="242" t="s">
        <v>457</v>
      </c>
      <c r="F126" s="169">
        <v>9</v>
      </c>
      <c r="G126" s="243" t="s">
        <v>4821</v>
      </c>
      <c r="H126" s="89">
        <v>80000000</v>
      </c>
      <c r="I126" s="89" t="str">
        <f>IF($H126&lt;='Abbrev Key'!$A$2,'Abbrev Key'!$B$2,IF($H126&lt;='Abbrev Key'!$A$3,'Abbrev Key'!$B$3,IF($H126&lt;='Abbrev Key'!$A$4,'Abbrev Key'!$B$4,IF($H126&lt;='Abbrev Key'!$A$5,'Abbrev Key'!$B$5,IF($H126&lt;='Abbrev Key'!$A$6,'Abbrev Key'!$B$6,IF($H126&gt;='Abbrev Key'!$A$7,'Abbrev Key'!$B$7,IF($H126='Abbrev Key'!$A$8,'Abbrev Key'!$B$8,"")))))))</f>
        <v>C</v>
      </c>
      <c r="J126" s="17" t="s">
        <v>11868</v>
      </c>
      <c r="K126" s="17" t="s">
        <v>646</v>
      </c>
      <c r="L126" s="398">
        <v>137780.81</v>
      </c>
      <c r="M126" s="403">
        <f t="shared" si="3"/>
        <v>1.7222601249999999E-3</v>
      </c>
      <c r="N126" s="92" t="s">
        <v>597</v>
      </c>
      <c r="O126" s="92"/>
      <c r="P126" s="167" t="s">
        <v>4287</v>
      </c>
      <c r="Q126" s="392">
        <v>42304</v>
      </c>
      <c r="R126" s="392">
        <v>42303</v>
      </c>
      <c r="S126" s="392" t="str">
        <f>_xlfn.IFNA(VLOOKUP(B126,'[1]VLOOKUP NO DUPS'!$A$1:$C$456,2,FALSE),"")</f>
        <v>07/20/2016</v>
      </c>
      <c r="T126" s="168" t="str">
        <f>_xlfn.IFNA(VLOOKUP(B126,'[1]VLOOKUP NO DUPS'!$A$1:$C$456,3,FALSE),"")</f>
        <v>Bragar Eagel &amp; Squire, PC; Glancy Prongay &amp; Murray, LLP; The Wagner Firm</v>
      </c>
      <c r="U126" s="92"/>
      <c r="V126" s="92"/>
      <c r="W126" s="92"/>
    </row>
    <row r="127" spans="1:23" s="91" customFormat="1" ht="30" x14ac:dyDescent="0.25">
      <c r="A127" s="165" t="str">
        <f t="shared" si="2"/>
        <v/>
      </c>
      <c r="B127" s="23" t="s">
        <v>197</v>
      </c>
      <c r="C127" s="23" t="s">
        <v>4565</v>
      </c>
      <c r="D127" s="166" t="s">
        <v>4566</v>
      </c>
      <c r="E127" s="242" t="s">
        <v>418</v>
      </c>
      <c r="F127" s="169">
        <v>2</v>
      </c>
      <c r="G127" s="243" t="s">
        <v>4567</v>
      </c>
      <c r="H127" s="89">
        <v>1000000000</v>
      </c>
      <c r="I127" s="89" t="str">
        <f>IF($H127&lt;='Abbrev Key'!$A$2,'Abbrev Key'!$B$2,IF($H127&lt;='Abbrev Key'!$A$3,'Abbrev Key'!$B$3,IF($H127&lt;='Abbrev Key'!$A$4,'Abbrev Key'!$B$4,IF($H127&lt;='Abbrev Key'!$A$5,'Abbrev Key'!$B$5,IF($H127&lt;='Abbrev Key'!$A$6,'Abbrev Key'!$B$6,IF($H127&gt;='Abbrev Key'!$A$7,'Abbrev Key'!$B$7,IF($H127='Abbrev Key'!$A$8,'Abbrev Key'!$B$8,"")))))))</f>
        <v>F</v>
      </c>
      <c r="J127" s="17" t="s">
        <v>1711</v>
      </c>
      <c r="K127" s="23" t="s">
        <v>637</v>
      </c>
      <c r="L127" s="398">
        <v>1413191.47</v>
      </c>
      <c r="M127" s="403">
        <f t="shared" si="3"/>
        <v>1.4131914699999999E-3</v>
      </c>
      <c r="N127" s="92" t="s">
        <v>56</v>
      </c>
      <c r="O127" s="92"/>
      <c r="P127" s="167" t="s">
        <v>4287</v>
      </c>
      <c r="Q127" s="392">
        <v>41848</v>
      </c>
      <c r="R127" s="392">
        <v>41847</v>
      </c>
      <c r="S127" s="392" t="str">
        <f>_xlfn.IFNA(VLOOKUP(B127,'[1]VLOOKUP NO DUPS'!$A$1:$C$456,2,FALSE),"")</f>
        <v>07/22/2016</v>
      </c>
      <c r="T127" s="168" t="str">
        <f>_xlfn.IFNA(VLOOKUP(B127,'[1]VLOOKUP NO DUPS'!$A$1:$C$456,3,FALSE),"")</f>
        <v>Bronstein, Gewirtz &amp; Grossman, LLC; Labaton Sucharow LLP; Pomerantz LLP</v>
      </c>
      <c r="U127" s="92"/>
      <c r="V127" s="92"/>
      <c r="W127" s="92"/>
    </row>
    <row r="128" spans="1:23" s="91" customFormat="1" x14ac:dyDescent="0.25">
      <c r="A128" s="165" t="str">
        <f t="shared" si="2"/>
        <v/>
      </c>
      <c r="B128" s="23" t="s">
        <v>552</v>
      </c>
      <c r="C128" s="23" t="s">
        <v>4525</v>
      </c>
      <c r="D128" s="166" t="s">
        <v>4526</v>
      </c>
      <c r="E128" s="242" t="s">
        <v>446</v>
      </c>
      <c r="F128" s="169">
        <v>9</v>
      </c>
      <c r="G128" s="243" t="s">
        <v>4527</v>
      </c>
      <c r="H128" s="89">
        <v>30000000</v>
      </c>
      <c r="I128" s="89" t="str">
        <f>IF($H128&lt;='Abbrev Key'!$A$2,'Abbrev Key'!$B$2,IF($H128&lt;='Abbrev Key'!$A$3,'Abbrev Key'!$B$3,IF($H128&lt;='Abbrev Key'!$A$4,'Abbrev Key'!$B$4,IF($H128&lt;='Abbrev Key'!$A$5,'Abbrev Key'!$B$5,IF($H128&lt;='Abbrev Key'!$A$6,'Abbrev Key'!$B$6,IF($H128&gt;='Abbrev Key'!$A$7,'Abbrev Key'!$B$7,IF($H128='Abbrev Key'!$A$8,'Abbrev Key'!$B$8,"")))))))</f>
        <v>B</v>
      </c>
      <c r="J128" s="17" t="s">
        <v>1579</v>
      </c>
      <c r="K128" s="92" t="s">
        <v>637</v>
      </c>
      <c r="L128" s="398">
        <v>1144164.2</v>
      </c>
      <c r="M128" s="403">
        <f t="shared" si="3"/>
        <v>3.8138806666666664E-2</v>
      </c>
      <c r="N128" s="92" t="s">
        <v>597</v>
      </c>
      <c r="O128" s="92"/>
      <c r="P128" s="167" t="s">
        <v>4408</v>
      </c>
      <c r="Q128" s="392">
        <v>42562</v>
      </c>
      <c r="R128" s="392">
        <v>42561</v>
      </c>
      <c r="S128" s="392" t="str">
        <f>_xlfn.IFNA(VLOOKUP(B128,'[1]VLOOKUP NO DUPS'!$A$1:$C$456,2,FALSE),"")</f>
        <v>07/25/2016</v>
      </c>
      <c r="T128" s="168" t="str">
        <f>_xlfn.IFNA(VLOOKUP(B128,'[1]VLOOKUP NO DUPS'!$A$1:$C$456,3,FALSE),"")</f>
        <v>Glancy Prongay &amp; Murray, LLP; Pomerantz LLP</v>
      </c>
      <c r="U128" s="92"/>
      <c r="V128" s="92"/>
      <c r="W128" s="92"/>
    </row>
    <row r="129" spans="1:23" s="91" customFormat="1" x14ac:dyDescent="0.25">
      <c r="A129" s="165" t="str">
        <f t="shared" si="2"/>
        <v/>
      </c>
      <c r="B129" s="23" t="s">
        <v>3321</v>
      </c>
      <c r="C129" s="23" t="s">
        <v>5107</v>
      </c>
      <c r="D129" s="166" t="s">
        <v>5108</v>
      </c>
      <c r="E129" s="242" t="s">
        <v>424</v>
      </c>
      <c r="F129" s="169">
        <v>3</v>
      </c>
      <c r="G129" s="243" t="s">
        <v>5109</v>
      </c>
      <c r="H129" s="89">
        <v>3250000</v>
      </c>
      <c r="I129" s="89" t="str">
        <f>IF($H129&lt;='Abbrev Key'!$A$2,'Abbrev Key'!$B$2,IF($H129&lt;='Abbrev Key'!$A$3,'Abbrev Key'!$B$3,IF($H129&lt;='Abbrev Key'!$A$4,'Abbrev Key'!$B$4,IF($H129&lt;='Abbrev Key'!$A$5,'Abbrev Key'!$B$5,IF($H129&lt;='Abbrev Key'!$A$6,'Abbrev Key'!$B$6,IF($H129&gt;='Abbrev Key'!$A$7,'Abbrev Key'!$B$7,IF($H129='Abbrev Key'!$A$8,'Abbrev Key'!$B$8,"")))))))</f>
        <v>A</v>
      </c>
      <c r="J129" s="92" t="s">
        <v>11902</v>
      </c>
      <c r="K129" s="92" t="s">
        <v>646</v>
      </c>
      <c r="L129" s="398">
        <v>49291</v>
      </c>
      <c r="M129" s="403">
        <f t="shared" si="3"/>
        <v>1.5166461538461538E-2</v>
      </c>
      <c r="N129" s="92" t="s">
        <v>561</v>
      </c>
      <c r="O129" s="92"/>
      <c r="P129" s="167" t="s">
        <v>4287</v>
      </c>
      <c r="Q129" s="392">
        <v>42552</v>
      </c>
      <c r="R129" s="392">
        <v>42551</v>
      </c>
      <c r="S129" s="392" t="str">
        <f>_xlfn.IFNA(VLOOKUP(B129,'[1]VLOOKUP NO DUPS'!$A$1:$C$456,2,FALSE),"")</f>
        <v>07/28/2016</v>
      </c>
      <c r="T129" s="168" t="str">
        <f>_xlfn.IFNA(VLOOKUP(B129,'[1]VLOOKUP NO DUPS'!$A$1:$C$456,3,FALSE),"")</f>
        <v>The Rosen Law Firm, P.A.</v>
      </c>
      <c r="U129" s="92"/>
      <c r="V129" s="92"/>
      <c r="W129" s="92"/>
    </row>
    <row r="130" spans="1:23" s="91" customFormat="1" ht="45" x14ac:dyDescent="0.25">
      <c r="A130" s="165" t="str">
        <f t="shared" ref="A130:A193" si="4">IF(COUNTIF(B:B,B130)&gt;=2,"DUP","")</f>
        <v/>
      </c>
      <c r="B130" s="23" t="s">
        <v>1876</v>
      </c>
      <c r="C130" s="23" t="s">
        <v>4625</v>
      </c>
      <c r="D130" s="166" t="s">
        <v>4626</v>
      </c>
      <c r="E130" s="166" t="s">
        <v>8609</v>
      </c>
      <c r="F130" s="169">
        <v>6</v>
      </c>
      <c r="G130" s="243" t="s">
        <v>4627</v>
      </c>
      <c r="H130" s="89">
        <v>700000000</v>
      </c>
      <c r="I130" s="89" t="str">
        <f>IF($H130&lt;='Abbrev Key'!$A$2,'Abbrev Key'!$B$2,IF($H130&lt;='Abbrev Key'!$A$3,'Abbrev Key'!$B$3,IF($H130&lt;='Abbrev Key'!$A$4,'Abbrev Key'!$B$4,IF($H130&lt;='Abbrev Key'!$A$5,'Abbrev Key'!$B$5,IF($H130&lt;='Abbrev Key'!$A$6,'Abbrev Key'!$B$6,IF($H130&gt;='Abbrev Key'!$A$7,'Abbrev Key'!$B$7,IF($H130='Abbrev Key'!$A$8,'Abbrev Key'!$B$8,"")))))))</f>
        <v>F</v>
      </c>
      <c r="J130" s="17" t="s">
        <v>11832</v>
      </c>
      <c r="K130" s="92" t="s">
        <v>646</v>
      </c>
      <c r="L130" s="398">
        <v>246124.82</v>
      </c>
      <c r="M130" s="403">
        <f t="shared" ref="M130:M193" si="5">IFERROR((L130/H130),"DC")</f>
        <v>3.5160688571428574E-4</v>
      </c>
      <c r="N130" s="23" t="s">
        <v>10826</v>
      </c>
      <c r="O130" s="23"/>
      <c r="P130" s="167" t="s">
        <v>4287</v>
      </c>
      <c r="Q130" s="392">
        <v>42577</v>
      </c>
      <c r="R130" s="392">
        <v>42576</v>
      </c>
      <c r="S130" s="392" t="str">
        <f>_xlfn.IFNA(VLOOKUP(B130,'[1]VLOOKUP NO DUPS'!$A$1:$C$456,2,FALSE),"")</f>
        <v>07/29/2016</v>
      </c>
      <c r="T130" s="168" t="str">
        <f>_xlfn.IFNA(VLOOKUP(B130,'[1]VLOOKUP NO DUPS'!$A$1:$C$456,3,FALSE),"")</f>
        <v>Cafferty Clobes Meriwether &amp; Sprengel LLP; Glancy Prongay &amp; Murray, LLP; Kessler Topaz  Meltzer &amp; Check, LLP; The Miller Law Firm, P.C.</v>
      </c>
      <c r="U130" s="92"/>
      <c r="V130" s="92"/>
      <c r="W130" s="92"/>
    </row>
    <row r="131" spans="1:23" s="91" customFormat="1" x14ac:dyDescent="0.25">
      <c r="A131" s="165" t="str">
        <f t="shared" si="4"/>
        <v/>
      </c>
      <c r="B131" s="23" t="s">
        <v>408</v>
      </c>
      <c r="C131" s="23" t="s">
        <v>4825</v>
      </c>
      <c r="D131" s="166" t="s">
        <v>4826</v>
      </c>
      <c r="E131" s="242" t="s">
        <v>409</v>
      </c>
      <c r="F131" s="169">
        <v>1</v>
      </c>
      <c r="G131" s="243" t="s">
        <v>4827</v>
      </c>
      <c r="H131" s="89">
        <v>45000000</v>
      </c>
      <c r="I131" s="89" t="str">
        <f>IF($H131&lt;='Abbrev Key'!$A$2,'Abbrev Key'!$B$2,IF($H131&lt;='Abbrev Key'!$A$3,'Abbrev Key'!$B$3,IF($H131&lt;='Abbrev Key'!$A$4,'Abbrev Key'!$B$4,IF($H131&lt;='Abbrev Key'!$A$5,'Abbrev Key'!$B$5,IF($H131&lt;='Abbrev Key'!$A$6,'Abbrev Key'!$B$6,IF($H131&gt;='Abbrev Key'!$A$7,'Abbrev Key'!$B$7,IF($H131='Abbrev Key'!$A$8,'Abbrev Key'!$B$8,"")))))))</f>
        <v>B</v>
      </c>
      <c r="J131" s="17" t="s">
        <v>11860</v>
      </c>
      <c r="K131" s="92" t="s">
        <v>646</v>
      </c>
      <c r="L131" s="398">
        <v>1303292.6599999999</v>
      </c>
      <c r="M131" s="403">
        <f t="shared" si="5"/>
        <v>2.8962059111111108E-2</v>
      </c>
      <c r="N131" s="92" t="s">
        <v>157</v>
      </c>
      <c r="O131" s="92"/>
      <c r="P131" s="167" t="s">
        <v>4287</v>
      </c>
      <c r="Q131" s="392">
        <v>42583</v>
      </c>
      <c r="R131" s="392">
        <v>42582</v>
      </c>
      <c r="S131" s="392" t="str">
        <f>_xlfn.IFNA(VLOOKUP(B131,'[1]VLOOKUP NO DUPS'!$A$1:$C$456,2,FALSE),"")</f>
        <v>08/02/2016</v>
      </c>
      <c r="T131" s="168" t="str">
        <f>_xlfn.IFNA(VLOOKUP(B131,'[1]VLOOKUP NO DUPS'!$A$1:$C$456,3,FALSE),"")</f>
        <v>Glancy Prongay &amp; Murray, LLP</v>
      </c>
      <c r="U131" s="92"/>
      <c r="V131" s="92"/>
      <c r="W131" s="92"/>
    </row>
    <row r="132" spans="1:23" s="91" customFormat="1" ht="60" x14ac:dyDescent="0.25">
      <c r="A132" s="165" t="str">
        <f t="shared" si="4"/>
        <v/>
      </c>
      <c r="B132" s="23" t="s">
        <v>163</v>
      </c>
      <c r="C132" s="23" t="s">
        <v>4576</v>
      </c>
      <c r="D132" s="166" t="s">
        <v>4577</v>
      </c>
      <c r="E132" s="242" t="s">
        <v>418</v>
      </c>
      <c r="F132" s="169">
        <v>2</v>
      </c>
      <c r="G132" s="243" t="s">
        <v>4578</v>
      </c>
      <c r="H132" s="89">
        <v>300000000</v>
      </c>
      <c r="I132" s="89" t="str">
        <f>IF($H132&lt;='Abbrev Key'!$A$2,'Abbrev Key'!$B$2,IF($H132&lt;='Abbrev Key'!$A$3,'Abbrev Key'!$B$3,IF($H132&lt;='Abbrev Key'!$A$4,'Abbrev Key'!$B$4,IF($H132&lt;='Abbrev Key'!$A$5,'Abbrev Key'!$B$5,IF($H132&lt;='Abbrev Key'!$A$6,'Abbrev Key'!$B$6,IF($H132&gt;='Abbrev Key'!$A$7,'Abbrev Key'!$B$7,IF($H132='Abbrev Key'!$A$8,'Abbrev Key'!$B$8,"")))))))</f>
        <v>E</v>
      </c>
      <c r="J132" s="17" t="s">
        <v>11824</v>
      </c>
      <c r="K132" s="92" t="s">
        <v>640</v>
      </c>
      <c r="L132" s="398">
        <v>209368</v>
      </c>
      <c r="M132" s="403">
        <f t="shared" si="5"/>
        <v>6.9789333333333337E-4</v>
      </c>
      <c r="N132" s="92" t="s">
        <v>79</v>
      </c>
      <c r="O132" s="92"/>
      <c r="P132" s="167" t="s">
        <v>4295</v>
      </c>
      <c r="Q132" s="392">
        <v>42702</v>
      </c>
      <c r="R132" s="392">
        <v>42701</v>
      </c>
      <c r="S132" s="392" t="str">
        <f>_xlfn.IFNA(VLOOKUP(B132,'[1]VLOOKUP NO DUPS'!$A$1:$C$456,2,FALSE),"")</f>
        <v>08/08/2016</v>
      </c>
      <c r="T132" s="168" t="str">
        <f>_xlfn.IFNA(VLOOKUP(B132,'[1]VLOOKUP NO DUPS'!$A$1:$C$456,3,FALSE),"")</f>
        <v>Goldberg Law PC; Pomerantz LLP</v>
      </c>
      <c r="U132" s="92"/>
      <c r="V132" s="92"/>
      <c r="W132" s="92"/>
    </row>
    <row r="133" spans="1:23" s="91" customFormat="1" ht="30" x14ac:dyDescent="0.25">
      <c r="A133" s="165" t="str">
        <f t="shared" si="4"/>
        <v/>
      </c>
      <c r="B133" s="23" t="s">
        <v>4107</v>
      </c>
      <c r="C133" s="23" t="s">
        <v>5382</v>
      </c>
      <c r="D133" s="166" t="s">
        <v>5383</v>
      </c>
      <c r="E133" s="242" t="s">
        <v>545</v>
      </c>
      <c r="F133" s="169">
        <v>10</v>
      </c>
      <c r="G133" s="243" t="s">
        <v>5384</v>
      </c>
      <c r="H133" s="89">
        <v>200000000</v>
      </c>
      <c r="I133" s="89" t="str">
        <f>IF($H133&lt;='Abbrev Key'!$A$2,'Abbrev Key'!$B$2,IF($H133&lt;='Abbrev Key'!$A$3,'Abbrev Key'!$B$3,IF($H133&lt;='Abbrev Key'!$A$4,'Abbrev Key'!$B$4,IF($H133&lt;='Abbrev Key'!$A$5,'Abbrev Key'!$B$5,IF($H133&lt;='Abbrev Key'!$A$6,'Abbrev Key'!$B$6,IF($H133&gt;='Abbrev Key'!$A$7,'Abbrev Key'!$B$7,IF($H133='Abbrev Key'!$A$8,'Abbrev Key'!$B$8,"")))))))</f>
        <v>D</v>
      </c>
      <c r="J133" s="17" t="s">
        <v>11985</v>
      </c>
      <c r="K133" s="23" t="s">
        <v>646</v>
      </c>
      <c r="L133" s="398">
        <v>452608.67000000004</v>
      </c>
      <c r="M133" s="403">
        <f t="shared" si="5"/>
        <v>2.2630433500000001E-3</v>
      </c>
      <c r="N133" s="23" t="s">
        <v>4116</v>
      </c>
      <c r="O133" s="23"/>
      <c r="P133" s="167" t="s">
        <v>4295</v>
      </c>
      <c r="Q133" s="392">
        <v>42523</v>
      </c>
      <c r="R133" s="392">
        <v>42522</v>
      </c>
      <c r="S133" s="392" t="str">
        <f>_xlfn.IFNA(VLOOKUP(B133,'[1]VLOOKUP NO DUPS'!$A$1:$C$456,2,FALSE),"")</f>
        <v>08/11/2016</v>
      </c>
      <c r="T133" s="168" t="str">
        <f>_xlfn.IFNA(VLOOKUP(B133,'[1]VLOOKUP NO DUPS'!$A$1:$C$456,3,FALSE),"")</f>
        <v>Gardy &amp; Notis, LLP</v>
      </c>
      <c r="U133" s="92"/>
      <c r="V133" s="92"/>
      <c r="W133" s="92"/>
    </row>
    <row r="134" spans="1:23" s="91" customFormat="1" x14ac:dyDescent="0.25">
      <c r="A134" s="165" t="str">
        <f t="shared" si="4"/>
        <v/>
      </c>
      <c r="B134" s="23" t="s">
        <v>1941</v>
      </c>
      <c r="C134" s="23" t="s">
        <v>4646</v>
      </c>
      <c r="D134" s="166" t="s">
        <v>4647</v>
      </c>
      <c r="E134" s="242" t="s">
        <v>1116</v>
      </c>
      <c r="F134" s="169">
        <v>11</v>
      </c>
      <c r="G134" s="243" t="s">
        <v>4648</v>
      </c>
      <c r="H134" s="89">
        <v>450000000</v>
      </c>
      <c r="I134" s="89" t="str">
        <f>IF($H134&lt;='Abbrev Key'!$A$2,'Abbrev Key'!$B$2,IF($H134&lt;='Abbrev Key'!$A$3,'Abbrev Key'!$B$3,IF($H134&lt;='Abbrev Key'!$A$4,'Abbrev Key'!$B$4,IF($H134&lt;='Abbrev Key'!$A$5,'Abbrev Key'!$B$5,IF($H134&lt;='Abbrev Key'!$A$6,'Abbrev Key'!$B$6,IF($H134&gt;='Abbrev Key'!$A$7,'Abbrev Key'!$B$7,IF($H134='Abbrev Key'!$A$8,'Abbrev Key'!$B$8,"")))))))</f>
        <v>E</v>
      </c>
      <c r="J134" s="17" t="s">
        <v>1942</v>
      </c>
      <c r="K134" s="92" t="s">
        <v>637</v>
      </c>
      <c r="L134" s="398">
        <v>67769.42</v>
      </c>
      <c r="M134" s="403">
        <f t="shared" si="5"/>
        <v>1.505987111111111E-4</v>
      </c>
      <c r="N134" s="92" t="s">
        <v>1944</v>
      </c>
      <c r="O134" s="92"/>
      <c r="P134" s="167" t="s">
        <v>4287</v>
      </c>
      <c r="Q134" s="392">
        <v>42592</v>
      </c>
      <c r="R134" s="392">
        <v>42591</v>
      </c>
      <c r="S134" s="392" t="str">
        <f>_xlfn.IFNA(VLOOKUP(B134,'[1]VLOOKUP NO DUPS'!$A$1:$C$456,2,FALSE),"")</f>
        <v>08/12/2016</v>
      </c>
      <c r="T134" s="168" t="str">
        <f>_xlfn.IFNA(VLOOKUP(B134,'[1]VLOOKUP NO DUPS'!$A$1:$C$456,3,FALSE),"")</f>
        <v>Goldberg Law PC; Pomerantz LLP</v>
      </c>
      <c r="U134" s="92"/>
      <c r="V134" s="92"/>
      <c r="W134" s="92"/>
    </row>
    <row r="135" spans="1:23" s="91" customFormat="1" ht="30" x14ac:dyDescent="0.25">
      <c r="A135" s="165" t="str">
        <f t="shared" si="4"/>
        <v/>
      </c>
      <c r="B135" s="23" t="s">
        <v>54</v>
      </c>
      <c r="C135" s="23" t="s">
        <v>5008</v>
      </c>
      <c r="D135" s="166" t="s">
        <v>5009</v>
      </c>
      <c r="E135" s="242" t="s">
        <v>460</v>
      </c>
      <c r="F135" s="169">
        <v>4</v>
      </c>
      <c r="G135" s="243" t="s">
        <v>5010</v>
      </c>
      <c r="H135" s="89">
        <v>800000000</v>
      </c>
      <c r="I135" s="89" t="str">
        <f>IF($H135&lt;='Abbrev Key'!$A$2,'Abbrev Key'!$B$2,IF($H135&lt;='Abbrev Key'!$A$3,'Abbrev Key'!$B$3,IF($H135&lt;='Abbrev Key'!$A$4,'Abbrev Key'!$B$4,IF($H135&lt;='Abbrev Key'!$A$5,'Abbrev Key'!$B$5,IF($H135&lt;='Abbrev Key'!$A$6,'Abbrev Key'!$B$6,IF($H135&gt;='Abbrev Key'!$A$7,'Abbrev Key'!$B$7,IF($H135='Abbrev Key'!$A$8,'Abbrev Key'!$B$8,"")))))))</f>
        <v>F</v>
      </c>
      <c r="J135" s="23" t="s">
        <v>145</v>
      </c>
      <c r="K135" s="92" t="s">
        <v>633</v>
      </c>
      <c r="L135" s="398">
        <v>116762.1</v>
      </c>
      <c r="M135" s="403">
        <f t="shared" si="5"/>
        <v>1.45952625E-4</v>
      </c>
      <c r="N135" s="23" t="s">
        <v>2989</v>
      </c>
      <c r="O135" s="23"/>
      <c r="P135" s="167" t="s">
        <v>4287</v>
      </c>
      <c r="Q135" s="392">
        <v>42591</v>
      </c>
      <c r="R135" s="392">
        <v>42590</v>
      </c>
      <c r="S135" s="392">
        <v>42594</v>
      </c>
      <c r="T135" s="168" t="s">
        <v>79</v>
      </c>
      <c r="U135" s="92"/>
      <c r="V135" s="92"/>
      <c r="W135" s="92"/>
    </row>
    <row r="136" spans="1:23" s="91" customFormat="1" ht="30" x14ac:dyDescent="0.25">
      <c r="A136" s="165" t="str">
        <f t="shared" si="4"/>
        <v/>
      </c>
      <c r="B136" s="23" t="s">
        <v>1486</v>
      </c>
      <c r="C136" s="23" t="s">
        <v>4503</v>
      </c>
      <c r="D136" s="166" t="s">
        <v>4504</v>
      </c>
      <c r="E136" s="242" t="s">
        <v>418</v>
      </c>
      <c r="F136" s="169">
        <v>2</v>
      </c>
      <c r="G136" s="243" t="s">
        <v>4505</v>
      </c>
      <c r="H136" s="89">
        <v>158000000</v>
      </c>
      <c r="I136" s="89" t="str">
        <f>IF($H136&lt;='Abbrev Key'!$A$2,'Abbrev Key'!$B$2,IF($H136&lt;='Abbrev Key'!$A$3,'Abbrev Key'!$B$3,IF($H136&lt;='Abbrev Key'!$A$4,'Abbrev Key'!$B$4,IF($H136&lt;='Abbrev Key'!$A$5,'Abbrev Key'!$B$5,IF($H136&lt;='Abbrev Key'!$A$6,'Abbrev Key'!$B$6,IF($H136&gt;='Abbrev Key'!$A$7,'Abbrev Key'!$B$7,IF($H136='Abbrev Key'!$A$8,'Abbrev Key'!$B$8,"")))))))</f>
        <v>D</v>
      </c>
      <c r="J136" s="17" t="s">
        <v>1499</v>
      </c>
      <c r="K136" s="92" t="s">
        <v>637</v>
      </c>
      <c r="L136" s="398">
        <v>256308.29</v>
      </c>
      <c r="M136" s="403">
        <f t="shared" si="5"/>
        <v>1.6222043670886077E-3</v>
      </c>
      <c r="N136" s="92" t="s">
        <v>4336</v>
      </c>
      <c r="O136" s="92"/>
      <c r="P136" s="167" t="s">
        <v>4287</v>
      </c>
      <c r="Q136" s="392">
        <v>42594</v>
      </c>
      <c r="R136" s="392">
        <v>42593</v>
      </c>
      <c r="S136" s="392" t="str">
        <f>_xlfn.IFNA(VLOOKUP(B136,'[1]VLOOKUP NO DUPS'!$A$1:$C$456,2,FALSE),"")</f>
        <v>08/15/2016</v>
      </c>
      <c r="T136" s="168" t="str">
        <f>_xlfn.IFNA(VLOOKUP(B136,'[1]VLOOKUP NO DUPS'!$A$1:$C$456,3,FALSE),"")</f>
        <v>Glancy Prongay &amp; Murray, LLP; Goldberg Law PC; Pomerantz LLP</v>
      </c>
      <c r="U136" s="92"/>
      <c r="V136" s="92"/>
      <c r="W136" s="92"/>
    </row>
    <row r="137" spans="1:23" s="91" customFormat="1" ht="30" x14ac:dyDescent="0.25">
      <c r="A137" s="165" t="str">
        <f t="shared" si="4"/>
        <v/>
      </c>
      <c r="B137" s="23" t="s">
        <v>311</v>
      </c>
      <c r="C137" s="23" t="s">
        <v>5164</v>
      </c>
      <c r="D137" s="166" t="s">
        <v>5165</v>
      </c>
      <c r="E137" s="242" t="s">
        <v>457</v>
      </c>
      <c r="F137" s="169">
        <v>9</v>
      </c>
      <c r="G137" s="243" t="s">
        <v>5166</v>
      </c>
      <c r="H137" s="89">
        <v>750000000</v>
      </c>
      <c r="I137" s="89" t="str">
        <f>IF($H137&lt;='Abbrev Key'!$A$2,'Abbrev Key'!$B$2,IF($H137&lt;='Abbrev Key'!$A$3,'Abbrev Key'!$B$3,IF($H137&lt;='Abbrev Key'!$A$4,'Abbrev Key'!$B$4,IF($H137&lt;='Abbrev Key'!$A$5,'Abbrev Key'!$B$5,IF($H137&lt;='Abbrev Key'!$A$6,'Abbrev Key'!$B$6,IF($H137&gt;='Abbrev Key'!$A$7,'Abbrev Key'!$B$7,IF($H137='Abbrev Key'!$A$8,'Abbrev Key'!$B$8,"")))))))</f>
        <v>F</v>
      </c>
      <c r="J137" s="17" t="s">
        <v>3440</v>
      </c>
      <c r="K137" s="23" t="s">
        <v>637</v>
      </c>
      <c r="L137" s="398">
        <v>1563260.3</v>
      </c>
      <c r="M137" s="403">
        <f t="shared" si="5"/>
        <v>2.0843470666666668E-3</v>
      </c>
      <c r="N137" s="23" t="s">
        <v>3442</v>
      </c>
      <c r="O137" s="23"/>
      <c r="P137" s="167" t="s">
        <v>4295</v>
      </c>
      <c r="Q137" s="392">
        <v>42409</v>
      </c>
      <c r="R137" s="392">
        <v>42408</v>
      </c>
      <c r="S137" s="392" t="str">
        <f>_xlfn.IFNA(VLOOKUP(B137,'[1]VLOOKUP NO DUPS'!$A$1:$C$456,2,FALSE),"")</f>
        <v>08/15/2016</v>
      </c>
      <c r="T137" s="168" t="str">
        <f>_xlfn.IFNA(VLOOKUP(B137,'[1]VLOOKUP NO DUPS'!$A$1:$C$456,3,FALSE),"")</f>
        <v>Bronstein, Gewirtz &amp; Grossman, LLC; Pomerantz LLP; The Wagner Firm</v>
      </c>
      <c r="U137" s="92"/>
      <c r="V137" s="92"/>
      <c r="W137" s="92"/>
    </row>
    <row r="138" spans="1:23" s="91" customFormat="1" ht="45" x14ac:dyDescent="0.25">
      <c r="A138" s="165" t="str">
        <f t="shared" si="4"/>
        <v/>
      </c>
      <c r="B138" s="23" t="s">
        <v>579</v>
      </c>
      <c r="C138" s="23" t="s">
        <v>5215</v>
      </c>
      <c r="D138" s="166" t="s">
        <v>5216</v>
      </c>
      <c r="E138" s="242" t="s">
        <v>457</v>
      </c>
      <c r="F138" s="169">
        <v>9</v>
      </c>
      <c r="G138" s="243" t="s">
        <v>5217</v>
      </c>
      <c r="H138" s="89">
        <v>110000000</v>
      </c>
      <c r="I138" s="89" t="str">
        <f>IF($H138&lt;='Abbrev Key'!$A$2,'Abbrev Key'!$B$2,IF($H138&lt;='Abbrev Key'!$A$3,'Abbrev Key'!$B$3,IF($H138&lt;='Abbrev Key'!$A$4,'Abbrev Key'!$B$4,IF($H138&lt;='Abbrev Key'!$A$5,'Abbrev Key'!$B$5,IF($H138&lt;='Abbrev Key'!$A$6,'Abbrev Key'!$B$6,IF($H138&gt;='Abbrev Key'!$A$7,'Abbrev Key'!$B$7,IF($H138='Abbrev Key'!$A$8,'Abbrev Key'!$B$8,"")))))))</f>
        <v>D</v>
      </c>
      <c r="J138" s="17" t="s">
        <v>11912</v>
      </c>
      <c r="K138" s="23" t="s">
        <v>646</v>
      </c>
      <c r="L138" s="398">
        <v>377733.03</v>
      </c>
      <c r="M138" s="403">
        <f t="shared" si="5"/>
        <v>3.4339366363636365E-3</v>
      </c>
      <c r="N138" s="23" t="s">
        <v>986</v>
      </c>
      <c r="O138" s="23"/>
      <c r="P138" s="167" t="s">
        <v>4287</v>
      </c>
      <c r="Q138" s="392">
        <v>42591</v>
      </c>
      <c r="R138" s="392">
        <v>42590</v>
      </c>
      <c r="S138" s="392" t="str">
        <f>_xlfn.IFNA(VLOOKUP(B138,'[1]VLOOKUP NO DUPS'!$A$1:$C$456,2,FALSE),"")</f>
        <v>08/16/2016</v>
      </c>
      <c r="T138" s="168" t="str">
        <f>_xlfn.IFNA(VLOOKUP(B138,'[1]VLOOKUP NO DUPS'!$A$1:$C$456,3,FALSE),"")</f>
        <v>Brower Piven; Finkelstein Thompson LLP; Glancy Prongay &amp; Murray, LLP; Goldberg Law PC; Law Offices of Howard G. Smith; Pomerantz LLP</v>
      </c>
      <c r="U138" s="92"/>
      <c r="V138" s="92"/>
      <c r="W138" s="92"/>
    </row>
    <row r="139" spans="1:23" s="91" customFormat="1" ht="45" x14ac:dyDescent="0.25">
      <c r="A139" s="165" t="str">
        <f t="shared" si="4"/>
        <v/>
      </c>
      <c r="B139" s="23" t="s">
        <v>3783</v>
      </c>
      <c r="C139" s="23" t="s">
        <v>5288</v>
      </c>
      <c r="D139" s="166" t="s">
        <v>5289</v>
      </c>
      <c r="E139" s="242" t="s">
        <v>1008</v>
      </c>
      <c r="F139" s="169">
        <v>2</v>
      </c>
      <c r="G139" s="243" t="s">
        <v>5290</v>
      </c>
      <c r="H139" s="89">
        <v>430000000</v>
      </c>
      <c r="I139" s="89" t="str">
        <f>IF($H139&lt;='Abbrev Key'!$A$2,'Abbrev Key'!$B$2,IF($H139&lt;='Abbrev Key'!$A$3,'Abbrev Key'!$B$3,IF($H139&lt;='Abbrev Key'!$A$4,'Abbrev Key'!$B$4,IF($H139&lt;='Abbrev Key'!$A$5,'Abbrev Key'!$B$5,IF($H139&lt;='Abbrev Key'!$A$6,'Abbrev Key'!$B$6,IF($H139&gt;='Abbrev Key'!$A$7,'Abbrev Key'!$B$7,IF($H139='Abbrev Key'!$A$8,'Abbrev Key'!$B$8,"")))))))</f>
        <v>E</v>
      </c>
      <c r="J139" s="92" t="s">
        <v>11943</v>
      </c>
      <c r="K139" s="92" t="s">
        <v>662</v>
      </c>
      <c r="L139" s="398">
        <f>1548333.33+822519.96</f>
        <v>2370853.29</v>
      </c>
      <c r="M139" s="403">
        <f t="shared" si="5"/>
        <v>5.5136123023255814E-3</v>
      </c>
      <c r="N139" s="92" t="s">
        <v>11078</v>
      </c>
      <c r="O139" s="92" t="s">
        <v>11197</v>
      </c>
      <c r="P139" s="167" t="s">
        <v>4287</v>
      </c>
      <c r="Q139" s="392">
        <v>42598</v>
      </c>
      <c r="R139" s="392">
        <v>42597</v>
      </c>
      <c r="S139" s="392" t="str">
        <f>_xlfn.IFNA(VLOOKUP(B139,'[1]VLOOKUP NO DUPS'!$A$1:$C$456,2,FALSE),"")</f>
        <v>08/17/2016</v>
      </c>
      <c r="T139" s="168" t="str">
        <f>_xlfn.IFNA(VLOOKUP(B139,'[1]VLOOKUP NO DUPS'!$A$1:$C$456,3,FALSE),"")</f>
        <v>Bronstein, Gewirtz &amp; Grossman, LLC; Johnson &amp; Weaver LLP; Pomerantz LLP; Robbins, Geller, Rudman &amp; Dowd, LLP; The Rosen Law Firm, P.A.</v>
      </c>
      <c r="U139" s="92"/>
      <c r="V139" s="92"/>
      <c r="W139" s="92"/>
    </row>
    <row r="140" spans="1:23" s="91" customFormat="1" x14ac:dyDescent="0.25">
      <c r="A140" s="165" t="str">
        <f t="shared" si="4"/>
        <v/>
      </c>
      <c r="B140" s="23" t="s">
        <v>2876</v>
      </c>
      <c r="C140" s="23" t="s">
        <v>4972</v>
      </c>
      <c r="D140" s="166" t="s">
        <v>4973</v>
      </c>
      <c r="E140" s="242" t="s">
        <v>418</v>
      </c>
      <c r="F140" s="169">
        <v>2</v>
      </c>
      <c r="G140" s="243" t="s">
        <v>4974</v>
      </c>
      <c r="H140" s="89">
        <v>10000000</v>
      </c>
      <c r="I140" s="89" t="str">
        <f>IF($H140&lt;='Abbrev Key'!$A$2,'Abbrev Key'!$B$2,IF($H140&lt;='Abbrev Key'!$A$3,'Abbrev Key'!$B$3,IF($H140&lt;='Abbrev Key'!$A$4,'Abbrev Key'!$B$4,IF($H140&lt;='Abbrev Key'!$A$5,'Abbrev Key'!$B$5,IF($H140&lt;='Abbrev Key'!$A$6,'Abbrev Key'!$B$6,IF($H140&gt;='Abbrev Key'!$A$7,'Abbrev Key'!$B$7,IF($H140='Abbrev Key'!$A$8,'Abbrev Key'!$B$8,"")))))))</f>
        <v>A</v>
      </c>
      <c r="J140" s="17" t="s">
        <v>11881</v>
      </c>
      <c r="K140" s="23" t="s">
        <v>646</v>
      </c>
      <c r="L140" s="398">
        <v>129292</v>
      </c>
      <c r="M140" s="403">
        <f t="shared" si="5"/>
        <v>1.29292E-2</v>
      </c>
      <c r="N140" s="23" t="s">
        <v>584</v>
      </c>
      <c r="O140" s="23"/>
      <c r="P140" s="167" t="s">
        <v>4287</v>
      </c>
      <c r="Q140" s="392">
        <v>42597</v>
      </c>
      <c r="R140" s="392">
        <v>42596</v>
      </c>
      <c r="S140" s="392" t="str">
        <f>_xlfn.IFNA(VLOOKUP(B140,'[1]VLOOKUP NO DUPS'!$A$1:$C$456,2,FALSE),"")</f>
        <v>08/18/2016</v>
      </c>
      <c r="T140" s="168" t="str">
        <f>_xlfn.IFNA(VLOOKUP(B140,'[1]VLOOKUP NO DUPS'!$A$1:$C$456,3,FALSE),"")</f>
        <v>Bronstein, Gewirtz &amp; Grossman, LLC; Pomerantz LLP</v>
      </c>
      <c r="U140" s="92"/>
      <c r="V140" s="92"/>
      <c r="W140" s="92"/>
    </row>
    <row r="141" spans="1:23" s="91" customFormat="1" ht="30" x14ac:dyDescent="0.25">
      <c r="A141" s="165" t="str">
        <f t="shared" si="4"/>
        <v/>
      </c>
      <c r="B141" s="23" t="s">
        <v>3148</v>
      </c>
      <c r="C141" s="23" t="s">
        <v>5060</v>
      </c>
      <c r="D141" s="166" t="s">
        <v>5061</v>
      </c>
      <c r="E141" s="242" t="s">
        <v>465</v>
      </c>
      <c r="F141" s="169">
        <v>7</v>
      </c>
      <c r="G141" s="243" t="s">
        <v>5062</v>
      </c>
      <c r="H141" s="89">
        <v>4500000</v>
      </c>
      <c r="I141" s="89" t="str">
        <f>IF($H141&lt;='Abbrev Key'!$A$2,'Abbrev Key'!$B$2,IF($H141&lt;='Abbrev Key'!$A$3,'Abbrev Key'!$B$3,IF($H141&lt;='Abbrev Key'!$A$4,'Abbrev Key'!$B$4,IF($H141&lt;='Abbrev Key'!$A$5,'Abbrev Key'!$B$5,IF($H141&lt;='Abbrev Key'!$A$6,'Abbrev Key'!$B$6,IF($H141&gt;='Abbrev Key'!$A$7,'Abbrev Key'!$B$7,IF($H141='Abbrev Key'!$A$8,'Abbrev Key'!$B$8,"")))))))</f>
        <v>A</v>
      </c>
      <c r="J141" s="17" t="s">
        <v>3150</v>
      </c>
      <c r="K141" s="23" t="s">
        <v>637</v>
      </c>
      <c r="L141" s="398">
        <v>63629.11</v>
      </c>
      <c r="M141" s="403">
        <f t="shared" si="5"/>
        <v>1.4139802222222223E-2</v>
      </c>
      <c r="N141" s="23" t="s">
        <v>3152</v>
      </c>
      <c r="O141" s="23"/>
      <c r="P141" s="167" t="s">
        <v>4287</v>
      </c>
      <c r="Q141" s="392">
        <v>42597</v>
      </c>
      <c r="R141" s="392">
        <v>42596</v>
      </c>
      <c r="S141" s="392" t="str">
        <f>_xlfn.IFNA(VLOOKUP(B141,'[1]VLOOKUP NO DUPS'!$A$1:$C$456,2,FALSE),"")</f>
        <v>08/22/2016</v>
      </c>
      <c r="T141" s="168" t="str">
        <f>_xlfn.IFNA(VLOOKUP(B141,'[1]VLOOKUP NO DUPS'!$A$1:$C$456,3,FALSE),"")</f>
        <v>Goldberg Law PC; Lawrence Kamin, LLC; Pomerantz LLP; The Wagner Firm</v>
      </c>
      <c r="U141" s="92"/>
      <c r="V141" s="92"/>
      <c r="W141" s="92"/>
    </row>
    <row r="142" spans="1:23" s="91" customFormat="1" ht="45" x14ac:dyDescent="0.25">
      <c r="A142" s="165" t="str">
        <f t="shared" si="4"/>
        <v/>
      </c>
      <c r="B142" s="23" t="s">
        <v>24</v>
      </c>
      <c r="C142" s="23" t="s">
        <v>4506</v>
      </c>
      <c r="D142" s="166" t="s">
        <v>4507</v>
      </c>
      <c r="E142" s="242" t="s">
        <v>431</v>
      </c>
      <c r="F142" s="169">
        <v>6</v>
      </c>
      <c r="G142" s="243" t="s">
        <v>4508</v>
      </c>
      <c r="H142" s="89">
        <v>1000000000</v>
      </c>
      <c r="I142" s="89" t="str">
        <f>IF($H142&lt;='Abbrev Key'!$A$2,'Abbrev Key'!$B$2,IF($H142&lt;='Abbrev Key'!$A$3,'Abbrev Key'!$B$3,IF($H142&lt;='Abbrev Key'!$A$4,'Abbrev Key'!$B$4,IF($H142&lt;='Abbrev Key'!$A$5,'Abbrev Key'!$B$5,IF($H142&lt;='Abbrev Key'!$A$6,'Abbrev Key'!$B$6,IF($H142&gt;='Abbrev Key'!$A$7,'Abbrev Key'!$B$7,IF($H142='Abbrev Key'!$A$8,'Abbrev Key'!$B$8,"")))))))</f>
        <v>F</v>
      </c>
      <c r="J142" s="23" t="s">
        <v>12</v>
      </c>
      <c r="K142" s="23" t="s">
        <v>633</v>
      </c>
      <c r="L142" s="398">
        <v>1218651.21</v>
      </c>
      <c r="M142" s="403">
        <f t="shared" si="5"/>
        <v>1.2186512099999999E-3</v>
      </c>
      <c r="N142" s="23" t="s">
        <v>1515</v>
      </c>
      <c r="O142" s="23"/>
      <c r="P142" s="167" t="s">
        <v>4287</v>
      </c>
      <c r="Q142" s="392">
        <v>42599</v>
      </c>
      <c r="R142" s="392">
        <v>42598</v>
      </c>
      <c r="S142" s="392" t="str">
        <f>_xlfn.IFNA(VLOOKUP(B142,'[1]VLOOKUP NO DUPS'!$A$1:$C$456,2,FALSE),"")</f>
        <v>08/23/2016</v>
      </c>
      <c r="T142" s="168" t="str">
        <f>_xlfn.IFNA(VLOOKUP(B142,'[1]VLOOKUP NO DUPS'!$A$1:$C$456,3,FALSE),"")</f>
        <v>Bramlett Law Offices; Goldberg Law PC; Pomerantz LLP</v>
      </c>
      <c r="U142" s="92"/>
      <c r="V142" s="92"/>
      <c r="W142" s="92"/>
    </row>
    <row r="143" spans="1:23" s="91" customFormat="1" x14ac:dyDescent="0.25">
      <c r="A143" s="165" t="str">
        <f t="shared" si="4"/>
        <v/>
      </c>
      <c r="B143" s="23" t="s">
        <v>2124</v>
      </c>
      <c r="C143" s="23" t="s">
        <v>4693</v>
      </c>
      <c r="D143" s="166" t="s">
        <v>4694</v>
      </c>
      <c r="E143" s="242" t="s">
        <v>424</v>
      </c>
      <c r="F143" s="169">
        <v>3</v>
      </c>
      <c r="G143" s="243" t="s">
        <v>4695</v>
      </c>
      <c r="H143" s="89">
        <v>500000</v>
      </c>
      <c r="I143" s="89" t="str">
        <f>IF($H143&lt;='Abbrev Key'!$A$2,'Abbrev Key'!$B$2,IF($H143&lt;='Abbrev Key'!$A$3,'Abbrev Key'!$B$3,IF($H143&lt;='Abbrev Key'!$A$4,'Abbrev Key'!$B$4,IF($H143&lt;='Abbrev Key'!$A$5,'Abbrev Key'!$B$5,IF($H143&lt;='Abbrev Key'!$A$6,'Abbrev Key'!$B$6,IF($H143&gt;='Abbrev Key'!$A$7,'Abbrev Key'!$B$7,IF($H143='Abbrev Key'!$A$8,'Abbrev Key'!$B$8,"")))))))</f>
        <v>A</v>
      </c>
      <c r="J143" s="17" t="s">
        <v>2134</v>
      </c>
      <c r="K143" s="92" t="s">
        <v>637</v>
      </c>
      <c r="L143" s="354">
        <v>24289.23</v>
      </c>
      <c r="M143" s="405">
        <f t="shared" si="5"/>
        <v>4.8578459999999997E-2</v>
      </c>
      <c r="N143" s="92" t="s">
        <v>682</v>
      </c>
      <c r="O143" s="92"/>
      <c r="P143" s="167" t="s">
        <v>4287</v>
      </c>
      <c r="Q143" s="392">
        <v>42593</v>
      </c>
      <c r="R143" s="392">
        <v>42592</v>
      </c>
      <c r="S143" s="392" t="str">
        <f>_xlfn.IFNA(VLOOKUP(B143,'[1]VLOOKUP NO DUPS'!$A$1:$C$456,2,FALSE),"")</f>
        <v>08/24/2016</v>
      </c>
      <c r="T143" s="168" t="str">
        <f>_xlfn.IFNA(VLOOKUP(B143,'[1]VLOOKUP NO DUPS'!$A$1:$C$456,3,FALSE),"")</f>
        <v>The Rosen Law Firm, P.A.</v>
      </c>
      <c r="U143" s="92"/>
      <c r="V143" s="92"/>
      <c r="W143" s="92"/>
    </row>
    <row r="144" spans="1:23" s="91" customFormat="1" ht="30" x14ac:dyDescent="0.25">
      <c r="A144" s="165" t="str">
        <f t="shared" si="4"/>
        <v/>
      </c>
      <c r="B144" s="23" t="s">
        <v>3772</v>
      </c>
      <c r="C144" s="23" t="s">
        <v>5285</v>
      </c>
      <c r="D144" s="166" t="s">
        <v>5286</v>
      </c>
      <c r="E144" s="242" t="s">
        <v>603</v>
      </c>
      <c r="F144" s="169">
        <v>11</v>
      </c>
      <c r="G144" s="243" t="s">
        <v>5287</v>
      </c>
      <c r="H144" s="89">
        <v>650000000</v>
      </c>
      <c r="I144" s="89" t="str">
        <f>IF($H144&lt;='Abbrev Key'!$A$2,'Abbrev Key'!$B$2,IF($H144&lt;='Abbrev Key'!$A$3,'Abbrev Key'!$B$3,IF($H144&lt;='Abbrev Key'!$A$4,'Abbrev Key'!$B$4,IF($H144&lt;='Abbrev Key'!$A$5,'Abbrev Key'!$B$5,IF($H144&lt;='Abbrev Key'!$A$6,'Abbrev Key'!$B$6,IF($H144&gt;='Abbrev Key'!$A$7,'Abbrev Key'!$B$7,IF($H144='Abbrev Key'!$A$8,'Abbrev Key'!$B$8,"")))))))</f>
        <v>F</v>
      </c>
      <c r="J144" s="17" t="s">
        <v>11840</v>
      </c>
      <c r="K144" s="92" t="s">
        <v>646</v>
      </c>
      <c r="L144" s="398">
        <v>564417</v>
      </c>
      <c r="M144" s="403">
        <f t="shared" si="5"/>
        <v>8.683338461538462E-4</v>
      </c>
      <c r="N144" s="92" t="s">
        <v>79</v>
      </c>
      <c r="O144" s="92"/>
      <c r="P144" s="167" t="s">
        <v>4295</v>
      </c>
      <c r="Q144" s="392">
        <v>42599</v>
      </c>
      <c r="R144" s="392">
        <v>42598</v>
      </c>
      <c r="S144" s="392" t="str">
        <f>_xlfn.IFNA(VLOOKUP(B144,'[1]VLOOKUP NO DUPS'!$A$1:$C$456,2,FALSE),"")</f>
        <v>08/25/2016</v>
      </c>
      <c r="T144" s="168" t="str">
        <f>_xlfn.IFNA(VLOOKUP(B144,'[1]VLOOKUP NO DUPS'!$A$1:$C$456,3,FALSE),"")</f>
        <v>Bronstein, Gewirtz &amp; Grossman, LLC; Pomerantz LLP</v>
      </c>
      <c r="U144" s="92"/>
      <c r="V144" s="92"/>
      <c r="W144" s="92"/>
    </row>
    <row r="145" spans="1:23" s="91" customFormat="1" x14ac:dyDescent="0.25">
      <c r="A145" s="165" t="str">
        <f t="shared" si="4"/>
        <v/>
      </c>
      <c r="B145" s="23" t="s">
        <v>129</v>
      </c>
      <c r="C145" s="23" t="s">
        <v>4699</v>
      </c>
      <c r="D145" s="166" t="s">
        <v>4700</v>
      </c>
      <c r="E145" s="242" t="s">
        <v>446</v>
      </c>
      <c r="F145" s="169">
        <v>9</v>
      </c>
      <c r="G145" s="243" t="s">
        <v>4701</v>
      </c>
      <c r="H145" s="89">
        <v>1100000000</v>
      </c>
      <c r="I145" s="89" t="str">
        <f>IF($H145&lt;='Abbrev Key'!$A$2,'Abbrev Key'!$B$2,IF($H145&lt;='Abbrev Key'!$A$3,'Abbrev Key'!$B$3,IF($H145&lt;='Abbrev Key'!$A$4,'Abbrev Key'!$B$4,IF($H145&lt;='Abbrev Key'!$A$5,'Abbrev Key'!$B$5,IF($H145&lt;='Abbrev Key'!$A$6,'Abbrev Key'!$B$6,IF($H145&gt;='Abbrev Key'!$A$7,'Abbrev Key'!$B$7,IF($H145='Abbrev Key'!$A$8,'Abbrev Key'!$B$8,"")))))))</f>
        <v>F</v>
      </c>
      <c r="J145" s="17" t="s">
        <v>11841</v>
      </c>
      <c r="K145" s="92" t="s">
        <v>646</v>
      </c>
      <c r="L145" s="398">
        <v>950986.16</v>
      </c>
      <c r="M145" s="403">
        <f t="shared" si="5"/>
        <v>8.6453287272727272E-4</v>
      </c>
      <c r="N145" s="92" t="s">
        <v>597</v>
      </c>
      <c r="O145" s="92"/>
      <c r="P145" s="167" t="s">
        <v>4295</v>
      </c>
      <c r="Q145" s="392">
        <v>42646</v>
      </c>
      <c r="R145" s="392">
        <v>42645</v>
      </c>
      <c r="S145" s="392" t="str">
        <f>_xlfn.IFNA(VLOOKUP(B145,'[1]VLOOKUP NO DUPS'!$A$1:$C$456,2,FALSE),"")</f>
        <v>08/25/2016</v>
      </c>
      <c r="T145" s="168" t="str">
        <f>_xlfn.IFNA(VLOOKUP(B145,'[1]VLOOKUP NO DUPS'!$A$1:$C$456,3,FALSE),"")</f>
        <v>The Rosen Law Firm, P.A.</v>
      </c>
      <c r="U145" s="92"/>
      <c r="V145" s="92"/>
      <c r="W145" s="92"/>
    </row>
    <row r="146" spans="1:23" s="91" customFormat="1" ht="75" x14ac:dyDescent="0.25">
      <c r="A146" s="165" t="str">
        <f t="shared" si="4"/>
        <v/>
      </c>
      <c r="B146" s="23" t="s">
        <v>3411</v>
      </c>
      <c r="C146" s="23" t="s">
        <v>5152</v>
      </c>
      <c r="D146" s="166" t="s">
        <v>5153</v>
      </c>
      <c r="E146" s="242" t="s">
        <v>418</v>
      </c>
      <c r="F146" s="169">
        <v>2</v>
      </c>
      <c r="G146" s="243" t="s">
        <v>5154</v>
      </c>
      <c r="H146" s="89">
        <v>600000000</v>
      </c>
      <c r="I146" s="89" t="str">
        <f>IF($H146&lt;='Abbrev Key'!$A$2,'Abbrev Key'!$B$2,IF($H146&lt;='Abbrev Key'!$A$3,'Abbrev Key'!$B$3,IF($H146&lt;='Abbrev Key'!$A$4,'Abbrev Key'!$B$4,IF($H146&lt;='Abbrev Key'!$A$5,'Abbrev Key'!$B$5,IF($H146&lt;='Abbrev Key'!$A$6,'Abbrev Key'!$B$6,IF($H146&gt;='Abbrev Key'!$A$7,'Abbrev Key'!$B$7,IF($H146='Abbrev Key'!$A$8,'Abbrev Key'!$B$8,"")))))))</f>
        <v>F</v>
      </c>
      <c r="J146" s="23" t="s">
        <v>249</v>
      </c>
      <c r="K146" s="92" t="s">
        <v>633</v>
      </c>
      <c r="L146" s="398">
        <v>3610647.72</v>
      </c>
      <c r="M146" s="403">
        <f t="shared" si="5"/>
        <v>6.0177462000000001E-3</v>
      </c>
      <c r="N146" s="92" t="s">
        <v>1</v>
      </c>
      <c r="O146" s="92"/>
      <c r="P146" s="167" t="s">
        <v>4287</v>
      </c>
      <c r="Q146" s="392">
        <v>42793</v>
      </c>
      <c r="R146" s="392">
        <v>42792</v>
      </c>
      <c r="S146" s="392" t="str">
        <f>_xlfn.IFNA(VLOOKUP(B146,'[1]VLOOKUP NO DUPS'!$A$1:$C$456,2,FALSE),"")</f>
        <v>08/25/2016</v>
      </c>
      <c r="T146" s="168" t="str">
        <f>_xlfn.IFNA(VLOOKUP(B146,'[1]VLOOKUP NO DUPS'!$A$1:$C$456,3,FALSE),"")</f>
        <v>Bronstein, Gewirtz &amp; Grossman, LLC; Glancy Prongay &amp; Murray, LLP; Kendall Law Group, LLP; Law Offices of Howard G. Smith; Pomerantz LLP; Robbins, Geller, Rudman &amp; Dowd, LLP; Steckler Gresham Cochran; The Rosen Law Firm, P.A.</v>
      </c>
      <c r="U146" s="92"/>
      <c r="V146" s="92"/>
      <c r="W146" s="92"/>
    </row>
    <row r="147" spans="1:23" s="91" customFormat="1" ht="30" x14ac:dyDescent="0.25">
      <c r="A147" s="165" t="str">
        <f t="shared" si="4"/>
        <v/>
      </c>
      <c r="B147" s="23" t="s">
        <v>4185</v>
      </c>
      <c r="C147" s="23" t="s">
        <v>5407</v>
      </c>
      <c r="D147" s="166" t="s">
        <v>5408</v>
      </c>
      <c r="E147" s="242" t="s">
        <v>446</v>
      </c>
      <c r="F147" s="169">
        <v>9</v>
      </c>
      <c r="G147" s="243" t="s">
        <v>5409</v>
      </c>
      <c r="H147" s="89">
        <v>70000000</v>
      </c>
      <c r="I147" s="89" t="str">
        <f>IF($H147&lt;='Abbrev Key'!$A$2,'Abbrev Key'!$B$2,IF($H147&lt;='Abbrev Key'!$A$3,'Abbrev Key'!$B$3,IF($H147&lt;='Abbrev Key'!$A$4,'Abbrev Key'!$B$4,IF($H147&lt;='Abbrev Key'!$A$5,'Abbrev Key'!$B$5,IF($H147&lt;='Abbrev Key'!$A$6,'Abbrev Key'!$B$6,IF($H147&gt;='Abbrev Key'!$A$7,'Abbrev Key'!$B$7,IF($H147='Abbrev Key'!$A$8,'Abbrev Key'!$B$8,"")))))))</f>
        <v>C</v>
      </c>
      <c r="J147" s="17" t="s">
        <v>11989</v>
      </c>
      <c r="K147" s="92" t="s">
        <v>646</v>
      </c>
      <c r="L147" s="398">
        <v>79776.160000000003</v>
      </c>
      <c r="M147" s="403">
        <f t="shared" si="5"/>
        <v>1.1396594285714287E-3</v>
      </c>
      <c r="N147" s="92" t="s">
        <v>5119</v>
      </c>
      <c r="O147" s="92"/>
      <c r="P147" s="167" t="s">
        <v>4295</v>
      </c>
      <c r="Q147" s="392">
        <v>42606</v>
      </c>
      <c r="R147" s="392">
        <v>42605</v>
      </c>
      <c r="S147" s="392" t="str">
        <f>_xlfn.IFNA(VLOOKUP(B147,'[1]VLOOKUP NO DUPS'!$A$1:$C$456,2,FALSE),"")</f>
        <v>08/26/2016</v>
      </c>
      <c r="T147" s="168" t="str">
        <f>_xlfn.IFNA(VLOOKUP(B147,'[1]VLOOKUP NO DUPS'!$A$1:$C$456,3,FALSE),"")</f>
        <v>Glancy Prongay &amp; Murray, LLP; Goldberg Law PC; Law Offices of Howard G. Smith; Pomerantz LLP</v>
      </c>
      <c r="U147" s="92"/>
      <c r="V147" s="92"/>
      <c r="W147" s="92"/>
    </row>
    <row r="148" spans="1:23" s="91" customFormat="1" ht="30" x14ac:dyDescent="0.25">
      <c r="A148" s="165" t="str">
        <f t="shared" si="4"/>
        <v/>
      </c>
      <c r="B148" s="23" t="s">
        <v>824</v>
      </c>
      <c r="C148" s="23" t="s">
        <v>4347</v>
      </c>
      <c r="D148" s="166" t="s">
        <v>4348</v>
      </c>
      <c r="E148" s="242" t="s">
        <v>409</v>
      </c>
      <c r="F148" s="169">
        <v>1</v>
      </c>
      <c r="G148" s="243" t="s">
        <v>4349</v>
      </c>
      <c r="H148" s="89">
        <v>30000000</v>
      </c>
      <c r="I148" s="89" t="str">
        <f>IF($H148&lt;='Abbrev Key'!$A$2,'Abbrev Key'!$B$2,IF($H148&lt;='Abbrev Key'!$A$3,'Abbrev Key'!$B$3,IF($H148&lt;='Abbrev Key'!$A$4,'Abbrev Key'!$B$4,IF($H148&lt;='Abbrev Key'!$A$5,'Abbrev Key'!$B$5,IF($H148&lt;='Abbrev Key'!$A$6,'Abbrev Key'!$B$6,IF($H148&gt;='Abbrev Key'!$A$7,'Abbrev Key'!$B$7,IF($H148='Abbrev Key'!$A$8,'Abbrev Key'!$B$8,"")))))))</f>
        <v>B</v>
      </c>
      <c r="J148" s="17" t="s">
        <v>11784</v>
      </c>
      <c r="K148" s="23" t="s">
        <v>662</v>
      </c>
      <c r="L148" s="398">
        <v>790290</v>
      </c>
      <c r="M148" s="403">
        <f t="shared" si="5"/>
        <v>2.6342999999999998E-2</v>
      </c>
      <c r="N148" s="23" t="s">
        <v>830</v>
      </c>
      <c r="O148" s="23"/>
      <c r="P148" s="167" t="s">
        <v>4408</v>
      </c>
      <c r="Q148" s="392">
        <v>42600</v>
      </c>
      <c r="R148" s="392">
        <v>42599</v>
      </c>
      <c r="S148" s="392" t="str">
        <f>_xlfn.IFNA(VLOOKUP(B148,'[1]VLOOKUP NO DUPS'!$A$1:$C$456,2,FALSE),"")</f>
        <v>08/31/2016</v>
      </c>
      <c r="T148" s="168" t="str">
        <f>_xlfn.IFNA(VLOOKUP(B148,'[1]VLOOKUP NO DUPS'!$A$1:$C$456,3,FALSE),"")</f>
        <v>Goldberg Law PC; Pomerantz LLP</v>
      </c>
      <c r="U148" s="92"/>
      <c r="V148" s="92"/>
      <c r="W148" s="92"/>
    </row>
    <row r="149" spans="1:23" s="91" customFormat="1" x14ac:dyDescent="0.25">
      <c r="A149" s="165" t="str">
        <f t="shared" si="4"/>
        <v/>
      </c>
      <c r="B149" s="17" t="s">
        <v>670</v>
      </c>
      <c r="C149" s="17" t="s">
        <v>4292</v>
      </c>
      <c r="D149" s="242" t="s">
        <v>4293</v>
      </c>
      <c r="E149" s="242" t="s">
        <v>446</v>
      </c>
      <c r="F149" s="169">
        <v>9</v>
      </c>
      <c r="G149" s="243" t="s">
        <v>4294</v>
      </c>
      <c r="H149" s="89">
        <v>35000000</v>
      </c>
      <c r="I149" s="89" t="str">
        <f>IF($H149&lt;='Abbrev Key'!$A$2,'Abbrev Key'!$B$2,IF($H149&lt;='Abbrev Key'!$A$3,'Abbrev Key'!$B$3,IF($H149&lt;='Abbrev Key'!$A$4,'Abbrev Key'!$B$4,IF($H149&lt;='Abbrev Key'!$A$5,'Abbrev Key'!$B$5,IF($H149&lt;='Abbrev Key'!$A$6,'Abbrev Key'!$B$6,IF($H149&gt;='Abbrev Key'!$A$7,'Abbrev Key'!$B$7,IF($H149='Abbrev Key'!$A$8,'Abbrev Key'!$B$8,"")))))))</f>
        <v>B</v>
      </c>
      <c r="J149" s="17" t="s">
        <v>11767</v>
      </c>
      <c r="K149" s="17" t="s">
        <v>646</v>
      </c>
      <c r="L149" s="399">
        <v>797</v>
      </c>
      <c r="M149" s="404">
        <f t="shared" si="5"/>
        <v>2.2771428571428572E-5</v>
      </c>
      <c r="N149" s="17" t="s">
        <v>675</v>
      </c>
      <c r="O149" s="17"/>
      <c r="P149" s="167" t="s">
        <v>4295</v>
      </c>
      <c r="Q149" s="394">
        <v>42597</v>
      </c>
      <c r="R149" s="392">
        <v>42596</v>
      </c>
      <c r="S149" s="392" t="str">
        <f>_xlfn.IFNA(VLOOKUP(B149,'[1]VLOOKUP NO DUPS'!$A$1:$C$456,2,FALSE),"")</f>
        <v>09/01/2016</v>
      </c>
      <c r="T149" s="168" t="str">
        <f>_xlfn.IFNA(VLOOKUP(B149,'[1]VLOOKUP NO DUPS'!$A$1:$C$456,3,FALSE),"")</f>
        <v>Pomerantz LLP</v>
      </c>
      <c r="U149" s="14"/>
      <c r="V149" s="14"/>
      <c r="W149" s="14"/>
    </row>
    <row r="150" spans="1:23" s="91" customFormat="1" ht="30" x14ac:dyDescent="0.25">
      <c r="A150" s="165" t="str">
        <f t="shared" si="4"/>
        <v/>
      </c>
      <c r="B150" s="23" t="s">
        <v>3239</v>
      </c>
      <c r="C150" s="23" t="s">
        <v>5087</v>
      </c>
      <c r="D150" s="166" t="s">
        <v>5088</v>
      </c>
      <c r="E150" s="242" t="s">
        <v>431</v>
      </c>
      <c r="F150" s="169">
        <v>6</v>
      </c>
      <c r="G150" s="243" t="s">
        <v>5089</v>
      </c>
      <c r="H150" s="89">
        <v>95000000</v>
      </c>
      <c r="I150" s="89" t="str">
        <f>IF($H150&lt;='Abbrev Key'!$A$2,'Abbrev Key'!$B$2,IF($H150&lt;='Abbrev Key'!$A$3,'Abbrev Key'!$B$3,IF($H150&lt;='Abbrev Key'!$A$4,'Abbrev Key'!$B$4,IF($H150&lt;='Abbrev Key'!$A$5,'Abbrev Key'!$B$5,IF($H150&lt;='Abbrev Key'!$A$6,'Abbrev Key'!$B$6,IF($H150&gt;='Abbrev Key'!$A$7,'Abbrev Key'!$B$7,IF($H150='Abbrev Key'!$A$8,'Abbrev Key'!$B$8,"")))))))</f>
        <v>C</v>
      </c>
      <c r="J150" s="92" t="s">
        <v>3246</v>
      </c>
      <c r="K150" s="92" t="s">
        <v>633</v>
      </c>
      <c r="L150" s="398">
        <v>162909</v>
      </c>
      <c r="M150" s="403">
        <f t="shared" si="5"/>
        <v>1.7148315789473683E-3</v>
      </c>
      <c r="N150" s="92" t="s">
        <v>1189</v>
      </c>
      <c r="O150" s="92" t="s">
        <v>11197</v>
      </c>
      <c r="P150" s="167" t="s">
        <v>4287</v>
      </c>
      <c r="Q150" s="392">
        <v>42592</v>
      </c>
      <c r="R150" s="392">
        <v>42591</v>
      </c>
      <c r="S150" s="392" t="str">
        <f>_xlfn.IFNA(VLOOKUP(B150,'[1]VLOOKUP NO DUPS'!$A$1:$C$456,2,FALSE),"")</f>
        <v>09/09/2016</v>
      </c>
      <c r="T150" s="168" t="str">
        <f>_xlfn.IFNA(VLOOKUP(B150,'[1]VLOOKUP NO DUPS'!$A$1:$C$456,3,FALSE),"")</f>
        <v>Bramlett Law Offices; Holzer &amp; Holzer, LLC; Pomerantz LLP</v>
      </c>
      <c r="U150" s="92"/>
      <c r="V150" s="92"/>
      <c r="W150" s="92"/>
    </row>
    <row r="151" spans="1:23" s="91" customFormat="1" ht="45" x14ac:dyDescent="0.25">
      <c r="A151" s="165" t="str">
        <f t="shared" si="4"/>
        <v/>
      </c>
      <c r="B151" s="23" t="s">
        <v>2571</v>
      </c>
      <c r="C151" s="23" t="s">
        <v>4856</v>
      </c>
      <c r="D151" s="166" t="s">
        <v>4857</v>
      </c>
      <c r="E151" s="242" t="s">
        <v>536</v>
      </c>
      <c r="F151" s="169">
        <v>10</v>
      </c>
      <c r="G151" s="243" t="s">
        <v>4858</v>
      </c>
      <c r="H151" s="89">
        <v>5300000</v>
      </c>
      <c r="I151" s="89" t="str">
        <f>IF($H151&lt;='Abbrev Key'!$A$2,'Abbrev Key'!$B$2,IF($H151&lt;='Abbrev Key'!$A$3,'Abbrev Key'!$B$3,IF($H151&lt;='Abbrev Key'!$A$4,'Abbrev Key'!$B$4,IF($H151&lt;='Abbrev Key'!$A$5,'Abbrev Key'!$B$5,IF($H151&lt;='Abbrev Key'!$A$6,'Abbrev Key'!$B$6,IF($H151&gt;='Abbrev Key'!$A$7,'Abbrev Key'!$B$7,IF($H151='Abbrev Key'!$A$8,'Abbrev Key'!$B$8,"")))))))</f>
        <v>A</v>
      </c>
      <c r="J151" s="17" t="s">
        <v>11864</v>
      </c>
      <c r="K151" s="17" t="s">
        <v>646</v>
      </c>
      <c r="L151" s="398">
        <v>41673</v>
      </c>
      <c r="M151" s="403">
        <f t="shared" si="5"/>
        <v>7.8628301886792453E-3</v>
      </c>
      <c r="N151" s="23" t="s">
        <v>11065</v>
      </c>
      <c r="O151" s="23"/>
      <c r="P151" s="167" t="s">
        <v>4295</v>
      </c>
      <c r="Q151" s="392">
        <v>42753</v>
      </c>
      <c r="R151" s="392">
        <v>42752</v>
      </c>
      <c r="S151" s="392" t="str">
        <f>_xlfn.IFNA(VLOOKUP(B151,'[1]VLOOKUP NO DUPS'!$A$1:$C$456,2,FALSE),"")</f>
        <v>09/15/2016</v>
      </c>
      <c r="T151" s="168" t="str">
        <f>_xlfn.IFNA(VLOOKUP(B151,'[1]VLOOKUP NO DUPS'!$A$1:$C$456,3,FALSE),"")</f>
        <v>Goldberg Law PC; Pomerantz LLP</v>
      </c>
      <c r="U151" s="92"/>
      <c r="V151" s="92"/>
      <c r="W151" s="92"/>
    </row>
    <row r="152" spans="1:23" s="91" customFormat="1" ht="30" x14ac:dyDescent="0.25">
      <c r="A152" s="165" t="str">
        <f t="shared" si="4"/>
        <v/>
      </c>
      <c r="B152" s="23" t="s">
        <v>113</v>
      </c>
      <c r="C152" s="23" t="s">
        <v>5057</v>
      </c>
      <c r="D152" s="166" t="s">
        <v>5058</v>
      </c>
      <c r="E152" s="242" t="s">
        <v>491</v>
      </c>
      <c r="F152" s="169">
        <v>8</v>
      </c>
      <c r="G152" s="243" t="s">
        <v>5059</v>
      </c>
      <c r="H152" s="89">
        <v>130000000</v>
      </c>
      <c r="I152" s="89" t="str">
        <f>IF($H152&lt;='Abbrev Key'!$A$2,'Abbrev Key'!$B$2,IF($H152&lt;='Abbrev Key'!$A$3,'Abbrev Key'!$B$3,IF($H152&lt;='Abbrev Key'!$A$4,'Abbrev Key'!$B$4,IF($H152&lt;='Abbrev Key'!$A$5,'Abbrev Key'!$B$5,IF($H152&lt;='Abbrev Key'!$A$6,'Abbrev Key'!$B$6,IF($H152&gt;='Abbrev Key'!$A$7,'Abbrev Key'!$B$7,IF($H152='Abbrev Key'!$A$8,'Abbrev Key'!$B$8,"")))))))</f>
        <v>D</v>
      </c>
      <c r="J152" s="23" t="s">
        <v>11373</v>
      </c>
      <c r="K152" s="23" t="s">
        <v>637</v>
      </c>
      <c r="L152" s="398">
        <v>128810.1</v>
      </c>
      <c r="M152" s="403">
        <f t="shared" si="5"/>
        <v>9.9084692307692315E-4</v>
      </c>
      <c r="N152" s="23" t="s">
        <v>3147</v>
      </c>
      <c r="O152" s="23"/>
      <c r="P152" s="167" t="s">
        <v>4287</v>
      </c>
      <c r="Q152" s="392">
        <v>42624</v>
      </c>
      <c r="R152" s="392">
        <v>42623</v>
      </c>
      <c r="S152" s="392" t="str">
        <f>_xlfn.IFNA(VLOOKUP(B152,'[1]VLOOKUP NO DUPS'!$A$1:$C$456,2,FALSE),"")</f>
        <v>09/16/2016</v>
      </c>
      <c r="T152" s="168" t="str">
        <f>_xlfn.IFNA(VLOOKUP(B152,'[1]VLOOKUP NO DUPS'!$A$1:$C$456,3,FALSE),"")</f>
        <v>Glancy Prongay &amp; Murray, LLP; Law Offices of Howard G. Smith; Pomerantz LLP; Zimmerman Reed, PLLP</v>
      </c>
      <c r="U152" s="92"/>
      <c r="V152" s="92"/>
      <c r="W152" s="92"/>
    </row>
    <row r="153" spans="1:23" s="91" customFormat="1" ht="45" x14ac:dyDescent="0.25">
      <c r="A153" s="165" t="str">
        <f t="shared" si="4"/>
        <v/>
      </c>
      <c r="B153" s="23" t="s">
        <v>221</v>
      </c>
      <c r="C153" s="23" t="s">
        <v>5332</v>
      </c>
      <c r="D153" s="166" t="s">
        <v>5333</v>
      </c>
      <c r="E153" s="242" t="s">
        <v>457</v>
      </c>
      <c r="F153" s="169">
        <v>9</v>
      </c>
      <c r="G153" s="243" t="s">
        <v>5334</v>
      </c>
      <c r="H153" s="89">
        <v>1500000000</v>
      </c>
      <c r="I153" s="89" t="str">
        <f>IF($H153&lt;='Abbrev Key'!$A$2,'Abbrev Key'!$B$2,IF($H153&lt;='Abbrev Key'!$A$3,'Abbrev Key'!$B$3,IF($H153&lt;='Abbrev Key'!$A$4,'Abbrev Key'!$B$4,IF($H153&lt;='Abbrev Key'!$A$5,'Abbrev Key'!$B$5,IF($H153&lt;='Abbrev Key'!$A$6,'Abbrev Key'!$B$6,IF($H153&gt;='Abbrev Key'!$A$7,'Abbrev Key'!$B$7,IF($H153='Abbrev Key'!$A$8,'Abbrev Key'!$B$8,"")))))))</f>
        <v>F</v>
      </c>
      <c r="J153" s="17" t="s">
        <v>218</v>
      </c>
      <c r="K153" s="23" t="s">
        <v>633</v>
      </c>
      <c r="L153" s="398">
        <v>9799353.5500000007</v>
      </c>
      <c r="M153" s="403">
        <f t="shared" si="5"/>
        <v>6.5329023666666668E-3</v>
      </c>
      <c r="N153" s="23" t="s">
        <v>3935</v>
      </c>
      <c r="O153" s="23"/>
      <c r="P153" s="167" t="s">
        <v>4287</v>
      </c>
      <c r="Q153" s="392">
        <v>42213</v>
      </c>
      <c r="R153" s="392">
        <v>42212</v>
      </c>
      <c r="S153" s="392" t="str">
        <f>_xlfn.IFNA(VLOOKUP(B153,'[1]VLOOKUP NO DUPS'!$A$1:$C$456,2,FALSE),"")</f>
        <v>09/16/2016</v>
      </c>
      <c r="T153" s="168" t="str">
        <f>_xlfn.IFNA(VLOOKUP(B153,'[1]VLOOKUP NO DUPS'!$A$1:$C$456,3,FALSE),"")</f>
        <v>Abraham, Fruchter &amp; Twersky, LLP; Bronstein, Gewirtz &amp; Grossman, LLC; Pomerantz LLP; Robbins, Geller, Rudman &amp; Dowd, LLP</v>
      </c>
      <c r="U153" s="92"/>
      <c r="V153" s="92"/>
      <c r="W153" s="92"/>
    </row>
    <row r="154" spans="1:23" s="91" customFormat="1" x14ac:dyDescent="0.25">
      <c r="A154" s="165" t="str">
        <f t="shared" si="4"/>
        <v/>
      </c>
      <c r="B154" s="23" t="s">
        <v>2723</v>
      </c>
      <c r="C154" s="23" t="s">
        <v>4915</v>
      </c>
      <c r="D154" s="166" t="s">
        <v>4916</v>
      </c>
      <c r="E154" s="242" t="s">
        <v>1008</v>
      </c>
      <c r="F154" s="169">
        <v>2</v>
      </c>
      <c r="G154" s="243" t="s">
        <v>4917</v>
      </c>
      <c r="H154" s="89">
        <v>4150000</v>
      </c>
      <c r="I154" s="89" t="str">
        <f>IF($H154&lt;='Abbrev Key'!$A$2,'Abbrev Key'!$B$2,IF($H154&lt;='Abbrev Key'!$A$3,'Abbrev Key'!$B$3,IF($H154&lt;='Abbrev Key'!$A$4,'Abbrev Key'!$B$4,IF($H154&lt;='Abbrev Key'!$A$5,'Abbrev Key'!$B$5,IF($H154&lt;='Abbrev Key'!$A$6,'Abbrev Key'!$B$6,IF($H154&gt;='Abbrev Key'!$A$7,'Abbrev Key'!$B$7,IF($H154='Abbrev Key'!$A$8,'Abbrev Key'!$B$8,"")))))))</f>
        <v>A</v>
      </c>
      <c r="J154" s="17" t="s">
        <v>11872</v>
      </c>
      <c r="K154" s="92" t="s">
        <v>646</v>
      </c>
      <c r="L154" s="398">
        <v>38030.339999999997</v>
      </c>
      <c r="M154" s="403">
        <f t="shared" si="5"/>
        <v>9.1639373493975895E-3</v>
      </c>
      <c r="N154" s="92" t="s">
        <v>4336</v>
      </c>
      <c r="O154" s="92"/>
      <c r="P154" s="167" t="s">
        <v>4408</v>
      </c>
      <c r="Q154" s="392">
        <v>42627</v>
      </c>
      <c r="R154" s="392">
        <v>42626</v>
      </c>
      <c r="S154" s="392" t="str">
        <f>_xlfn.IFNA(VLOOKUP(B154,'[1]VLOOKUP NO DUPS'!$A$1:$C$456,2,FALSE),"")</f>
        <v>09/19/2016</v>
      </c>
      <c r="T154" s="168" t="str">
        <f>_xlfn.IFNA(VLOOKUP(B154,'[1]VLOOKUP NO DUPS'!$A$1:$C$456,3,FALSE),"")</f>
        <v>The Rosen Law Firm, P.A.</v>
      </c>
      <c r="U154" s="92"/>
      <c r="V154" s="92"/>
      <c r="W154" s="92"/>
    </row>
    <row r="155" spans="1:23" s="91" customFormat="1" ht="45" x14ac:dyDescent="0.25">
      <c r="A155" s="165" t="str">
        <f t="shared" si="4"/>
        <v>DUP</v>
      </c>
      <c r="B155" s="23" t="s">
        <v>2698</v>
      </c>
      <c r="C155" s="23" t="s">
        <v>4909</v>
      </c>
      <c r="D155" s="166" t="s">
        <v>4910</v>
      </c>
      <c r="E155" s="242" t="s">
        <v>418</v>
      </c>
      <c r="F155" s="169">
        <v>2</v>
      </c>
      <c r="G155" s="243" t="s">
        <v>4911</v>
      </c>
      <c r="H155" s="89">
        <v>28000000</v>
      </c>
      <c r="I155" s="89" t="str">
        <f>IF($H155&lt;='Abbrev Key'!$A$2,'Abbrev Key'!$B$2,IF($H155&lt;='Abbrev Key'!$A$3,'Abbrev Key'!$B$3,IF($H155&lt;='Abbrev Key'!$A$4,'Abbrev Key'!$B$4,IF($H155&lt;='Abbrev Key'!$A$5,'Abbrev Key'!$B$5,IF($H155&lt;='Abbrev Key'!$A$6,'Abbrev Key'!$B$6,IF($H155&gt;='Abbrev Key'!$A$7,'Abbrev Key'!$B$7,IF($H155='Abbrev Key'!$A$8,'Abbrev Key'!$B$8,"")))))))</f>
        <v>B</v>
      </c>
      <c r="J155" s="92" t="s">
        <v>11953</v>
      </c>
      <c r="K155" s="92" t="s">
        <v>646</v>
      </c>
      <c r="L155" s="398">
        <v>150859</v>
      </c>
      <c r="M155" s="403">
        <f t="shared" si="5"/>
        <v>5.3878214285714284E-3</v>
      </c>
      <c r="N155" s="92" t="s">
        <v>79</v>
      </c>
      <c r="O155" s="92" t="s">
        <v>11197</v>
      </c>
      <c r="P155" s="167" t="s">
        <v>4295</v>
      </c>
      <c r="Q155" s="392">
        <v>42662</v>
      </c>
      <c r="R155" s="392">
        <v>42661</v>
      </c>
      <c r="S155" s="392" t="s">
        <v>2699</v>
      </c>
      <c r="T155" s="168" t="s">
        <v>10916</v>
      </c>
      <c r="U155" s="92"/>
      <c r="V155" s="92"/>
      <c r="W155" s="92"/>
    </row>
    <row r="156" spans="1:23" s="91" customFormat="1" ht="30" x14ac:dyDescent="0.25">
      <c r="A156" s="165" t="str">
        <f t="shared" si="4"/>
        <v>DUP</v>
      </c>
      <c r="B156" s="23" t="s">
        <v>289</v>
      </c>
      <c r="C156" s="23" t="s">
        <v>10720</v>
      </c>
      <c r="D156" s="166" t="s">
        <v>5390</v>
      </c>
      <c r="E156" s="242" t="s">
        <v>457</v>
      </c>
      <c r="F156" s="169">
        <v>9</v>
      </c>
      <c r="G156" s="243" t="s">
        <v>5391</v>
      </c>
      <c r="H156" s="89">
        <v>7000000000</v>
      </c>
      <c r="I156" s="89" t="str">
        <f>IF($H156&lt;='Abbrev Key'!$A$2,'Abbrev Key'!$B$2,IF($H156&lt;='Abbrev Key'!$A$3,'Abbrev Key'!$B$3,IF($H156&lt;='Abbrev Key'!$A$4,'Abbrev Key'!$B$4,IF($H156&lt;='Abbrev Key'!$A$5,'Abbrev Key'!$B$5,IF($H156&lt;='Abbrev Key'!$A$6,'Abbrev Key'!$B$6,IF($H156&gt;='Abbrev Key'!$A$7,'Abbrev Key'!$B$7,IF($H156='Abbrev Key'!$A$8,'Abbrev Key'!$B$8,"")))))))</f>
        <v>F</v>
      </c>
      <c r="J156" s="92" t="s">
        <v>373</v>
      </c>
      <c r="K156" s="92" t="s">
        <v>633</v>
      </c>
      <c r="L156" s="398">
        <v>11041699.35</v>
      </c>
      <c r="M156" s="403">
        <f t="shared" si="5"/>
        <v>1.5773856214285713E-3</v>
      </c>
      <c r="N156" s="92" t="s">
        <v>11094</v>
      </c>
      <c r="O156" s="92" t="s">
        <v>11197</v>
      </c>
      <c r="P156" s="167" t="s">
        <v>4408</v>
      </c>
      <c r="Q156" s="392">
        <v>42633</v>
      </c>
      <c r="R156" s="392">
        <v>42632</v>
      </c>
      <c r="S156" s="392" t="s">
        <v>577</v>
      </c>
      <c r="T156" s="168" t="s">
        <v>10877</v>
      </c>
      <c r="U156" s="92"/>
      <c r="V156" s="92"/>
      <c r="W156" s="92"/>
    </row>
    <row r="157" spans="1:23" s="91" customFormat="1" ht="60" x14ac:dyDescent="0.25">
      <c r="A157" s="165" t="str">
        <f t="shared" si="4"/>
        <v/>
      </c>
      <c r="B157" s="23" t="s">
        <v>180</v>
      </c>
      <c r="C157" s="23" t="s">
        <v>5148</v>
      </c>
      <c r="D157" s="166" t="s">
        <v>5149</v>
      </c>
      <c r="E157" s="242" t="s">
        <v>409</v>
      </c>
      <c r="F157" s="169">
        <v>1</v>
      </c>
      <c r="G157" s="243" t="s">
        <v>5150</v>
      </c>
      <c r="H157" s="89">
        <v>500000000</v>
      </c>
      <c r="I157" s="89" t="str">
        <f>IF($H157&lt;='Abbrev Key'!$A$2,'Abbrev Key'!$B$2,IF($H157&lt;='Abbrev Key'!$A$3,'Abbrev Key'!$B$3,IF($H157&lt;='Abbrev Key'!$A$4,'Abbrev Key'!$B$4,IF($H157&lt;='Abbrev Key'!$A$5,'Abbrev Key'!$B$5,IF($H157&lt;='Abbrev Key'!$A$6,'Abbrev Key'!$B$6,IF($H157&gt;='Abbrev Key'!$A$7,'Abbrev Key'!$B$7,IF($H157='Abbrev Key'!$A$8,'Abbrev Key'!$B$8,"")))))))</f>
        <v>E</v>
      </c>
      <c r="J157" s="92" t="s">
        <v>11951</v>
      </c>
      <c r="K157" s="92" t="s">
        <v>640</v>
      </c>
      <c r="L157" s="398">
        <f>220719.5+371038.5</f>
        <v>591758</v>
      </c>
      <c r="M157" s="403">
        <f t="shared" si="5"/>
        <v>1.1835159999999999E-3</v>
      </c>
      <c r="N157" s="92" t="s">
        <v>5151</v>
      </c>
      <c r="O157" s="92" t="s">
        <v>11197</v>
      </c>
      <c r="P157" s="167" t="s">
        <v>4295</v>
      </c>
      <c r="Q157" s="392">
        <v>42580</v>
      </c>
      <c r="R157" s="392">
        <v>42579</v>
      </c>
      <c r="S157" s="392" t="str">
        <f>_xlfn.IFNA(VLOOKUP(B157,'[1]VLOOKUP NO DUPS'!$A$1:$C$456,2,FALSE),"")</f>
        <v>09/28/2016</v>
      </c>
      <c r="T157" s="168" t="str">
        <f>_xlfn.IFNA(VLOOKUP(B157,'[1]VLOOKUP NO DUPS'!$A$1:$C$456,3,FALSE),"")</f>
        <v>Levi &amp; Korsinsky, LLP</v>
      </c>
      <c r="U157" s="92"/>
      <c r="V157" s="92"/>
      <c r="W157" s="92"/>
    </row>
    <row r="158" spans="1:23" s="91" customFormat="1" ht="30" x14ac:dyDescent="0.25">
      <c r="A158" s="165" t="str">
        <f t="shared" si="4"/>
        <v/>
      </c>
      <c r="B158" s="23" t="s">
        <v>3448</v>
      </c>
      <c r="C158" s="23" t="s">
        <v>5174</v>
      </c>
      <c r="D158" s="166" t="s">
        <v>5175</v>
      </c>
      <c r="E158" s="242" t="s">
        <v>3449</v>
      </c>
      <c r="F158" s="169">
        <v>9</v>
      </c>
      <c r="G158" s="243" t="s">
        <v>5176</v>
      </c>
      <c r="H158" s="89">
        <v>35000000</v>
      </c>
      <c r="I158" s="89" t="str">
        <f>IF($H158&lt;='Abbrev Key'!$A$2,'Abbrev Key'!$B$2,IF($H158&lt;='Abbrev Key'!$A$3,'Abbrev Key'!$B$3,IF($H158&lt;='Abbrev Key'!$A$4,'Abbrev Key'!$B$4,IF($H158&lt;='Abbrev Key'!$A$5,'Abbrev Key'!$B$5,IF($H158&lt;='Abbrev Key'!$A$6,'Abbrev Key'!$B$6,IF($H158&gt;='Abbrev Key'!$A$7,'Abbrev Key'!$B$7,IF($H158='Abbrev Key'!$A$8,'Abbrev Key'!$B$8,"")))))))</f>
        <v>B</v>
      </c>
      <c r="J158" s="17" t="s">
        <v>11911</v>
      </c>
      <c r="K158" s="23" t="s">
        <v>646</v>
      </c>
      <c r="L158" s="398">
        <v>930015.78</v>
      </c>
      <c r="M158" s="403">
        <f t="shared" si="5"/>
        <v>2.6571879428571428E-2</v>
      </c>
      <c r="N158" s="23" t="s">
        <v>3456</v>
      </c>
      <c r="O158" s="23"/>
      <c r="P158" s="167" t="s">
        <v>4287</v>
      </c>
      <c r="Q158" s="392">
        <v>42261</v>
      </c>
      <c r="R158" s="392">
        <v>42260</v>
      </c>
      <c r="S158" s="392" t="str">
        <f>_xlfn.IFNA(VLOOKUP(B158,'[1]VLOOKUP NO DUPS'!$A$1:$C$456,2,FALSE),"")</f>
        <v>09/28/2016</v>
      </c>
      <c r="T158" s="168" t="str">
        <f>_xlfn.IFNA(VLOOKUP(B158,'[1]VLOOKUP NO DUPS'!$A$1:$C$456,3,FALSE),"")</f>
        <v>Block &amp; Leviton LLP; Law Office of Telia U. Williams; The Rosen Law Firm, P.A.</v>
      </c>
      <c r="U158" s="92"/>
      <c r="V158" s="92"/>
      <c r="W158" s="92"/>
    </row>
    <row r="159" spans="1:23" s="91" customFormat="1" ht="30" x14ac:dyDescent="0.25">
      <c r="A159" s="165" t="str">
        <f t="shared" si="4"/>
        <v/>
      </c>
      <c r="B159" s="23" t="s">
        <v>380</v>
      </c>
      <c r="C159" s="23" t="s">
        <v>4461</v>
      </c>
      <c r="D159" s="166" t="s">
        <v>4462</v>
      </c>
      <c r="E159" s="242" t="s">
        <v>609</v>
      </c>
      <c r="F159" s="169">
        <v>10</v>
      </c>
      <c r="G159" s="243" t="s">
        <v>4463</v>
      </c>
      <c r="H159" s="89">
        <v>180000000</v>
      </c>
      <c r="I159" s="89" t="str">
        <f>IF($H159&lt;='Abbrev Key'!$A$2,'Abbrev Key'!$B$2,IF($H159&lt;='Abbrev Key'!$A$3,'Abbrev Key'!$B$3,IF($H159&lt;='Abbrev Key'!$A$4,'Abbrev Key'!$B$4,IF($H159&lt;='Abbrev Key'!$A$5,'Abbrev Key'!$B$5,IF($H159&lt;='Abbrev Key'!$A$6,'Abbrev Key'!$B$6,IF($H159&gt;='Abbrev Key'!$A$7,'Abbrev Key'!$B$7,IF($H159='Abbrev Key'!$A$8,'Abbrev Key'!$B$8,"")))))))</f>
        <v>D</v>
      </c>
      <c r="J159" s="17" t="s">
        <v>378</v>
      </c>
      <c r="K159" s="23" t="s">
        <v>633</v>
      </c>
      <c r="L159" s="354">
        <v>11577603.26</v>
      </c>
      <c r="M159" s="405">
        <f t="shared" si="5"/>
        <v>6.4320018111111113E-2</v>
      </c>
      <c r="N159" s="23" t="s">
        <v>1307</v>
      </c>
      <c r="O159" s="23"/>
      <c r="P159" s="167" t="s">
        <v>4295</v>
      </c>
      <c r="Q159" s="392">
        <v>42641</v>
      </c>
      <c r="R159" s="392">
        <v>42640</v>
      </c>
      <c r="S159" s="392" t="str">
        <f>_xlfn.IFNA(VLOOKUP(B159,'[1]VLOOKUP NO DUPS'!$A$1:$C$456,2,FALSE),"")</f>
        <v>10/04/2016</v>
      </c>
      <c r="T159" s="168" t="str">
        <f>_xlfn.IFNA(VLOOKUP(B159,'[1]VLOOKUP NO DUPS'!$A$1:$C$456,3,FALSE),"")</f>
        <v>Federman &amp; Sherwood; Pomerantz LLP</v>
      </c>
      <c r="U159" s="92"/>
      <c r="V159" s="92"/>
      <c r="W159" s="92"/>
    </row>
    <row r="160" spans="1:23" s="91" customFormat="1" ht="75" x14ac:dyDescent="0.25">
      <c r="A160" s="165" t="str">
        <f t="shared" si="4"/>
        <v/>
      </c>
      <c r="B160" s="23" t="s">
        <v>16</v>
      </c>
      <c r="C160" s="23" t="s">
        <v>4493</v>
      </c>
      <c r="D160" s="166" t="s">
        <v>4494</v>
      </c>
      <c r="E160" s="242" t="s">
        <v>424</v>
      </c>
      <c r="F160" s="169">
        <v>3</v>
      </c>
      <c r="G160" s="243" t="s">
        <v>4495</v>
      </c>
      <c r="H160" s="89">
        <v>2000000000</v>
      </c>
      <c r="I160" s="89" t="str">
        <f>IF($H160&lt;='Abbrev Key'!$A$2,'Abbrev Key'!$B$2,IF($H160&lt;='Abbrev Key'!$A$3,'Abbrev Key'!$B$3,IF($H160&lt;='Abbrev Key'!$A$4,'Abbrev Key'!$B$4,IF($H160&lt;='Abbrev Key'!$A$5,'Abbrev Key'!$B$5,IF($H160&lt;='Abbrev Key'!$A$6,'Abbrev Key'!$B$6,IF($H160&gt;='Abbrev Key'!$A$7,'Abbrev Key'!$B$7,IF($H160='Abbrev Key'!$A$8,'Abbrev Key'!$B$8,"")))))))</f>
        <v>F</v>
      </c>
      <c r="J160" s="92" t="s">
        <v>11934</v>
      </c>
      <c r="K160" s="92" t="s">
        <v>640</v>
      </c>
      <c r="L160" s="398">
        <v>28241118.580000002</v>
      </c>
      <c r="M160" s="403">
        <f t="shared" si="5"/>
        <v>1.4120559290000001E-2</v>
      </c>
      <c r="N160" s="92" t="s">
        <v>1</v>
      </c>
      <c r="O160" s="92" t="s">
        <v>11197</v>
      </c>
      <c r="P160" s="167" t="s">
        <v>4287</v>
      </c>
      <c r="Q160" s="392">
        <v>42642</v>
      </c>
      <c r="R160" s="392">
        <v>42641</v>
      </c>
      <c r="S160" s="392" t="str">
        <f>_xlfn.IFNA(VLOOKUP(B160,'[1]VLOOKUP NO DUPS'!$A$1:$C$456,2,FALSE),"")</f>
        <v>10/05/2016</v>
      </c>
      <c r="T160" s="168" t="str">
        <f>_xlfn.IFNA(VLOOKUP(B160,'[1]VLOOKUP NO DUPS'!$A$1:$C$456,3,FALSE),"")</f>
        <v>Brodsky &amp; Smith, LLC; Gardy &amp; Notis, LLP; Strauss Troy; The Rosen Law Firm, P.A.</v>
      </c>
      <c r="U160" s="92"/>
      <c r="V160" s="92"/>
      <c r="W160" s="92"/>
    </row>
    <row r="161" spans="1:23" s="91" customFormat="1" ht="60" x14ac:dyDescent="0.25">
      <c r="A161" s="165" t="str">
        <f t="shared" si="4"/>
        <v/>
      </c>
      <c r="B161" s="23" t="s">
        <v>1841</v>
      </c>
      <c r="C161" s="23" t="s">
        <v>4622</v>
      </c>
      <c r="D161" s="166" t="s">
        <v>4623</v>
      </c>
      <c r="E161" s="242" t="s">
        <v>418</v>
      </c>
      <c r="F161" s="169">
        <v>2</v>
      </c>
      <c r="G161" s="243" t="s">
        <v>4624</v>
      </c>
      <c r="H161" s="89">
        <v>215000000</v>
      </c>
      <c r="I161" s="89" t="str">
        <f>IF($H161&lt;='Abbrev Key'!$A$2,'Abbrev Key'!$B$2,IF($H161&lt;='Abbrev Key'!$A$3,'Abbrev Key'!$B$3,IF($H161&lt;='Abbrev Key'!$A$4,'Abbrev Key'!$B$4,IF($H161&lt;='Abbrev Key'!$A$5,'Abbrev Key'!$B$5,IF($H161&lt;='Abbrev Key'!$A$6,'Abbrev Key'!$B$6,IF($H161&gt;='Abbrev Key'!$A$7,'Abbrev Key'!$B$7,IF($H161='Abbrev Key'!$A$8,'Abbrev Key'!$B$8,"")))))))</f>
        <v>D</v>
      </c>
      <c r="J161" s="17" t="s">
        <v>11834</v>
      </c>
      <c r="K161" s="92" t="s">
        <v>662</v>
      </c>
      <c r="L161" s="398">
        <v>1123788.18</v>
      </c>
      <c r="M161" s="403">
        <f t="shared" si="5"/>
        <v>5.2269217674418599E-3</v>
      </c>
      <c r="N161" s="92" t="s">
        <v>4392</v>
      </c>
      <c r="O161" s="92"/>
      <c r="P161" s="167" t="s">
        <v>4287</v>
      </c>
      <c r="Q161" s="392">
        <v>42696</v>
      </c>
      <c r="R161" s="392">
        <v>42695</v>
      </c>
      <c r="S161" s="392" t="str">
        <f>_xlfn.IFNA(VLOOKUP(B161,'[1]VLOOKUP NO DUPS'!$A$1:$C$456,2,FALSE),"")</f>
        <v>10/06/2016</v>
      </c>
      <c r="T161" s="168" t="str">
        <f>_xlfn.IFNA(VLOOKUP(B161,'[1]VLOOKUP NO DUPS'!$A$1:$C$456,3,FALSE),"")</f>
        <v>Glancy Prongay &amp; Murray, LLP; Kahn Swick &amp; Foti, LLC; The Rosen Law Firm, P.A.</v>
      </c>
      <c r="U161" s="92"/>
      <c r="V161" s="92"/>
      <c r="W161" s="92"/>
    </row>
    <row r="162" spans="1:23" s="91" customFormat="1" x14ac:dyDescent="0.25">
      <c r="A162" s="165" t="str">
        <f t="shared" si="4"/>
        <v>DUP</v>
      </c>
      <c r="B162" s="23" t="s">
        <v>2768</v>
      </c>
      <c r="C162" s="23" t="s">
        <v>10774</v>
      </c>
      <c r="D162" s="166" t="s">
        <v>4936</v>
      </c>
      <c r="E162" s="242" t="s">
        <v>446</v>
      </c>
      <c r="F162" s="169">
        <v>9</v>
      </c>
      <c r="G162" s="243" t="s">
        <v>4937</v>
      </c>
      <c r="H162" s="89">
        <v>20000000</v>
      </c>
      <c r="I162" s="89" t="str">
        <f>IF($H162&lt;='Abbrev Key'!$A$2,'Abbrev Key'!$B$2,IF($H162&lt;='Abbrev Key'!$A$3,'Abbrev Key'!$B$3,IF($H162&lt;='Abbrev Key'!$A$4,'Abbrev Key'!$B$4,IF($H162&lt;='Abbrev Key'!$A$5,'Abbrev Key'!$B$5,IF($H162&lt;='Abbrev Key'!$A$6,'Abbrev Key'!$B$6,IF($H162&gt;='Abbrev Key'!$A$7,'Abbrev Key'!$B$7,IF($H162='Abbrev Key'!$A$8,'Abbrev Key'!$B$8,"")))))))</f>
        <v>A</v>
      </c>
      <c r="J162" s="17" t="s">
        <v>2769</v>
      </c>
      <c r="K162" s="23" t="s">
        <v>637</v>
      </c>
      <c r="L162" s="398">
        <v>19803.88</v>
      </c>
      <c r="M162" s="403">
        <f t="shared" si="5"/>
        <v>9.9019400000000001E-4</v>
      </c>
      <c r="N162" s="23" t="s">
        <v>877</v>
      </c>
      <c r="O162" s="23"/>
      <c r="P162" s="167" t="s">
        <v>4295</v>
      </c>
      <c r="Q162" s="392">
        <v>42641</v>
      </c>
      <c r="R162" s="392">
        <v>42640</v>
      </c>
      <c r="S162" s="392" t="s">
        <v>1842</v>
      </c>
      <c r="T162" s="168" t="s">
        <v>682</v>
      </c>
      <c r="U162" s="92"/>
      <c r="V162" s="92"/>
      <c r="W162" s="92"/>
    </row>
    <row r="163" spans="1:23" s="91" customFormat="1" ht="30" x14ac:dyDescent="0.25">
      <c r="A163" s="165" t="str">
        <f t="shared" si="4"/>
        <v/>
      </c>
      <c r="B163" s="23" t="s">
        <v>3715</v>
      </c>
      <c r="C163" s="23" t="s">
        <v>5263</v>
      </c>
      <c r="D163" s="166" t="s">
        <v>5264</v>
      </c>
      <c r="E163" s="242" t="s">
        <v>1815</v>
      </c>
      <c r="F163" s="169">
        <v>5</v>
      </c>
      <c r="G163" s="243" t="s">
        <v>5265</v>
      </c>
      <c r="H163" s="89">
        <v>140000000</v>
      </c>
      <c r="I163" s="89" t="str">
        <f>IF($H163&lt;='Abbrev Key'!$A$2,'Abbrev Key'!$B$2,IF($H163&lt;='Abbrev Key'!$A$3,'Abbrev Key'!$B$3,IF($H163&lt;='Abbrev Key'!$A$4,'Abbrev Key'!$B$4,IF($H163&lt;='Abbrev Key'!$A$5,'Abbrev Key'!$B$5,IF($H163&lt;='Abbrev Key'!$A$6,'Abbrev Key'!$B$6,IF($H163&gt;='Abbrev Key'!$A$7,'Abbrev Key'!$B$7,IF($H163='Abbrev Key'!$A$8,'Abbrev Key'!$B$8,"")))))))</f>
        <v>D</v>
      </c>
      <c r="J163" s="17" t="s">
        <v>11922</v>
      </c>
      <c r="K163" s="23" t="s">
        <v>646</v>
      </c>
      <c r="L163" s="398">
        <v>186136.88</v>
      </c>
      <c r="M163" s="403">
        <f t="shared" si="5"/>
        <v>1.329549142857143E-3</v>
      </c>
      <c r="N163" s="23" t="s">
        <v>3720</v>
      </c>
      <c r="O163" s="23"/>
      <c r="P163" s="167" t="s">
        <v>4295</v>
      </c>
      <c r="Q163" s="392">
        <v>42583</v>
      </c>
      <c r="R163" s="392">
        <v>42582</v>
      </c>
      <c r="S163" s="392" t="str">
        <f>_xlfn.IFNA(VLOOKUP(B163,'[1]VLOOKUP NO DUPS'!$A$1:$C$456,2,FALSE),"")</f>
        <v>10/07/2016</v>
      </c>
      <c r="T163" s="168" t="str">
        <f>_xlfn.IFNA(VLOOKUP(B163,'[1]VLOOKUP NO DUPS'!$A$1:$C$456,3,FALSE),"")</f>
        <v>The Rosen Law Firm, P.A.</v>
      </c>
      <c r="U163" s="92"/>
      <c r="V163" s="92"/>
      <c r="W163" s="92"/>
    </row>
    <row r="164" spans="1:23" s="91" customFormat="1" ht="90" x14ac:dyDescent="0.25">
      <c r="A164" s="165" t="str">
        <f t="shared" si="4"/>
        <v/>
      </c>
      <c r="B164" s="23" t="s">
        <v>241</v>
      </c>
      <c r="C164" s="23" t="s">
        <v>4927</v>
      </c>
      <c r="D164" s="166" t="s">
        <v>4928</v>
      </c>
      <c r="E164" s="242" t="s">
        <v>418</v>
      </c>
      <c r="F164" s="169">
        <v>2</v>
      </c>
      <c r="G164" s="243" t="s">
        <v>4929</v>
      </c>
      <c r="H164" s="89">
        <v>1500000000</v>
      </c>
      <c r="I164" s="89" t="str">
        <f>IF($H164&lt;='Abbrev Key'!$A$2,'Abbrev Key'!$B$2,IF($H164&lt;='Abbrev Key'!$A$3,'Abbrev Key'!$B$3,IF($H164&lt;='Abbrev Key'!$A$4,'Abbrev Key'!$B$4,IF($H164&lt;='Abbrev Key'!$A$5,'Abbrev Key'!$B$5,IF($H164&lt;='Abbrev Key'!$A$6,'Abbrev Key'!$B$6,IF($H164&gt;='Abbrev Key'!$A$7,'Abbrev Key'!$B$7,IF($H164='Abbrev Key'!$A$8,'Abbrev Key'!$B$8,"")))))))</f>
        <v>F</v>
      </c>
      <c r="J164" s="92" t="s">
        <v>11954</v>
      </c>
      <c r="K164" s="92" t="s">
        <v>662</v>
      </c>
      <c r="L164" s="398">
        <f>52710653+21392815.18</f>
        <v>74103468.180000007</v>
      </c>
      <c r="M164" s="403">
        <f t="shared" si="5"/>
        <v>4.9402312120000007E-2</v>
      </c>
      <c r="N164" s="92" t="s">
        <v>286</v>
      </c>
      <c r="O164" s="92" t="s">
        <v>11197</v>
      </c>
      <c r="P164" s="167" t="s">
        <v>4287</v>
      </c>
      <c r="Q164" s="392">
        <v>42764</v>
      </c>
      <c r="R164" s="392">
        <v>42763</v>
      </c>
      <c r="S164" s="392" t="str">
        <f>_xlfn.IFNA(VLOOKUP(B164,'[1]VLOOKUP NO DUPS'!$A$1:$C$456,2,FALSE),"")</f>
        <v>10/11/2016</v>
      </c>
      <c r="T164" s="168" t="str">
        <f>_xlfn.IFNA(VLOOKUP(B164,'[1]VLOOKUP NO DUPS'!$A$1:$C$456,3,FALSE),"")</f>
        <v>Pomerantz LLP; The Rosen Law Firm, P.A.</v>
      </c>
      <c r="U164" s="92"/>
      <c r="V164" s="92"/>
      <c r="W164" s="92"/>
    </row>
    <row r="165" spans="1:23" s="91" customFormat="1" ht="75" x14ac:dyDescent="0.25">
      <c r="A165" s="165" t="str">
        <f t="shared" si="4"/>
        <v/>
      </c>
      <c r="B165" s="23" t="s">
        <v>3948</v>
      </c>
      <c r="C165" s="23" t="s">
        <v>5335</v>
      </c>
      <c r="D165" s="166" t="s">
        <v>5336</v>
      </c>
      <c r="E165" s="242" t="s">
        <v>3949</v>
      </c>
      <c r="F165" s="169">
        <v>8</v>
      </c>
      <c r="G165" s="244" t="s">
        <v>5337</v>
      </c>
      <c r="H165" s="89">
        <v>250000000</v>
      </c>
      <c r="I165" s="89" t="str">
        <f>IF($H165&lt;='Abbrev Key'!$A$2,'Abbrev Key'!$B$2,IF($H165&lt;='Abbrev Key'!$A$3,'Abbrev Key'!$B$3,IF($H165&lt;='Abbrev Key'!$A$4,'Abbrev Key'!$B$4,IF($H165&lt;='Abbrev Key'!$A$5,'Abbrev Key'!$B$5,IF($H165&lt;='Abbrev Key'!$A$6,'Abbrev Key'!$B$6,IF($H165&gt;='Abbrev Key'!$A$7,'Abbrev Key'!$B$7,IF($H165='Abbrev Key'!$A$8,'Abbrev Key'!$B$8,"")))))))</f>
        <v>D</v>
      </c>
      <c r="J165" s="17" t="s">
        <v>11926</v>
      </c>
      <c r="K165" s="92" t="s">
        <v>640</v>
      </c>
      <c r="L165" s="398">
        <v>4315587.43</v>
      </c>
      <c r="M165" s="403">
        <f t="shared" si="5"/>
        <v>1.726234972E-2</v>
      </c>
      <c r="N165" s="92" t="s">
        <v>1</v>
      </c>
      <c r="O165" s="92"/>
      <c r="P165" s="167" t="s">
        <v>4295</v>
      </c>
      <c r="Q165" s="393">
        <v>42692</v>
      </c>
      <c r="R165" s="392">
        <v>42691</v>
      </c>
      <c r="S165" s="392" t="str">
        <f>_xlfn.IFNA(VLOOKUP(B165,'[1]VLOOKUP NO DUPS'!$A$1:$C$456,2,FALSE),"")</f>
        <v>10/17/2016</v>
      </c>
      <c r="T165" s="168" t="str">
        <f>_xlfn.IFNA(VLOOKUP(B165,'[1]VLOOKUP NO DUPS'!$A$1:$C$456,3,FALSE),"")</f>
        <v>The Rosen Law Firm, P.A.</v>
      </c>
      <c r="U165" s="92"/>
      <c r="V165" s="92"/>
      <c r="W165" s="92"/>
    </row>
    <row r="166" spans="1:23" s="91" customFormat="1" ht="45" x14ac:dyDescent="0.25">
      <c r="A166" s="165" t="str">
        <f t="shared" si="4"/>
        <v/>
      </c>
      <c r="B166" s="23" t="s">
        <v>138</v>
      </c>
      <c r="C166" s="23" t="s">
        <v>4398</v>
      </c>
      <c r="D166" s="166" t="s">
        <v>4399</v>
      </c>
      <c r="E166" s="242" t="s">
        <v>409</v>
      </c>
      <c r="F166" s="169">
        <v>1</v>
      </c>
      <c r="G166" s="243" t="s">
        <v>4400</v>
      </c>
      <c r="H166" s="89">
        <v>12750000000</v>
      </c>
      <c r="I166" s="89" t="str">
        <f>IF($H166&lt;='Abbrev Key'!$A$2,'Abbrev Key'!$B$2,IF($H166&lt;='Abbrev Key'!$A$3,'Abbrev Key'!$B$3,IF($H166&lt;='Abbrev Key'!$A$4,'Abbrev Key'!$B$4,IF($H166&lt;='Abbrev Key'!$A$5,'Abbrev Key'!$B$5,IF($H166&lt;='Abbrev Key'!$A$6,'Abbrev Key'!$B$6,IF($H166&gt;='Abbrev Key'!$A$7,'Abbrev Key'!$B$7,IF($H166='Abbrev Key'!$A$8,'Abbrev Key'!$B$8,"")))))))</f>
        <v>F</v>
      </c>
      <c r="J166" s="17" t="s">
        <v>11791</v>
      </c>
      <c r="K166" s="92" t="s">
        <v>640</v>
      </c>
      <c r="L166" s="354">
        <v>2037041.09</v>
      </c>
      <c r="M166" s="405">
        <f t="shared" si="5"/>
        <v>1.5976792862745098E-4</v>
      </c>
      <c r="N166" s="92" t="s">
        <v>161</v>
      </c>
      <c r="O166" s="92"/>
      <c r="P166" s="167" t="s">
        <v>4287</v>
      </c>
      <c r="Q166" s="392">
        <v>42208</v>
      </c>
      <c r="R166" s="392">
        <v>42207</v>
      </c>
      <c r="S166" s="392" t="str">
        <f>_xlfn.IFNA(VLOOKUP(B166,'[1]VLOOKUP NO DUPS'!$A$1:$C$456,2,FALSE),"")</f>
        <v>10/20/2016</v>
      </c>
      <c r="T166" s="168" t="str">
        <f>_xlfn.IFNA(VLOOKUP(B166,'[1]VLOOKUP NO DUPS'!$A$1:$C$456,3,FALSE),"")</f>
        <v>Labaton Sucharow LLP; Thornton Law Firm LLP</v>
      </c>
      <c r="U166" s="92"/>
      <c r="V166" s="92"/>
      <c r="W166" s="92"/>
    </row>
    <row r="167" spans="1:23" s="91" customFormat="1" ht="30" x14ac:dyDescent="0.25">
      <c r="A167" s="165" t="str">
        <f t="shared" si="4"/>
        <v/>
      </c>
      <c r="B167" s="23" t="s">
        <v>3089</v>
      </c>
      <c r="C167" s="23" t="s">
        <v>5041</v>
      </c>
      <c r="D167" s="166" t="s">
        <v>5042</v>
      </c>
      <c r="E167" s="242" t="s">
        <v>545</v>
      </c>
      <c r="F167" s="169">
        <v>10</v>
      </c>
      <c r="G167" s="243" t="s">
        <v>5043</v>
      </c>
      <c r="H167" s="89">
        <v>72000000</v>
      </c>
      <c r="I167" s="89" t="str">
        <f>IF($H167&lt;='Abbrev Key'!$A$2,'Abbrev Key'!$B$2,IF($H167&lt;='Abbrev Key'!$A$3,'Abbrev Key'!$B$3,IF($H167&lt;='Abbrev Key'!$A$4,'Abbrev Key'!$B$4,IF($H167&lt;='Abbrev Key'!$A$5,'Abbrev Key'!$B$5,IF($H167&lt;='Abbrev Key'!$A$6,'Abbrev Key'!$B$6,IF($H167&gt;='Abbrev Key'!$A$7,'Abbrev Key'!$B$7,IF($H167='Abbrev Key'!$A$8,'Abbrev Key'!$B$8,"")))))))</f>
        <v>C</v>
      </c>
      <c r="J167" s="17" t="s">
        <v>3091</v>
      </c>
      <c r="K167" s="23" t="s">
        <v>637</v>
      </c>
      <c r="L167" s="398">
        <v>86537.77</v>
      </c>
      <c r="M167" s="403">
        <f t="shared" si="5"/>
        <v>1.2019134722222222E-3</v>
      </c>
      <c r="N167" s="23" t="s">
        <v>3093</v>
      </c>
      <c r="O167" s="23"/>
      <c r="P167" s="167" t="s">
        <v>4287</v>
      </c>
      <c r="Q167" s="392">
        <v>42691</v>
      </c>
      <c r="R167" s="392">
        <v>42690</v>
      </c>
      <c r="S167" s="392" t="str">
        <f>_xlfn.IFNA(VLOOKUP(B167,'[1]VLOOKUP NO DUPS'!$A$1:$C$456,2,FALSE),"")</f>
        <v>10/20/2016</v>
      </c>
      <c r="T167" s="168" t="str">
        <f>_xlfn.IFNA(VLOOKUP(B167,'[1]VLOOKUP NO DUPS'!$A$1:$C$456,3,FALSE),"")</f>
        <v>Goldberg Law PC; Pomerantz LLP</v>
      </c>
      <c r="U167" s="92"/>
      <c r="V167" s="92"/>
      <c r="W167" s="92"/>
    </row>
    <row r="168" spans="1:23" s="91" customFormat="1" ht="30" x14ac:dyDescent="0.25">
      <c r="A168" s="165" t="str">
        <f t="shared" si="4"/>
        <v/>
      </c>
      <c r="B168" s="23" t="s">
        <v>37</v>
      </c>
      <c r="C168" s="23" t="s">
        <v>5401</v>
      </c>
      <c r="D168" s="166" t="s">
        <v>5402</v>
      </c>
      <c r="E168" s="242" t="s">
        <v>418</v>
      </c>
      <c r="F168" s="169">
        <v>2</v>
      </c>
      <c r="G168" s="243" t="s">
        <v>5403</v>
      </c>
      <c r="H168" s="89">
        <v>700000000</v>
      </c>
      <c r="I168" s="89" t="str">
        <f>IF($H168&lt;='Abbrev Key'!$A$2,'Abbrev Key'!$B$2,IF($H168&lt;='Abbrev Key'!$A$3,'Abbrev Key'!$B$3,IF($H168&lt;='Abbrev Key'!$A$4,'Abbrev Key'!$B$4,IF($H168&lt;='Abbrev Key'!$A$5,'Abbrev Key'!$B$5,IF($H168&lt;='Abbrev Key'!$A$6,'Abbrev Key'!$B$6,IF($H168&gt;='Abbrev Key'!$A$7,'Abbrev Key'!$B$7,IF($H168='Abbrev Key'!$A$8,'Abbrev Key'!$B$8,"")))))))</f>
        <v>F</v>
      </c>
      <c r="J168" s="17" t="s">
        <v>32</v>
      </c>
      <c r="K168" s="23" t="s">
        <v>633</v>
      </c>
      <c r="L168" s="398">
        <v>1612283.42</v>
      </c>
      <c r="M168" s="403">
        <f t="shared" si="5"/>
        <v>2.3032620285714286E-3</v>
      </c>
      <c r="N168" s="23" t="s">
        <v>10810</v>
      </c>
      <c r="O168" s="23"/>
      <c r="P168" s="167" t="s">
        <v>4287</v>
      </c>
      <c r="Q168" s="392">
        <v>42304</v>
      </c>
      <c r="R168" s="392">
        <v>42303</v>
      </c>
      <c r="S168" s="392" t="str">
        <f>_xlfn.IFNA(VLOOKUP(B168,'[1]VLOOKUP NO DUPS'!$A$1:$C$456,2,FALSE),"")</f>
        <v>10/21/2016</v>
      </c>
      <c r="T168" s="168" t="str">
        <f>_xlfn.IFNA(VLOOKUP(B168,'[1]VLOOKUP NO DUPS'!$A$1:$C$456,3,FALSE),"")</f>
        <v>Labaton Sucharow LLP</v>
      </c>
      <c r="U168" s="92"/>
      <c r="V168" s="92"/>
      <c r="W168" s="92"/>
    </row>
    <row r="169" spans="1:23" s="91" customFormat="1" ht="30" x14ac:dyDescent="0.25">
      <c r="A169" s="165" t="str">
        <f t="shared" si="4"/>
        <v/>
      </c>
      <c r="B169" s="23" t="s">
        <v>105</v>
      </c>
      <c r="C169" s="23" t="s">
        <v>5248</v>
      </c>
      <c r="D169" s="166" t="s">
        <v>5249</v>
      </c>
      <c r="E169" s="242" t="s">
        <v>418</v>
      </c>
      <c r="F169" s="169">
        <v>2</v>
      </c>
      <c r="G169" s="243" t="s">
        <v>5250</v>
      </c>
      <c r="H169" s="89">
        <v>50000000</v>
      </c>
      <c r="I169" s="89" t="str">
        <f>IF($H169&lt;='Abbrev Key'!$A$2,'Abbrev Key'!$B$2,IF($H169&lt;='Abbrev Key'!$A$3,'Abbrev Key'!$B$3,IF($H169&lt;='Abbrev Key'!$A$4,'Abbrev Key'!$B$4,IF($H169&lt;='Abbrev Key'!$A$5,'Abbrev Key'!$B$5,IF($H169&lt;='Abbrev Key'!$A$6,'Abbrev Key'!$B$6,IF($H169&gt;='Abbrev Key'!$A$7,'Abbrev Key'!$B$7,IF($H169='Abbrev Key'!$A$8,'Abbrev Key'!$B$8,"")))))))</f>
        <v>B</v>
      </c>
      <c r="J169" s="17" t="s">
        <v>10860</v>
      </c>
      <c r="K169" s="23" t="s">
        <v>633</v>
      </c>
      <c r="L169" s="398">
        <v>166256.29</v>
      </c>
      <c r="M169" s="403">
        <f t="shared" si="5"/>
        <v>3.3251258000000002E-3</v>
      </c>
      <c r="N169" s="92" t="s">
        <v>104</v>
      </c>
      <c r="O169" s="92"/>
      <c r="P169" s="167" t="s">
        <v>4287</v>
      </c>
      <c r="Q169" s="392">
        <v>42677</v>
      </c>
      <c r="R169" s="392">
        <v>42676</v>
      </c>
      <c r="S169" s="392" t="str">
        <f>_xlfn.IFNA(VLOOKUP(B169,'[1]VLOOKUP NO DUPS'!$A$1:$C$456,2,FALSE),"")</f>
        <v>10/25/2016</v>
      </c>
      <c r="T169" s="168" t="str">
        <f>_xlfn.IFNA(VLOOKUP(B169,'[1]VLOOKUP NO DUPS'!$A$1:$C$456,3,FALSE),"")</f>
        <v>The Rosen Law Firm, P.A.</v>
      </c>
      <c r="U169" s="92"/>
      <c r="V169" s="92"/>
      <c r="W169" s="92"/>
    </row>
    <row r="170" spans="1:23" s="91" customFormat="1" ht="30" x14ac:dyDescent="0.25">
      <c r="A170" s="165" t="str">
        <f t="shared" si="4"/>
        <v/>
      </c>
      <c r="B170" s="23" t="s">
        <v>35</v>
      </c>
      <c r="C170" s="23" t="s">
        <v>5002</v>
      </c>
      <c r="D170" s="166" t="s">
        <v>5003</v>
      </c>
      <c r="E170" s="242" t="s">
        <v>446</v>
      </c>
      <c r="F170" s="169">
        <v>9</v>
      </c>
      <c r="G170" s="243" t="s">
        <v>5004</v>
      </c>
      <c r="H170" s="89">
        <v>75000000</v>
      </c>
      <c r="I170" s="89" t="str">
        <f>IF($H170&lt;='Abbrev Key'!$A$2,'Abbrev Key'!$B$2,IF($H170&lt;='Abbrev Key'!$A$3,'Abbrev Key'!$B$3,IF($H170&lt;='Abbrev Key'!$A$4,'Abbrev Key'!$B$4,IF($H170&lt;='Abbrev Key'!$A$5,'Abbrev Key'!$B$5,IF($H170&lt;='Abbrev Key'!$A$6,'Abbrev Key'!$B$6,IF($H170&gt;='Abbrev Key'!$A$7,'Abbrev Key'!$B$7,IF($H170='Abbrev Key'!$A$8,'Abbrev Key'!$B$8,"")))))))</f>
        <v>C</v>
      </c>
      <c r="J170" s="17" t="s">
        <v>32</v>
      </c>
      <c r="K170" s="23" t="s">
        <v>633</v>
      </c>
      <c r="L170" s="398">
        <v>702842.81</v>
      </c>
      <c r="M170" s="403">
        <f t="shared" si="5"/>
        <v>9.3712374666666681E-3</v>
      </c>
      <c r="N170" s="23" t="s">
        <v>2974</v>
      </c>
      <c r="O170" s="23"/>
      <c r="P170" s="167" t="s">
        <v>4408</v>
      </c>
      <c r="Q170" s="392">
        <v>42765</v>
      </c>
      <c r="R170" s="392">
        <v>42764</v>
      </c>
      <c r="S170" s="392" t="str">
        <f>_xlfn.IFNA(VLOOKUP(B170,'[1]VLOOKUP NO DUPS'!$A$1:$C$456,2,FALSE),"")</f>
        <v>10/26/2016</v>
      </c>
      <c r="T170" s="168" t="str">
        <f>_xlfn.IFNA(VLOOKUP(B170,'[1]VLOOKUP NO DUPS'!$A$1:$C$456,3,FALSE),"")</f>
        <v>Glancy Prongay &amp; Murray, LLP</v>
      </c>
      <c r="U170" s="92"/>
      <c r="V170" s="92"/>
      <c r="W170" s="92"/>
    </row>
    <row r="171" spans="1:23" s="91" customFormat="1" ht="60" x14ac:dyDescent="0.25">
      <c r="A171" s="165" t="str">
        <f t="shared" si="4"/>
        <v/>
      </c>
      <c r="B171" s="17" t="s">
        <v>2</v>
      </c>
      <c r="C171" s="17" t="s">
        <v>4288</v>
      </c>
      <c r="D171" s="242" t="s">
        <v>4289</v>
      </c>
      <c r="E171" s="242" t="s">
        <v>414</v>
      </c>
      <c r="F171" s="169">
        <v>5</v>
      </c>
      <c r="G171" s="243" t="s">
        <v>4290</v>
      </c>
      <c r="H171" s="89">
        <v>32000000</v>
      </c>
      <c r="I171" s="89" t="str">
        <f>IF($H171&lt;='Abbrev Key'!$A$2,'Abbrev Key'!$B$2,IF($H171&lt;='Abbrev Key'!$A$3,'Abbrev Key'!$B$3,IF($H171&lt;='Abbrev Key'!$A$4,'Abbrev Key'!$B$4,IF($H171&lt;='Abbrev Key'!$A$5,'Abbrev Key'!$B$5,IF($H171&lt;='Abbrev Key'!$A$6,'Abbrev Key'!$B$6,IF($H171&gt;='Abbrev Key'!$A$7,'Abbrev Key'!$B$7,IF($H171='Abbrev Key'!$A$8,'Abbrev Key'!$B$8,"")))))))</f>
        <v>B</v>
      </c>
      <c r="J171" s="92" t="s">
        <v>11769</v>
      </c>
      <c r="K171" s="92" t="s">
        <v>640</v>
      </c>
      <c r="L171" s="398">
        <v>4354548.78</v>
      </c>
      <c r="M171" s="403">
        <f t="shared" si="5"/>
        <v>0.136079649375</v>
      </c>
      <c r="N171" s="92" t="s">
        <v>11181</v>
      </c>
      <c r="O171" s="92"/>
      <c r="P171" s="167" t="s">
        <v>4287</v>
      </c>
      <c r="Q171" s="394">
        <v>42675</v>
      </c>
      <c r="R171" s="392">
        <v>42674</v>
      </c>
      <c r="S171" s="392" t="str">
        <f>_xlfn.IFNA(VLOOKUP(B171,'[1]VLOOKUP NO DUPS'!$A$1:$C$456,2,FALSE),"")</f>
        <v>10/27/2016</v>
      </c>
      <c r="T171" s="168" t="str">
        <f>_xlfn.IFNA(VLOOKUP(B171,'[1]VLOOKUP NO DUPS'!$A$1:$C$456,3,FALSE),"")</f>
        <v>Bronstein, Gewirtz &amp; Grossman, LLC; Pomerantz LLP; Robbins, Geller, Rudman &amp; Dowd, LLP; Saxena White P.A.; Shorty C. Barrett; The Briscoe Law Firm, PLLC; The Rosen Law Firm, P.A.; Ward, Smith &amp; Hill, PLLC</v>
      </c>
      <c r="U171" s="14"/>
      <c r="V171" s="14"/>
      <c r="W171" s="14"/>
    </row>
    <row r="172" spans="1:23" s="91" customFormat="1" x14ac:dyDescent="0.25">
      <c r="A172" s="165" t="str">
        <f t="shared" si="4"/>
        <v/>
      </c>
      <c r="B172" s="23" t="s">
        <v>3366</v>
      </c>
      <c r="C172" s="23" t="s">
        <v>5130</v>
      </c>
      <c r="D172" s="166" t="s">
        <v>5131</v>
      </c>
      <c r="E172" s="242" t="s">
        <v>418</v>
      </c>
      <c r="F172" s="169">
        <v>2</v>
      </c>
      <c r="G172" s="243" t="s">
        <v>5132</v>
      </c>
      <c r="H172" s="89">
        <v>45000000</v>
      </c>
      <c r="I172" s="89" t="str">
        <f>IF($H172&lt;='Abbrev Key'!$A$2,'Abbrev Key'!$B$2,IF($H172&lt;='Abbrev Key'!$A$3,'Abbrev Key'!$B$3,IF($H172&lt;='Abbrev Key'!$A$4,'Abbrev Key'!$B$4,IF($H172&lt;='Abbrev Key'!$A$5,'Abbrev Key'!$B$5,IF($H172&lt;='Abbrev Key'!$A$6,'Abbrev Key'!$B$6,IF($H172&gt;='Abbrev Key'!$A$7,'Abbrev Key'!$B$7,IF($H172='Abbrev Key'!$A$8,'Abbrev Key'!$B$8,"")))))))</f>
        <v>B</v>
      </c>
      <c r="J172" s="92" t="s">
        <v>11972</v>
      </c>
      <c r="K172" s="92" t="s">
        <v>662</v>
      </c>
      <c r="L172" s="398">
        <v>15429</v>
      </c>
      <c r="M172" s="403">
        <f t="shared" si="5"/>
        <v>3.4286666666666669E-4</v>
      </c>
      <c r="N172" s="92" t="s">
        <v>79</v>
      </c>
      <c r="O172" s="92" t="s">
        <v>11197</v>
      </c>
      <c r="P172" s="167" t="s">
        <v>4287</v>
      </c>
      <c r="Q172" s="392">
        <v>42691</v>
      </c>
      <c r="R172" s="392">
        <v>42690</v>
      </c>
      <c r="S172" s="392" t="str">
        <f>_xlfn.IFNA(VLOOKUP(B172,'[1]VLOOKUP NO DUPS'!$A$1:$C$456,2,FALSE),"")</f>
        <v>10/28/2016</v>
      </c>
      <c r="T172" s="168" t="str">
        <f>_xlfn.IFNA(VLOOKUP(B172,'[1]VLOOKUP NO DUPS'!$A$1:$C$456,3,FALSE),"")</f>
        <v>Goldberg Law PC; Pomerantz LLP</v>
      </c>
      <c r="U172" s="92"/>
      <c r="V172" s="92"/>
      <c r="W172" s="92"/>
    </row>
    <row r="173" spans="1:23" s="91" customFormat="1" ht="60" x14ac:dyDescent="0.25">
      <c r="A173" s="165" t="str">
        <f t="shared" si="4"/>
        <v/>
      </c>
      <c r="B173" s="23" t="s">
        <v>142</v>
      </c>
      <c r="C173" s="23" t="s">
        <v>4441</v>
      </c>
      <c r="D173" s="166" t="s">
        <v>4442</v>
      </c>
      <c r="E173" s="242" t="s">
        <v>503</v>
      </c>
      <c r="F173" s="169">
        <v>4</v>
      </c>
      <c r="G173" s="243" t="s">
        <v>4443</v>
      </c>
      <c r="H173" s="89">
        <v>250000000</v>
      </c>
      <c r="I173" s="89" t="str">
        <f>IF($H173&lt;='Abbrev Key'!$A$2,'Abbrev Key'!$B$2,IF($H173&lt;='Abbrev Key'!$A$3,'Abbrev Key'!$B$3,IF($H173&lt;='Abbrev Key'!$A$4,'Abbrev Key'!$B$4,IF($H173&lt;='Abbrev Key'!$A$5,'Abbrev Key'!$B$5,IF($H173&lt;='Abbrev Key'!$A$6,'Abbrev Key'!$B$6,IF($H173&gt;='Abbrev Key'!$A$7,'Abbrev Key'!$B$7,IF($H173='Abbrev Key'!$A$8,'Abbrev Key'!$B$8,"")))))))</f>
        <v>D</v>
      </c>
      <c r="J173" s="17" t="s">
        <v>11796</v>
      </c>
      <c r="K173" s="23" t="s">
        <v>646</v>
      </c>
      <c r="L173" s="398">
        <v>1490970.47</v>
      </c>
      <c r="M173" s="403">
        <f t="shared" si="5"/>
        <v>5.9638818799999998E-3</v>
      </c>
      <c r="N173" s="23" t="s">
        <v>1228</v>
      </c>
      <c r="O173" s="23"/>
      <c r="P173" s="167" t="s">
        <v>4287</v>
      </c>
      <c r="Q173" s="392">
        <v>42733</v>
      </c>
      <c r="R173" s="392">
        <v>42732</v>
      </c>
      <c r="S173" s="392" t="str">
        <f>_xlfn.IFNA(VLOOKUP(B173,'[1]VLOOKUP NO DUPS'!$A$1:$C$456,2,FALSE),"")</f>
        <v>11/04/2016</v>
      </c>
      <c r="T173" s="168" t="str">
        <f>_xlfn.IFNA(VLOOKUP(B173,'[1]VLOOKUP NO DUPS'!$A$1:$C$456,3,FALSE),"")</f>
        <v>Goldberg Law PC; Johnson &amp; Weaver LLP; Levi &amp; Korsinsky, LLP; McDaniel &amp; Anderson, LLP; Pomerantz LLP; Robbins, Geller, Rudman &amp; Dowd, LLP; Schiller &amp; Schiller, P.L.L.C.; Ward Black Law</v>
      </c>
      <c r="U173" s="92"/>
      <c r="V173" s="92"/>
      <c r="W173" s="92"/>
    </row>
    <row r="174" spans="1:23" s="91" customFormat="1" ht="30" x14ac:dyDescent="0.25">
      <c r="A174" s="165" t="str">
        <f t="shared" si="4"/>
        <v/>
      </c>
      <c r="B174" s="23" t="s">
        <v>3630</v>
      </c>
      <c r="C174" s="23" t="s">
        <v>5225</v>
      </c>
      <c r="D174" s="166" t="s">
        <v>5226</v>
      </c>
      <c r="E174" s="242" t="s">
        <v>3631</v>
      </c>
      <c r="F174" s="169">
        <v>7</v>
      </c>
      <c r="G174" s="243" t="s">
        <v>5227</v>
      </c>
      <c r="H174" s="89">
        <v>23000000</v>
      </c>
      <c r="I174" s="89" t="str">
        <f>IF($H174&lt;='Abbrev Key'!$A$2,'Abbrev Key'!$B$2,IF($H174&lt;='Abbrev Key'!$A$3,'Abbrev Key'!$B$3,IF($H174&lt;='Abbrev Key'!$A$4,'Abbrev Key'!$B$4,IF($H174&lt;='Abbrev Key'!$A$5,'Abbrev Key'!$B$5,IF($H174&lt;='Abbrev Key'!$A$6,'Abbrev Key'!$B$6,IF($H174&gt;='Abbrev Key'!$A$7,'Abbrev Key'!$B$7,IF($H174='Abbrev Key'!$A$8,'Abbrev Key'!$B$8,"")))))))</f>
        <v>A</v>
      </c>
      <c r="J174" s="17" t="s">
        <v>3632</v>
      </c>
      <c r="K174" s="23" t="s">
        <v>637</v>
      </c>
      <c r="L174" s="398">
        <v>18065</v>
      </c>
      <c r="M174" s="403">
        <f t="shared" si="5"/>
        <v>7.8543478260869562E-4</v>
      </c>
      <c r="N174" s="23" t="s">
        <v>3634</v>
      </c>
      <c r="O174" s="23"/>
      <c r="P174" s="167" t="s">
        <v>4287</v>
      </c>
      <c r="Q174" s="392">
        <v>42664</v>
      </c>
      <c r="R174" s="392">
        <v>42663</v>
      </c>
      <c r="S174" s="392" t="str">
        <f>_xlfn.IFNA(VLOOKUP(B174,'[1]VLOOKUP NO DUPS'!$A$1:$C$456,2,FALSE),"")</f>
        <v>11/04/2016</v>
      </c>
      <c r="T174" s="168" t="str">
        <f>_xlfn.IFNA(VLOOKUP(B174,'[1]VLOOKUP NO DUPS'!$A$1:$C$456,3,FALSE),"")</f>
        <v>The Rosen Law Firm, P.A.</v>
      </c>
      <c r="U174" s="92"/>
      <c r="V174" s="92"/>
      <c r="W174" s="92"/>
    </row>
    <row r="175" spans="1:23" s="91" customFormat="1" ht="30" x14ac:dyDescent="0.25">
      <c r="A175" s="165" t="str">
        <f t="shared" si="4"/>
        <v>DUP</v>
      </c>
      <c r="B175" s="23" t="s">
        <v>287</v>
      </c>
      <c r="C175" s="23" t="s">
        <v>10691</v>
      </c>
      <c r="D175" s="166" t="s">
        <v>4413</v>
      </c>
      <c r="E175" s="242" t="s">
        <v>511</v>
      </c>
      <c r="F175" s="169">
        <v>2</v>
      </c>
      <c r="G175" s="243" t="s">
        <v>5275</v>
      </c>
      <c r="H175" s="89">
        <v>700000000</v>
      </c>
      <c r="I175" s="89" t="str">
        <f>IF($H175&lt;='Abbrev Key'!$A$2,'Abbrev Key'!$B$2,IF($H175&lt;='Abbrev Key'!$A$3,'Abbrev Key'!$B$3,IF($H175&lt;='Abbrev Key'!$A$4,'Abbrev Key'!$B$4,IF($H175&lt;='Abbrev Key'!$A$5,'Abbrev Key'!$B$5,IF($H175&lt;='Abbrev Key'!$A$6,'Abbrev Key'!$B$6,IF($H175&gt;='Abbrev Key'!$A$7,'Abbrev Key'!$B$7,IF($H175='Abbrev Key'!$A$8,'Abbrev Key'!$B$8,"")))))))</f>
        <v>F</v>
      </c>
      <c r="J175" s="17" t="s">
        <v>3753</v>
      </c>
      <c r="K175" s="23" t="s">
        <v>633</v>
      </c>
      <c r="L175" s="398">
        <v>23236125.890000001</v>
      </c>
      <c r="M175" s="403">
        <f t="shared" si="5"/>
        <v>3.3194465557142859E-2</v>
      </c>
      <c r="N175" s="92" t="s">
        <v>18</v>
      </c>
      <c r="O175" s="92"/>
      <c r="P175" s="167" t="s">
        <v>4287</v>
      </c>
      <c r="Q175" s="392">
        <v>42677</v>
      </c>
      <c r="R175" s="392">
        <v>42676</v>
      </c>
      <c r="S175" s="392" t="s">
        <v>512</v>
      </c>
      <c r="T175" s="168" t="s">
        <v>986</v>
      </c>
      <c r="U175" s="92"/>
      <c r="V175" s="92"/>
      <c r="W175" s="92"/>
    </row>
    <row r="176" spans="1:23" s="91" customFormat="1" ht="45" x14ac:dyDescent="0.25">
      <c r="A176" s="165" t="str">
        <f t="shared" si="4"/>
        <v/>
      </c>
      <c r="B176" s="23" t="s">
        <v>1814</v>
      </c>
      <c r="C176" s="23" t="s">
        <v>4609</v>
      </c>
      <c r="D176" s="166" t="s">
        <v>4610</v>
      </c>
      <c r="E176" s="242" t="s">
        <v>1815</v>
      </c>
      <c r="F176" s="169">
        <v>5</v>
      </c>
      <c r="G176" s="243" t="s">
        <v>4611</v>
      </c>
      <c r="H176" s="89">
        <v>3000000000</v>
      </c>
      <c r="I176" s="89" t="str">
        <f>IF($H176&lt;='Abbrev Key'!$A$2,'Abbrev Key'!$B$2,IF($H176&lt;='Abbrev Key'!$A$3,'Abbrev Key'!$B$3,IF($H176&lt;='Abbrev Key'!$A$4,'Abbrev Key'!$B$4,IF($H176&lt;='Abbrev Key'!$A$5,'Abbrev Key'!$B$5,IF($H176&lt;='Abbrev Key'!$A$6,'Abbrev Key'!$B$6,IF($H176&gt;='Abbrev Key'!$A$7,'Abbrev Key'!$B$7,IF($H176='Abbrev Key'!$A$8,'Abbrev Key'!$B$8,"")))))))</f>
        <v>F</v>
      </c>
      <c r="J176" s="17" t="s">
        <v>1197</v>
      </c>
      <c r="K176" s="23" t="s">
        <v>633</v>
      </c>
      <c r="L176" s="398">
        <v>54831.47</v>
      </c>
      <c r="M176" s="403">
        <f t="shared" si="5"/>
        <v>1.8277156666666668E-5</v>
      </c>
      <c r="N176" s="23" t="s">
        <v>10954</v>
      </c>
      <c r="O176" s="23"/>
      <c r="P176" s="167" t="s">
        <v>4287</v>
      </c>
      <c r="Q176" s="392">
        <v>42765</v>
      </c>
      <c r="R176" s="392">
        <v>42764</v>
      </c>
      <c r="S176" s="392" t="str">
        <f>_xlfn.IFNA(VLOOKUP(B176,'[1]VLOOKUP NO DUPS'!$A$1:$C$456,2,FALSE),"")</f>
        <v>11/07/2016</v>
      </c>
      <c r="T176" s="168" t="str">
        <f>_xlfn.IFNA(VLOOKUP(B176,'[1]VLOOKUP NO DUPS'!$A$1:$C$456,3,FALSE),"")</f>
        <v>Abraham, Fruchter &amp; Twersky, LLP; Kendall Law Group, LLP; Law Offices of Balon B. Bradley; Robbins, Geller, Rudman &amp; Dowd, LLP</v>
      </c>
      <c r="U176" s="92"/>
      <c r="V176" s="92"/>
      <c r="W176" s="92"/>
    </row>
    <row r="177" spans="1:23" s="91" customFormat="1" x14ac:dyDescent="0.25">
      <c r="A177" s="165" t="str">
        <f t="shared" si="4"/>
        <v/>
      </c>
      <c r="B177" s="23" t="s">
        <v>2327</v>
      </c>
      <c r="C177" s="23" t="s">
        <v>4762</v>
      </c>
      <c r="D177" s="166" t="s">
        <v>4763</v>
      </c>
      <c r="E177" s="242" t="s">
        <v>446</v>
      </c>
      <c r="F177" s="169">
        <v>9</v>
      </c>
      <c r="G177" s="243" t="s">
        <v>4764</v>
      </c>
      <c r="H177" s="89">
        <v>7500000</v>
      </c>
      <c r="I177" s="89" t="str">
        <f>IF($H177&lt;='Abbrev Key'!$A$2,'Abbrev Key'!$B$2,IF($H177&lt;='Abbrev Key'!$A$3,'Abbrev Key'!$B$3,IF($H177&lt;='Abbrev Key'!$A$4,'Abbrev Key'!$B$4,IF($H177&lt;='Abbrev Key'!$A$5,'Abbrev Key'!$B$5,IF($H177&lt;='Abbrev Key'!$A$6,'Abbrev Key'!$B$6,IF($H177&gt;='Abbrev Key'!$A$7,'Abbrev Key'!$B$7,IF($H177='Abbrev Key'!$A$8,'Abbrev Key'!$B$8,"")))))))</f>
        <v>A</v>
      </c>
      <c r="J177" s="17" t="s">
        <v>2330</v>
      </c>
      <c r="K177" s="92" t="s">
        <v>633</v>
      </c>
      <c r="L177" s="398">
        <v>41116.78</v>
      </c>
      <c r="M177" s="403">
        <f t="shared" si="5"/>
        <v>5.4822373333333332E-3</v>
      </c>
      <c r="N177" s="92" t="s">
        <v>682</v>
      </c>
      <c r="O177" s="92"/>
      <c r="P177" s="167" t="s">
        <v>4295</v>
      </c>
      <c r="Q177" s="392">
        <v>42681</v>
      </c>
      <c r="R177" s="392">
        <v>42680</v>
      </c>
      <c r="S177" s="392" t="str">
        <f>_xlfn.IFNA(VLOOKUP(B177,'[1]VLOOKUP NO DUPS'!$A$1:$C$456,2,FALSE),"")</f>
        <v>11/08/2016</v>
      </c>
      <c r="T177" s="168" t="str">
        <f>_xlfn.IFNA(VLOOKUP(B177,'[1]VLOOKUP NO DUPS'!$A$1:$C$456,3,FALSE),"")</f>
        <v>The Rosen Law Firm, P.A.</v>
      </c>
      <c r="U177" s="92"/>
      <c r="V177" s="92"/>
      <c r="W177" s="92"/>
    </row>
    <row r="178" spans="1:23" s="91" customFormat="1" ht="30" x14ac:dyDescent="0.25">
      <c r="A178" s="165" t="str">
        <f t="shared" si="4"/>
        <v/>
      </c>
      <c r="B178" s="23" t="s">
        <v>562</v>
      </c>
      <c r="C178" s="23" t="s">
        <v>5069</v>
      </c>
      <c r="D178" s="166" t="s">
        <v>5070</v>
      </c>
      <c r="E178" s="242" t="s">
        <v>418</v>
      </c>
      <c r="F178" s="169">
        <v>2</v>
      </c>
      <c r="G178" s="243" t="s">
        <v>5071</v>
      </c>
      <c r="H178" s="89">
        <v>70000000</v>
      </c>
      <c r="I178" s="89" t="str">
        <f>IF($H178&lt;='Abbrev Key'!$A$2,'Abbrev Key'!$B$2,IF($H178&lt;='Abbrev Key'!$A$3,'Abbrev Key'!$B$3,IF($H178&lt;='Abbrev Key'!$A$4,'Abbrev Key'!$B$4,IF($H178&lt;='Abbrev Key'!$A$5,'Abbrev Key'!$B$5,IF($H178&lt;='Abbrev Key'!$A$6,'Abbrev Key'!$B$6,IF($H178&gt;='Abbrev Key'!$A$7,'Abbrev Key'!$B$7,IF($H178='Abbrev Key'!$A$8,'Abbrev Key'!$B$8,"")))))))</f>
        <v>C</v>
      </c>
      <c r="J178" s="17" t="s">
        <v>11812</v>
      </c>
      <c r="K178" s="92" t="s">
        <v>646</v>
      </c>
      <c r="L178" s="398">
        <v>77222.789999999994</v>
      </c>
      <c r="M178" s="403">
        <f t="shared" si="5"/>
        <v>1.1031827142857142E-3</v>
      </c>
      <c r="N178" s="92" t="s">
        <v>63</v>
      </c>
      <c r="O178" s="92"/>
      <c r="P178" s="167" t="s">
        <v>4287</v>
      </c>
      <c r="Q178" s="392">
        <v>42527</v>
      </c>
      <c r="R178" s="392">
        <v>42526</v>
      </c>
      <c r="S178" s="392" t="str">
        <f>_xlfn.IFNA(VLOOKUP(B178,'[1]VLOOKUP NO DUPS'!$A$1:$C$456,2,FALSE),"")</f>
        <v>11/09/2016</v>
      </c>
      <c r="T178" s="168" t="str">
        <f>_xlfn.IFNA(VLOOKUP(B178,'[1]VLOOKUP NO DUPS'!$A$1:$C$456,3,FALSE),"")</f>
        <v>Levi &amp; Korsinsky, LLP</v>
      </c>
      <c r="U178" s="92"/>
      <c r="V178" s="92"/>
      <c r="W178" s="92"/>
    </row>
    <row r="179" spans="1:23" s="91" customFormat="1" x14ac:dyDescent="0.25">
      <c r="A179" s="165" t="str">
        <f t="shared" si="4"/>
        <v/>
      </c>
      <c r="B179" s="17" t="s">
        <v>694</v>
      </c>
      <c r="C179" s="17" t="s">
        <v>4307</v>
      </c>
      <c r="D179" s="242" t="s">
        <v>4308</v>
      </c>
      <c r="E179" s="242" t="s">
        <v>424</v>
      </c>
      <c r="F179" s="169">
        <v>3</v>
      </c>
      <c r="G179" s="243" t="s">
        <v>4309</v>
      </c>
      <c r="H179" s="89">
        <v>35000000</v>
      </c>
      <c r="I179" s="89" t="str">
        <f>IF($H179&lt;='Abbrev Key'!$A$2,'Abbrev Key'!$B$2,IF($H179&lt;='Abbrev Key'!$A$3,'Abbrev Key'!$B$3,IF($H179&lt;='Abbrev Key'!$A$4,'Abbrev Key'!$B$4,IF($H179&lt;='Abbrev Key'!$A$5,'Abbrev Key'!$B$5,IF($H179&lt;='Abbrev Key'!$A$6,'Abbrev Key'!$B$6,IF($H179&gt;='Abbrev Key'!$A$7,'Abbrev Key'!$B$7,IF($H179='Abbrev Key'!$A$8,'Abbrev Key'!$B$8,"")))))))</f>
        <v>B</v>
      </c>
      <c r="J179" s="17" t="s">
        <v>11847</v>
      </c>
      <c r="K179" s="14" t="s">
        <v>646</v>
      </c>
      <c r="L179" s="399">
        <v>205505.86</v>
      </c>
      <c r="M179" s="404">
        <f t="shared" si="5"/>
        <v>5.8715959999999998E-3</v>
      </c>
      <c r="N179" s="14" t="s">
        <v>682</v>
      </c>
      <c r="O179" s="14"/>
      <c r="P179" s="167" t="s">
        <v>4408</v>
      </c>
      <c r="Q179" s="394">
        <v>42678</v>
      </c>
      <c r="R179" s="392">
        <v>42677</v>
      </c>
      <c r="S179" s="392" t="str">
        <f>_xlfn.IFNA(VLOOKUP(B179,'[1]VLOOKUP NO DUPS'!$A$1:$C$456,2,FALSE),"")</f>
        <v>11/09/2016</v>
      </c>
      <c r="T179" s="168" t="str">
        <f>_xlfn.IFNA(VLOOKUP(B179,'[1]VLOOKUP NO DUPS'!$A$1:$C$456,3,FALSE),"")</f>
        <v>The Rosen Law Firm, P.A.</v>
      </c>
      <c r="U179" s="14"/>
      <c r="V179" s="14"/>
      <c r="W179" s="14"/>
    </row>
    <row r="180" spans="1:23" s="91" customFormat="1" ht="60" x14ac:dyDescent="0.25">
      <c r="A180" s="165" t="str">
        <f t="shared" si="4"/>
        <v/>
      </c>
      <c r="B180" s="23" t="s">
        <v>1631</v>
      </c>
      <c r="C180" s="23" t="s">
        <v>4544</v>
      </c>
      <c r="D180" s="166" t="s">
        <v>4545</v>
      </c>
      <c r="E180" s="166" t="s">
        <v>8609</v>
      </c>
      <c r="F180" s="169">
        <v>7</v>
      </c>
      <c r="G180" s="243" t="s">
        <v>4546</v>
      </c>
      <c r="H180" s="89">
        <v>450000000</v>
      </c>
      <c r="I180" s="89" t="str">
        <f>IF($H180&lt;='Abbrev Key'!$A$2,'Abbrev Key'!$B$2,IF($H180&lt;='Abbrev Key'!$A$3,'Abbrev Key'!$B$3,IF($H180&lt;='Abbrev Key'!$A$4,'Abbrev Key'!$B$4,IF($H180&lt;='Abbrev Key'!$A$5,'Abbrev Key'!$B$5,IF($H180&lt;='Abbrev Key'!$A$6,'Abbrev Key'!$B$6,IF($H180&gt;='Abbrev Key'!$A$7,'Abbrev Key'!$B$7,IF($H180='Abbrev Key'!$A$8,'Abbrev Key'!$B$8,"")))))))</f>
        <v>E</v>
      </c>
      <c r="J180" s="92" t="s">
        <v>11936</v>
      </c>
      <c r="K180" s="92" t="s">
        <v>662</v>
      </c>
      <c r="L180" s="398">
        <f>507587.88+97734.16</f>
        <v>605322.04</v>
      </c>
      <c r="M180" s="403">
        <f t="shared" si="5"/>
        <v>1.3451600888888891E-3</v>
      </c>
      <c r="N180" s="92" t="s">
        <v>10951</v>
      </c>
      <c r="O180" s="92" t="s">
        <v>11197</v>
      </c>
      <c r="P180" s="167" t="s">
        <v>4287</v>
      </c>
      <c r="Q180" s="392">
        <v>42677</v>
      </c>
      <c r="R180" s="392">
        <v>42676</v>
      </c>
      <c r="S180" s="392" t="str">
        <f>_xlfn.IFNA(VLOOKUP(B180,'[1]VLOOKUP NO DUPS'!$A$1:$C$456,2,FALSE),"")</f>
        <v>11/10/2016</v>
      </c>
      <c r="T180" s="168" t="str">
        <f>_xlfn.IFNA(VLOOKUP(B180,'[1]VLOOKUP NO DUPS'!$A$1:$C$456,3,FALSE),"")</f>
        <v>Glancy Prongay &amp; Murray, LLP; The Miller Law Firm, P.C.</v>
      </c>
      <c r="U180" s="92"/>
      <c r="V180" s="92"/>
      <c r="W180" s="92"/>
    </row>
    <row r="181" spans="1:23" s="91" customFormat="1" ht="60" x14ac:dyDescent="0.25">
      <c r="A181" s="165" t="str">
        <f t="shared" si="4"/>
        <v/>
      </c>
      <c r="B181" s="23" t="s">
        <v>92</v>
      </c>
      <c r="C181" s="23" t="s">
        <v>5278</v>
      </c>
      <c r="D181" s="166" t="s">
        <v>5279</v>
      </c>
      <c r="E181" s="242" t="s">
        <v>465</v>
      </c>
      <c r="F181" s="169">
        <v>7</v>
      </c>
      <c r="G181" s="243" t="s">
        <v>5280</v>
      </c>
      <c r="H181" s="89">
        <v>1500000000</v>
      </c>
      <c r="I181" s="89" t="str">
        <f>IF($H181&lt;='Abbrev Key'!$A$2,'Abbrev Key'!$B$2,IF($H181&lt;='Abbrev Key'!$A$3,'Abbrev Key'!$B$3,IF($H181&lt;='Abbrev Key'!$A$4,'Abbrev Key'!$B$4,IF($H181&lt;='Abbrev Key'!$A$5,'Abbrev Key'!$B$5,IF($H181&lt;='Abbrev Key'!$A$6,'Abbrev Key'!$B$6,IF($H181&gt;='Abbrev Key'!$A$7,'Abbrev Key'!$B$7,IF($H181='Abbrev Key'!$A$8,'Abbrev Key'!$B$8,"")))))))</f>
        <v>F</v>
      </c>
      <c r="J181" s="23" t="s">
        <v>11772</v>
      </c>
      <c r="K181" s="23" t="s">
        <v>640</v>
      </c>
      <c r="L181" s="398">
        <v>917351.15999999992</v>
      </c>
      <c r="M181" s="403">
        <f t="shared" si="5"/>
        <v>6.115674399999999E-4</v>
      </c>
      <c r="N181" s="23" t="s">
        <v>3762</v>
      </c>
      <c r="O181" s="23"/>
      <c r="P181" s="167" t="s">
        <v>4287</v>
      </c>
      <c r="Q181" s="392">
        <v>42219</v>
      </c>
      <c r="R181" s="392">
        <v>42218</v>
      </c>
      <c r="S181" s="392" t="str">
        <f>_xlfn.IFNA(VLOOKUP(B181,'[1]VLOOKUP NO DUPS'!$A$1:$C$456,2,FALSE),"")</f>
        <v>11/10/2016</v>
      </c>
      <c r="T181" s="168" t="str">
        <f>_xlfn.IFNA(VLOOKUP(B181,'[1]VLOOKUP NO DUPS'!$A$1:$C$456,3,FALSE),"")</f>
        <v>Robbins, Geller, Rudman &amp; Dowd, LLP; VanOverbeke Michaud &amp; Timmony, P.C.</v>
      </c>
      <c r="U181" s="92"/>
      <c r="V181" s="92"/>
      <c r="W181" s="92"/>
    </row>
    <row r="182" spans="1:23" s="91" customFormat="1" ht="45" x14ac:dyDescent="0.25">
      <c r="A182" s="165" t="str">
        <f t="shared" si="4"/>
        <v/>
      </c>
      <c r="B182" s="23" t="s">
        <v>190</v>
      </c>
      <c r="C182" s="23" t="s">
        <v>4756</v>
      </c>
      <c r="D182" s="166" t="s">
        <v>4757</v>
      </c>
      <c r="E182" s="242" t="s">
        <v>457</v>
      </c>
      <c r="F182" s="169">
        <v>9</v>
      </c>
      <c r="G182" s="243" t="s">
        <v>4758</v>
      </c>
      <c r="H182" s="89">
        <v>250000000</v>
      </c>
      <c r="I182" s="89" t="str">
        <f>IF($H182&lt;='Abbrev Key'!$A$2,'Abbrev Key'!$B$2,IF($H182&lt;='Abbrev Key'!$A$3,'Abbrev Key'!$B$3,IF($H182&lt;='Abbrev Key'!$A$4,'Abbrev Key'!$B$4,IF($H182&lt;='Abbrev Key'!$A$5,'Abbrev Key'!$B$5,IF($H182&lt;='Abbrev Key'!$A$6,'Abbrev Key'!$B$6,IF($H182&gt;='Abbrev Key'!$A$7,'Abbrev Key'!$B$7,IF($H182='Abbrev Key'!$A$8,'Abbrev Key'!$B$8,"")))))))</f>
        <v>D</v>
      </c>
      <c r="J182" s="17" t="s">
        <v>189</v>
      </c>
      <c r="K182" s="23" t="s">
        <v>633</v>
      </c>
      <c r="L182" s="398">
        <v>162625.68</v>
      </c>
      <c r="M182" s="403">
        <f t="shared" si="5"/>
        <v>6.5050272000000001E-4</v>
      </c>
      <c r="N182" s="23" t="s">
        <v>10823</v>
      </c>
      <c r="O182" s="23"/>
      <c r="P182" s="167" t="s">
        <v>4287</v>
      </c>
      <c r="Q182" s="392">
        <v>42676</v>
      </c>
      <c r="R182" s="392">
        <v>42675</v>
      </c>
      <c r="S182" s="392" t="str">
        <f>_xlfn.IFNA(VLOOKUP(B182,'[1]VLOOKUP NO DUPS'!$A$1:$C$456,2,FALSE),"")</f>
        <v>11/10/2016</v>
      </c>
      <c r="T182" s="168" t="str">
        <f>_xlfn.IFNA(VLOOKUP(B182,'[1]VLOOKUP NO DUPS'!$A$1:$C$456,3,FALSE),"")</f>
        <v>The Rosen Law Firm, P.A.</v>
      </c>
      <c r="U182" s="92"/>
      <c r="V182" s="92"/>
      <c r="W182" s="92"/>
    </row>
    <row r="183" spans="1:23" s="91" customFormat="1" x14ac:dyDescent="0.25">
      <c r="A183" s="165" t="str">
        <f t="shared" si="4"/>
        <v/>
      </c>
      <c r="B183" s="23" t="s">
        <v>3050</v>
      </c>
      <c r="C183" s="23" t="s">
        <v>5025</v>
      </c>
      <c r="D183" s="166" t="s">
        <v>5026</v>
      </c>
      <c r="E183" s="242" t="s">
        <v>457</v>
      </c>
      <c r="F183" s="169">
        <v>9</v>
      </c>
      <c r="G183" s="243" t="s">
        <v>5027</v>
      </c>
      <c r="H183" s="89">
        <v>30000000</v>
      </c>
      <c r="I183" s="89" t="str">
        <f>IF($H183&lt;='Abbrev Key'!$A$2,'Abbrev Key'!$B$2,IF($H183&lt;='Abbrev Key'!$A$3,'Abbrev Key'!$B$3,IF($H183&lt;='Abbrev Key'!$A$4,'Abbrev Key'!$B$4,IF($H183&lt;='Abbrev Key'!$A$5,'Abbrev Key'!$B$5,IF($H183&lt;='Abbrev Key'!$A$6,'Abbrev Key'!$B$6,IF($H183&gt;='Abbrev Key'!$A$7,'Abbrev Key'!$B$7,IF($H183='Abbrev Key'!$A$8,'Abbrev Key'!$B$8,"")))))))</f>
        <v>B</v>
      </c>
      <c r="J183" s="17" t="s">
        <v>11888</v>
      </c>
      <c r="K183" s="23" t="s">
        <v>646</v>
      </c>
      <c r="L183" s="398">
        <v>18776</v>
      </c>
      <c r="M183" s="403">
        <f t="shared" si="5"/>
        <v>6.2586666666666663E-4</v>
      </c>
      <c r="N183" s="92" t="s">
        <v>79</v>
      </c>
      <c r="O183" s="92"/>
      <c r="P183" s="167" t="s">
        <v>4295</v>
      </c>
      <c r="Q183" s="392">
        <v>42678</v>
      </c>
      <c r="R183" s="392">
        <v>42677</v>
      </c>
      <c r="S183" s="392" t="str">
        <f>_xlfn.IFNA(VLOOKUP(B183,'[1]VLOOKUP NO DUPS'!$A$1:$C$456,2,FALSE),"")</f>
        <v>11/11/2016</v>
      </c>
      <c r="T183" s="168" t="str">
        <f>_xlfn.IFNA(VLOOKUP(B183,'[1]VLOOKUP NO DUPS'!$A$1:$C$456,3,FALSE),"")</f>
        <v>Goldberg Law PC; Pomerantz LLP</v>
      </c>
      <c r="U183" s="92"/>
      <c r="V183" s="92"/>
      <c r="W183" s="92"/>
    </row>
    <row r="184" spans="1:23" s="91" customFormat="1" ht="30" x14ac:dyDescent="0.25">
      <c r="A184" s="165" t="str">
        <f t="shared" si="4"/>
        <v/>
      </c>
      <c r="B184" s="23" t="s">
        <v>234</v>
      </c>
      <c r="C184" s="23" t="s">
        <v>4447</v>
      </c>
      <c r="D184" s="166" t="s">
        <v>4448</v>
      </c>
      <c r="E184" s="242" t="s">
        <v>531</v>
      </c>
      <c r="F184" s="169">
        <v>8</v>
      </c>
      <c r="G184" s="243" t="s">
        <v>4449</v>
      </c>
      <c r="H184" s="89">
        <v>600000000</v>
      </c>
      <c r="I184" s="89" t="str">
        <f>IF($H184&lt;='Abbrev Key'!$A$2,'Abbrev Key'!$B$2,IF($H184&lt;='Abbrev Key'!$A$3,'Abbrev Key'!$B$3,IF($H184&lt;='Abbrev Key'!$A$4,'Abbrev Key'!$B$4,IF($H184&lt;='Abbrev Key'!$A$5,'Abbrev Key'!$B$5,IF($H184&lt;='Abbrev Key'!$A$6,'Abbrev Key'!$B$6,IF($H184&gt;='Abbrev Key'!$A$7,'Abbrev Key'!$B$7,IF($H184='Abbrev Key'!$A$8,'Abbrev Key'!$B$8,"")))))))</f>
        <v>F</v>
      </c>
      <c r="J184" s="17" t="s">
        <v>233</v>
      </c>
      <c r="K184" s="92" t="s">
        <v>633</v>
      </c>
      <c r="L184" s="398">
        <v>198570.14</v>
      </c>
      <c r="M184" s="403">
        <f t="shared" si="5"/>
        <v>3.3095023333333333E-4</v>
      </c>
      <c r="N184" s="92" t="s">
        <v>1</v>
      </c>
      <c r="O184" s="92"/>
      <c r="P184" s="167" t="s">
        <v>4287</v>
      </c>
      <c r="Q184" s="392">
        <v>42576</v>
      </c>
      <c r="R184" s="392">
        <v>42575</v>
      </c>
      <c r="S184" s="392" t="str">
        <f>_xlfn.IFNA(VLOOKUP(B184,'[1]VLOOKUP NO DUPS'!$A$1:$C$456,2,FALSE),"")</f>
        <v>11/14/2016</v>
      </c>
      <c r="T184" s="168" t="str">
        <f>_xlfn.IFNA(VLOOKUP(B184,'[1]VLOOKUP NO DUPS'!$A$1:$C$456,3,FALSE),"")</f>
        <v>Glancy Prongay &amp; Murray, LLP</v>
      </c>
      <c r="U184" s="92"/>
      <c r="V184" s="92"/>
      <c r="W184" s="92"/>
    </row>
    <row r="185" spans="1:23" s="91" customFormat="1" ht="30" x14ac:dyDescent="0.25">
      <c r="A185" s="285" t="str">
        <f t="shared" si="4"/>
        <v/>
      </c>
      <c r="B185" s="289" t="s">
        <v>3364</v>
      </c>
      <c r="C185" s="289" t="s">
        <v>10792</v>
      </c>
      <c r="D185" s="367" t="s">
        <v>5128</v>
      </c>
      <c r="E185" s="247" t="s">
        <v>418</v>
      </c>
      <c r="F185" s="286">
        <v>2</v>
      </c>
      <c r="G185" s="244" t="s">
        <v>5129</v>
      </c>
      <c r="H185" s="287">
        <v>890000000</v>
      </c>
      <c r="I185" s="287" t="str">
        <f>IF($H185&lt;='Abbrev Key'!$A$2,'Abbrev Key'!$B$2,IF($H185&lt;='Abbrev Key'!$A$3,'Abbrev Key'!$B$3,IF($H185&lt;='Abbrev Key'!$A$4,'Abbrev Key'!$B$4,IF($H185&lt;='Abbrev Key'!$A$5,'Abbrev Key'!$B$5,IF($H185&lt;='Abbrev Key'!$A$6,'Abbrev Key'!$B$6,IF($H185&gt;='Abbrev Key'!$A$7,'Abbrev Key'!$B$7,IF($H185='Abbrev Key'!$A$8,'Abbrev Key'!$B$8,"")))))))</f>
        <v>F</v>
      </c>
      <c r="J185" s="409" t="s">
        <v>3365</v>
      </c>
      <c r="K185" s="363" t="s">
        <v>633</v>
      </c>
      <c r="L185" s="400">
        <v>64910560</v>
      </c>
      <c r="M185" s="407">
        <f t="shared" si="5"/>
        <v>7.2933213483146062E-2</v>
      </c>
      <c r="N185" s="363" t="s">
        <v>79</v>
      </c>
      <c r="O185" s="363"/>
      <c r="P185" s="246" t="s">
        <v>4287</v>
      </c>
      <c r="Q185" s="393">
        <v>42338</v>
      </c>
      <c r="R185" s="392">
        <v>42337</v>
      </c>
      <c r="S185" s="392" t="str">
        <f>_xlfn.IFNA(VLOOKUP(B185,'[1]VLOOKUP NO DUPS'!$A$1:$C$456,2,FALSE),"")</f>
        <v>11/14/2016</v>
      </c>
      <c r="T185" s="168" t="str">
        <f>_xlfn.IFNA(VLOOKUP(B185,'[1]VLOOKUP NO DUPS'!$A$1:$C$456,3,FALSE),"")</f>
        <v>Pomerantz LLP</v>
      </c>
      <c r="U185" s="363"/>
      <c r="V185" s="363"/>
      <c r="W185" s="363"/>
    </row>
    <row r="186" spans="1:23" s="91" customFormat="1" x14ac:dyDescent="0.25">
      <c r="A186" s="165" t="str">
        <f t="shared" si="4"/>
        <v/>
      </c>
      <c r="B186" s="23" t="s">
        <v>946</v>
      </c>
      <c r="C186" s="23" t="s">
        <v>4377</v>
      </c>
      <c r="D186" s="166" t="s">
        <v>4378</v>
      </c>
      <c r="E186" s="242" t="s">
        <v>446</v>
      </c>
      <c r="F186" s="169">
        <v>9</v>
      </c>
      <c r="G186" s="243" t="s">
        <v>4379</v>
      </c>
      <c r="H186" s="89">
        <v>90000000</v>
      </c>
      <c r="I186" s="89" t="str">
        <f>IF($H186&lt;='Abbrev Key'!$A$2,'Abbrev Key'!$B$2,IF($H186&lt;='Abbrev Key'!$A$3,'Abbrev Key'!$B$3,IF($H186&lt;='Abbrev Key'!$A$4,'Abbrev Key'!$B$4,IF($H186&lt;='Abbrev Key'!$A$5,'Abbrev Key'!$B$5,IF($H186&lt;='Abbrev Key'!$A$6,'Abbrev Key'!$B$6,IF($H186&gt;='Abbrev Key'!$A$7,'Abbrev Key'!$B$7,IF($H186='Abbrev Key'!$A$8,'Abbrev Key'!$B$8,"")))))))</f>
        <v>C</v>
      </c>
      <c r="J186" s="17" t="s">
        <v>950</v>
      </c>
      <c r="K186" s="23" t="s">
        <v>637</v>
      </c>
      <c r="L186" s="398">
        <v>1118394</v>
      </c>
      <c r="M186" s="403">
        <f t="shared" si="5"/>
        <v>1.2426599999999999E-2</v>
      </c>
      <c r="N186" s="23" t="s">
        <v>63</v>
      </c>
      <c r="O186" s="23"/>
      <c r="P186" s="167" t="s">
        <v>4287</v>
      </c>
      <c r="Q186" s="392">
        <v>42703</v>
      </c>
      <c r="R186" s="392">
        <v>42702</v>
      </c>
      <c r="S186" s="392" t="str">
        <f>_xlfn.IFNA(VLOOKUP(B186,'[1]VLOOKUP NO DUPS'!$A$1:$C$456,2,FALSE),"")</f>
        <v>11/15/2016</v>
      </c>
      <c r="T186" s="168" t="str">
        <f>_xlfn.IFNA(VLOOKUP(B186,'[1]VLOOKUP NO DUPS'!$A$1:$C$456,3,FALSE),"")</f>
        <v>Pomerantz LLP; Stull, Stull &amp; Brody</v>
      </c>
      <c r="U186" s="92"/>
      <c r="V186" s="92"/>
      <c r="W186" s="92"/>
    </row>
    <row r="187" spans="1:23" s="91" customFormat="1" ht="45" x14ac:dyDescent="0.25">
      <c r="A187" s="165" t="str">
        <f t="shared" si="4"/>
        <v/>
      </c>
      <c r="B187" s="23" t="s">
        <v>3733</v>
      </c>
      <c r="C187" s="23" t="s">
        <v>5269</v>
      </c>
      <c r="D187" s="166" t="s">
        <v>5270</v>
      </c>
      <c r="E187" s="242" t="s">
        <v>457</v>
      </c>
      <c r="F187" s="169">
        <v>9</v>
      </c>
      <c r="G187" s="243" t="s">
        <v>5271</v>
      </c>
      <c r="H187" s="89">
        <v>3000000</v>
      </c>
      <c r="I187" s="89" t="str">
        <f>IF($H187&lt;='Abbrev Key'!$A$2,'Abbrev Key'!$B$2,IF($H187&lt;='Abbrev Key'!$A$3,'Abbrev Key'!$B$3,IF($H187&lt;='Abbrev Key'!$A$4,'Abbrev Key'!$B$4,IF($H187&lt;='Abbrev Key'!$A$5,'Abbrev Key'!$B$5,IF($H187&lt;='Abbrev Key'!$A$6,'Abbrev Key'!$B$6,IF($H187&gt;='Abbrev Key'!$A$7,'Abbrev Key'!$B$7,IF($H187='Abbrev Key'!$A$8,'Abbrev Key'!$B$8,"")))))))</f>
        <v>A</v>
      </c>
      <c r="J187" s="92" t="s">
        <v>11966</v>
      </c>
      <c r="K187" s="92" t="s">
        <v>646</v>
      </c>
      <c r="L187" s="398">
        <v>142657.67000000001</v>
      </c>
      <c r="M187" s="403">
        <f t="shared" si="5"/>
        <v>4.7552556666666669E-2</v>
      </c>
      <c r="N187" s="92" t="s">
        <v>5141</v>
      </c>
      <c r="O187" s="92" t="s">
        <v>11197</v>
      </c>
      <c r="P187" s="167" t="s">
        <v>4287</v>
      </c>
      <c r="Q187" s="392">
        <v>42680</v>
      </c>
      <c r="R187" s="392">
        <v>42679</v>
      </c>
      <c r="S187" s="392" t="str">
        <f>_xlfn.IFNA(VLOOKUP(B187,'[1]VLOOKUP NO DUPS'!$A$1:$C$456,2,FALSE),"")</f>
        <v>11/16/2016</v>
      </c>
      <c r="T187" s="168" t="str">
        <f>_xlfn.IFNA(VLOOKUP(B187,'[1]VLOOKUP NO DUPS'!$A$1:$C$456,3,FALSE),"")</f>
        <v>Pomerantz LLP; The Rosen Law Firm, P.A.</v>
      </c>
      <c r="U187" s="92"/>
      <c r="V187" s="92"/>
      <c r="W187" s="92"/>
    </row>
    <row r="188" spans="1:23" s="91" customFormat="1" x14ac:dyDescent="0.25">
      <c r="A188" s="11" t="str">
        <f t="shared" si="4"/>
        <v>DUP</v>
      </c>
      <c r="B188" s="92" t="s">
        <v>61</v>
      </c>
      <c r="C188" s="92" t="s">
        <v>10534</v>
      </c>
      <c r="D188" s="20" t="s">
        <v>10535</v>
      </c>
      <c r="E188" s="13" t="s">
        <v>457</v>
      </c>
      <c r="F188" s="284">
        <v>9</v>
      </c>
      <c r="G188" s="13" t="s">
        <v>10536</v>
      </c>
      <c r="H188" s="89">
        <v>40000000</v>
      </c>
      <c r="I188" s="89" t="str">
        <f>IF($H188&lt;='Abbrev Key'!$A$2,'Abbrev Key'!$B$2,IF($H188&lt;='Abbrev Key'!$A$3,'Abbrev Key'!$B$3,IF($H188&lt;='Abbrev Key'!$A$4,'Abbrev Key'!$B$4,IF($H188&lt;='Abbrev Key'!$A$5,'Abbrev Key'!$B$5,IF($H188&lt;='Abbrev Key'!$A$6,'Abbrev Key'!$B$6,IF($H188&gt;='Abbrev Key'!$A$7,'Abbrev Key'!$B$7,IF($H188='Abbrev Key'!$A$8,'Abbrev Key'!$B$8,"")))))))</f>
        <v>B</v>
      </c>
      <c r="J188" s="17" t="s">
        <v>2155</v>
      </c>
      <c r="K188" s="92" t="s">
        <v>637</v>
      </c>
      <c r="L188" s="398">
        <v>319629.46999999997</v>
      </c>
      <c r="M188" s="403">
        <f t="shared" si="5"/>
        <v>7.9907367499999996E-3</v>
      </c>
      <c r="N188" s="92" t="s">
        <v>407</v>
      </c>
      <c r="O188" s="92"/>
      <c r="P188" s="20" t="s">
        <v>4287</v>
      </c>
      <c r="Q188" s="392" t="str">
        <f>RIGHT(G188,10)</f>
        <v>11/08/2016</v>
      </c>
      <c r="R188" s="392">
        <f>Q188-1</f>
        <v>42681</v>
      </c>
      <c r="S188" s="392" t="s">
        <v>543</v>
      </c>
      <c r="T188" s="168" t="s">
        <v>1598</v>
      </c>
      <c r="U188" s="167"/>
      <c r="V188" s="167"/>
      <c r="W188" s="167"/>
    </row>
    <row r="189" spans="1:23" s="91" customFormat="1" ht="30" x14ac:dyDescent="0.25">
      <c r="A189" s="165" t="str">
        <f t="shared" si="4"/>
        <v>DUP</v>
      </c>
      <c r="B189" s="23" t="s">
        <v>204</v>
      </c>
      <c r="C189" s="23" t="s">
        <v>10576</v>
      </c>
      <c r="D189" s="166" t="s">
        <v>4844</v>
      </c>
      <c r="E189" s="242" t="s">
        <v>542</v>
      </c>
      <c r="F189" s="169">
        <v>3</v>
      </c>
      <c r="G189" s="243" t="s">
        <v>4845</v>
      </c>
      <c r="H189" s="89">
        <v>200000000</v>
      </c>
      <c r="I189" s="89" t="str">
        <f>IF($H189&lt;='Abbrev Key'!$A$2,'Abbrev Key'!$B$2,IF($H189&lt;='Abbrev Key'!$A$3,'Abbrev Key'!$B$3,IF($H189&lt;='Abbrev Key'!$A$4,'Abbrev Key'!$B$4,IF($H189&lt;='Abbrev Key'!$A$5,'Abbrev Key'!$B$5,IF($H189&lt;='Abbrev Key'!$A$6,'Abbrev Key'!$B$6,IF($H189&gt;='Abbrev Key'!$A$7,'Abbrev Key'!$B$7,IF($H189='Abbrev Key'!$A$8,'Abbrev Key'!$B$8,"")))))))</f>
        <v>D</v>
      </c>
      <c r="J189" s="17" t="s">
        <v>377</v>
      </c>
      <c r="K189" s="23" t="s">
        <v>633</v>
      </c>
      <c r="L189" s="398">
        <v>237943.77</v>
      </c>
      <c r="M189" s="403">
        <f t="shared" si="5"/>
        <v>1.1897188500000001E-3</v>
      </c>
      <c r="N189" s="23" t="s">
        <v>2541</v>
      </c>
      <c r="O189" s="23"/>
      <c r="P189" s="167" t="s">
        <v>4287</v>
      </c>
      <c r="Q189" s="392">
        <v>42677</v>
      </c>
      <c r="R189" s="392">
        <v>42676</v>
      </c>
      <c r="S189" s="392" t="s">
        <v>543</v>
      </c>
      <c r="T189" s="168" t="s">
        <v>682</v>
      </c>
      <c r="U189" s="92"/>
      <c r="V189" s="92"/>
      <c r="W189" s="92"/>
    </row>
    <row r="190" spans="1:23" s="91" customFormat="1" ht="30" x14ac:dyDescent="0.25">
      <c r="A190" s="165" t="str">
        <f t="shared" si="4"/>
        <v/>
      </c>
      <c r="B190" s="23" t="s">
        <v>259</v>
      </c>
      <c r="C190" s="23" t="s">
        <v>5325</v>
      </c>
      <c r="D190" s="166" t="s">
        <v>5326</v>
      </c>
      <c r="E190" s="242" t="s">
        <v>465</v>
      </c>
      <c r="F190" s="169">
        <v>7</v>
      </c>
      <c r="G190" s="243" t="s">
        <v>5327</v>
      </c>
      <c r="H190" s="89">
        <v>500000000</v>
      </c>
      <c r="I190" s="89" t="str">
        <f>IF($H190&lt;='Abbrev Key'!$A$2,'Abbrev Key'!$B$2,IF($H190&lt;='Abbrev Key'!$A$3,'Abbrev Key'!$B$3,IF($H190&lt;='Abbrev Key'!$A$4,'Abbrev Key'!$B$4,IF($H190&lt;='Abbrev Key'!$A$5,'Abbrev Key'!$B$5,IF($H190&lt;='Abbrev Key'!$A$6,'Abbrev Key'!$B$6,IF($H190&gt;='Abbrev Key'!$A$7,'Abbrev Key'!$B$7,IF($H190='Abbrev Key'!$A$8,'Abbrev Key'!$B$8,"")))))))</f>
        <v>E</v>
      </c>
      <c r="J190" s="17" t="s">
        <v>249</v>
      </c>
      <c r="K190" s="23" t="s">
        <v>633</v>
      </c>
      <c r="L190" s="398">
        <v>5439420</v>
      </c>
      <c r="M190" s="403">
        <f t="shared" si="5"/>
        <v>1.0878840000000001E-2</v>
      </c>
      <c r="N190" s="23" t="s">
        <v>3923</v>
      </c>
      <c r="O190" s="23"/>
      <c r="P190" s="167" t="s">
        <v>4287</v>
      </c>
      <c r="Q190" s="392">
        <v>42676</v>
      </c>
      <c r="R190" s="392">
        <v>42675</v>
      </c>
      <c r="S190" s="392" t="str">
        <f>_xlfn.IFNA(VLOOKUP(B190,'[1]VLOOKUP NO DUPS'!$A$1:$C$456,2,FALSE),"")</f>
        <v>11/16/2016</v>
      </c>
      <c r="T190" s="168" t="str">
        <f>_xlfn.IFNA(VLOOKUP(B190,'[1]VLOOKUP NO DUPS'!$A$1:$C$456,3,FALSE),"")</f>
        <v>Glancy Prongay &amp; Murray, LLP; Lawrence Kamin, LLC</v>
      </c>
      <c r="U190" s="92"/>
      <c r="V190" s="92"/>
      <c r="W190" s="92"/>
    </row>
    <row r="191" spans="1:23" s="91" customFormat="1" ht="60" x14ac:dyDescent="0.25">
      <c r="A191" s="165" t="str">
        <f t="shared" si="4"/>
        <v/>
      </c>
      <c r="B191" s="17" t="s">
        <v>176</v>
      </c>
      <c r="C191" s="17" t="s">
        <v>4324</v>
      </c>
      <c r="D191" s="242" t="s">
        <v>4325</v>
      </c>
      <c r="E191" s="242" t="s">
        <v>511</v>
      </c>
      <c r="F191" s="169">
        <v>2</v>
      </c>
      <c r="G191" s="243" t="s">
        <v>4326</v>
      </c>
      <c r="H191" s="89">
        <v>3200000000</v>
      </c>
      <c r="I191" s="89" t="str">
        <f>IF($H191&lt;='Abbrev Key'!$A$2,'Abbrev Key'!$B$2,IF($H191&lt;='Abbrev Key'!$A$3,'Abbrev Key'!$B$3,IF($H191&lt;='Abbrev Key'!$A$4,'Abbrev Key'!$B$4,IF($H191&lt;='Abbrev Key'!$A$5,'Abbrev Key'!$B$5,IF($H191&lt;='Abbrev Key'!$A$6,'Abbrev Key'!$B$6,IF($H191&gt;='Abbrev Key'!$A$7,'Abbrev Key'!$B$7,IF($H191='Abbrev Key'!$A$8,'Abbrev Key'!$B$8,"")))))))</f>
        <v>F</v>
      </c>
      <c r="J191" s="17" t="s">
        <v>11776</v>
      </c>
      <c r="K191" s="17" t="s">
        <v>640</v>
      </c>
      <c r="L191" s="399">
        <v>7160339.2200000007</v>
      </c>
      <c r="M191" s="404">
        <f t="shared" si="5"/>
        <v>2.2376060062500001E-3</v>
      </c>
      <c r="N191" s="14" t="s">
        <v>739</v>
      </c>
      <c r="O191" s="14"/>
      <c r="P191" s="167" t="s">
        <v>4287</v>
      </c>
      <c r="Q191" s="394">
        <v>42881</v>
      </c>
      <c r="R191" s="392">
        <v>42880</v>
      </c>
      <c r="S191" s="392" t="str">
        <f>_xlfn.IFNA(VLOOKUP(B191,'[1]VLOOKUP NO DUPS'!$A$1:$C$456,2,FALSE),"")</f>
        <v>11/17/2016</v>
      </c>
      <c r="T191" s="168" t="str">
        <f>_xlfn.IFNA(VLOOKUP(B191,'[1]VLOOKUP NO DUPS'!$A$1:$C$456,3,FALSE),"")</f>
        <v>Pomerantz LLP</v>
      </c>
      <c r="U191" s="14"/>
      <c r="V191" s="14"/>
      <c r="W191" s="14"/>
    </row>
    <row r="192" spans="1:23" s="91" customFormat="1" x14ac:dyDescent="0.25">
      <c r="A192" s="165" t="str">
        <f t="shared" si="4"/>
        <v/>
      </c>
      <c r="B192" s="23" t="s">
        <v>2585</v>
      </c>
      <c r="C192" s="23" t="s">
        <v>4859</v>
      </c>
      <c r="D192" s="166" t="s">
        <v>4860</v>
      </c>
      <c r="E192" s="242" t="s">
        <v>557</v>
      </c>
      <c r="F192" s="169">
        <v>9</v>
      </c>
      <c r="G192" s="243" t="s">
        <v>4861</v>
      </c>
      <c r="H192" s="89">
        <v>45000000</v>
      </c>
      <c r="I192" s="89" t="str">
        <f>IF($H192&lt;='Abbrev Key'!$A$2,'Abbrev Key'!$B$2,IF($H192&lt;='Abbrev Key'!$A$3,'Abbrev Key'!$B$3,IF($H192&lt;='Abbrev Key'!$A$4,'Abbrev Key'!$B$4,IF($H192&lt;='Abbrev Key'!$A$5,'Abbrev Key'!$B$5,IF($H192&lt;='Abbrev Key'!$A$6,'Abbrev Key'!$B$6,IF($H192&gt;='Abbrev Key'!$A$7,'Abbrev Key'!$B$7,IF($H192='Abbrev Key'!$A$8,'Abbrev Key'!$B$8,"")))))))</f>
        <v>B</v>
      </c>
      <c r="J192" s="17" t="s">
        <v>2587</v>
      </c>
      <c r="K192" s="289" t="s">
        <v>637</v>
      </c>
      <c r="L192" s="398">
        <v>13931.25</v>
      </c>
      <c r="M192" s="403">
        <f t="shared" si="5"/>
        <v>3.0958333333333331E-4</v>
      </c>
      <c r="N192" s="92" t="s">
        <v>4336</v>
      </c>
      <c r="O192" s="92"/>
      <c r="P192" s="167" t="s">
        <v>4295</v>
      </c>
      <c r="Q192" s="392">
        <v>42688</v>
      </c>
      <c r="R192" s="392">
        <v>42687</v>
      </c>
      <c r="S192" s="392" t="str">
        <f>_xlfn.IFNA(VLOOKUP(B192,'[1]VLOOKUP NO DUPS'!$A$1:$C$456,2,FALSE),"")</f>
        <v>11/17/2016</v>
      </c>
      <c r="T192" s="168" t="str">
        <f>_xlfn.IFNA(VLOOKUP(B192,'[1]VLOOKUP NO DUPS'!$A$1:$C$456,3,FALSE),"")</f>
        <v>The Rosen Law Firm, P.A.</v>
      </c>
      <c r="U192" s="92"/>
      <c r="V192" s="92"/>
      <c r="W192" s="92"/>
    </row>
    <row r="193" spans="1:23" s="91" customFormat="1" ht="45" x14ac:dyDescent="0.25">
      <c r="A193" s="165" t="str">
        <f t="shared" si="4"/>
        <v/>
      </c>
      <c r="B193" s="23" t="s">
        <v>1684</v>
      </c>
      <c r="C193" s="23" t="s">
        <v>4556</v>
      </c>
      <c r="D193" s="166" t="s">
        <v>4557</v>
      </c>
      <c r="E193" s="242" t="s">
        <v>457</v>
      </c>
      <c r="F193" s="169">
        <v>9</v>
      </c>
      <c r="G193" s="243" t="s">
        <v>4558</v>
      </c>
      <c r="H193" s="89">
        <v>245000000</v>
      </c>
      <c r="I193" s="89" t="str">
        <f>IF($H193&lt;='Abbrev Key'!$A$2,'Abbrev Key'!$B$2,IF($H193&lt;='Abbrev Key'!$A$3,'Abbrev Key'!$B$3,IF($H193&lt;='Abbrev Key'!$A$4,'Abbrev Key'!$B$4,IF($H193&lt;='Abbrev Key'!$A$5,'Abbrev Key'!$B$5,IF($H193&lt;='Abbrev Key'!$A$6,'Abbrev Key'!$B$6,IF($H193&gt;='Abbrev Key'!$A$7,'Abbrev Key'!$B$7,IF($H193='Abbrev Key'!$A$8,'Abbrev Key'!$B$8,"")))))))</f>
        <v>D</v>
      </c>
      <c r="J193" s="17" t="s">
        <v>1692</v>
      </c>
      <c r="K193" s="92" t="s">
        <v>637</v>
      </c>
      <c r="L193" s="398">
        <v>1774255.72</v>
      </c>
      <c r="M193" s="403">
        <f t="shared" si="5"/>
        <v>7.241860081632653E-3</v>
      </c>
      <c r="N193" s="92" t="s">
        <v>4336</v>
      </c>
      <c r="O193" s="92"/>
      <c r="P193" s="167" t="s">
        <v>4287</v>
      </c>
      <c r="Q193" s="392">
        <v>42685</v>
      </c>
      <c r="R193" s="392">
        <v>42684</v>
      </c>
      <c r="S193" s="392" t="str">
        <f>_xlfn.IFNA(VLOOKUP(B193,'[1]VLOOKUP NO DUPS'!$A$1:$C$456,2,FALSE),"")</f>
        <v>11/18/2016</v>
      </c>
      <c r="T193" s="168" t="str">
        <f>_xlfn.IFNA(VLOOKUP(B193,'[1]VLOOKUP NO DUPS'!$A$1:$C$456,3,FALSE),"")</f>
        <v>Bronstein, Gewirtz &amp; Grossman, LLC; Levi &amp; Korsinsky, LLP; Pomerantz LLP; Shepherd, Finkelman, Miller &amp; Shah, LLP</v>
      </c>
      <c r="U193" s="92"/>
      <c r="V193" s="92"/>
      <c r="W193" s="92"/>
    </row>
    <row r="194" spans="1:23" s="91" customFormat="1" ht="30" x14ac:dyDescent="0.25">
      <c r="A194" s="165" t="str">
        <f t="shared" ref="A194:A257" si="6">IF(COUNTIF(B:B,B194)&gt;=2,"DUP","")</f>
        <v/>
      </c>
      <c r="B194" s="23" t="s">
        <v>966</v>
      </c>
      <c r="C194" s="23" t="s">
        <v>4380</v>
      </c>
      <c r="D194" s="166" t="s">
        <v>4381</v>
      </c>
      <c r="E194" s="242" t="s">
        <v>409</v>
      </c>
      <c r="F194" s="169">
        <v>1</v>
      </c>
      <c r="G194" s="243" t="s">
        <v>4382</v>
      </c>
      <c r="H194" s="89">
        <v>21000000</v>
      </c>
      <c r="I194" s="89" t="str">
        <f>IF($H194&lt;='Abbrev Key'!$A$2,'Abbrev Key'!$B$2,IF($H194&lt;='Abbrev Key'!$A$3,'Abbrev Key'!$B$3,IF($H194&lt;='Abbrev Key'!$A$4,'Abbrev Key'!$B$4,IF($H194&lt;='Abbrev Key'!$A$5,'Abbrev Key'!$B$5,IF($H194&lt;='Abbrev Key'!$A$6,'Abbrev Key'!$B$6,IF($H194&gt;='Abbrev Key'!$A$7,'Abbrev Key'!$B$7,IF($H194='Abbrev Key'!$A$8,'Abbrev Key'!$B$8,"")))))))</f>
        <v>A</v>
      </c>
      <c r="J194" s="23" t="s">
        <v>968</v>
      </c>
      <c r="K194" s="23" t="s">
        <v>637</v>
      </c>
      <c r="L194" s="398">
        <v>118388.95</v>
      </c>
      <c r="M194" s="403">
        <f t="shared" ref="M194:M257" si="7">IFERROR((L194/H194),"DC")</f>
        <v>5.6375690476190479E-3</v>
      </c>
      <c r="N194" s="23" t="s">
        <v>970</v>
      </c>
      <c r="O194" s="23"/>
      <c r="P194" s="167" t="s">
        <v>4408</v>
      </c>
      <c r="Q194" s="392">
        <v>42683</v>
      </c>
      <c r="R194" s="392">
        <v>42682</v>
      </c>
      <c r="S194" s="392" t="str">
        <f>_xlfn.IFNA(VLOOKUP(B194,'[1]VLOOKUP NO DUPS'!$A$1:$C$456,2,FALSE),"")</f>
        <v>11/21/2016</v>
      </c>
      <c r="T194" s="168" t="str">
        <f>_xlfn.IFNA(VLOOKUP(B194,'[1]VLOOKUP NO DUPS'!$A$1:$C$456,3,FALSE),"")</f>
        <v>Johnson &amp; Weaver LLP</v>
      </c>
      <c r="U194" s="92"/>
      <c r="V194" s="92"/>
      <c r="W194" s="92"/>
    </row>
    <row r="195" spans="1:23" s="91" customFormat="1" ht="30" x14ac:dyDescent="0.25">
      <c r="A195" s="165" t="str">
        <f t="shared" si="6"/>
        <v/>
      </c>
      <c r="B195" s="23" t="s">
        <v>3487</v>
      </c>
      <c r="C195" s="23" t="s">
        <v>5202</v>
      </c>
      <c r="D195" s="166" t="s">
        <v>5203</v>
      </c>
      <c r="E195" s="242" t="s">
        <v>542</v>
      </c>
      <c r="F195" s="169">
        <v>3</v>
      </c>
      <c r="G195" s="243" t="s">
        <v>5204</v>
      </c>
      <c r="H195" s="89">
        <v>400000000</v>
      </c>
      <c r="I195" s="89" t="str">
        <f>IF($H195&lt;='Abbrev Key'!$A$2,'Abbrev Key'!$B$2,IF($H195&lt;='Abbrev Key'!$A$3,'Abbrev Key'!$B$3,IF($H195&lt;='Abbrev Key'!$A$4,'Abbrev Key'!$B$4,IF($H195&lt;='Abbrev Key'!$A$5,'Abbrev Key'!$B$5,IF($H195&lt;='Abbrev Key'!$A$6,'Abbrev Key'!$B$6,IF($H195&gt;='Abbrev Key'!$A$7,'Abbrev Key'!$B$7,IF($H195='Abbrev Key'!$A$8,'Abbrev Key'!$B$8,"")))))))</f>
        <v>E</v>
      </c>
      <c r="J195" s="17" t="s">
        <v>11916</v>
      </c>
      <c r="K195" s="23" t="s">
        <v>662</v>
      </c>
      <c r="L195" s="398">
        <v>1762886.3</v>
      </c>
      <c r="M195" s="403">
        <f t="shared" si="7"/>
        <v>4.4072157500000004E-3</v>
      </c>
      <c r="N195" s="23" t="s">
        <v>10834</v>
      </c>
      <c r="O195" s="23"/>
      <c r="P195" s="167" t="s">
        <v>4287</v>
      </c>
      <c r="Q195" s="392">
        <v>42670</v>
      </c>
      <c r="R195" s="392">
        <v>42669</v>
      </c>
      <c r="S195" s="392" t="str">
        <f>_xlfn.IFNA(VLOOKUP(B195,'[1]VLOOKUP NO DUPS'!$A$1:$C$456,2,FALSE),"")</f>
        <v>11/21/2016</v>
      </c>
      <c r="T195" s="168" t="str">
        <f>_xlfn.IFNA(VLOOKUP(B195,'[1]VLOOKUP NO DUPS'!$A$1:$C$456,3,FALSE),"")</f>
        <v>Pomerantz LLP; The Weiser Law Firm, PC</v>
      </c>
      <c r="U195" s="92"/>
      <c r="V195" s="92"/>
      <c r="W195" s="92"/>
    </row>
    <row r="196" spans="1:23" s="288" customFormat="1" ht="30" x14ac:dyDescent="0.25">
      <c r="A196" s="165" t="str">
        <f t="shared" si="6"/>
        <v/>
      </c>
      <c r="B196" s="23" t="s">
        <v>4194</v>
      </c>
      <c r="C196" s="23" t="s">
        <v>5410</v>
      </c>
      <c r="D196" s="166" t="s">
        <v>5411</v>
      </c>
      <c r="E196" s="242" t="s">
        <v>3631</v>
      </c>
      <c r="F196" s="169">
        <v>7</v>
      </c>
      <c r="G196" s="243" t="s">
        <v>5412</v>
      </c>
      <c r="H196" s="89">
        <v>350000000</v>
      </c>
      <c r="I196" s="89" t="str">
        <f>IF($H196&lt;='Abbrev Key'!$A$2,'Abbrev Key'!$B$2,IF($H196&lt;='Abbrev Key'!$A$3,'Abbrev Key'!$B$3,IF($H196&lt;='Abbrev Key'!$A$4,'Abbrev Key'!$B$4,IF($H196&lt;='Abbrev Key'!$A$5,'Abbrev Key'!$B$5,IF($H196&lt;='Abbrev Key'!$A$6,'Abbrev Key'!$B$6,IF($H196&gt;='Abbrev Key'!$A$7,'Abbrev Key'!$B$7,IF($H196='Abbrev Key'!$A$8,'Abbrev Key'!$B$8,"")))))))</f>
        <v>E</v>
      </c>
      <c r="J196" s="23" t="s">
        <v>11990</v>
      </c>
      <c r="K196" s="23" t="s">
        <v>646</v>
      </c>
      <c r="L196" s="398">
        <v>5473.37</v>
      </c>
      <c r="M196" s="403">
        <f t="shared" si="7"/>
        <v>1.5638199999999999E-5</v>
      </c>
      <c r="N196" s="23" t="s">
        <v>4198</v>
      </c>
      <c r="O196" s="23"/>
      <c r="P196" s="167" t="s">
        <v>4287</v>
      </c>
      <c r="Q196" s="392">
        <v>42681</v>
      </c>
      <c r="R196" s="392">
        <v>42680</v>
      </c>
      <c r="S196" s="392" t="str">
        <f>_xlfn.IFNA(VLOOKUP(B196,'[1]VLOOKUP NO DUPS'!$A$1:$C$456,2,FALSE),"")</f>
        <v>12/02/2016</v>
      </c>
      <c r="T196" s="168" t="str">
        <f>_xlfn.IFNA(VLOOKUP(B196,'[1]VLOOKUP NO DUPS'!$A$1:$C$456,3,FALSE),"")</f>
        <v>Glancy Prongay &amp; Murray, LLP; Katz &amp; Korin, PC</v>
      </c>
      <c r="U196" s="92"/>
      <c r="V196" s="92"/>
      <c r="W196" s="92"/>
    </row>
    <row r="197" spans="1:23" s="91" customFormat="1" x14ac:dyDescent="0.25">
      <c r="A197" s="165" t="str">
        <f t="shared" si="6"/>
        <v>DUP</v>
      </c>
      <c r="B197" s="23" t="s">
        <v>3319</v>
      </c>
      <c r="C197" s="23" t="s">
        <v>10676</v>
      </c>
      <c r="D197" s="166" t="s">
        <v>5105</v>
      </c>
      <c r="E197" s="242" t="s">
        <v>418</v>
      </c>
      <c r="F197" s="169">
        <v>2</v>
      </c>
      <c r="G197" s="243" t="s">
        <v>5106</v>
      </c>
      <c r="H197" s="89">
        <v>1200000000</v>
      </c>
      <c r="I197" s="89" t="str">
        <f>IF($H197&lt;='Abbrev Key'!$A$2,'Abbrev Key'!$B$2,IF($H197&lt;='Abbrev Key'!$A$3,'Abbrev Key'!$B$3,IF($H197&lt;='Abbrev Key'!$A$4,'Abbrev Key'!$B$4,IF($H197&lt;='Abbrev Key'!$A$5,'Abbrev Key'!$B$5,IF($H197&lt;='Abbrev Key'!$A$6,'Abbrev Key'!$B$6,IF($H197&gt;='Abbrev Key'!$A$7,'Abbrev Key'!$B$7,IF($H197='Abbrev Key'!$A$8,'Abbrev Key'!$B$8,"")))))))</f>
        <v>F</v>
      </c>
      <c r="J197" s="17" t="s">
        <v>3320</v>
      </c>
      <c r="K197" s="23" t="s">
        <v>637</v>
      </c>
      <c r="L197" s="398">
        <v>22912</v>
      </c>
      <c r="M197" s="403">
        <f t="shared" si="7"/>
        <v>1.9093333333333332E-5</v>
      </c>
      <c r="N197" s="92" t="s">
        <v>79</v>
      </c>
      <c r="O197" s="92"/>
      <c r="P197" s="167" t="s">
        <v>4295</v>
      </c>
      <c r="Q197" s="392">
        <v>42691</v>
      </c>
      <c r="R197" s="392">
        <v>42690</v>
      </c>
      <c r="S197" s="392" t="s">
        <v>505</v>
      </c>
      <c r="T197" s="168" t="s">
        <v>79</v>
      </c>
      <c r="U197" s="92"/>
      <c r="V197" s="92"/>
      <c r="W197" s="92"/>
    </row>
    <row r="198" spans="1:23" s="91" customFormat="1" ht="30" x14ac:dyDescent="0.25">
      <c r="A198" s="165" t="str">
        <f t="shared" si="6"/>
        <v/>
      </c>
      <c r="B198" s="23" t="s">
        <v>2811</v>
      </c>
      <c r="C198" s="23" t="s">
        <v>4953</v>
      </c>
      <c r="D198" s="166" t="s">
        <v>4954</v>
      </c>
      <c r="E198" s="242" t="s">
        <v>424</v>
      </c>
      <c r="F198" s="169">
        <v>3</v>
      </c>
      <c r="G198" s="243" t="s">
        <v>4955</v>
      </c>
      <c r="H198" s="89">
        <v>120000000</v>
      </c>
      <c r="I198" s="89" t="str">
        <f>IF($H198&lt;='Abbrev Key'!$A$2,'Abbrev Key'!$B$2,IF($H198&lt;='Abbrev Key'!$A$3,'Abbrev Key'!$B$3,IF($H198&lt;='Abbrev Key'!$A$4,'Abbrev Key'!$B$4,IF($H198&lt;='Abbrev Key'!$A$5,'Abbrev Key'!$B$5,IF($H198&lt;='Abbrev Key'!$A$6,'Abbrev Key'!$B$6,IF($H198&gt;='Abbrev Key'!$A$7,'Abbrev Key'!$B$7,IF($H198='Abbrev Key'!$A$8,'Abbrev Key'!$B$8,"")))))))</f>
        <v>D</v>
      </c>
      <c r="J198" s="17" t="s">
        <v>11819</v>
      </c>
      <c r="K198" s="92" t="s">
        <v>646</v>
      </c>
      <c r="L198" s="398">
        <v>8395</v>
      </c>
      <c r="M198" s="403">
        <f t="shared" si="7"/>
        <v>6.9958333333333331E-5</v>
      </c>
      <c r="N198" s="92" t="s">
        <v>554</v>
      </c>
      <c r="O198" s="92"/>
      <c r="P198" s="167" t="s">
        <v>4287</v>
      </c>
      <c r="Q198" s="392">
        <v>42705</v>
      </c>
      <c r="R198" s="392">
        <v>42704</v>
      </c>
      <c r="S198" s="392" t="str">
        <f>_xlfn.IFNA(VLOOKUP(B198,'[1]VLOOKUP NO DUPS'!$A$1:$C$456,2,FALSE),"")</f>
        <v>12/15/2016</v>
      </c>
      <c r="T198" s="168" t="str">
        <f>_xlfn.IFNA(VLOOKUP(B198,'[1]VLOOKUP NO DUPS'!$A$1:$C$456,3,FALSE),"")</f>
        <v>The Rosen Law Firm, P.A.</v>
      </c>
      <c r="U198" s="92"/>
      <c r="V198" s="92"/>
      <c r="W198" s="92"/>
    </row>
    <row r="199" spans="1:23" s="91" customFormat="1" ht="30" x14ac:dyDescent="0.25">
      <c r="A199" s="165" t="str">
        <f t="shared" si="6"/>
        <v/>
      </c>
      <c r="B199" s="23" t="s">
        <v>1602</v>
      </c>
      <c r="C199" s="23" t="s">
        <v>4530</v>
      </c>
      <c r="D199" s="166" t="s">
        <v>4531</v>
      </c>
      <c r="E199" s="242" t="s">
        <v>418</v>
      </c>
      <c r="F199" s="169">
        <v>2</v>
      </c>
      <c r="G199" s="167" t="s">
        <v>4532</v>
      </c>
      <c r="H199" s="89">
        <v>25000000</v>
      </c>
      <c r="I199" s="89" t="str">
        <f>IF($H199&lt;='Abbrev Key'!$A$2,'Abbrev Key'!$B$2,IF($H199&lt;='Abbrev Key'!$A$3,'Abbrev Key'!$B$3,IF($H199&lt;='Abbrev Key'!$A$4,'Abbrev Key'!$B$4,IF($H199&lt;='Abbrev Key'!$A$5,'Abbrev Key'!$B$5,IF($H199&lt;='Abbrev Key'!$A$6,'Abbrev Key'!$B$6,IF($H199&gt;='Abbrev Key'!$A$7,'Abbrev Key'!$B$7,IF($H199='Abbrev Key'!$A$8,'Abbrev Key'!$B$8,"")))))))</f>
        <v>A</v>
      </c>
      <c r="J199" s="17" t="s">
        <v>1605</v>
      </c>
      <c r="K199" s="92" t="s">
        <v>637</v>
      </c>
      <c r="L199" s="354">
        <v>2718014</v>
      </c>
      <c r="M199" s="405">
        <f t="shared" si="7"/>
        <v>0.10872055999999999</v>
      </c>
      <c r="N199" s="23" t="s">
        <v>1607</v>
      </c>
      <c r="O199" s="23"/>
      <c r="P199" s="167" t="s">
        <v>4287</v>
      </c>
      <c r="Q199" s="392">
        <v>42598</v>
      </c>
      <c r="R199" s="392">
        <v>42597</v>
      </c>
      <c r="S199" s="392" t="str">
        <f>_xlfn.IFNA(VLOOKUP(B199,'[1]VLOOKUP NO DUPS'!$A$1:$C$456,2,FALSE),"")</f>
        <v>12/16/2016</v>
      </c>
      <c r="T199" s="168" t="str">
        <f>_xlfn.IFNA(VLOOKUP(B199,'[1]VLOOKUP NO DUPS'!$A$1:$C$456,3,FALSE),"")</f>
        <v>The Rosen Law Firm, P.A.</v>
      </c>
      <c r="U199" s="92"/>
      <c r="V199" s="92"/>
      <c r="W199" s="92"/>
    </row>
    <row r="200" spans="1:23" s="91" customFormat="1" ht="30" x14ac:dyDescent="0.25">
      <c r="A200" s="165" t="str">
        <f t="shared" si="6"/>
        <v/>
      </c>
      <c r="B200" s="23" t="s">
        <v>2282</v>
      </c>
      <c r="C200" s="23" t="s">
        <v>4746</v>
      </c>
      <c r="D200" s="166" t="s">
        <v>4747</v>
      </c>
      <c r="E200" s="242" t="s">
        <v>557</v>
      </c>
      <c r="F200" s="169">
        <v>9</v>
      </c>
      <c r="G200" s="243" t="s">
        <v>4748</v>
      </c>
      <c r="H200" s="89">
        <v>800000000</v>
      </c>
      <c r="I200" s="89" t="str">
        <f>IF($H200&lt;='Abbrev Key'!$A$2,'Abbrev Key'!$B$2,IF($H200&lt;='Abbrev Key'!$A$3,'Abbrev Key'!$B$3,IF($H200&lt;='Abbrev Key'!$A$4,'Abbrev Key'!$B$4,IF($H200&lt;='Abbrev Key'!$A$5,'Abbrev Key'!$B$5,IF($H200&lt;='Abbrev Key'!$A$6,'Abbrev Key'!$B$6,IF($H200&gt;='Abbrev Key'!$A$7,'Abbrev Key'!$B$7,IF($H200='Abbrev Key'!$A$8,'Abbrev Key'!$B$8,"")))))))</f>
        <v>F</v>
      </c>
      <c r="J200" s="17" t="s">
        <v>2291</v>
      </c>
      <c r="K200" s="92" t="s">
        <v>633</v>
      </c>
      <c r="L200" s="398">
        <v>995212.56</v>
      </c>
      <c r="M200" s="403">
        <f t="shared" si="7"/>
        <v>1.2440157E-3</v>
      </c>
      <c r="N200" s="92" t="s">
        <v>4456</v>
      </c>
      <c r="O200" s="92"/>
      <c r="P200" s="167" t="s">
        <v>4287</v>
      </c>
      <c r="Q200" s="392">
        <v>42653</v>
      </c>
      <c r="R200" s="392">
        <v>42652</v>
      </c>
      <c r="S200" s="392" t="str">
        <f>_xlfn.IFNA(VLOOKUP(B200,'[1]VLOOKUP NO DUPS'!$A$1:$C$456,2,FALSE),"")</f>
        <v>12/16/2016</v>
      </c>
      <c r="T200" s="168" t="str">
        <f>_xlfn.IFNA(VLOOKUP(B200,'[1]VLOOKUP NO DUPS'!$A$1:$C$456,3,FALSE),"")</f>
        <v>Glancy Prongay &amp; Murray, LLP; Law Offices of Howard G. Smith; Pomerantz LLP</v>
      </c>
      <c r="U200" s="92"/>
      <c r="V200" s="92"/>
      <c r="W200" s="92"/>
    </row>
    <row r="201" spans="1:23" s="91" customFormat="1" ht="45" x14ac:dyDescent="0.25">
      <c r="A201" s="165" t="str">
        <f t="shared" si="6"/>
        <v/>
      </c>
      <c r="B201" s="17" t="s">
        <v>22</v>
      </c>
      <c r="C201" s="17" t="s">
        <v>4327</v>
      </c>
      <c r="D201" s="242" t="s">
        <v>4328</v>
      </c>
      <c r="E201" s="242" t="s">
        <v>424</v>
      </c>
      <c r="F201" s="169">
        <v>3</v>
      </c>
      <c r="G201" s="243" t="s">
        <v>4329</v>
      </c>
      <c r="H201" s="89">
        <v>1000000000</v>
      </c>
      <c r="I201" s="89" t="str">
        <f>IF($H201&lt;='Abbrev Key'!$A$2,'Abbrev Key'!$B$2,IF($H201&lt;='Abbrev Key'!$A$3,'Abbrev Key'!$B$3,IF($H201&lt;='Abbrev Key'!$A$4,'Abbrev Key'!$B$4,IF($H201&lt;='Abbrev Key'!$A$5,'Abbrev Key'!$B$5,IF($H201&lt;='Abbrev Key'!$A$6,'Abbrev Key'!$B$6,IF($H201&gt;='Abbrev Key'!$A$7,'Abbrev Key'!$B$7,IF($H201='Abbrev Key'!$A$8,'Abbrev Key'!$B$8,"")))))))</f>
        <v>F</v>
      </c>
      <c r="J201" s="92" t="s">
        <v>11930</v>
      </c>
      <c r="K201" s="92" t="s">
        <v>640</v>
      </c>
      <c r="L201" s="398">
        <v>55073083.719999999</v>
      </c>
      <c r="M201" s="403">
        <f t="shared" si="7"/>
        <v>5.5073083719999999E-2</v>
      </c>
      <c r="N201" s="92" t="s">
        <v>10945</v>
      </c>
      <c r="O201" s="92" t="s">
        <v>11197</v>
      </c>
      <c r="P201" s="167" t="s">
        <v>4287</v>
      </c>
      <c r="Q201" s="394">
        <v>42676</v>
      </c>
      <c r="R201" s="392">
        <v>42675</v>
      </c>
      <c r="S201" s="392" t="str">
        <f>_xlfn.IFNA(VLOOKUP(B201,'[1]VLOOKUP NO DUPS'!$A$1:$C$456,2,FALSE),"")</f>
        <v>12/22/2016</v>
      </c>
      <c r="T201" s="168">
        <f>_xlfn.IFNA(VLOOKUP(B201,'[1]VLOOKUP NO DUPS'!$A$1:$C$456,3,FALSE),"")</f>
        <v>0</v>
      </c>
      <c r="U201" s="14"/>
      <c r="V201" s="14"/>
      <c r="W201" s="14"/>
    </row>
    <row r="202" spans="1:23" s="91" customFormat="1" ht="45" x14ac:dyDescent="0.25">
      <c r="A202" s="165" t="str">
        <f t="shared" si="6"/>
        <v/>
      </c>
      <c r="B202" s="23" t="s">
        <v>278</v>
      </c>
      <c r="C202" s="23" t="s">
        <v>5092</v>
      </c>
      <c r="D202" s="166" t="s">
        <v>5093</v>
      </c>
      <c r="E202" s="242" t="s">
        <v>414</v>
      </c>
      <c r="F202" s="169">
        <v>5</v>
      </c>
      <c r="G202" s="243" t="s">
        <v>5094</v>
      </c>
      <c r="H202" s="89">
        <v>185000000</v>
      </c>
      <c r="I202" s="89" t="str">
        <f>IF($H202&lt;='Abbrev Key'!$A$2,'Abbrev Key'!$B$2,IF($H202&lt;='Abbrev Key'!$A$3,'Abbrev Key'!$B$3,IF($H202&lt;='Abbrev Key'!$A$4,'Abbrev Key'!$B$4,IF($H202&lt;='Abbrev Key'!$A$5,'Abbrev Key'!$B$5,IF($H202&lt;='Abbrev Key'!$A$6,'Abbrev Key'!$B$6,IF($H202&gt;='Abbrev Key'!$A$7,'Abbrev Key'!$B$7,IF($H202='Abbrev Key'!$A$8,'Abbrev Key'!$B$8,"")))))))</f>
        <v>D</v>
      </c>
      <c r="J202" s="17" t="s">
        <v>274</v>
      </c>
      <c r="K202" s="92" t="s">
        <v>633</v>
      </c>
      <c r="L202" s="398">
        <v>431940.9</v>
      </c>
      <c r="M202" s="403">
        <f t="shared" si="7"/>
        <v>2.3348156756756756E-3</v>
      </c>
      <c r="N202" s="23" t="s">
        <v>3272</v>
      </c>
      <c r="O202" s="23"/>
      <c r="P202" s="167" t="s">
        <v>4408</v>
      </c>
      <c r="Q202" s="392">
        <v>42654</v>
      </c>
      <c r="R202" s="392">
        <v>42653</v>
      </c>
      <c r="S202" s="392" t="str">
        <f>_xlfn.IFNA(VLOOKUP(B202,'[1]VLOOKUP NO DUPS'!$A$1:$C$456,2,FALSE),"")</f>
        <v>12/23/2016</v>
      </c>
      <c r="T202" s="168" t="str">
        <f>_xlfn.IFNA(VLOOKUP(B202,'[1]VLOOKUP NO DUPS'!$A$1:$C$456,3,FALSE),"")</f>
        <v>Bronstein, Gewirtz &amp; Grossman, LLC; Glancy Prongay &amp; Murray, LLP; Kendall Law Group, LLP; Pomerantz LLP; The Briscoe Law Firm, PLLC</v>
      </c>
      <c r="U202" s="92"/>
      <c r="V202" s="92"/>
      <c r="W202" s="92"/>
    </row>
    <row r="203" spans="1:23" s="91" customFormat="1" ht="30" x14ac:dyDescent="0.25">
      <c r="A203" s="165" t="str">
        <f t="shared" si="6"/>
        <v/>
      </c>
      <c r="B203" s="23" t="s">
        <v>159</v>
      </c>
      <c r="C203" s="23" t="s">
        <v>5353</v>
      </c>
      <c r="D203" s="166" t="s">
        <v>5354</v>
      </c>
      <c r="E203" s="242" t="s">
        <v>446</v>
      </c>
      <c r="F203" s="169">
        <v>9</v>
      </c>
      <c r="G203" s="243" t="s">
        <v>5355</v>
      </c>
      <c r="H203" s="89">
        <v>600000000</v>
      </c>
      <c r="I203" s="89" t="str">
        <f>IF($H203&lt;='Abbrev Key'!$A$2,'Abbrev Key'!$B$2,IF($H203&lt;='Abbrev Key'!$A$3,'Abbrev Key'!$B$3,IF($H203&lt;='Abbrev Key'!$A$4,'Abbrev Key'!$B$4,IF($H203&lt;='Abbrev Key'!$A$5,'Abbrev Key'!$B$5,IF($H203&lt;='Abbrev Key'!$A$6,'Abbrev Key'!$B$6,IF($H203&gt;='Abbrev Key'!$A$7,'Abbrev Key'!$B$7,IF($H203='Abbrev Key'!$A$8,'Abbrev Key'!$B$8,"")))))))</f>
        <v>F</v>
      </c>
      <c r="J203" s="23" t="s">
        <v>11976</v>
      </c>
      <c r="K203" s="23" t="s">
        <v>640</v>
      </c>
      <c r="L203" s="398">
        <v>170900</v>
      </c>
      <c r="M203" s="403">
        <f t="shared" si="7"/>
        <v>2.8483333333333334E-4</v>
      </c>
      <c r="N203" s="23" t="s">
        <v>4021</v>
      </c>
      <c r="O203" s="23"/>
      <c r="P203" s="167" t="s">
        <v>4287</v>
      </c>
      <c r="Q203" s="392">
        <v>42711</v>
      </c>
      <c r="R203" s="392">
        <v>42710</v>
      </c>
      <c r="S203" s="392" t="str">
        <f>_xlfn.IFNA(VLOOKUP(B203,'[1]VLOOKUP NO DUPS'!$A$1:$C$456,2,FALSE),"")</f>
        <v>12/23/2016</v>
      </c>
      <c r="T203" s="168" t="str">
        <f>_xlfn.IFNA(VLOOKUP(B203,'[1]VLOOKUP NO DUPS'!$A$1:$C$456,3,FALSE),"")</f>
        <v>The Rosen Law Firm, P.A.</v>
      </c>
      <c r="U203" s="92"/>
      <c r="V203" s="92"/>
      <c r="W203" s="92"/>
    </row>
    <row r="204" spans="1:23" s="91" customFormat="1" x14ac:dyDescent="0.25">
      <c r="A204" s="165" t="str">
        <f t="shared" si="6"/>
        <v>DUP</v>
      </c>
      <c r="B204" s="23" t="s">
        <v>3056</v>
      </c>
      <c r="C204" s="23" t="s">
        <v>10644</v>
      </c>
      <c r="D204" s="166" t="s">
        <v>5029</v>
      </c>
      <c r="E204" s="242" t="s">
        <v>457</v>
      </c>
      <c r="F204" s="169">
        <v>9</v>
      </c>
      <c r="G204" s="243" t="s">
        <v>5030</v>
      </c>
      <c r="H204" s="89">
        <v>150000000</v>
      </c>
      <c r="I204" s="89" t="str">
        <f>IF($H204&lt;='Abbrev Key'!$A$2,'Abbrev Key'!$B$2,IF($H204&lt;='Abbrev Key'!$A$3,'Abbrev Key'!$B$3,IF($H204&lt;='Abbrev Key'!$A$4,'Abbrev Key'!$B$4,IF($H204&lt;='Abbrev Key'!$A$5,'Abbrev Key'!$B$5,IF($H204&lt;='Abbrev Key'!$A$6,'Abbrev Key'!$B$6,IF($H204&gt;='Abbrev Key'!$A$7,'Abbrev Key'!$B$7,IF($H204='Abbrev Key'!$A$8,'Abbrev Key'!$B$8,"")))))))</f>
        <v>D</v>
      </c>
      <c r="J204" s="17" t="s">
        <v>3060</v>
      </c>
      <c r="K204" s="92" t="s">
        <v>637</v>
      </c>
      <c r="L204" s="398">
        <v>5960.49</v>
      </c>
      <c r="M204" s="403">
        <f t="shared" si="7"/>
        <v>3.9736600000000002E-5</v>
      </c>
      <c r="N204" s="92" t="s">
        <v>4336</v>
      </c>
      <c r="O204" s="92"/>
      <c r="P204" s="167" t="s">
        <v>4295</v>
      </c>
      <c r="Q204" s="392">
        <v>42488</v>
      </c>
      <c r="R204" s="392">
        <v>42487</v>
      </c>
      <c r="S204" s="392" t="s">
        <v>3057</v>
      </c>
      <c r="T204" s="168" t="s">
        <v>1598</v>
      </c>
      <c r="U204" s="92"/>
      <c r="V204" s="92"/>
      <c r="W204" s="92"/>
    </row>
    <row r="205" spans="1:23" s="91" customFormat="1" ht="30" x14ac:dyDescent="0.25">
      <c r="A205" s="165" t="str">
        <f t="shared" si="6"/>
        <v/>
      </c>
      <c r="B205" s="23" t="s">
        <v>1755</v>
      </c>
      <c r="C205" s="23" t="s">
        <v>4588</v>
      </c>
      <c r="D205" s="166" t="s">
        <v>4589</v>
      </c>
      <c r="E205" s="242" t="s">
        <v>446</v>
      </c>
      <c r="F205" s="169">
        <v>9</v>
      </c>
      <c r="G205" s="243" t="s">
        <v>4590</v>
      </c>
      <c r="H205" s="89">
        <v>50000000</v>
      </c>
      <c r="I205" s="89" t="str">
        <f>IF($H205&lt;='Abbrev Key'!$A$2,'Abbrev Key'!$B$2,IF($H205&lt;='Abbrev Key'!$A$3,'Abbrev Key'!$B$3,IF($H205&lt;='Abbrev Key'!$A$4,'Abbrev Key'!$B$4,IF($H205&lt;='Abbrev Key'!$A$5,'Abbrev Key'!$B$5,IF($H205&lt;='Abbrev Key'!$A$6,'Abbrev Key'!$B$6,IF($H205&gt;='Abbrev Key'!$A$7,'Abbrev Key'!$B$7,IF($H205='Abbrev Key'!$A$8,'Abbrev Key'!$B$8,"")))))))</f>
        <v>B</v>
      </c>
      <c r="J205" s="17" t="s">
        <v>1758</v>
      </c>
      <c r="K205" s="92" t="s">
        <v>637</v>
      </c>
      <c r="L205" s="398">
        <v>73751.23</v>
      </c>
      <c r="M205" s="403">
        <f t="shared" si="7"/>
        <v>1.4750245999999999E-3</v>
      </c>
      <c r="N205" s="92" t="s">
        <v>4336</v>
      </c>
      <c r="O205" s="92"/>
      <c r="P205" s="167" t="s">
        <v>4287</v>
      </c>
      <c r="Q205" s="392">
        <v>42873</v>
      </c>
      <c r="R205" s="392">
        <v>42872</v>
      </c>
      <c r="S205" s="392" t="str">
        <f>_xlfn.IFNA(VLOOKUP(B205,'[1]VLOOKUP NO DUPS'!$A$1:$C$456,2,FALSE),"")</f>
        <v>01/03/2017</v>
      </c>
      <c r="T205" s="168" t="str">
        <f>_xlfn.IFNA(VLOOKUP(B205,'[1]VLOOKUP NO DUPS'!$A$1:$C$456,3,FALSE),"")</f>
        <v>Bronstein, Gewirtz &amp; Grossman, LLC; Pomerantz LLP; The Rosen Law Firm, P.A.</v>
      </c>
      <c r="U205" s="92"/>
      <c r="V205" s="92"/>
      <c r="W205" s="92"/>
    </row>
    <row r="206" spans="1:23" s="91" customFormat="1" ht="30" x14ac:dyDescent="0.25">
      <c r="A206" s="165" t="str">
        <f t="shared" si="6"/>
        <v/>
      </c>
      <c r="B206" s="23" t="s">
        <v>167</v>
      </c>
      <c r="C206" s="23" t="s">
        <v>4680</v>
      </c>
      <c r="D206" s="166" t="s">
        <v>4681</v>
      </c>
      <c r="E206" s="242" t="s">
        <v>522</v>
      </c>
      <c r="F206" s="169">
        <v>6</v>
      </c>
      <c r="G206" s="243" t="s">
        <v>4682</v>
      </c>
      <c r="H206" s="89">
        <v>40000000</v>
      </c>
      <c r="I206" s="89" t="str">
        <f>IF($H206&lt;='Abbrev Key'!$A$2,'Abbrev Key'!$B$2,IF($H206&lt;='Abbrev Key'!$A$3,'Abbrev Key'!$B$3,IF($H206&lt;='Abbrev Key'!$A$4,'Abbrev Key'!$B$4,IF($H206&lt;='Abbrev Key'!$A$5,'Abbrev Key'!$B$5,IF($H206&lt;='Abbrev Key'!$A$6,'Abbrev Key'!$B$6,IF($H206&gt;='Abbrev Key'!$A$7,'Abbrev Key'!$B$7,IF($H206='Abbrev Key'!$A$8,'Abbrev Key'!$B$8,"")))))))</f>
        <v>B</v>
      </c>
      <c r="J206" s="17" t="s">
        <v>11789</v>
      </c>
      <c r="K206" s="23" t="s">
        <v>646</v>
      </c>
      <c r="L206" s="398">
        <v>24504</v>
      </c>
      <c r="M206" s="403">
        <f t="shared" si="7"/>
        <v>6.1260000000000004E-4</v>
      </c>
      <c r="N206" s="23" t="s">
        <v>10956</v>
      </c>
      <c r="O206" s="23"/>
      <c r="P206" s="167" t="s">
        <v>4287</v>
      </c>
      <c r="Q206" s="392">
        <v>42410</v>
      </c>
      <c r="R206" s="392">
        <v>42409</v>
      </c>
      <c r="S206" s="392" t="s">
        <v>513</v>
      </c>
      <c r="T206" s="168" t="str">
        <f>_xlfn.IFNA(VLOOKUP(B206,'[1]VLOOKUP NO DUPS'!$A$1:$C$456,3,FALSE),"")</f>
        <v>Pomerantz LLP</v>
      </c>
      <c r="U206" s="92"/>
      <c r="V206" s="92"/>
      <c r="W206" s="92"/>
    </row>
    <row r="207" spans="1:23" s="91" customFormat="1" ht="60" x14ac:dyDescent="0.25">
      <c r="A207" s="165" t="str">
        <f t="shared" si="6"/>
        <v/>
      </c>
      <c r="B207" s="17" t="s">
        <v>683</v>
      </c>
      <c r="C207" s="17" t="s">
        <v>4304</v>
      </c>
      <c r="D207" s="242" t="s">
        <v>4305</v>
      </c>
      <c r="E207" s="242" t="s">
        <v>424</v>
      </c>
      <c r="F207" s="169">
        <v>3</v>
      </c>
      <c r="G207" s="243" t="s">
        <v>4306</v>
      </c>
      <c r="H207" s="89">
        <v>12000000</v>
      </c>
      <c r="I207" s="89" t="str">
        <f>IF($H207&lt;='Abbrev Key'!$A$2,'Abbrev Key'!$B$2,IF($H207&lt;='Abbrev Key'!$A$3,'Abbrev Key'!$B$3,IF($H207&lt;='Abbrev Key'!$A$4,'Abbrev Key'!$B$4,IF($H207&lt;='Abbrev Key'!$A$5,'Abbrev Key'!$B$5,IF($H207&lt;='Abbrev Key'!$A$6,'Abbrev Key'!$B$6,IF($H207&gt;='Abbrev Key'!$A$7,'Abbrev Key'!$B$7,IF($H207='Abbrev Key'!$A$8,'Abbrev Key'!$B$8,"")))))))</f>
        <v>A</v>
      </c>
      <c r="J207" s="14" t="s">
        <v>690</v>
      </c>
      <c r="K207" s="14" t="s">
        <v>637</v>
      </c>
      <c r="L207" s="399">
        <v>58983.85</v>
      </c>
      <c r="M207" s="404">
        <f t="shared" si="7"/>
        <v>4.9153208333333328E-3</v>
      </c>
      <c r="N207" s="14" t="s">
        <v>63</v>
      </c>
      <c r="O207" s="14"/>
      <c r="P207" s="167" t="s">
        <v>4295</v>
      </c>
      <c r="Q207" s="394">
        <v>42738</v>
      </c>
      <c r="R207" s="392">
        <v>42737</v>
      </c>
      <c r="S207" s="392" t="str">
        <f>_xlfn.IFNA(VLOOKUP(B207,'[1]VLOOKUP NO DUPS'!$A$1:$C$456,2,FALSE),"")</f>
        <v>01/06/2017</v>
      </c>
      <c r="T207" s="168" t="str">
        <f>_xlfn.IFNA(VLOOKUP(B207,'[1]VLOOKUP NO DUPS'!$A$1:$C$456,3,FALSE),"")</f>
        <v>Carella, Byrne, Cecchi, Olstein, Brody &amp; Agnello P.C.; Glancy Prongay &amp; Murray, LLP; Goldberg Law PC; Law Offices of Howard G. Smith; Lite Depalma Greenberg, LLC; Pomerantz LLP</v>
      </c>
      <c r="U207" s="14"/>
      <c r="V207" s="14"/>
      <c r="W207" s="14"/>
    </row>
    <row r="208" spans="1:23" s="91" customFormat="1" ht="45" x14ac:dyDescent="0.25">
      <c r="A208" s="165" t="str">
        <f t="shared" si="6"/>
        <v/>
      </c>
      <c r="B208" s="23" t="s">
        <v>2342</v>
      </c>
      <c r="C208" s="23" t="s">
        <v>4768</v>
      </c>
      <c r="D208" s="166" t="s">
        <v>4769</v>
      </c>
      <c r="E208" s="242" t="s">
        <v>409</v>
      </c>
      <c r="F208" s="169">
        <v>1</v>
      </c>
      <c r="G208" s="243" t="s">
        <v>4770</v>
      </c>
      <c r="H208" s="89">
        <v>60000000</v>
      </c>
      <c r="I208" s="89" t="str">
        <f>IF($H208&lt;='Abbrev Key'!$A$2,'Abbrev Key'!$B$2,IF($H208&lt;='Abbrev Key'!$A$3,'Abbrev Key'!$B$3,IF($H208&lt;='Abbrev Key'!$A$4,'Abbrev Key'!$B$4,IF($H208&lt;='Abbrev Key'!$A$5,'Abbrev Key'!$B$5,IF($H208&lt;='Abbrev Key'!$A$6,'Abbrev Key'!$B$6,IF($H208&gt;='Abbrev Key'!$A$7,'Abbrev Key'!$B$7,IF($H208='Abbrev Key'!$A$8,'Abbrev Key'!$B$8,"")))))))</f>
        <v>C</v>
      </c>
      <c r="J208" s="17" t="s">
        <v>2350</v>
      </c>
      <c r="K208" s="92" t="s">
        <v>637</v>
      </c>
      <c r="L208" s="398">
        <v>773027.91</v>
      </c>
      <c r="M208" s="403">
        <f t="shared" si="7"/>
        <v>1.28837985E-2</v>
      </c>
      <c r="N208" s="92" t="s">
        <v>2352</v>
      </c>
      <c r="O208" s="23"/>
      <c r="P208" s="167" t="s">
        <v>4295</v>
      </c>
      <c r="Q208" s="392">
        <v>42734</v>
      </c>
      <c r="R208" s="392">
        <v>42733</v>
      </c>
      <c r="S208" s="392" t="str">
        <f>_xlfn.IFNA(VLOOKUP(B208,'[1]VLOOKUP NO DUPS'!$A$1:$C$456,2,FALSE),"")</f>
        <v>01/06/2017</v>
      </c>
      <c r="T208" s="168" t="str">
        <f>_xlfn.IFNA(VLOOKUP(B208,'[1]VLOOKUP NO DUPS'!$A$1:$C$456,3,FALSE),"")</f>
        <v>Levi &amp; Korsinsky, LLP</v>
      </c>
      <c r="U208" s="92"/>
      <c r="V208" s="92"/>
      <c r="W208" s="92"/>
    </row>
    <row r="209" spans="1:23" s="91" customFormat="1" ht="30" x14ac:dyDescent="0.25">
      <c r="A209" s="165" t="str">
        <f t="shared" si="6"/>
        <v>DUP</v>
      </c>
      <c r="B209" s="23" t="s">
        <v>3757</v>
      </c>
      <c r="C209" s="23" t="s">
        <v>10716</v>
      </c>
      <c r="D209" s="166" t="s">
        <v>5276</v>
      </c>
      <c r="E209" s="242" t="s">
        <v>418</v>
      </c>
      <c r="F209" s="169">
        <v>2</v>
      </c>
      <c r="G209" s="243" t="s">
        <v>5277</v>
      </c>
      <c r="H209" s="89">
        <v>60000000</v>
      </c>
      <c r="I209" s="89" t="str">
        <f>IF($H209&lt;='Abbrev Key'!$A$2,'Abbrev Key'!$B$2,IF($H209&lt;='Abbrev Key'!$A$3,'Abbrev Key'!$B$3,IF($H209&lt;='Abbrev Key'!$A$4,'Abbrev Key'!$B$4,IF($H209&lt;='Abbrev Key'!$A$5,'Abbrev Key'!$B$5,IF($H209&lt;='Abbrev Key'!$A$6,'Abbrev Key'!$B$6,IF($H209&gt;='Abbrev Key'!$A$7,'Abbrev Key'!$B$7,IF($H209='Abbrev Key'!$A$8,'Abbrev Key'!$B$8,"")))))))</f>
        <v>C</v>
      </c>
      <c r="J209" s="92" t="s">
        <v>11921</v>
      </c>
      <c r="K209" s="23" t="s">
        <v>646</v>
      </c>
      <c r="L209" s="398">
        <v>64531.48</v>
      </c>
      <c r="M209" s="403">
        <f t="shared" si="7"/>
        <v>1.0755246666666668E-3</v>
      </c>
      <c r="N209" s="92" t="s">
        <v>63</v>
      </c>
      <c r="O209" s="336"/>
      <c r="P209" s="167" t="s">
        <v>4295</v>
      </c>
      <c r="Q209" s="392">
        <v>42655</v>
      </c>
      <c r="R209" s="392">
        <v>42654</v>
      </c>
      <c r="S209" s="392" t="s">
        <v>684</v>
      </c>
      <c r="T209" s="168" t="s">
        <v>10896</v>
      </c>
      <c r="U209" s="92"/>
      <c r="V209" s="92"/>
      <c r="W209" s="92"/>
    </row>
    <row r="210" spans="1:23" s="91" customFormat="1" ht="30" x14ac:dyDescent="0.25">
      <c r="A210" s="165" t="str">
        <f t="shared" si="6"/>
        <v/>
      </c>
      <c r="B210" s="23" t="s">
        <v>3383</v>
      </c>
      <c r="C210" s="23" t="s">
        <v>5138</v>
      </c>
      <c r="D210" s="166" t="s">
        <v>5139</v>
      </c>
      <c r="E210" s="242" t="s">
        <v>480</v>
      </c>
      <c r="F210" s="169">
        <v>9</v>
      </c>
      <c r="G210" s="243" t="s">
        <v>5140</v>
      </c>
      <c r="H210" s="89">
        <v>150000000</v>
      </c>
      <c r="I210" s="89" t="str">
        <f>IF($H210&lt;='Abbrev Key'!$A$2,'Abbrev Key'!$B$2,IF($H210&lt;='Abbrev Key'!$A$3,'Abbrev Key'!$B$3,IF($H210&lt;='Abbrev Key'!$A$4,'Abbrev Key'!$B$4,IF($H210&lt;='Abbrev Key'!$A$5,'Abbrev Key'!$B$5,IF($H210&lt;='Abbrev Key'!$A$6,'Abbrev Key'!$B$6,IF($H210&gt;='Abbrev Key'!$A$7,'Abbrev Key'!$B$7,IF($H210='Abbrev Key'!$A$8,'Abbrev Key'!$B$8,"")))))))</f>
        <v>D</v>
      </c>
      <c r="J210" s="17" t="s">
        <v>3384</v>
      </c>
      <c r="K210" s="23" t="s">
        <v>637</v>
      </c>
      <c r="L210" s="398">
        <v>87662</v>
      </c>
      <c r="M210" s="403">
        <f t="shared" si="7"/>
        <v>5.8441333333333336E-4</v>
      </c>
      <c r="N210" s="23" t="s">
        <v>2467</v>
      </c>
      <c r="O210" s="23"/>
      <c r="P210" s="167" t="s">
        <v>4295</v>
      </c>
      <c r="Q210" s="392">
        <v>42731</v>
      </c>
      <c r="R210" s="392">
        <v>42730</v>
      </c>
      <c r="S210" s="392" t="str">
        <f>_xlfn.IFNA(VLOOKUP(B210,'[1]VLOOKUP NO DUPS'!$A$1:$C$456,2,FALSE),"")</f>
        <v>01/10/2017</v>
      </c>
      <c r="T210" s="168" t="str">
        <f>_xlfn.IFNA(VLOOKUP(B210,'[1]VLOOKUP NO DUPS'!$A$1:$C$456,3,FALSE),"")</f>
        <v>Bronstein, Gewirtz &amp; Grossman, LLC; Law Offices of Clifford A. Cantor, P.C; Pomerantz LLP</v>
      </c>
      <c r="U210" s="92"/>
      <c r="V210" s="92"/>
      <c r="W210" s="92"/>
    </row>
    <row r="211" spans="1:23" s="91" customFormat="1" ht="120" x14ac:dyDescent="0.25">
      <c r="A211" s="165" t="str">
        <f t="shared" si="6"/>
        <v/>
      </c>
      <c r="B211" s="23" t="s">
        <v>71</v>
      </c>
      <c r="C211" s="23" t="s">
        <v>4987</v>
      </c>
      <c r="D211" s="166" t="s">
        <v>4988</v>
      </c>
      <c r="E211" s="242" t="s">
        <v>424</v>
      </c>
      <c r="F211" s="169">
        <v>3</v>
      </c>
      <c r="G211" s="243" t="s">
        <v>4989</v>
      </c>
      <c r="H211" s="89">
        <v>17000000000</v>
      </c>
      <c r="I211" s="89" t="str">
        <f>IF($H211&lt;='Abbrev Key'!$A$2,'Abbrev Key'!$B$2,IF($H211&lt;='Abbrev Key'!$A$3,'Abbrev Key'!$B$3,IF($H211&lt;='Abbrev Key'!$A$4,'Abbrev Key'!$B$4,IF($H211&lt;='Abbrev Key'!$A$5,'Abbrev Key'!$B$5,IF($H211&lt;='Abbrev Key'!$A$6,'Abbrev Key'!$B$6,IF($H211&gt;='Abbrev Key'!$A$7,'Abbrev Key'!$B$7,IF($H211='Abbrev Key'!$A$8,'Abbrev Key'!$B$8,"")))))))</f>
        <v>F</v>
      </c>
      <c r="J211" s="92" t="s">
        <v>11958</v>
      </c>
      <c r="K211" s="92" t="s">
        <v>640</v>
      </c>
      <c r="L211" s="398">
        <f>3983836.71+1698789.64</f>
        <v>5682626.3499999996</v>
      </c>
      <c r="M211" s="403">
        <f t="shared" si="7"/>
        <v>3.3427213823529408E-4</v>
      </c>
      <c r="N211" s="92" t="s">
        <v>11070</v>
      </c>
      <c r="O211" s="92" t="s">
        <v>11197</v>
      </c>
      <c r="P211" s="167" t="s">
        <v>4287</v>
      </c>
      <c r="Q211" s="392">
        <v>42670</v>
      </c>
      <c r="R211" s="392">
        <v>42669</v>
      </c>
      <c r="S211" s="392" t="str">
        <f>_xlfn.IFNA(VLOOKUP(B211,'[1]VLOOKUP NO DUPS'!$A$1:$C$456,2,FALSE),"")</f>
        <v>01/11/2017</v>
      </c>
      <c r="T211" s="168" t="str">
        <f>_xlfn.IFNA(VLOOKUP(B211,'[1]VLOOKUP NO DUPS'!$A$1:$C$456,3,FALSE),"")</f>
        <v>Levi &amp; Korsinsky, LLP; Lite Depalma Greenberg, LLC; Pomerantz LLP</v>
      </c>
      <c r="U211" s="92"/>
      <c r="V211" s="92"/>
      <c r="W211" s="92"/>
    </row>
    <row r="212" spans="1:23" s="91" customFormat="1" ht="45" x14ac:dyDescent="0.25">
      <c r="A212" s="165" t="str">
        <f t="shared" si="6"/>
        <v/>
      </c>
      <c r="B212" s="23" t="s">
        <v>2939</v>
      </c>
      <c r="C212" s="23" t="s">
        <v>4999</v>
      </c>
      <c r="D212" s="166" t="s">
        <v>5000</v>
      </c>
      <c r="E212" s="242" t="s">
        <v>418</v>
      </c>
      <c r="F212" s="169">
        <v>2</v>
      </c>
      <c r="G212" s="243" t="s">
        <v>5001</v>
      </c>
      <c r="H212" s="89">
        <v>900000000</v>
      </c>
      <c r="I212" s="89" t="str">
        <f>IF($H212&lt;='Abbrev Key'!$A$2,'Abbrev Key'!$B$2,IF($H212&lt;='Abbrev Key'!$A$3,'Abbrev Key'!$B$3,IF($H212&lt;='Abbrev Key'!$A$4,'Abbrev Key'!$B$4,IF($H212&lt;='Abbrev Key'!$A$5,'Abbrev Key'!$B$5,IF($H212&lt;='Abbrev Key'!$A$6,'Abbrev Key'!$B$6,IF($H212&gt;='Abbrev Key'!$A$7,'Abbrev Key'!$B$7,IF($H212='Abbrev Key'!$A$8,'Abbrev Key'!$B$8,"")))))))</f>
        <v>F</v>
      </c>
      <c r="J212" s="17" t="s">
        <v>2968</v>
      </c>
      <c r="K212" s="23" t="s">
        <v>633</v>
      </c>
      <c r="L212" s="398">
        <v>1004573.27</v>
      </c>
      <c r="M212" s="403">
        <f t="shared" si="7"/>
        <v>1.1161925222222223E-3</v>
      </c>
      <c r="N212" s="23" t="s">
        <v>7</v>
      </c>
      <c r="O212" s="23"/>
      <c r="P212" s="167" t="s">
        <v>4287</v>
      </c>
      <c r="Q212" s="392">
        <v>42716</v>
      </c>
      <c r="R212" s="392">
        <v>42715</v>
      </c>
      <c r="S212" s="392" t="str">
        <f>_xlfn.IFNA(VLOOKUP(B212,'[1]VLOOKUP NO DUPS'!$A$1:$C$456,2,FALSE),"")</f>
        <v>01/11/2017</v>
      </c>
      <c r="T212" s="168" t="str">
        <f>_xlfn.IFNA(VLOOKUP(B212,'[1]VLOOKUP NO DUPS'!$A$1:$C$456,3,FALSE),"")</f>
        <v>Levi &amp; Korsinsky, LLP</v>
      </c>
      <c r="U212" s="92"/>
      <c r="V212" s="92"/>
      <c r="W212" s="92"/>
    </row>
    <row r="213" spans="1:23" s="91" customFormat="1" ht="45" x14ac:dyDescent="0.25">
      <c r="A213" s="165" t="str">
        <f t="shared" si="6"/>
        <v/>
      </c>
      <c r="B213" s="23" t="s">
        <v>1830</v>
      </c>
      <c r="C213" s="23" t="s">
        <v>4619</v>
      </c>
      <c r="D213" s="166" t="s">
        <v>4620</v>
      </c>
      <c r="E213" s="242" t="s">
        <v>424</v>
      </c>
      <c r="F213" s="169">
        <v>3</v>
      </c>
      <c r="G213" s="243" t="s">
        <v>4621</v>
      </c>
      <c r="H213" s="89">
        <v>10000000</v>
      </c>
      <c r="I213" s="89" t="str">
        <f>IF($H213&lt;='Abbrev Key'!$A$2,'Abbrev Key'!$B$2,IF($H213&lt;='Abbrev Key'!$A$3,'Abbrev Key'!$B$3,IF($H213&lt;='Abbrev Key'!$A$4,'Abbrev Key'!$B$4,IF($H213&lt;='Abbrev Key'!$A$5,'Abbrev Key'!$B$5,IF($H213&lt;='Abbrev Key'!$A$6,'Abbrev Key'!$B$6,IF($H213&gt;='Abbrev Key'!$A$7,'Abbrev Key'!$B$7,IF($H213='Abbrev Key'!$A$8,'Abbrev Key'!$B$8,"")))))))</f>
        <v>A</v>
      </c>
      <c r="J213" s="17" t="s">
        <v>11833</v>
      </c>
      <c r="K213" s="23" t="s">
        <v>646</v>
      </c>
      <c r="L213" s="398">
        <v>38362.25</v>
      </c>
      <c r="M213" s="403">
        <f t="shared" si="7"/>
        <v>3.836225E-3</v>
      </c>
      <c r="N213" s="23" t="s">
        <v>1834</v>
      </c>
      <c r="O213" s="23"/>
      <c r="P213" s="167" t="s">
        <v>4287</v>
      </c>
      <c r="Q213" s="392">
        <v>42655</v>
      </c>
      <c r="R213" s="392">
        <v>42654</v>
      </c>
      <c r="S213" s="392" t="str">
        <f>_xlfn.IFNA(VLOOKUP(B213,'[1]VLOOKUP NO DUPS'!$A$1:$C$456,2,FALSE),"")</f>
        <v>01/12/2017</v>
      </c>
      <c r="T213" s="168" t="str">
        <f>_xlfn.IFNA(VLOOKUP(B213,'[1]VLOOKUP NO DUPS'!$A$1:$C$456,3,FALSE),"")</f>
        <v>The Rosen Law Firm, P.A.</v>
      </c>
      <c r="U213" s="92"/>
      <c r="V213" s="92"/>
      <c r="W213" s="92"/>
    </row>
    <row r="214" spans="1:23" s="91" customFormat="1" ht="30" x14ac:dyDescent="0.25">
      <c r="A214" s="165" t="str">
        <f t="shared" si="6"/>
        <v/>
      </c>
      <c r="B214" s="23" t="s">
        <v>2935</v>
      </c>
      <c r="C214" s="23" t="s">
        <v>4996</v>
      </c>
      <c r="D214" s="166" t="s">
        <v>4997</v>
      </c>
      <c r="E214" s="242" t="s">
        <v>418</v>
      </c>
      <c r="F214" s="169">
        <v>2</v>
      </c>
      <c r="G214" s="243" t="s">
        <v>4998</v>
      </c>
      <c r="H214" s="89">
        <v>360000000</v>
      </c>
      <c r="I214" s="89" t="str">
        <f>IF($H214&lt;='Abbrev Key'!$A$2,'Abbrev Key'!$B$2,IF($H214&lt;='Abbrev Key'!$A$3,'Abbrev Key'!$B$3,IF($H214&lt;='Abbrev Key'!$A$4,'Abbrev Key'!$B$4,IF($H214&lt;='Abbrev Key'!$A$5,'Abbrev Key'!$B$5,IF($H214&lt;='Abbrev Key'!$A$6,'Abbrev Key'!$B$6,IF($H214&gt;='Abbrev Key'!$A$7,'Abbrev Key'!$B$7,IF($H214='Abbrev Key'!$A$8,'Abbrev Key'!$B$8,"")))))))</f>
        <v>E</v>
      </c>
      <c r="J214" s="17" t="s">
        <v>2937</v>
      </c>
      <c r="K214" s="92" t="s">
        <v>637</v>
      </c>
      <c r="L214" s="398">
        <v>29732.25</v>
      </c>
      <c r="M214" s="403">
        <f t="shared" si="7"/>
        <v>8.2589583333333329E-5</v>
      </c>
      <c r="N214" s="92" t="s">
        <v>1583</v>
      </c>
      <c r="O214" s="92"/>
      <c r="P214" s="167" t="s">
        <v>4287</v>
      </c>
      <c r="Q214" s="392">
        <v>42681</v>
      </c>
      <c r="R214" s="392">
        <v>42680</v>
      </c>
      <c r="S214" s="392" t="str">
        <f>_xlfn.IFNA(VLOOKUP(B214,'[1]VLOOKUP NO DUPS'!$A$1:$C$456,2,FALSE),"")</f>
        <v>01/17/2017</v>
      </c>
      <c r="T214" s="168" t="str">
        <f>_xlfn.IFNA(VLOOKUP(B214,'[1]VLOOKUP NO DUPS'!$A$1:$C$456,3,FALSE),"")</f>
        <v>Lifshitz &amp; Miller; Parr Richey Obremskey Frandsen &amp; Patterson LLP</v>
      </c>
      <c r="U214" s="92"/>
      <c r="V214" s="92"/>
      <c r="W214" s="92"/>
    </row>
    <row r="215" spans="1:23" s="91" customFormat="1" ht="60" x14ac:dyDescent="0.25">
      <c r="A215" s="165" t="str">
        <f t="shared" si="6"/>
        <v/>
      </c>
      <c r="B215" s="23" t="s">
        <v>28</v>
      </c>
      <c r="C215" s="23" t="s">
        <v>4550</v>
      </c>
      <c r="D215" s="166" t="s">
        <v>4551</v>
      </c>
      <c r="E215" s="242" t="s">
        <v>431</v>
      </c>
      <c r="F215" s="169">
        <v>6</v>
      </c>
      <c r="G215" s="243" t="s">
        <v>4552</v>
      </c>
      <c r="H215" s="89">
        <v>1400000000</v>
      </c>
      <c r="I215" s="89" t="str">
        <f>IF($H215&lt;='Abbrev Key'!$A$2,'Abbrev Key'!$B$2,IF($H215&lt;='Abbrev Key'!$A$3,'Abbrev Key'!$B$3,IF($H215&lt;='Abbrev Key'!$A$4,'Abbrev Key'!$B$4,IF($H215&lt;='Abbrev Key'!$A$5,'Abbrev Key'!$B$5,IF($H215&lt;='Abbrev Key'!$A$6,'Abbrev Key'!$B$6,IF($H215&gt;='Abbrev Key'!$A$7,'Abbrev Key'!$B$7,IF($H215='Abbrev Key'!$A$8,'Abbrev Key'!$B$8,"")))))))</f>
        <v>F</v>
      </c>
      <c r="J215" s="23" t="s">
        <v>26</v>
      </c>
      <c r="K215" s="23" t="s">
        <v>633</v>
      </c>
      <c r="L215" s="398">
        <v>6899642.0099999998</v>
      </c>
      <c r="M215" s="403">
        <f t="shared" si="7"/>
        <v>4.9283157214285713E-3</v>
      </c>
      <c r="N215" s="23" t="s">
        <v>10809</v>
      </c>
      <c r="O215" s="23"/>
      <c r="P215" s="167" t="s">
        <v>4295</v>
      </c>
      <c r="Q215" s="392">
        <v>42704</v>
      </c>
      <c r="R215" s="392">
        <v>42703</v>
      </c>
      <c r="S215" s="392" t="str">
        <f>_xlfn.IFNA(VLOOKUP(B215,'[1]VLOOKUP NO DUPS'!$A$1:$C$456,2,FALSE),"")</f>
        <v>01/18/2017</v>
      </c>
      <c r="T215" s="168" t="str">
        <f>_xlfn.IFNA(VLOOKUP(B215,'[1]VLOOKUP NO DUPS'!$A$1:$C$456,3,FALSE),"")</f>
        <v>Berke, Berke &amp; Berke; Bramlett Law Offices; Bronstein, Gewirtz &amp; Grossman, LLC; Holifield, Janich, Rachal &amp; Associates, PLLC; Kessler Topaz  Meltzer &amp; Check, LLP; Levi &amp; Korsinsky, LLP; Pomerantz LLP</v>
      </c>
      <c r="U215" s="92"/>
      <c r="V215" s="92"/>
      <c r="W215" s="92"/>
    </row>
    <row r="216" spans="1:23" s="91" customFormat="1" ht="30" x14ac:dyDescent="0.25">
      <c r="A216" s="165" t="str">
        <f t="shared" si="6"/>
        <v/>
      </c>
      <c r="B216" s="23" t="s">
        <v>316</v>
      </c>
      <c r="C216" s="23" t="s">
        <v>5291</v>
      </c>
      <c r="D216" s="166" t="s">
        <v>4482</v>
      </c>
      <c r="E216" s="242" t="s">
        <v>592</v>
      </c>
      <c r="F216" s="169">
        <v>11</v>
      </c>
      <c r="G216" s="243" t="s">
        <v>5292</v>
      </c>
      <c r="H216" s="89">
        <v>750000000</v>
      </c>
      <c r="I216" s="89" t="str">
        <f>IF($H216&lt;='Abbrev Key'!$A$2,'Abbrev Key'!$B$2,IF($H216&lt;='Abbrev Key'!$A$3,'Abbrev Key'!$B$3,IF($H216&lt;='Abbrev Key'!$A$4,'Abbrev Key'!$B$4,IF($H216&lt;='Abbrev Key'!$A$5,'Abbrev Key'!$B$5,IF($H216&lt;='Abbrev Key'!$A$6,'Abbrev Key'!$B$6,IF($H216&gt;='Abbrev Key'!$A$7,'Abbrev Key'!$B$7,IF($H216='Abbrev Key'!$A$8,'Abbrev Key'!$B$8,"")))))))</f>
        <v>F</v>
      </c>
      <c r="J216" s="17" t="s">
        <v>313</v>
      </c>
      <c r="K216" s="92" t="s">
        <v>633</v>
      </c>
      <c r="L216" s="398">
        <v>60445.59</v>
      </c>
      <c r="M216" s="403">
        <f t="shared" si="7"/>
        <v>8.0594119999999989E-5</v>
      </c>
      <c r="N216" s="23" t="s">
        <v>1640</v>
      </c>
      <c r="O216" s="23"/>
      <c r="P216" s="167" t="s">
        <v>4287</v>
      </c>
      <c r="Q216" s="392">
        <v>41576</v>
      </c>
      <c r="R216" s="392">
        <v>41575</v>
      </c>
      <c r="S216" s="392" t="str">
        <f>_xlfn.IFNA(VLOOKUP(B216,'[1]VLOOKUP NO DUPS'!$A$1:$C$456,2,FALSE),"")</f>
        <v>01/20/2017</v>
      </c>
      <c r="T216" s="168">
        <f>_xlfn.IFNA(VLOOKUP(B216,'[1]VLOOKUP NO DUPS'!$A$1:$C$456,3,FALSE),"")</f>
        <v>0</v>
      </c>
      <c r="U216" s="92"/>
      <c r="V216" s="92"/>
      <c r="W216" s="92"/>
    </row>
    <row r="217" spans="1:23" s="91" customFormat="1" ht="30" x14ac:dyDescent="0.25">
      <c r="A217" s="165" t="str">
        <f t="shared" si="6"/>
        <v/>
      </c>
      <c r="B217" s="23" t="s">
        <v>211</v>
      </c>
      <c r="C217" s="23" t="s">
        <v>4386</v>
      </c>
      <c r="D217" s="166" t="s">
        <v>4387</v>
      </c>
      <c r="E217" s="242" t="s">
        <v>446</v>
      </c>
      <c r="F217" s="169">
        <v>9</v>
      </c>
      <c r="G217" s="243" t="s">
        <v>4388</v>
      </c>
      <c r="H217" s="89">
        <v>100000000</v>
      </c>
      <c r="I217" s="89" t="str">
        <f>IF($H217&lt;='Abbrev Key'!$A$2,'Abbrev Key'!$B$2,IF($H217&lt;='Abbrev Key'!$A$3,'Abbrev Key'!$B$3,IF($H217&lt;='Abbrev Key'!$A$4,'Abbrev Key'!$B$4,IF($H217&lt;='Abbrev Key'!$A$5,'Abbrev Key'!$B$5,IF($H217&lt;='Abbrev Key'!$A$6,'Abbrev Key'!$B$6,IF($H217&gt;='Abbrev Key'!$A$7,'Abbrev Key'!$B$7,IF($H217='Abbrev Key'!$A$8,'Abbrev Key'!$B$8,"")))))))</f>
        <v>C</v>
      </c>
      <c r="J217" s="17" t="s">
        <v>210</v>
      </c>
      <c r="K217" s="23" t="s">
        <v>633</v>
      </c>
      <c r="L217" s="398">
        <v>97003.14</v>
      </c>
      <c r="M217" s="403">
        <f t="shared" si="7"/>
        <v>9.7003140000000002E-4</v>
      </c>
      <c r="N217" s="23" t="s">
        <v>993</v>
      </c>
      <c r="O217" s="23"/>
      <c r="P217" s="167" t="s">
        <v>4287</v>
      </c>
      <c r="Q217" s="392">
        <v>42755</v>
      </c>
      <c r="R217" s="392">
        <v>42754</v>
      </c>
      <c r="S217" s="392" t="str">
        <f>_xlfn.IFNA(VLOOKUP(B217,'[1]VLOOKUP NO DUPS'!$A$1:$C$456,2,FALSE),"")</f>
        <v>01/23/2017</v>
      </c>
      <c r="T217" s="168" t="str">
        <f>_xlfn.IFNA(VLOOKUP(B217,'[1]VLOOKUP NO DUPS'!$A$1:$C$456,3,FALSE),"")</f>
        <v>Glancy Prongay &amp; Murray, LLP; Johnson &amp; Weaver LLP; Robbins, Geller, Rudman &amp; Dowd, LLP</v>
      </c>
      <c r="U217" s="92"/>
      <c r="V217" s="92"/>
      <c r="W217" s="92"/>
    </row>
    <row r="218" spans="1:23" s="91" customFormat="1" ht="60" x14ac:dyDescent="0.25">
      <c r="A218" s="165" t="str">
        <f t="shared" si="6"/>
        <v/>
      </c>
      <c r="B218" s="23" t="s">
        <v>19</v>
      </c>
      <c r="C218" s="23" t="s">
        <v>4880</v>
      </c>
      <c r="D218" s="166" t="s">
        <v>4881</v>
      </c>
      <c r="E218" s="242" t="s">
        <v>434</v>
      </c>
      <c r="F218" s="169" t="s">
        <v>4882</v>
      </c>
      <c r="G218" s="243" t="s">
        <v>4883</v>
      </c>
      <c r="H218" s="89">
        <v>1000000000</v>
      </c>
      <c r="I218" s="89" t="str">
        <f>IF($H218&lt;='Abbrev Key'!$A$2,'Abbrev Key'!$B$2,IF($H218&lt;='Abbrev Key'!$A$3,'Abbrev Key'!$B$3,IF($H218&lt;='Abbrev Key'!$A$4,'Abbrev Key'!$B$4,IF($H218&lt;='Abbrev Key'!$A$5,'Abbrev Key'!$B$5,IF($H218&lt;='Abbrev Key'!$A$6,'Abbrev Key'!$B$6,IF($H218&gt;='Abbrev Key'!$A$7,'Abbrev Key'!$B$7,IF($H218='Abbrev Key'!$A$8,'Abbrev Key'!$B$8,"")))))))</f>
        <v>F</v>
      </c>
      <c r="J218" s="17" t="s">
        <v>2637</v>
      </c>
      <c r="K218" s="23" t="s">
        <v>633</v>
      </c>
      <c r="L218" s="398">
        <v>46378080</v>
      </c>
      <c r="M218" s="403">
        <f t="shared" si="7"/>
        <v>4.6378080000000002E-2</v>
      </c>
      <c r="N218" s="23" t="s">
        <v>10837</v>
      </c>
      <c r="O218" s="23"/>
      <c r="P218" s="167" t="s">
        <v>4287</v>
      </c>
      <c r="Q218" s="392">
        <v>42753</v>
      </c>
      <c r="R218" s="392">
        <v>42752</v>
      </c>
      <c r="S218" s="392" t="str">
        <f>_xlfn.IFNA(VLOOKUP(B218,'[1]VLOOKUP NO DUPS'!$A$1:$C$456,2,FALSE),"")</f>
        <v>01/23/2017</v>
      </c>
      <c r="T218" s="168" t="str">
        <f>_xlfn.IFNA(VLOOKUP(B218,'[1]VLOOKUP NO DUPS'!$A$1:$C$456,3,FALSE),"")</f>
        <v>Cohen Milstein Sellers &amp; Toll PLLC; Finkelstein Thompson LLP; Kahn Swick &amp; Foti, LLC; Kessler Topaz  Meltzer &amp; Check, LLP; Levi &amp; Korsinsky, LLP; Michael Weitzner Attorney at Law; Saxena White P.A.</v>
      </c>
      <c r="U218" s="92"/>
      <c r="V218" s="92"/>
      <c r="W218" s="92"/>
    </row>
    <row r="219" spans="1:23" s="91" customFormat="1" ht="30" x14ac:dyDescent="0.25">
      <c r="A219" s="165" t="str">
        <f t="shared" si="6"/>
        <v>DUP</v>
      </c>
      <c r="B219" s="23" t="s">
        <v>246</v>
      </c>
      <c r="C219" s="23" t="s">
        <v>10660</v>
      </c>
      <c r="D219" s="20" t="s">
        <v>10656</v>
      </c>
      <c r="E219" s="13" t="s">
        <v>557</v>
      </c>
      <c r="F219" s="284">
        <v>9</v>
      </c>
      <c r="G219" s="13" t="s">
        <v>10657</v>
      </c>
      <c r="H219" s="89">
        <v>3000000000</v>
      </c>
      <c r="I219" s="89" t="str">
        <f>IF($H219&lt;='Abbrev Key'!$A$2,'Abbrev Key'!$B$2,IF($H219&lt;='Abbrev Key'!$A$3,'Abbrev Key'!$B$3,IF($H219&lt;='Abbrev Key'!$A$4,'Abbrev Key'!$B$4,IF($H219&lt;='Abbrev Key'!$A$5,'Abbrev Key'!$B$5,IF($H219&lt;='Abbrev Key'!$A$6,'Abbrev Key'!$B$6,IF($H219&gt;='Abbrev Key'!$A$7,'Abbrev Key'!$B$7,IF($H219='Abbrev Key'!$A$8,'Abbrev Key'!$B$8,"")))))))</f>
        <v>F</v>
      </c>
      <c r="J219" s="92" t="s">
        <v>11897</v>
      </c>
      <c r="K219" s="92" t="s">
        <v>640</v>
      </c>
      <c r="L219" s="398">
        <v>9745565.5199999996</v>
      </c>
      <c r="M219" s="403">
        <f t="shared" si="7"/>
        <v>3.24852184E-3</v>
      </c>
      <c r="N219" s="92" t="s">
        <v>10658</v>
      </c>
      <c r="O219" s="92"/>
      <c r="P219" s="167" t="s">
        <v>4287</v>
      </c>
      <c r="Q219" s="392" t="str">
        <f>RIGHT(G219,10)</f>
        <v>01/20/2017</v>
      </c>
      <c r="R219" s="392">
        <f>Q219-1</f>
        <v>42754</v>
      </c>
      <c r="S219" s="392" t="s">
        <v>435</v>
      </c>
      <c r="T219" s="168" t="s">
        <v>10905</v>
      </c>
      <c r="U219" s="167"/>
      <c r="V219" s="167"/>
      <c r="W219" s="167"/>
    </row>
    <row r="220" spans="1:23" s="91" customFormat="1" ht="45" x14ac:dyDescent="0.25">
      <c r="A220" s="165" t="str">
        <f t="shared" si="6"/>
        <v/>
      </c>
      <c r="B220" s="23" t="s">
        <v>2332</v>
      </c>
      <c r="C220" s="23" t="s">
        <v>4765</v>
      </c>
      <c r="D220" s="166" t="s">
        <v>4766</v>
      </c>
      <c r="E220" s="242" t="s">
        <v>542</v>
      </c>
      <c r="F220" s="169">
        <v>3</v>
      </c>
      <c r="G220" s="243" t="s">
        <v>4767</v>
      </c>
      <c r="H220" s="89" t="s">
        <v>4882</v>
      </c>
      <c r="I220" s="89" t="s">
        <v>6732</v>
      </c>
      <c r="J220" s="17" t="s">
        <v>11854</v>
      </c>
      <c r="K220" s="23" t="s">
        <v>646</v>
      </c>
      <c r="L220" s="398">
        <v>71050.69</v>
      </c>
      <c r="M220" s="403" t="str">
        <f t="shared" si="7"/>
        <v>DC</v>
      </c>
      <c r="N220" s="23" t="s">
        <v>10946</v>
      </c>
      <c r="O220" s="23"/>
      <c r="P220" s="167" t="s">
        <v>4287</v>
      </c>
      <c r="Q220" s="392">
        <v>42733</v>
      </c>
      <c r="R220" s="392">
        <v>42732</v>
      </c>
      <c r="S220" s="392" t="str">
        <f>_xlfn.IFNA(VLOOKUP(B220,'[1]VLOOKUP NO DUPS'!$A$1:$C$456,2,FALSE),"")</f>
        <v>01/24/2017</v>
      </c>
      <c r="T220" s="168" t="str">
        <f>_xlfn.IFNA(VLOOKUP(B220,'[1]VLOOKUP NO DUPS'!$A$1:$C$456,3,FALSE),"")</f>
        <v>Brodsky &amp; Smith, LLC; Bronstein, Gewirtz &amp; Grossman, LLC; Pomerantz LLP; The Rosen Law Firm, P.A.</v>
      </c>
      <c r="U220" s="92"/>
      <c r="V220" s="92"/>
      <c r="W220" s="92"/>
    </row>
    <row r="221" spans="1:23" s="91" customFormat="1" ht="30" x14ac:dyDescent="0.25">
      <c r="A221" s="165" t="str">
        <f t="shared" si="6"/>
        <v/>
      </c>
      <c r="B221" s="23" t="s">
        <v>4180</v>
      </c>
      <c r="C221" s="23" t="s">
        <v>5404</v>
      </c>
      <c r="D221" s="166" t="s">
        <v>5405</v>
      </c>
      <c r="E221" s="242" t="s">
        <v>457</v>
      </c>
      <c r="F221" s="169">
        <v>9</v>
      </c>
      <c r="G221" s="243" t="s">
        <v>5406</v>
      </c>
      <c r="H221" s="89">
        <v>600000000</v>
      </c>
      <c r="I221" s="89" t="str">
        <f>IF($H221&lt;='Abbrev Key'!$A$2,'Abbrev Key'!$B$2,IF($H221&lt;='Abbrev Key'!$A$3,'Abbrev Key'!$B$3,IF($H221&lt;='Abbrev Key'!$A$4,'Abbrev Key'!$B$4,IF($H221&lt;='Abbrev Key'!$A$5,'Abbrev Key'!$B$5,IF($H221&lt;='Abbrev Key'!$A$6,'Abbrev Key'!$B$6,IF($H221&gt;='Abbrev Key'!$A$7,'Abbrev Key'!$B$7,IF($H221='Abbrev Key'!$A$8,'Abbrev Key'!$B$8,"")))))))</f>
        <v>F</v>
      </c>
      <c r="J221" s="92" t="s">
        <v>11988</v>
      </c>
      <c r="K221" s="92" t="s">
        <v>662</v>
      </c>
      <c r="L221" s="398">
        <v>1180889</v>
      </c>
      <c r="M221" s="403">
        <f t="shared" si="7"/>
        <v>1.9681483333333335E-3</v>
      </c>
      <c r="N221" s="92" t="s">
        <v>885</v>
      </c>
      <c r="O221" s="92"/>
      <c r="P221" s="167" t="s">
        <v>4408</v>
      </c>
      <c r="Q221" s="392">
        <v>42718</v>
      </c>
      <c r="R221" s="392">
        <v>42717</v>
      </c>
      <c r="S221" s="392" t="str">
        <f>_xlfn.IFNA(VLOOKUP(B221,'[1]VLOOKUP NO DUPS'!$A$1:$C$456,2,FALSE),"")</f>
        <v>01/24/2017</v>
      </c>
      <c r="T221" s="168" t="str">
        <f>_xlfn.IFNA(VLOOKUP(B221,'[1]VLOOKUP NO DUPS'!$A$1:$C$456,3,FALSE),"")</f>
        <v>Bronstein, Gewirtz &amp; Grossman, LLC; Goldberg Law PC; Pomerantz LLP</v>
      </c>
      <c r="U221" s="92"/>
      <c r="V221" s="92"/>
      <c r="W221" s="92"/>
    </row>
    <row r="222" spans="1:23" s="91" customFormat="1" ht="30" x14ac:dyDescent="0.25">
      <c r="A222" s="165" t="str">
        <f t="shared" si="6"/>
        <v/>
      </c>
      <c r="B222" s="23" t="s">
        <v>1065</v>
      </c>
      <c r="C222" s="23" t="s">
        <v>4412</v>
      </c>
      <c r="D222" s="166" t="s">
        <v>10948</v>
      </c>
      <c r="E222" s="242" t="s">
        <v>418</v>
      </c>
      <c r="F222" s="169">
        <v>2</v>
      </c>
      <c r="G222" s="243" t="s">
        <v>4414</v>
      </c>
      <c r="H222" s="89">
        <v>500000000</v>
      </c>
      <c r="I222" s="89" t="str">
        <f>IF($H222&lt;='Abbrev Key'!$A$2,'Abbrev Key'!$B$2,IF($H222&lt;='Abbrev Key'!$A$3,'Abbrev Key'!$B$3,IF($H222&lt;='Abbrev Key'!$A$4,'Abbrev Key'!$B$4,IF($H222&lt;='Abbrev Key'!$A$5,'Abbrev Key'!$B$5,IF($H222&lt;='Abbrev Key'!$A$6,'Abbrev Key'!$B$6,IF($H222&gt;='Abbrev Key'!$A$7,'Abbrev Key'!$B$7,IF($H222='Abbrev Key'!$A$8,'Abbrev Key'!$B$8,"")))))))</f>
        <v>E</v>
      </c>
      <c r="J222" s="17" t="s">
        <v>1074</v>
      </c>
      <c r="K222" s="92" t="s">
        <v>633</v>
      </c>
      <c r="L222" s="354">
        <v>78515.73</v>
      </c>
      <c r="M222" s="405">
        <f t="shared" si="7"/>
        <v>1.5703146E-4</v>
      </c>
      <c r="N222" s="23" t="s">
        <v>7</v>
      </c>
      <c r="O222" s="23"/>
      <c r="P222" s="167" t="s">
        <v>4287</v>
      </c>
      <c r="Q222" s="392">
        <v>42758</v>
      </c>
      <c r="R222" s="392">
        <v>42757</v>
      </c>
      <c r="S222" s="392" t="str">
        <f>_xlfn.IFNA(VLOOKUP(B222,'[1]VLOOKUP NO DUPS'!$A$1:$C$456,2,FALSE),"")</f>
        <v>01/25/2017</v>
      </c>
      <c r="T222" s="168" t="str">
        <f>_xlfn.IFNA(VLOOKUP(B222,'[1]VLOOKUP NO DUPS'!$A$1:$C$456,3,FALSE),"")</f>
        <v>Pomerantz LLP</v>
      </c>
      <c r="U222" s="92"/>
      <c r="V222" s="92"/>
      <c r="W222" s="92"/>
    </row>
    <row r="223" spans="1:23" s="91" customFormat="1" ht="30" x14ac:dyDescent="0.25">
      <c r="A223" s="165" t="str">
        <f t="shared" si="6"/>
        <v/>
      </c>
      <c r="B223" s="23" t="s">
        <v>3104</v>
      </c>
      <c r="C223" s="23" t="s">
        <v>5044</v>
      </c>
      <c r="D223" s="166" t="s">
        <v>5045</v>
      </c>
      <c r="E223" s="242" t="s">
        <v>424</v>
      </c>
      <c r="F223" s="169">
        <v>3</v>
      </c>
      <c r="G223" s="243" t="s">
        <v>5046</v>
      </c>
      <c r="H223" s="89">
        <v>1000000</v>
      </c>
      <c r="I223" s="89" t="str">
        <f>IF($H223&lt;='Abbrev Key'!$A$2,'Abbrev Key'!$B$2,IF($H223&lt;='Abbrev Key'!$A$3,'Abbrev Key'!$B$3,IF($H223&lt;='Abbrev Key'!$A$4,'Abbrev Key'!$B$4,IF($H223&lt;='Abbrev Key'!$A$5,'Abbrev Key'!$B$5,IF($H223&lt;='Abbrev Key'!$A$6,'Abbrev Key'!$B$6,IF($H223&gt;='Abbrev Key'!$A$7,'Abbrev Key'!$B$7,IF($H223='Abbrev Key'!$A$8,'Abbrev Key'!$B$8,"")))))))</f>
        <v>A</v>
      </c>
      <c r="J223" s="92" t="s">
        <v>11896</v>
      </c>
      <c r="K223" s="92" t="s">
        <v>646</v>
      </c>
      <c r="L223" s="398">
        <v>347201.7</v>
      </c>
      <c r="M223" s="403">
        <f t="shared" si="7"/>
        <v>0.3472017</v>
      </c>
      <c r="N223" s="92" t="s">
        <v>682</v>
      </c>
      <c r="O223" s="92"/>
      <c r="P223" s="167" t="s">
        <v>4287</v>
      </c>
      <c r="Q223" s="392">
        <v>42755</v>
      </c>
      <c r="R223" s="392">
        <v>42754</v>
      </c>
      <c r="S223" s="392" t="str">
        <f>_xlfn.IFNA(VLOOKUP(B223,'[1]VLOOKUP NO DUPS'!$A$1:$C$456,2,FALSE),"")</f>
        <v>01/25/2017</v>
      </c>
      <c r="T223" s="168" t="str">
        <f>_xlfn.IFNA(VLOOKUP(B223,'[1]VLOOKUP NO DUPS'!$A$1:$C$456,3,FALSE),"")</f>
        <v>The Rosen Law Firm, P.A.</v>
      </c>
      <c r="U223" s="92"/>
      <c r="V223" s="92"/>
      <c r="W223" s="92"/>
    </row>
    <row r="224" spans="1:23" s="91" customFormat="1" ht="45" x14ac:dyDescent="0.25">
      <c r="A224" s="165" t="str">
        <f t="shared" si="6"/>
        <v/>
      </c>
      <c r="B224" s="23" t="s">
        <v>193</v>
      </c>
      <c r="C224" s="23" t="s">
        <v>5367</v>
      </c>
      <c r="D224" s="166" t="s">
        <v>5368</v>
      </c>
      <c r="E224" s="242" t="s">
        <v>536</v>
      </c>
      <c r="F224" s="169">
        <v>10</v>
      </c>
      <c r="G224" s="243" t="s">
        <v>5369</v>
      </c>
      <c r="H224" s="89">
        <v>180000000</v>
      </c>
      <c r="I224" s="89" t="str">
        <f>IF($H224&lt;='Abbrev Key'!$A$2,'Abbrev Key'!$B$2,IF($H224&lt;='Abbrev Key'!$A$3,'Abbrev Key'!$B$3,IF($H224&lt;='Abbrev Key'!$A$4,'Abbrev Key'!$B$4,IF($H224&lt;='Abbrev Key'!$A$5,'Abbrev Key'!$B$5,IF($H224&lt;='Abbrev Key'!$A$6,'Abbrev Key'!$B$6,IF($H224&gt;='Abbrev Key'!$A$7,'Abbrev Key'!$B$7,IF($H224='Abbrev Key'!$A$8,'Abbrev Key'!$B$8,"")))))))</f>
        <v>D</v>
      </c>
      <c r="J224" s="17" t="s">
        <v>189</v>
      </c>
      <c r="K224" s="23" t="s">
        <v>633</v>
      </c>
      <c r="L224" s="398">
        <v>339133.77</v>
      </c>
      <c r="M224" s="403">
        <f t="shared" si="7"/>
        <v>1.8840765000000001E-3</v>
      </c>
      <c r="N224" s="23" t="s">
        <v>11092</v>
      </c>
      <c r="O224" s="23"/>
      <c r="P224" s="167" t="s">
        <v>4408</v>
      </c>
      <c r="Q224" s="392">
        <v>42748</v>
      </c>
      <c r="R224" s="392">
        <v>42747</v>
      </c>
      <c r="S224" s="392" t="str">
        <f>_xlfn.IFNA(VLOOKUP(B224,'[1]VLOOKUP NO DUPS'!$A$1:$C$456,2,FALSE),"")</f>
        <v>01/25/2017</v>
      </c>
      <c r="T224" s="168" t="str">
        <f>_xlfn.IFNA(VLOOKUP(B224,'[1]VLOOKUP NO DUPS'!$A$1:$C$456,3,FALSE),"")</f>
        <v xml:space="preserve">Goebel Anderson PC </v>
      </c>
      <c r="U224" s="92"/>
      <c r="V224" s="92"/>
      <c r="W224" s="92"/>
    </row>
    <row r="225" spans="1:23" s="91" customFormat="1" ht="30" x14ac:dyDescent="0.25">
      <c r="A225" s="165" t="str">
        <f t="shared" si="6"/>
        <v/>
      </c>
      <c r="B225" s="23" t="s">
        <v>1715</v>
      </c>
      <c r="C225" s="23" t="s">
        <v>4568</v>
      </c>
      <c r="D225" s="166" t="s">
        <v>4569</v>
      </c>
      <c r="E225" s="242" t="s">
        <v>542</v>
      </c>
      <c r="F225" s="169">
        <v>3</v>
      </c>
      <c r="G225" s="243" t="s">
        <v>4570</v>
      </c>
      <c r="H225" s="89">
        <v>15000000</v>
      </c>
      <c r="I225" s="89" t="str">
        <f>IF($H225&lt;='Abbrev Key'!$A$2,'Abbrev Key'!$B$2,IF($H225&lt;='Abbrev Key'!$A$3,'Abbrev Key'!$B$3,IF($H225&lt;='Abbrev Key'!$A$4,'Abbrev Key'!$B$4,IF($H225&lt;='Abbrev Key'!$A$5,'Abbrev Key'!$B$5,IF($H225&lt;='Abbrev Key'!$A$6,'Abbrev Key'!$B$6,IF($H225&gt;='Abbrev Key'!$A$7,'Abbrev Key'!$B$7,IF($H225='Abbrev Key'!$A$8,'Abbrev Key'!$B$8,"")))))))</f>
        <v>A</v>
      </c>
      <c r="J225" s="17" t="s">
        <v>11820</v>
      </c>
      <c r="K225" s="23" t="s">
        <v>646</v>
      </c>
      <c r="L225" s="398">
        <v>76177.929999999993</v>
      </c>
      <c r="M225" s="403">
        <f t="shared" si="7"/>
        <v>5.078528666666666E-3</v>
      </c>
      <c r="N225" s="23" t="s">
        <v>1720</v>
      </c>
      <c r="O225" s="23"/>
      <c r="P225" s="167" t="s">
        <v>4287</v>
      </c>
      <c r="Q225" s="392">
        <v>42744</v>
      </c>
      <c r="R225" s="392">
        <v>42743</v>
      </c>
      <c r="S225" s="392" t="str">
        <f>_xlfn.IFNA(VLOOKUP(B225,'[1]VLOOKUP NO DUPS'!$A$1:$C$456,2,FALSE),"")</f>
        <v>01/27/2017</v>
      </c>
      <c r="T225" s="168" t="str">
        <f>_xlfn.IFNA(VLOOKUP(B225,'[1]VLOOKUP NO DUPS'!$A$1:$C$456,3,FALSE),"")</f>
        <v>Brodsky &amp; Smith, LLC; Levi &amp; Korsinsky, LLP; O'Kelly Ernst &amp; Joyce, LLC; Pomerantz LLP</v>
      </c>
      <c r="U225" s="92"/>
      <c r="V225" s="92"/>
      <c r="W225" s="92"/>
    </row>
    <row r="226" spans="1:23" s="91" customFormat="1" ht="30" x14ac:dyDescent="0.25">
      <c r="A226" s="165" t="str">
        <f t="shared" si="6"/>
        <v>DUP</v>
      </c>
      <c r="B226" s="23" t="s">
        <v>1819</v>
      </c>
      <c r="C226" s="23" t="s">
        <v>10531</v>
      </c>
      <c r="D226" s="166" t="s">
        <v>4613</v>
      </c>
      <c r="E226" s="242" t="s">
        <v>446</v>
      </c>
      <c r="F226" s="169">
        <v>9</v>
      </c>
      <c r="G226" s="243" t="s">
        <v>4614</v>
      </c>
      <c r="H226" s="89">
        <v>5000000000</v>
      </c>
      <c r="I226" s="89" t="str">
        <f>IF($H226&lt;='Abbrev Key'!$A$2,'Abbrev Key'!$B$2,IF($H226&lt;='Abbrev Key'!$A$3,'Abbrev Key'!$B$3,IF($H226&lt;='Abbrev Key'!$A$4,'Abbrev Key'!$B$4,IF($H226&lt;='Abbrev Key'!$A$5,'Abbrev Key'!$B$5,IF($H226&lt;='Abbrev Key'!$A$6,'Abbrev Key'!$B$6,IF($H226&gt;='Abbrev Key'!$A$7,'Abbrev Key'!$B$7,IF($H226='Abbrev Key'!$A$8,'Abbrev Key'!$B$8,"")))))))</f>
        <v>F</v>
      </c>
      <c r="J226" s="17" t="s">
        <v>11831</v>
      </c>
      <c r="K226" s="92" t="s">
        <v>646</v>
      </c>
      <c r="L226" s="398">
        <v>110423.41</v>
      </c>
      <c r="M226" s="403">
        <f t="shared" si="7"/>
        <v>2.2084682E-5</v>
      </c>
      <c r="N226" s="23" t="s">
        <v>1617</v>
      </c>
      <c r="O226" s="23"/>
      <c r="P226" s="167" t="s">
        <v>4295</v>
      </c>
      <c r="Q226" s="392">
        <v>42676</v>
      </c>
      <c r="R226" s="392">
        <v>42675</v>
      </c>
      <c r="S226" s="392" t="s">
        <v>1716</v>
      </c>
      <c r="T226" s="168" t="s">
        <v>1617</v>
      </c>
      <c r="U226" s="92"/>
      <c r="V226" s="92"/>
      <c r="W226" s="92"/>
    </row>
    <row r="227" spans="1:23" s="91" customFormat="1" ht="45" x14ac:dyDescent="0.25">
      <c r="A227" s="165" t="str">
        <f t="shared" si="6"/>
        <v/>
      </c>
      <c r="B227" s="23" t="s">
        <v>2097</v>
      </c>
      <c r="C227" s="23" t="s">
        <v>4690</v>
      </c>
      <c r="D227" s="166" t="s">
        <v>4691</v>
      </c>
      <c r="E227" s="242" t="s">
        <v>457</v>
      </c>
      <c r="F227" s="169">
        <v>9</v>
      </c>
      <c r="G227" s="243" t="s">
        <v>4692</v>
      </c>
      <c r="H227" s="89">
        <v>125000000</v>
      </c>
      <c r="I227" s="89" t="str">
        <f>IF($H227&lt;='Abbrev Key'!$A$2,'Abbrev Key'!$B$2,IF($H227&lt;='Abbrev Key'!$A$3,'Abbrev Key'!$B$3,IF($H227&lt;='Abbrev Key'!$A$4,'Abbrev Key'!$B$4,IF($H227&lt;='Abbrev Key'!$A$5,'Abbrev Key'!$B$5,IF($H227&lt;='Abbrev Key'!$A$6,'Abbrev Key'!$B$6,IF($H227&gt;='Abbrev Key'!$A$7,'Abbrev Key'!$B$7,IF($H227='Abbrev Key'!$A$8,'Abbrev Key'!$B$8,"")))))))</f>
        <v>D</v>
      </c>
      <c r="J227" s="17" t="s">
        <v>11842</v>
      </c>
      <c r="K227" s="23" t="s">
        <v>662</v>
      </c>
      <c r="L227" s="354">
        <v>190900</v>
      </c>
      <c r="M227" s="405">
        <f t="shared" si="7"/>
        <v>1.5272E-3</v>
      </c>
      <c r="N227" s="23" t="s">
        <v>2114</v>
      </c>
      <c r="O227" s="23"/>
      <c r="P227" s="167" t="s">
        <v>4295</v>
      </c>
      <c r="Q227" s="392">
        <v>42752</v>
      </c>
      <c r="R227" s="392">
        <v>42751</v>
      </c>
      <c r="S227" s="392" t="str">
        <f>_xlfn.IFNA(VLOOKUP(B227,'[1]VLOOKUP NO DUPS'!$A$1:$C$456,2,FALSE),"")</f>
        <v>01/27/2017</v>
      </c>
      <c r="T227" s="168" t="str">
        <f>_xlfn.IFNA(VLOOKUP(B227,'[1]VLOOKUP NO DUPS'!$A$1:$C$456,3,FALSE),"")</f>
        <v>Glancy Prongay &amp; Murray, LLP</v>
      </c>
      <c r="U227" s="92"/>
      <c r="V227" s="92"/>
      <c r="W227" s="92"/>
    </row>
    <row r="228" spans="1:23" s="91" customFormat="1" x14ac:dyDescent="0.25">
      <c r="A228" s="165" t="str">
        <f t="shared" si="6"/>
        <v/>
      </c>
      <c r="B228" s="23" t="s">
        <v>3465</v>
      </c>
      <c r="C228" s="23" t="s">
        <v>5184</v>
      </c>
      <c r="D228" s="166" t="s">
        <v>5185</v>
      </c>
      <c r="E228" s="242" t="s">
        <v>409</v>
      </c>
      <c r="F228" s="169">
        <v>9</v>
      </c>
      <c r="G228" s="243" t="s">
        <v>5186</v>
      </c>
      <c r="H228" s="89">
        <v>400000000</v>
      </c>
      <c r="I228" s="89" t="str">
        <f>IF($H228&lt;='Abbrev Key'!$A$2,'Abbrev Key'!$B$2,IF($H228&lt;='Abbrev Key'!$A$3,'Abbrev Key'!$B$3,IF($H228&lt;='Abbrev Key'!$A$4,'Abbrev Key'!$B$4,IF($H228&lt;='Abbrev Key'!$A$5,'Abbrev Key'!$B$5,IF($H228&lt;='Abbrev Key'!$A$6,'Abbrev Key'!$B$6,IF($H228&gt;='Abbrev Key'!$A$7,'Abbrev Key'!$B$7,IF($H228='Abbrev Key'!$A$8,'Abbrev Key'!$B$8,"")))))))</f>
        <v>E</v>
      </c>
      <c r="J228" s="17" t="s">
        <v>3466</v>
      </c>
      <c r="K228" s="23" t="s">
        <v>637</v>
      </c>
      <c r="L228" s="398">
        <v>337.5</v>
      </c>
      <c r="M228" s="403">
        <f t="shared" si="7"/>
        <v>8.4374999999999997E-7</v>
      </c>
      <c r="N228" s="23" t="s">
        <v>877</v>
      </c>
      <c r="O228" s="23"/>
      <c r="P228" s="167" t="s">
        <v>4408</v>
      </c>
      <c r="Q228" s="392">
        <v>42753</v>
      </c>
      <c r="R228" s="392">
        <v>42752</v>
      </c>
      <c r="S228" s="392" t="str">
        <f>_xlfn.IFNA(VLOOKUP(B228,'[1]VLOOKUP NO DUPS'!$A$1:$C$456,2,FALSE),"")</f>
        <v>01/27/2017</v>
      </c>
      <c r="T228" s="168" t="str">
        <f>_xlfn.IFNA(VLOOKUP(B228,'[1]VLOOKUP NO DUPS'!$A$1:$C$456,3,FALSE),"")</f>
        <v>The Rosen Law Firm, P.A.</v>
      </c>
      <c r="U228" s="92"/>
      <c r="V228" s="92"/>
      <c r="W228" s="92"/>
    </row>
    <row r="229" spans="1:23" s="91" customFormat="1" ht="30" x14ac:dyDescent="0.25">
      <c r="A229" s="165" t="str">
        <f t="shared" si="6"/>
        <v/>
      </c>
      <c r="B229" s="23" t="s">
        <v>2783</v>
      </c>
      <c r="C229" s="23" t="s">
        <v>4942</v>
      </c>
      <c r="D229" s="166" t="s">
        <v>4943</v>
      </c>
      <c r="E229" s="242" t="s">
        <v>457</v>
      </c>
      <c r="F229" s="169">
        <v>9</v>
      </c>
      <c r="G229" s="243" t="s">
        <v>4944</v>
      </c>
      <c r="H229" s="89">
        <v>100000000</v>
      </c>
      <c r="I229" s="89" t="str">
        <f>IF($H229&lt;='Abbrev Key'!$A$2,'Abbrev Key'!$B$2,IF($H229&lt;='Abbrev Key'!$A$3,'Abbrev Key'!$B$3,IF($H229&lt;='Abbrev Key'!$A$4,'Abbrev Key'!$B$4,IF($H229&lt;='Abbrev Key'!$A$5,'Abbrev Key'!$B$5,IF($H229&lt;='Abbrev Key'!$A$6,'Abbrev Key'!$B$6,IF($H229&gt;='Abbrev Key'!$A$7,'Abbrev Key'!$B$7,IF($H229='Abbrev Key'!$A$8,'Abbrev Key'!$B$8,"")))))))</f>
        <v>C</v>
      </c>
      <c r="J229" s="17" t="s">
        <v>2786</v>
      </c>
      <c r="K229" s="92" t="s">
        <v>637</v>
      </c>
      <c r="L229" s="398">
        <v>16168</v>
      </c>
      <c r="M229" s="403">
        <f t="shared" si="7"/>
        <v>1.6168000000000001E-4</v>
      </c>
      <c r="N229" s="92" t="s">
        <v>597</v>
      </c>
      <c r="O229" s="92"/>
      <c r="P229" s="167" t="s">
        <v>4287</v>
      </c>
      <c r="Q229" s="392">
        <v>42463</v>
      </c>
      <c r="R229" s="392">
        <v>42462</v>
      </c>
      <c r="S229" s="392" t="str">
        <f>_xlfn.IFNA(VLOOKUP(B229,'[1]VLOOKUP NO DUPS'!$A$1:$C$456,2,FALSE),"")</f>
        <v>01/30/2017</v>
      </c>
      <c r="T229" s="168" t="str">
        <f>_xlfn.IFNA(VLOOKUP(B229,'[1]VLOOKUP NO DUPS'!$A$1:$C$456,3,FALSE),"")</f>
        <v>Johnson &amp; Weaver LLP; Robbins, Geller, Rudman &amp; Dowd, LLP</v>
      </c>
      <c r="U229" s="92"/>
      <c r="V229" s="92"/>
      <c r="W229" s="92"/>
    </row>
    <row r="230" spans="1:23" s="91" customFormat="1" ht="30" x14ac:dyDescent="0.25">
      <c r="A230" s="165" t="str">
        <f t="shared" si="6"/>
        <v/>
      </c>
      <c r="B230" s="23" t="s">
        <v>3254</v>
      </c>
      <c r="C230" s="23" t="s">
        <v>5090</v>
      </c>
      <c r="D230" s="166" t="s">
        <v>4872</v>
      </c>
      <c r="E230" s="242" t="s">
        <v>557</v>
      </c>
      <c r="F230" s="169">
        <v>9</v>
      </c>
      <c r="G230" s="243" t="s">
        <v>5091</v>
      </c>
      <c r="H230" s="89">
        <v>25000000</v>
      </c>
      <c r="I230" s="89" t="str">
        <f>IF($H230&lt;='Abbrev Key'!$A$2,'Abbrev Key'!$B$2,IF($H230&lt;='Abbrev Key'!$A$3,'Abbrev Key'!$B$3,IF($H230&lt;='Abbrev Key'!$A$4,'Abbrev Key'!$B$4,IF($H230&lt;='Abbrev Key'!$A$5,'Abbrev Key'!$B$5,IF($H230&lt;='Abbrev Key'!$A$6,'Abbrev Key'!$B$6,IF($H230&gt;='Abbrev Key'!$A$7,'Abbrev Key'!$B$7,IF($H230='Abbrev Key'!$A$8,'Abbrev Key'!$B$8,"")))))))</f>
        <v>A</v>
      </c>
      <c r="J230" s="17" t="s">
        <v>11899</v>
      </c>
      <c r="K230" s="23" t="s">
        <v>646</v>
      </c>
      <c r="L230" s="398">
        <v>232649</v>
      </c>
      <c r="M230" s="403">
        <f t="shared" si="7"/>
        <v>9.3059600000000003E-3</v>
      </c>
      <c r="N230" s="23" t="s">
        <v>1204</v>
      </c>
      <c r="O230" s="23"/>
      <c r="P230" s="167" t="s">
        <v>4287</v>
      </c>
      <c r="Q230" s="392">
        <v>42762</v>
      </c>
      <c r="R230" s="392">
        <v>42761</v>
      </c>
      <c r="S230" s="392" t="str">
        <f>_xlfn.IFNA(VLOOKUP(B230,'[1]VLOOKUP NO DUPS'!$A$1:$C$456,2,FALSE),"")</f>
        <v>01/31/2017</v>
      </c>
      <c r="T230" s="168" t="str">
        <f>_xlfn.IFNA(VLOOKUP(B230,'[1]VLOOKUP NO DUPS'!$A$1:$C$456,3,FALSE),"")</f>
        <v>Levi &amp; Korsinsky, LLP; Pomerantz LLP</v>
      </c>
      <c r="U230" s="92"/>
      <c r="V230" s="92"/>
      <c r="W230" s="92"/>
    </row>
    <row r="231" spans="1:23" s="91" customFormat="1" ht="45" x14ac:dyDescent="0.25">
      <c r="A231" s="165" t="str">
        <f t="shared" si="6"/>
        <v/>
      </c>
      <c r="B231" s="23" t="s">
        <v>252</v>
      </c>
      <c r="C231" s="23" t="s">
        <v>5113</v>
      </c>
      <c r="D231" s="166" t="s">
        <v>5114</v>
      </c>
      <c r="E231" s="242" t="s">
        <v>570</v>
      </c>
      <c r="F231" s="169">
        <v>7</v>
      </c>
      <c r="G231" s="243" t="s">
        <v>5115</v>
      </c>
      <c r="H231" s="89">
        <v>50000000</v>
      </c>
      <c r="I231" s="89" t="str">
        <f>IF($H231&lt;='Abbrev Key'!$A$2,'Abbrev Key'!$B$2,IF($H231&lt;='Abbrev Key'!$A$3,'Abbrev Key'!$B$3,IF($H231&lt;='Abbrev Key'!$A$4,'Abbrev Key'!$B$4,IF($H231&lt;='Abbrev Key'!$A$5,'Abbrev Key'!$B$5,IF($H231&lt;='Abbrev Key'!$A$6,'Abbrev Key'!$B$6,IF($H231&gt;='Abbrev Key'!$A$7,'Abbrev Key'!$B$7,IF($H231='Abbrev Key'!$A$8,'Abbrev Key'!$B$8,"")))))))</f>
        <v>B</v>
      </c>
      <c r="J231" s="17" t="s">
        <v>249</v>
      </c>
      <c r="K231" s="92" t="s">
        <v>633</v>
      </c>
      <c r="L231" s="398">
        <v>796029</v>
      </c>
      <c r="M231" s="403">
        <f t="shared" si="7"/>
        <v>1.592058E-2</v>
      </c>
      <c r="N231" s="92" t="s">
        <v>4634</v>
      </c>
      <c r="O231" s="92"/>
      <c r="P231" s="167" t="s">
        <v>4287</v>
      </c>
      <c r="Q231" s="392">
        <v>42765</v>
      </c>
      <c r="R231" s="392">
        <v>42764</v>
      </c>
      <c r="S231" s="392" t="str">
        <f>_xlfn.IFNA(VLOOKUP(B231,'[1]VLOOKUP NO DUPS'!$A$1:$C$456,2,FALSE),"")</f>
        <v>01/31/2017</v>
      </c>
      <c r="T231" s="168" t="str">
        <f>_xlfn.IFNA(VLOOKUP(B231,'[1]VLOOKUP NO DUPS'!$A$1:$C$456,3,FALSE),"")</f>
        <v>Ademi &amp; O'Reilly, LLP; Barrack  Rodos &amp; Bacine; Cross Law Firm, S.C.; Levi &amp; Korsinsky, LLP; Pomerantz LLP; Wagner Law Group, S.C.</v>
      </c>
      <c r="U231" s="92"/>
      <c r="V231" s="92"/>
      <c r="W231" s="92"/>
    </row>
    <row r="232" spans="1:23" s="91" customFormat="1" ht="30" x14ac:dyDescent="0.25">
      <c r="A232" s="165" t="str">
        <f t="shared" si="6"/>
        <v/>
      </c>
      <c r="B232" s="23" t="s">
        <v>3292</v>
      </c>
      <c r="C232" s="23" t="s">
        <v>5098</v>
      </c>
      <c r="D232" s="166" t="s">
        <v>5099</v>
      </c>
      <c r="E232" s="242" t="s">
        <v>409</v>
      </c>
      <c r="F232" s="169">
        <v>1</v>
      </c>
      <c r="G232" s="243" t="s">
        <v>5100</v>
      </c>
      <c r="H232" s="89">
        <v>25000000</v>
      </c>
      <c r="I232" s="89" t="str">
        <f>IF($H232&lt;='Abbrev Key'!$A$2,'Abbrev Key'!$B$2,IF($H232&lt;='Abbrev Key'!$A$3,'Abbrev Key'!$B$3,IF($H232&lt;='Abbrev Key'!$A$4,'Abbrev Key'!$B$4,IF($H232&lt;='Abbrev Key'!$A$5,'Abbrev Key'!$B$5,IF($H232&lt;='Abbrev Key'!$A$6,'Abbrev Key'!$B$6,IF($H232&gt;='Abbrev Key'!$A$7,'Abbrev Key'!$B$7,IF($H232='Abbrev Key'!$A$8,'Abbrev Key'!$B$8,"")))))))</f>
        <v>A</v>
      </c>
      <c r="J232" s="17" t="s">
        <v>3304</v>
      </c>
      <c r="K232" s="23" t="s">
        <v>637</v>
      </c>
      <c r="L232" s="398">
        <v>35460</v>
      </c>
      <c r="M232" s="403">
        <f t="shared" si="7"/>
        <v>1.4184E-3</v>
      </c>
      <c r="N232" s="23" t="s">
        <v>3305</v>
      </c>
      <c r="O232" s="23"/>
      <c r="P232" s="167" t="s">
        <v>4287</v>
      </c>
      <c r="Q232" s="392">
        <v>42759</v>
      </c>
      <c r="R232" s="392">
        <v>42758</v>
      </c>
      <c r="S232" s="392" t="str">
        <f>_xlfn.IFNA(VLOOKUP(B232,'[1]VLOOKUP NO DUPS'!$A$1:$C$456,2,FALSE),"")</f>
        <v>01/31/2017</v>
      </c>
      <c r="T232" s="168" t="str">
        <f>_xlfn.IFNA(VLOOKUP(B232,'[1]VLOOKUP NO DUPS'!$A$1:$C$456,3,FALSE),"")</f>
        <v>Block &amp; Leviton LLP; Gardy &amp; Notis, LLP; Holzer &amp; Holzer, LLC; Levi &amp; Korsinsky, LLP; Sarraf Gentile LLP</v>
      </c>
      <c r="U232" s="92"/>
      <c r="V232" s="92"/>
      <c r="W232" s="92"/>
    </row>
    <row r="233" spans="1:23" s="91" customFormat="1" ht="45" x14ac:dyDescent="0.25">
      <c r="A233" s="165" t="str">
        <f t="shared" si="6"/>
        <v/>
      </c>
      <c r="B233" s="23" t="s">
        <v>216</v>
      </c>
      <c r="C233" s="23" t="s">
        <v>4533</v>
      </c>
      <c r="D233" s="166" t="s">
        <v>4534</v>
      </c>
      <c r="E233" s="242" t="s">
        <v>545</v>
      </c>
      <c r="F233" s="169">
        <v>10</v>
      </c>
      <c r="G233" s="243" t="s">
        <v>4535</v>
      </c>
      <c r="H233" s="90" t="s">
        <v>4882</v>
      </c>
      <c r="I233" s="89" t="s">
        <v>6732</v>
      </c>
      <c r="J233" s="17" t="s">
        <v>11816</v>
      </c>
      <c r="K233" s="23" t="s">
        <v>640</v>
      </c>
      <c r="L233" s="398">
        <v>487840</v>
      </c>
      <c r="M233" s="403" t="str">
        <f t="shared" si="7"/>
        <v>DC</v>
      </c>
      <c r="N233" s="23" t="s">
        <v>1612</v>
      </c>
      <c r="O233" s="23"/>
      <c r="P233" s="167" t="s">
        <v>4287</v>
      </c>
      <c r="Q233" s="392">
        <v>42664</v>
      </c>
      <c r="R233" s="392">
        <v>42663</v>
      </c>
      <c r="S233" s="392" t="str">
        <f>_xlfn.IFNA(VLOOKUP(B233,'[1]VLOOKUP NO DUPS'!$A$1:$C$456,2,FALSE),"")</f>
        <v>02/01/2017</v>
      </c>
      <c r="T233" s="168" t="str">
        <f>_xlfn.IFNA(VLOOKUP(B233,'[1]VLOOKUP NO DUPS'!$A$1:$C$456,3,FALSE),"")</f>
        <v>Saxena White P.A.; The Shuman Law Firm</v>
      </c>
      <c r="U233" s="92"/>
      <c r="V233" s="92"/>
      <c r="W233" s="92"/>
    </row>
    <row r="234" spans="1:23" s="91" customFormat="1" ht="30" x14ac:dyDescent="0.25">
      <c r="A234" s="165" t="str">
        <f t="shared" si="6"/>
        <v/>
      </c>
      <c r="B234" s="23" t="s">
        <v>3188</v>
      </c>
      <c r="C234" s="23" t="s">
        <v>5072</v>
      </c>
      <c r="D234" s="166" t="s">
        <v>5073</v>
      </c>
      <c r="E234" s="242" t="s">
        <v>409</v>
      </c>
      <c r="F234" s="169">
        <v>1</v>
      </c>
      <c r="G234" s="243" t="s">
        <v>5074</v>
      </c>
      <c r="H234" s="89">
        <v>9750000</v>
      </c>
      <c r="I234" s="89" t="str">
        <f>IF($H234&lt;='Abbrev Key'!$A$2,'Abbrev Key'!$B$2,IF($H234&lt;='Abbrev Key'!$A$3,'Abbrev Key'!$B$3,IF($H234&lt;='Abbrev Key'!$A$4,'Abbrev Key'!$B$4,IF($H234&lt;='Abbrev Key'!$A$5,'Abbrev Key'!$B$5,IF($H234&lt;='Abbrev Key'!$A$6,'Abbrev Key'!$B$6,IF($H234&gt;='Abbrev Key'!$A$7,'Abbrev Key'!$B$7,IF($H234='Abbrev Key'!$A$8,'Abbrev Key'!$B$8,"")))))))</f>
        <v>A</v>
      </c>
      <c r="J234" s="17" t="s">
        <v>3200</v>
      </c>
      <c r="K234" s="23" t="s">
        <v>637</v>
      </c>
      <c r="L234" s="398">
        <v>1667</v>
      </c>
      <c r="M234" s="403">
        <f t="shared" si="7"/>
        <v>1.7097435897435898E-4</v>
      </c>
      <c r="N234" s="23" t="s">
        <v>3202</v>
      </c>
      <c r="O234" s="23"/>
      <c r="P234" s="167" t="s">
        <v>4295</v>
      </c>
      <c r="Q234" s="392">
        <v>42766</v>
      </c>
      <c r="R234" s="392">
        <v>42765</v>
      </c>
      <c r="S234" s="392" t="str">
        <f>_xlfn.IFNA(VLOOKUP(B234,'[1]VLOOKUP NO DUPS'!$A$1:$C$456,2,FALSE),"")</f>
        <v>02/02/2017</v>
      </c>
      <c r="T234" s="168" t="str">
        <f>_xlfn.IFNA(VLOOKUP(B234,'[1]VLOOKUP NO DUPS'!$A$1:$C$456,3,FALSE),"")</f>
        <v>Holzer &amp; Holzer, LLC; Hutchings, Barsamian, Mandelcorn, LLP; Levi &amp; Korsinsky, LLP; Pomerantz LLP</v>
      </c>
      <c r="U234" s="92"/>
      <c r="V234" s="92"/>
      <c r="W234" s="92"/>
    </row>
    <row r="235" spans="1:23" s="91" customFormat="1" ht="60" x14ac:dyDescent="0.25">
      <c r="A235" s="165" t="str">
        <f t="shared" si="6"/>
        <v/>
      </c>
      <c r="B235" s="23" t="s">
        <v>42</v>
      </c>
      <c r="C235" s="23" t="s">
        <v>5101</v>
      </c>
      <c r="D235" s="166" t="s">
        <v>5102</v>
      </c>
      <c r="E235" s="242" t="s">
        <v>457</v>
      </c>
      <c r="F235" s="169">
        <v>9</v>
      </c>
      <c r="G235" s="243" t="s">
        <v>5103</v>
      </c>
      <c r="H235" s="89">
        <v>750000000</v>
      </c>
      <c r="I235" s="89" t="str">
        <f>IF($H235&lt;='Abbrev Key'!$A$2,'Abbrev Key'!$B$2,IF($H235&lt;='Abbrev Key'!$A$3,'Abbrev Key'!$B$3,IF($H235&lt;='Abbrev Key'!$A$4,'Abbrev Key'!$B$4,IF($H235&lt;='Abbrev Key'!$A$5,'Abbrev Key'!$B$5,IF($H235&lt;='Abbrev Key'!$A$6,'Abbrev Key'!$B$6,IF($H235&gt;='Abbrev Key'!$A$7,'Abbrev Key'!$B$7,IF($H235='Abbrev Key'!$A$8,'Abbrev Key'!$B$8,"")))))))</f>
        <v>F</v>
      </c>
      <c r="J235" s="17" t="s">
        <v>11900</v>
      </c>
      <c r="K235" s="92" t="s">
        <v>640</v>
      </c>
      <c r="L235" s="398">
        <v>3595409.37</v>
      </c>
      <c r="M235" s="403">
        <f t="shared" si="7"/>
        <v>4.7938791600000003E-3</v>
      </c>
      <c r="N235" s="92" t="s">
        <v>1</v>
      </c>
      <c r="O235" s="92"/>
      <c r="P235" s="167" t="s">
        <v>4287</v>
      </c>
      <c r="Q235" s="392">
        <v>42529</v>
      </c>
      <c r="R235" s="392">
        <v>42528</v>
      </c>
      <c r="S235" s="392" t="str">
        <f>_xlfn.IFNA(VLOOKUP(B235,'[1]VLOOKUP NO DUPS'!$A$1:$C$456,2,FALSE),"")</f>
        <v>02/02/2017</v>
      </c>
      <c r="T235" s="168" t="str">
        <f>_xlfn.IFNA(VLOOKUP(B235,'[1]VLOOKUP NO DUPS'!$A$1:$C$456,3,FALSE),"")</f>
        <v>Bernstein Litowitz Berger &amp; Grossmann LLP; Pomerantz LLP</v>
      </c>
      <c r="U235" s="92"/>
      <c r="V235" s="92"/>
      <c r="W235" s="92"/>
    </row>
    <row r="236" spans="1:23" s="91" customFormat="1" ht="45" x14ac:dyDescent="0.25">
      <c r="A236" s="165" t="str">
        <f t="shared" si="6"/>
        <v/>
      </c>
      <c r="B236" s="23" t="s">
        <v>3468</v>
      </c>
      <c r="C236" s="23" t="s">
        <v>5187</v>
      </c>
      <c r="D236" s="166" t="s">
        <v>5188</v>
      </c>
      <c r="E236" s="242" t="s">
        <v>418</v>
      </c>
      <c r="F236" s="169">
        <v>2</v>
      </c>
      <c r="G236" s="243" t="s">
        <v>5189</v>
      </c>
      <c r="H236" s="89">
        <v>27000000</v>
      </c>
      <c r="I236" s="89" t="str">
        <f>IF($H236&lt;='Abbrev Key'!$A$2,'Abbrev Key'!$B$2,IF($H236&lt;='Abbrev Key'!$A$3,'Abbrev Key'!$B$3,IF($H236&lt;='Abbrev Key'!$A$4,'Abbrev Key'!$B$4,IF($H236&lt;='Abbrev Key'!$A$5,'Abbrev Key'!$B$5,IF($H236&lt;='Abbrev Key'!$A$6,'Abbrev Key'!$B$6,IF($H236&gt;='Abbrev Key'!$A$7,'Abbrev Key'!$B$7,IF($H236='Abbrev Key'!$A$8,'Abbrev Key'!$B$8,"")))))))</f>
        <v>B</v>
      </c>
      <c r="J236" s="17" t="s">
        <v>11915</v>
      </c>
      <c r="K236" s="23" t="s">
        <v>646</v>
      </c>
      <c r="L236" s="398">
        <v>32425.53</v>
      </c>
      <c r="M236" s="403">
        <f t="shared" si="7"/>
        <v>1.2009455555555555E-3</v>
      </c>
      <c r="N236" s="23" t="s">
        <v>554</v>
      </c>
      <c r="O236" s="23"/>
      <c r="P236" s="167" t="s">
        <v>4295</v>
      </c>
      <c r="Q236" s="392">
        <v>42767</v>
      </c>
      <c r="R236" s="392">
        <v>42766</v>
      </c>
      <c r="S236" s="392" t="str">
        <f>_xlfn.IFNA(VLOOKUP(B236,'[1]VLOOKUP NO DUPS'!$A$1:$C$456,2,FALSE),"")</f>
        <v>02/03/2017</v>
      </c>
      <c r="T236" s="168" t="str">
        <f>_xlfn.IFNA(VLOOKUP(B236,'[1]VLOOKUP NO DUPS'!$A$1:$C$456,3,FALSE),"")</f>
        <v>Bronstein, Gewirtz &amp; Grossman, LLC; Johnson &amp; Weaver LLP; Levi &amp; Korsinsky, LLP; Pomerantz LLP; Robbins, Geller, Rudman &amp; Dowd, LLP; The Rosen Law Firm, P.A.</v>
      </c>
      <c r="U236" s="92"/>
      <c r="V236" s="92"/>
      <c r="W236" s="92"/>
    </row>
    <row r="237" spans="1:23" s="91" customFormat="1" ht="30" x14ac:dyDescent="0.25">
      <c r="A237" s="165" t="str">
        <f t="shared" si="6"/>
        <v/>
      </c>
      <c r="B237" s="23" t="s">
        <v>547</v>
      </c>
      <c r="C237" s="23" t="s">
        <v>4370</v>
      </c>
      <c r="D237" s="166" t="s">
        <v>4371</v>
      </c>
      <c r="E237" s="242" t="s">
        <v>418</v>
      </c>
      <c r="F237" s="169">
        <v>2</v>
      </c>
      <c r="G237" s="243" t="s">
        <v>4372</v>
      </c>
      <c r="H237" s="89">
        <v>30000000</v>
      </c>
      <c r="I237" s="89" t="str">
        <f>IF($H237&lt;='Abbrev Key'!$A$2,'Abbrev Key'!$B$2,IF($H237&lt;='Abbrev Key'!$A$3,'Abbrev Key'!$B$3,IF($H237&lt;='Abbrev Key'!$A$4,'Abbrev Key'!$B$4,IF($H237&lt;='Abbrev Key'!$A$5,'Abbrev Key'!$B$5,IF($H237&lt;='Abbrev Key'!$A$6,'Abbrev Key'!$B$6,IF($H237&gt;='Abbrev Key'!$A$7,'Abbrev Key'!$B$7,IF($H237='Abbrev Key'!$A$8,'Abbrev Key'!$B$8,"")))))))</f>
        <v>B</v>
      </c>
      <c r="J237" s="23" t="s">
        <v>11890</v>
      </c>
      <c r="K237" s="23" t="s">
        <v>646</v>
      </c>
      <c r="L237" s="398">
        <v>74044.209999999992</v>
      </c>
      <c r="M237" s="403">
        <f t="shared" si="7"/>
        <v>2.4681403333333329E-3</v>
      </c>
      <c r="N237" s="92" t="s">
        <v>63</v>
      </c>
      <c r="O237" s="92"/>
      <c r="P237" s="167" t="s">
        <v>4295</v>
      </c>
      <c r="Q237" s="392">
        <v>42769</v>
      </c>
      <c r="R237" s="392">
        <v>42768</v>
      </c>
      <c r="S237" s="392" t="str">
        <f>_xlfn.IFNA(VLOOKUP(B237,'[1]VLOOKUP NO DUPS'!$A$1:$C$456,2,FALSE),"")</f>
        <v>02/06/2017</v>
      </c>
      <c r="T237" s="168" t="str">
        <f>_xlfn.IFNA(VLOOKUP(B237,'[1]VLOOKUP NO DUPS'!$A$1:$C$456,3,FALSE),"")</f>
        <v>Levi &amp; Korsinsky, LLP; Pomerantz LLP</v>
      </c>
      <c r="U237" s="92"/>
      <c r="V237" s="92"/>
      <c r="W237" s="92"/>
    </row>
    <row r="238" spans="1:23" s="91" customFormat="1" x14ac:dyDescent="0.25">
      <c r="A238" s="165" t="str">
        <f t="shared" si="6"/>
        <v/>
      </c>
      <c r="B238" s="23" t="s">
        <v>2521</v>
      </c>
      <c r="C238" s="23" t="s">
        <v>4831</v>
      </c>
      <c r="D238" s="166" t="s">
        <v>4832</v>
      </c>
      <c r="E238" s="242" t="s">
        <v>418</v>
      </c>
      <c r="F238" s="169">
        <v>2</v>
      </c>
      <c r="G238" s="243" t="s">
        <v>4833</v>
      </c>
      <c r="H238" s="89">
        <v>4500000</v>
      </c>
      <c r="I238" s="89" t="str">
        <f>IF($H238&lt;='Abbrev Key'!$A$2,'Abbrev Key'!$B$2,IF($H238&lt;='Abbrev Key'!$A$3,'Abbrev Key'!$B$3,IF($H238&lt;='Abbrev Key'!$A$4,'Abbrev Key'!$B$4,IF($H238&lt;='Abbrev Key'!$A$5,'Abbrev Key'!$B$5,IF($H238&lt;='Abbrev Key'!$A$6,'Abbrev Key'!$B$6,IF($H238&gt;='Abbrev Key'!$A$7,'Abbrev Key'!$B$7,IF($H238='Abbrev Key'!$A$8,'Abbrev Key'!$B$8,"")))))))</f>
        <v>A</v>
      </c>
      <c r="J238" s="92" t="s">
        <v>11948</v>
      </c>
      <c r="K238" s="92" t="s">
        <v>646</v>
      </c>
      <c r="L238" s="398">
        <f>72567.13+64904</f>
        <v>137471.13</v>
      </c>
      <c r="M238" s="403">
        <f t="shared" si="7"/>
        <v>3.0549140000000002E-2</v>
      </c>
      <c r="N238" s="92" t="s">
        <v>79</v>
      </c>
      <c r="O238" s="92" t="s">
        <v>11197</v>
      </c>
      <c r="P238" s="167" t="s">
        <v>4408</v>
      </c>
      <c r="Q238" s="392">
        <v>42772</v>
      </c>
      <c r="R238" s="392">
        <v>42771</v>
      </c>
      <c r="S238" s="392" t="str">
        <f>_xlfn.IFNA(VLOOKUP(B238,'[1]VLOOKUP NO DUPS'!$A$1:$C$456,2,FALSE),"")</f>
        <v>02/07/2017</v>
      </c>
      <c r="T238" s="168" t="str">
        <f>_xlfn.IFNA(VLOOKUP(B238,'[1]VLOOKUP NO DUPS'!$A$1:$C$456,3,FALSE),"")</f>
        <v>Goldberg Law PC; Pomerantz LLP</v>
      </c>
      <c r="U238" s="92"/>
      <c r="V238" s="92"/>
      <c r="W238" s="92"/>
    </row>
    <row r="239" spans="1:23" s="91" customFormat="1" ht="30" x14ac:dyDescent="0.25">
      <c r="A239" s="165" t="str">
        <f t="shared" si="6"/>
        <v/>
      </c>
      <c r="B239" s="23" t="s">
        <v>2002</v>
      </c>
      <c r="C239" s="23" t="s">
        <v>4668</v>
      </c>
      <c r="D239" s="166" t="s">
        <v>4669</v>
      </c>
      <c r="E239" s="242" t="s">
        <v>418</v>
      </c>
      <c r="F239" s="169">
        <v>2</v>
      </c>
      <c r="G239" s="243" t="s">
        <v>4670</v>
      </c>
      <c r="H239" s="89">
        <v>17000000</v>
      </c>
      <c r="I239" s="89" t="str">
        <f>IF($H239&lt;='Abbrev Key'!$A$2,'Abbrev Key'!$B$2,IF($H239&lt;='Abbrev Key'!$A$3,'Abbrev Key'!$B$3,IF($H239&lt;='Abbrev Key'!$A$4,'Abbrev Key'!$B$4,IF($H239&lt;='Abbrev Key'!$A$5,'Abbrev Key'!$B$5,IF($H239&lt;='Abbrev Key'!$A$6,'Abbrev Key'!$B$6,IF($H239&gt;='Abbrev Key'!$A$7,'Abbrev Key'!$B$7,IF($H239='Abbrev Key'!$A$8,'Abbrev Key'!$B$8,"")))))))</f>
        <v>A</v>
      </c>
      <c r="J239" s="17" t="s">
        <v>11844</v>
      </c>
      <c r="K239" s="92" t="s">
        <v>640</v>
      </c>
      <c r="L239" s="354">
        <v>3126689.46</v>
      </c>
      <c r="M239" s="405">
        <f t="shared" si="7"/>
        <v>0.1839229094117647</v>
      </c>
      <c r="N239" s="92" t="s">
        <v>4336</v>
      </c>
      <c r="O239" s="92"/>
      <c r="P239" s="167" t="s">
        <v>4287</v>
      </c>
      <c r="Q239" s="392">
        <v>42772</v>
      </c>
      <c r="R239" s="392">
        <v>42771</v>
      </c>
      <c r="S239" s="392" t="str">
        <f>_xlfn.IFNA(VLOOKUP(B239,'[1]VLOOKUP NO DUPS'!$A$1:$C$456,2,FALSE),"")</f>
        <v>02/07/2017</v>
      </c>
      <c r="T239" s="168" t="str">
        <f>_xlfn.IFNA(VLOOKUP(B239,'[1]VLOOKUP NO DUPS'!$A$1:$C$456,3,FALSE),"")</f>
        <v>Bronstein, Gewirtz &amp; Grossman, LLC; Levi &amp; Korsinsky, LLP; Pomerantz LLP; The Rosen Law Firm, P.A.</v>
      </c>
      <c r="U239" s="92"/>
      <c r="V239" s="92"/>
      <c r="W239" s="92"/>
    </row>
    <row r="240" spans="1:23" s="91" customFormat="1" ht="45" x14ac:dyDescent="0.25">
      <c r="A240" s="165" t="str">
        <f t="shared" si="6"/>
        <v/>
      </c>
      <c r="B240" s="23" t="s">
        <v>3974</v>
      </c>
      <c r="C240" s="23" t="s">
        <v>5344</v>
      </c>
      <c r="D240" s="166" t="s">
        <v>5345</v>
      </c>
      <c r="E240" s="242" t="s">
        <v>817</v>
      </c>
      <c r="F240" s="169">
        <v>4</v>
      </c>
      <c r="G240" s="243" t="s">
        <v>5346</v>
      </c>
      <c r="H240" s="89">
        <v>850000000</v>
      </c>
      <c r="I240" s="89" t="str">
        <f>IF($H240&lt;='Abbrev Key'!$A$2,'Abbrev Key'!$B$2,IF($H240&lt;='Abbrev Key'!$A$3,'Abbrev Key'!$B$3,IF($H240&lt;='Abbrev Key'!$A$4,'Abbrev Key'!$B$4,IF($H240&lt;='Abbrev Key'!$A$5,'Abbrev Key'!$B$5,IF($H240&lt;='Abbrev Key'!$A$6,'Abbrev Key'!$B$6,IF($H240&gt;='Abbrev Key'!$A$7,'Abbrev Key'!$B$7,IF($H240='Abbrev Key'!$A$8,'Abbrev Key'!$B$8,"")))))))</f>
        <v>F</v>
      </c>
      <c r="J240" s="23" t="s">
        <v>3986</v>
      </c>
      <c r="K240" s="23" t="s">
        <v>633</v>
      </c>
      <c r="L240" s="398">
        <v>8956650.5500000007</v>
      </c>
      <c r="M240" s="403">
        <f t="shared" si="7"/>
        <v>1.0537235941176471E-2</v>
      </c>
      <c r="N240" s="23" t="s">
        <v>3988</v>
      </c>
      <c r="O240" s="23"/>
      <c r="P240" s="167" t="s">
        <v>4287</v>
      </c>
      <c r="Q240" s="392">
        <v>42765</v>
      </c>
      <c r="R240" s="392">
        <v>42764</v>
      </c>
      <c r="S240" s="392" t="str">
        <f>_xlfn.IFNA(VLOOKUP(B240,'[1]VLOOKUP NO DUPS'!$A$1:$C$456,2,FALSE),"")</f>
        <v>02/10/2017</v>
      </c>
      <c r="T240" s="168" t="str">
        <f>_xlfn.IFNA(VLOOKUP(B240,'[1]VLOOKUP NO DUPS'!$A$1:$C$456,3,FALSE),"")</f>
        <v>Bronstein, Gewirtz &amp; Grossman, LLC; Brower Piven; Cohen Milstein Sellers &amp; Toll PLLC; Gardy &amp; Notis, LLP; Levi &amp; Korsinsky, LLP; Pomerantz LLP</v>
      </c>
      <c r="U240" s="92"/>
      <c r="V240" s="92"/>
      <c r="W240" s="92"/>
    </row>
    <row r="241" spans="1:23" s="91" customFormat="1" x14ac:dyDescent="0.25">
      <c r="A241" s="165" t="str">
        <f t="shared" si="6"/>
        <v/>
      </c>
      <c r="B241" s="23" t="s">
        <v>892</v>
      </c>
      <c r="C241" s="23" t="s">
        <v>4360</v>
      </c>
      <c r="D241" s="166" t="s">
        <v>4361</v>
      </c>
      <c r="E241" s="242" t="s">
        <v>457</v>
      </c>
      <c r="F241" s="169">
        <v>9</v>
      </c>
      <c r="G241" s="243" t="s">
        <v>4362</v>
      </c>
      <c r="H241" s="89">
        <v>60000000</v>
      </c>
      <c r="I241" s="89" t="str">
        <f>IF($H241&lt;='Abbrev Key'!$A$2,'Abbrev Key'!$B$2,IF($H241&lt;='Abbrev Key'!$A$3,'Abbrev Key'!$B$3,IF($H241&lt;='Abbrev Key'!$A$4,'Abbrev Key'!$B$4,IF($H241&lt;='Abbrev Key'!$A$5,'Abbrev Key'!$B$5,IF($H241&lt;='Abbrev Key'!$A$6,'Abbrev Key'!$B$6,IF($H241&gt;='Abbrev Key'!$A$7,'Abbrev Key'!$B$7,IF($H241='Abbrev Key'!$A$8,'Abbrev Key'!$B$8,"")))))))</f>
        <v>C</v>
      </c>
      <c r="J241" s="17" t="s">
        <v>894</v>
      </c>
      <c r="K241" s="92" t="s">
        <v>637</v>
      </c>
      <c r="L241" s="398">
        <v>869253.27</v>
      </c>
      <c r="M241" s="403">
        <f t="shared" si="7"/>
        <v>1.4487554499999999E-2</v>
      </c>
      <c r="N241" s="92" t="s">
        <v>4359</v>
      </c>
      <c r="O241" s="92"/>
      <c r="P241" s="167" t="s">
        <v>4295</v>
      </c>
      <c r="Q241" s="392">
        <v>42731</v>
      </c>
      <c r="R241" s="392">
        <v>42730</v>
      </c>
      <c r="S241" s="392" t="str">
        <f>_xlfn.IFNA(VLOOKUP(B241,'[1]VLOOKUP NO DUPS'!$A$1:$C$456,2,FALSE),"")</f>
        <v>02/13/2017</v>
      </c>
      <c r="T241" s="168" t="str">
        <f>_xlfn.IFNA(VLOOKUP(B241,'[1]VLOOKUP NO DUPS'!$A$1:$C$456,3,FALSE),"")</f>
        <v>Levi &amp; Korsinsky, LLP</v>
      </c>
      <c r="U241" s="92"/>
      <c r="V241" s="92"/>
      <c r="W241" s="92"/>
    </row>
    <row r="242" spans="1:23" s="91" customFormat="1" ht="45" x14ac:dyDescent="0.25">
      <c r="A242" s="165" t="str">
        <f t="shared" si="6"/>
        <v/>
      </c>
      <c r="B242" s="23" t="s">
        <v>2039</v>
      </c>
      <c r="C242" s="23" t="s">
        <v>4674</v>
      </c>
      <c r="D242" s="166" t="s">
        <v>4675</v>
      </c>
      <c r="E242" s="242" t="s">
        <v>424</v>
      </c>
      <c r="F242" s="169">
        <v>3</v>
      </c>
      <c r="G242" s="243" t="s">
        <v>4676</v>
      </c>
      <c r="H242" s="89">
        <v>15000000</v>
      </c>
      <c r="I242" s="89" t="str">
        <f>IF($H242&lt;='Abbrev Key'!$A$2,'Abbrev Key'!$B$2,IF($H242&lt;='Abbrev Key'!$A$3,'Abbrev Key'!$B$3,IF($H242&lt;='Abbrev Key'!$A$4,'Abbrev Key'!$B$4,IF($H242&lt;='Abbrev Key'!$A$5,'Abbrev Key'!$B$5,IF($H242&lt;='Abbrev Key'!$A$6,'Abbrev Key'!$B$6,IF($H242&gt;='Abbrev Key'!$A$7,'Abbrev Key'!$B$7,IF($H242='Abbrev Key'!$A$8,'Abbrev Key'!$B$8,"")))))))</f>
        <v>A</v>
      </c>
      <c r="J242" s="17" t="s">
        <v>11839</v>
      </c>
      <c r="K242" s="23" t="s">
        <v>646</v>
      </c>
      <c r="L242" s="398">
        <v>2139620.4500000002</v>
      </c>
      <c r="M242" s="403">
        <f t="shared" si="7"/>
        <v>0.14264136333333335</v>
      </c>
      <c r="N242" s="23" t="s">
        <v>10955</v>
      </c>
      <c r="O242" s="23"/>
      <c r="P242" s="167" t="s">
        <v>4287</v>
      </c>
      <c r="Q242" s="392">
        <v>42766</v>
      </c>
      <c r="R242" s="392">
        <v>42765</v>
      </c>
      <c r="S242" s="392" t="str">
        <f>_xlfn.IFNA(VLOOKUP(B242,'[1]VLOOKUP NO DUPS'!$A$1:$C$456,2,FALSE),"")</f>
        <v>02/13/2017</v>
      </c>
      <c r="T242" s="168" t="str">
        <f>_xlfn.IFNA(VLOOKUP(B242,'[1]VLOOKUP NO DUPS'!$A$1:$C$456,3,FALSE),"")</f>
        <v>Carella, Byrne, Cecchi, Olstein, Brody &amp; Agnello P.C.; Glancy Prongay &amp; Murray, LLP; The Rosen Law Firm, P.A.</v>
      </c>
      <c r="U242" s="92"/>
      <c r="V242" s="92"/>
      <c r="W242" s="92"/>
    </row>
    <row r="243" spans="1:23" s="91" customFormat="1" ht="30" x14ac:dyDescent="0.25">
      <c r="A243" s="165" t="str">
        <f t="shared" si="6"/>
        <v/>
      </c>
      <c r="B243" s="23" t="s">
        <v>4026</v>
      </c>
      <c r="C243" s="23" t="s">
        <v>5356</v>
      </c>
      <c r="D243" s="166" t="s">
        <v>5357</v>
      </c>
      <c r="E243" s="242" t="s">
        <v>536</v>
      </c>
      <c r="F243" s="169">
        <v>10</v>
      </c>
      <c r="G243" s="243" t="s">
        <v>5358</v>
      </c>
      <c r="H243" s="89">
        <v>65000000</v>
      </c>
      <c r="I243" s="89" t="str">
        <f>IF($H243&lt;='Abbrev Key'!$A$2,'Abbrev Key'!$B$2,IF($H243&lt;='Abbrev Key'!$A$3,'Abbrev Key'!$B$3,IF($H243&lt;='Abbrev Key'!$A$4,'Abbrev Key'!$B$4,IF($H243&lt;='Abbrev Key'!$A$5,'Abbrev Key'!$B$5,IF($H243&lt;='Abbrev Key'!$A$6,'Abbrev Key'!$B$6,IF($H243&gt;='Abbrev Key'!$A$7,'Abbrev Key'!$B$7,IF($H243='Abbrev Key'!$A$8,'Abbrev Key'!$B$8,"")))))))</f>
        <v>C</v>
      </c>
      <c r="J243" s="17" t="s">
        <v>4027</v>
      </c>
      <c r="K243" s="23" t="s">
        <v>637</v>
      </c>
      <c r="L243" s="398">
        <v>161101</v>
      </c>
      <c r="M243" s="403">
        <f t="shared" si="7"/>
        <v>2.4784769230769229E-3</v>
      </c>
      <c r="N243" s="23" t="s">
        <v>584</v>
      </c>
      <c r="O243" s="23"/>
      <c r="P243" s="167" t="s">
        <v>4287</v>
      </c>
      <c r="Q243" s="392">
        <v>42773</v>
      </c>
      <c r="R243" s="392">
        <v>42772</v>
      </c>
      <c r="S243" s="392" t="str">
        <f>_xlfn.IFNA(VLOOKUP(B243,'[1]VLOOKUP NO DUPS'!$A$1:$C$456,2,FALSE),"")</f>
        <v>02/13/2017</v>
      </c>
      <c r="T243" s="168" t="str">
        <f>_xlfn.IFNA(VLOOKUP(B243,'[1]VLOOKUP NO DUPS'!$A$1:$C$456,3,FALSE),"")</f>
        <v>Christensen Young &amp; Associates, PLLC; Goldberg Law PC; Pomerantz LLP</v>
      </c>
      <c r="U243" s="92"/>
      <c r="V243" s="92"/>
      <c r="W243" s="92"/>
    </row>
    <row r="244" spans="1:23" s="91" customFormat="1" x14ac:dyDescent="0.25">
      <c r="A244" s="165" t="str">
        <f t="shared" si="6"/>
        <v/>
      </c>
      <c r="B244" s="23" t="s">
        <v>2859</v>
      </c>
      <c r="C244" s="23" t="s">
        <v>4968</v>
      </c>
      <c r="D244" s="166" t="s">
        <v>4969</v>
      </c>
      <c r="E244" s="242" t="s">
        <v>446</v>
      </c>
      <c r="F244" s="169">
        <v>9</v>
      </c>
      <c r="G244" s="243" t="s">
        <v>4970</v>
      </c>
      <c r="H244" s="89">
        <v>40000000</v>
      </c>
      <c r="I244" s="89" t="str">
        <f>IF($H244&lt;='Abbrev Key'!$A$2,'Abbrev Key'!$B$2,IF($H244&lt;='Abbrev Key'!$A$3,'Abbrev Key'!$B$3,IF($H244&lt;='Abbrev Key'!$A$4,'Abbrev Key'!$B$4,IF($H244&lt;='Abbrev Key'!$A$5,'Abbrev Key'!$B$5,IF($H244&lt;='Abbrev Key'!$A$6,'Abbrev Key'!$B$6,IF($H244&gt;='Abbrev Key'!$A$7,'Abbrev Key'!$B$7,IF($H244='Abbrev Key'!$A$8,'Abbrev Key'!$B$8,"")))))))</f>
        <v>B</v>
      </c>
      <c r="J244" s="17" t="s">
        <v>11876</v>
      </c>
      <c r="K244" s="92" t="s">
        <v>646</v>
      </c>
      <c r="L244" s="398">
        <v>221821</v>
      </c>
      <c r="M244" s="403">
        <f t="shared" si="7"/>
        <v>5.5455249999999999E-3</v>
      </c>
      <c r="N244" s="23" t="s">
        <v>2862</v>
      </c>
      <c r="O244" s="23"/>
      <c r="P244" s="167" t="s">
        <v>4287</v>
      </c>
      <c r="Q244" s="392">
        <v>42780</v>
      </c>
      <c r="R244" s="392">
        <v>42779</v>
      </c>
      <c r="S244" s="392" t="str">
        <f>_xlfn.IFNA(VLOOKUP(B244,'[1]VLOOKUP NO DUPS'!$A$1:$C$456,2,FALSE),"")</f>
        <v>02/15/2017</v>
      </c>
      <c r="T244" s="168" t="str">
        <f>_xlfn.IFNA(VLOOKUP(B244,'[1]VLOOKUP NO DUPS'!$A$1:$C$456,3,FALSE),"")</f>
        <v>The Rosen Law Firm, P.A.</v>
      </c>
      <c r="U244" s="92"/>
      <c r="V244" s="92"/>
      <c r="W244" s="92"/>
    </row>
    <row r="245" spans="1:23" s="91" customFormat="1" x14ac:dyDescent="0.25">
      <c r="A245" s="165" t="str">
        <f t="shared" si="6"/>
        <v/>
      </c>
      <c r="B245" s="17" t="s">
        <v>705</v>
      </c>
      <c r="C245" s="17" t="s">
        <v>4318</v>
      </c>
      <c r="D245" s="242" t="s">
        <v>4319</v>
      </c>
      <c r="E245" s="242" t="s">
        <v>418</v>
      </c>
      <c r="F245" s="169">
        <v>2</v>
      </c>
      <c r="G245" s="243" t="s">
        <v>4320</v>
      </c>
      <c r="H245" s="89">
        <v>60000000</v>
      </c>
      <c r="I245" s="89" t="str">
        <f>IF($H245&lt;='Abbrev Key'!$A$2,'Abbrev Key'!$B$2,IF($H245&lt;='Abbrev Key'!$A$3,'Abbrev Key'!$B$3,IF($H245&lt;='Abbrev Key'!$A$4,'Abbrev Key'!$B$4,IF($H245&lt;='Abbrev Key'!$A$5,'Abbrev Key'!$B$5,IF($H245&lt;='Abbrev Key'!$A$6,'Abbrev Key'!$B$6,IF($H245&gt;='Abbrev Key'!$A$7,'Abbrev Key'!$B$7,IF($H245='Abbrev Key'!$A$8,'Abbrev Key'!$B$8,"")))))))</f>
        <v>C</v>
      </c>
      <c r="J245" s="14" t="s">
        <v>11768</v>
      </c>
      <c r="K245" s="14" t="s">
        <v>646</v>
      </c>
      <c r="L245" s="399">
        <v>19085</v>
      </c>
      <c r="M245" s="404">
        <f t="shared" si="7"/>
        <v>3.1808333333333336E-4</v>
      </c>
      <c r="N245" s="14" t="s">
        <v>192</v>
      </c>
      <c r="O245" s="14"/>
      <c r="P245" s="167" t="s">
        <v>4295</v>
      </c>
      <c r="Q245" s="394">
        <v>42752</v>
      </c>
      <c r="R245" s="392">
        <v>42751</v>
      </c>
      <c r="S245" s="392" t="str">
        <f>_xlfn.IFNA(VLOOKUP(B245,'[1]VLOOKUP NO DUPS'!$A$1:$C$456,2,FALSE),"")</f>
        <v>02/17/2017</v>
      </c>
      <c r="T245" s="168" t="str">
        <f>_xlfn.IFNA(VLOOKUP(B245,'[1]VLOOKUP NO DUPS'!$A$1:$C$456,3,FALSE),"")</f>
        <v>Lifshitz &amp; Miller</v>
      </c>
      <c r="U245" s="14"/>
      <c r="V245" s="14"/>
      <c r="W245" s="14"/>
    </row>
    <row r="246" spans="1:23" s="91" customFormat="1" x14ac:dyDescent="0.25">
      <c r="A246" s="165" t="str">
        <f t="shared" si="6"/>
        <v/>
      </c>
      <c r="B246" s="23" t="s">
        <v>1995</v>
      </c>
      <c r="C246" s="23" t="s">
        <v>4665</v>
      </c>
      <c r="D246" s="166" t="s">
        <v>4666</v>
      </c>
      <c r="E246" s="242" t="s">
        <v>545</v>
      </c>
      <c r="F246" s="169">
        <v>10</v>
      </c>
      <c r="G246" s="243" t="s">
        <v>4667</v>
      </c>
      <c r="H246" s="89">
        <v>9000000</v>
      </c>
      <c r="I246" s="89" t="str">
        <f>IF($H246&lt;='Abbrev Key'!$A$2,'Abbrev Key'!$B$2,IF($H246&lt;='Abbrev Key'!$A$3,'Abbrev Key'!$B$3,IF($H246&lt;='Abbrev Key'!$A$4,'Abbrev Key'!$B$4,IF($H246&lt;='Abbrev Key'!$A$5,'Abbrev Key'!$B$5,IF($H246&lt;='Abbrev Key'!$A$6,'Abbrev Key'!$B$6,IF($H246&gt;='Abbrev Key'!$A$7,'Abbrev Key'!$B$7,IF($H246='Abbrev Key'!$A$8,'Abbrev Key'!$B$8,"")))))))</f>
        <v>A</v>
      </c>
      <c r="J246" s="17" t="s">
        <v>1996</v>
      </c>
      <c r="K246" s="23" t="s">
        <v>637</v>
      </c>
      <c r="L246" s="398">
        <v>108405</v>
      </c>
      <c r="M246" s="403">
        <f t="shared" si="7"/>
        <v>1.2045E-2</v>
      </c>
      <c r="N246" s="23" t="s">
        <v>1998</v>
      </c>
      <c r="O246" s="23"/>
      <c r="P246" s="167" t="s">
        <v>4295</v>
      </c>
      <c r="Q246" s="392">
        <v>41775</v>
      </c>
      <c r="R246" s="392">
        <v>41774</v>
      </c>
      <c r="S246" s="392" t="str">
        <f>_xlfn.IFNA(VLOOKUP(B246,'[1]VLOOKUP NO DUPS'!$A$1:$C$456,2,FALSE),"")</f>
        <v>02/17/2017</v>
      </c>
      <c r="T246" s="168" t="str">
        <f>_xlfn.IFNA(VLOOKUP(B246,'[1]VLOOKUP NO DUPS'!$A$1:$C$456,3,FALSE),"")</f>
        <v>Lifshitz &amp; Miller</v>
      </c>
      <c r="U246" s="92"/>
      <c r="V246" s="92"/>
      <c r="W246" s="92"/>
    </row>
    <row r="247" spans="1:23" s="91" customFormat="1" ht="60" x14ac:dyDescent="0.25">
      <c r="A247" s="165" t="str">
        <f t="shared" si="6"/>
        <v/>
      </c>
      <c r="B247" s="23" t="s">
        <v>3416</v>
      </c>
      <c r="C247" s="23" t="s">
        <v>5155</v>
      </c>
      <c r="D247" s="166" t="s">
        <v>5156</v>
      </c>
      <c r="E247" s="242" t="s">
        <v>424</v>
      </c>
      <c r="F247" s="169">
        <v>3</v>
      </c>
      <c r="G247" s="243" t="s">
        <v>5157</v>
      </c>
      <c r="H247" s="89">
        <v>12000000</v>
      </c>
      <c r="I247" s="89" t="str">
        <f>IF($H247&lt;='Abbrev Key'!$A$2,'Abbrev Key'!$B$2,IF($H247&lt;='Abbrev Key'!$A$3,'Abbrev Key'!$B$3,IF($H247&lt;='Abbrev Key'!$A$4,'Abbrev Key'!$B$4,IF($H247&lt;='Abbrev Key'!$A$5,'Abbrev Key'!$B$5,IF($H247&lt;='Abbrev Key'!$A$6,'Abbrev Key'!$B$6,IF($H247&gt;='Abbrev Key'!$A$7,'Abbrev Key'!$B$7,IF($H247='Abbrev Key'!$A$8,'Abbrev Key'!$B$8,"")))))))</f>
        <v>A</v>
      </c>
      <c r="J247" s="17" t="s">
        <v>11908</v>
      </c>
      <c r="K247" s="92" t="s">
        <v>640</v>
      </c>
      <c r="L247" s="398">
        <v>727910.44</v>
      </c>
      <c r="M247" s="403">
        <f t="shared" si="7"/>
        <v>6.0659203333333328E-2</v>
      </c>
      <c r="N247" s="92" t="s">
        <v>63</v>
      </c>
      <c r="O247" s="92"/>
      <c r="P247" s="167" t="s">
        <v>4287</v>
      </c>
      <c r="Q247" s="392">
        <v>42737</v>
      </c>
      <c r="R247" s="392">
        <v>42736</v>
      </c>
      <c r="S247" s="392" t="str">
        <f>_xlfn.IFNA(VLOOKUP(B247,'[1]VLOOKUP NO DUPS'!$A$1:$C$456,2,FALSE),"")</f>
        <v>02/17/2017</v>
      </c>
      <c r="T247" s="168" t="str">
        <f>_xlfn.IFNA(VLOOKUP(B247,'[1]VLOOKUP NO DUPS'!$A$1:$C$456,3,FALSE),"")</f>
        <v>Levi &amp; Korsinsky, LLP</v>
      </c>
      <c r="U247" s="92"/>
      <c r="V247" s="92"/>
      <c r="W247" s="92"/>
    </row>
    <row r="248" spans="1:23" s="91" customFormat="1" ht="45" x14ac:dyDescent="0.25">
      <c r="A248" s="165" t="str">
        <f t="shared" si="6"/>
        <v/>
      </c>
      <c r="B248" s="23" t="s">
        <v>371</v>
      </c>
      <c r="C248" s="23" t="s">
        <v>5296</v>
      </c>
      <c r="D248" s="166" t="s">
        <v>5297</v>
      </c>
      <c r="E248" s="242" t="s">
        <v>545</v>
      </c>
      <c r="F248" s="169">
        <v>10</v>
      </c>
      <c r="G248" s="243" t="s">
        <v>5298</v>
      </c>
      <c r="H248" s="89">
        <v>1100000000</v>
      </c>
      <c r="I248" s="89" t="str">
        <f>IF($H248&lt;='Abbrev Key'!$A$2,'Abbrev Key'!$B$2,IF($H248&lt;='Abbrev Key'!$A$3,'Abbrev Key'!$B$3,IF($H248&lt;='Abbrev Key'!$A$4,'Abbrev Key'!$B$4,IF($H248&lt;='Abbrev Key'!$A$5,'Abbrev Key'!$B$5,IF($H248&lt;='Abbrev Key'!$A$6,'Abbrev Key'!$B$6,IF($H248&gt;='Abbrev Key'!$A$7,'Abbrev Key'!$B$7,IF($H248='Abbrev Key'!$A$8,'Abbrev Key'!$B$8,"")))))))</f>
        <v>F</v>
      </c>
      <c r="J248" s="17" t="s">
        <v>3820</v>
      </c>
      <c r="K248" s="23" t="s">
        <v>637</v>
      </c>
      <c r="L248" s="398">
        <v>10771</v>
      </c>
      <c r="M248" s="403">
        <f t="shared" si="7"/>
        <v>9.7918181818181811E-6</v>
      </c>
      <c r="N248" s="23" t="s">
        <v>1204</v>
      </c>
      <c r="O248" s="23"/>
      <c r="P248" s="167" t="s">
        <v>4287</v>
      </c>
      <c r="Q248" s="392">
        <v>42754</v>
      </c>
      <c r="R248" s="392">
        <v>42753</v>
      </c>
      <c r="S248" s="392" t="str">
        <f>_xlfn.IFNA(VLOOKUP(B248,'[1]VLOOKUP NO DUPS'!$A$1:$C$456,2,FALSE),"")</f>
        <v>02/22/2017</v>
      </c>
      <c r="T248" s="168" t="str">
        <f>_xlfn.IFNA(VLOOKUP(B248,'[1]VLOOKUP NO DUPS'!$A$1:$C$456,3,FALSE),"")</f>
        <v>Bronstein, Gewirtz &amp; Grossman, LLC; Kaufman, Coren &amp; Ress, P.C.; Law Offices of Michael Tobin; Pomerantz LLP; Robbins, Geller, Rudman &amp; Dowd, LLP</v>
      </c>
      <c r="U248" s="92"/>
      <c r="V248" s="92"/>
      <c r="W248" s="92"/>
    </row>
    <row r="249" spans="1:23" s="91" customFormat="1" ht="30" x14ac:dyDescent="0.25">
      <c r="A249" s="165" t="str">
        <f t="shared" si="6"/>
        <v/>
      </c>
      <c r="B249" s="23" t="s">
        <v>4217</v>
      </c>
      <c r="C249" s="23" t="s">
        <v>4696</v>
      </c>
      <c r="D249" s="166" t="s">
        <v>4697</v>
      </c>
      <c r="E249" s="242" t="s">
        <v>446</v>
      </c>
      <c r="F249" s="169">
        <v>9</v>
      </c>
      <c r="G249" s="243" t="s">
        <v>4698</v>
      </c>
      <c r="H249" s="89">
        <v>40000000</v>
      </c>
      <c r="I249" s="89" t="str">
        <f>IF($H249&lt;='Abbrev Key'!$A$2,'Abbrev Key'!$B$2,IF($H249&lt;='Abbrev Key'!$A$3,'Abbrev Key'!$B$3,IF($H249&lt;='Abbrev Key'!$A$4,'Abbrev Key'!$B$4,IF($H249&lt;='Abbrev Key'!$A$5,'Abbrev Key'!$B$5,IF($H249&lt;='Abbrev Key'!$A$6,'Abbrev Key'!$B$6,IF($H249&gt;='Abbrev Key'!$A$7,'Abbrev Key'!$B$7,IF($H249='Abbrev Key'!$A$8,'Abbrev Key'!$B$8,"")))))))</f>
        <v>B</v>
      </c>
      <c r="J249" s="23" t="s">
        <v>10996</v>
      </c>
      <c r="K249" s="23" t="s">
        <v>637</v>
      </c>
      <c r="L249" s="398" t="s">
        <v>10798</v>
      </c>
      <c r="M249" s="403" t="str">
        <f t="shared" si="7"/>
        <v>DC</v>
      </c>
      <c r="N249" s="23" t="s">
        <v>10998</v>
      </c>
      <c r="O249" s="23"/>
      <c r="P249" s="167" t="s">
        <v>4408</v>
      </c>
      <c r="Q249" s="392">
        <v>42810</v>
      </c>
      <c r="R249" s="392">
        <v>42809</v>
      </c>
      <c r="S249" s="392" t="str">
        <f>_xlfn.IFNA(VLOOKUP(B249,'[1]VLOOKUP NO DUPS'!$A$1:$C$456,2,FALSE),"")</f>
        <v>02/23/2017</v>
      </c>
      <c r="T249" s="168" t="str">
        <f>_xlfn.IFNA(VLOOKUP(B249,'[1]VLOOKUP NO DUPS'!$A$1:$C$456,3,FALSE),"")</f>
        <v>Bronstein, Gewirtz &amp; Grossman, LLC; Pomerantz LLP</v>
      </c>
      <c r="U249" s="92"/>
      <c r="V249" s="92"/>
      <c r="W249" s="92"/>
    </row>
    <row r="250" spans="1:23" s="91" customFormat="1" x14ac:dyDescent="0.25">
      <c r="A250" s="165" t="str">
        <f t="shared" si="6"/>
        <v/>
      </c>
      <c r="B250" s="23" t="s">
        <v>3281</v>
      </c>
      <c r="C250" s="23" t="s">
        <v>5095</v>
      </c>
      <c r="D250" s="166" t="s">
        <v>5096</v>
      </c>
      <c r="E250" s="242" t="s">
        <v>1008</v>
      </c>
      <c r="F250" s="169">
        <v>2</v>
      </c>
      <c r="G250" s="243" t="s">
        <v>5097</v>
      </c>
      <c r="H250" s="89">
        <v>6000000</v>
      </c>
      <c r="I250" s="89" t="str">
        <f>IF($H250&lt;='Abbrev Key'!$A$2,'Abbrev Key'!$B$2,IF($H250&lt;='Abbrev Key'!$A$3,'Abbrev Key'!$B$3,IF($H250&lt;='Abbrev Key'!$A$4,'Abbrev Key'!$B$4,IF($H250&lt;='Abbrev Key'!$A$5,'Abbrev Key'!$B$5,IF($H250&lt;='Abbrev Key'!$A$6,'Abbrev Key'!$B$6,IF($H250&gt;='Abbrev Key'!$A$7,'Abbrev Key'!$B$7,IF($H250='Abbrev Key'!$A$8,'Abbrev Key'!$B$8,"")))))))</f>
        <v>A</v>
      </c>
      <c r="J250" s="17" t="s">
        <v>3284</v>
      </c>
      <c r="K250" s="92" t="s">
        <v>637</v>
      </c>
      <c r="L250" s="398">
        <v>44215.8</v>
      </c>
      <c r="M250" s="403">
        <f t="shared" si="7"/>
        <v>7.3693000000000005E-3</v>
      </c>
      <c r="N250" s="23" t="s">
        <v>2410</v>
      </c>
      <c r="O250" s="23"/>
      <c r="P250" s="167" t="s">
        <v>4287</v>
      </c>
      <c r="Q250" s="392">
        <v>42786</v>
      </c>
      <c r="R250" s="392">
        <v>42785</v>
      </c>
      <c r="S250" s="392" t="str">
        <f>_xlfn.IFNA(VLOOKUP(B250,'[1]VLOOKUP NO DUPS'!$A$1:$C$456,2,FALSE),"")</f>
        <v>02/23/2017</v>
      </c>
      <c r="T250" s="168" t="str">
        <f>_xlfn.IFNA(VLOOKUP(B250,'[1]VLOOKUP NO DUPS'!$A$1:$C$456,3,FALSE),"")</f>
        <v>Glancy Prongay &amp; Murray, LLP; Holzer &amp; Holzer, LLC</v>
      </c>
      <c r="U250" s="92"/>
      <c r="V250" s="92"/>
      <c r="W250" s="92"/>
    </row>
    <row r="251" spans="1:23" s="91" customFormat="1" ht="45" x14ac:dyDescent="0.25">
      <c r="A251" s="165" t="str">
        <f t="shared" si="6"/>
        <v/>
      </c>
      <c r="B251" s="23" t="s">
        <v>1239</v>
      </c>
      <c r="C251" s="23" t="s">
        <v>4444</v>
      </c>
      <c r="D251" s="166" t="s">
        <v>4445</v>
      </c>
      <c r="E251" s="242" t="s">
        <v>1008</v>
      </c>
      <c r="F251" s="169">
        <v>2</v>
      </c>
      <c r="G251" s="243" t="s">
        <v>4446</v>
      </c>
      <c r="H251" s="89">
        <v>3000000</v>
      </c>
      <c r="I251" s="89" t="str">
        <f>IF($H251&lt;='Abbrev Key'!$A$2,'Abbrev Key'!$B$2,IF($H251&lt;='Abbrev Key'!$A$3,'Abbrev Key'!$B$3,IF($H251&lt;='Abbrev Key'!$A$4,'Abbrev Key'!$B$4,IF($H251&lt;='Abbrev Key'!$A$5,'Abbrev Key'!$B$5,IF($H251&lt;='Abbrev Key'!$A$6,'Abbrev Key'!$B$6,IF($H251&gt;='Abbrev Key'!$A$7,'Abbrev Key'!$B$7,IF($H251='Abbrev Key'!$A$8,'Abbrev Key'!$B$8,"")))))))</f>
        <v>A</v>
      </c>
      <c r="J251" s="23" t="s">
        <v>11798</v>
      </c>
      <c r="K251" s="23" t="s">
        <v>646</v>
      </c>
      <c r="L251" s="398">
        <v>181942.6</v>
      </c>
      <c r="M251" s="403">
        <f t="shared" si="7"/>
        <v>6.0647533333333337E-2</v>
      </c>
      <c r="N251" s="23" t="s">
        <v>1246</v>
      </c>
      <c r="O251" s="23"/>
      <c r="P251" s="167" t="s">
        <v>4287</v>
      </c>
      <c r="Q251" s="392">
        <v>42788</v>
      </c>
      <c r="R251" s="392">
        <v>42787</v>
      </c>
      <c r="S251" s="392" t="str">
        <f>_xlfn.IFNA(VLOOKUP(B251,'[1]VLOOKUP NO DUPS'!$A$1:$C$456,2,FALSE),"")</f>
        <v>02/24/2017</v>
      </c>
      <c r="T251" s="168" t="str">
        <f>_xlfn.IFNA(VLOOKUP(B251,'[1]VLOOKUP NO DUPS'!$A$1:$C$456,3,FALSE),"")</f>
        <v>Glancy Prongay &amp; Murray, LLP; RM Law, P.C.; Saxena White P.A.; The Rosen Law Firm, P.A.</v>
      </c>
      <c r="U251" s="92"/>
      <c r="V251" s="92"/>
      <c r="W251" s="92"/>
    </row>
    <row r="252" spans="1:23" s="91" customFormat="1" x14ac:dyDescent="0.25">
      <c r="A252" s="165" t="str">
        <f t="shared" si="6"/>
        <v/>
      </c>
      <c r="B252" s="23" t="s">
        <v>3061</v>
      </c>
      <c r="C252" s="23" t="s">
        <v>5031</v>
      </c>
      <c r="D252" s="166" t="s">
        <v>5032</v>
      </c>
      <c r="E252" s="242" t="s">
        <v>418</v>
      </c>
      <c r="F252" s="169">
        <v>2</v>
      </c>
      <c r="G252" s="243" t="s">
        <v>5033</v>
      </c>
      <c r="H252" s="89">
        <v>165000000</v>
      </c>
      <c r="I252" s="89" t="str">
        <f>IF($H252&lt;='Abbrev Key'!$A$2,'Abbrev Key'!$B$2,IF($H252&lt;='Abbrev Key'!$A$3,'Abbrev Key'!$B$3,IF($H252&lt;='Abbrev Key'!$A$4,'Abbrev Key'!$B$4,IF($H252&lt;='Abbrev Key'!$A$5,'Abbrev Key'!$B$5,IF($H252&lt;='Abbrev Key'!$A$6,'Abbrev Key'!$B$6,IF($H252&gt;='Abbrev Key'!$A$7,'Abbrev Key'!$B$7,IF($H252='Abbrev Key'!$A$8,'Abbrev Key'!$B$8,"")))))))</f>
        <v>D</v>
      </c>
      <c r="J252" s="17" t="s">
        <v>11895</v>
      </c>
      <c r="K252" s="92" t="s">
        <v>646</v>
      </c>
      <c r="L252" s="398">
        <v>7159.93</v>
      </c>
      <c r="M252" s="403">
        <f t="shared" si="7"/>
        <v>4.3393515151515151E-5</v>
      </c>
      <c r="N252" s="92" t="s">
        <v>63</v>
      </c>
      <c r="O252" s="92"/>
      <c r="P252" s="167" t="s">
        <v>4287</v>
      </c>
      <c r="Q252" s="392">
        <v>42752</v>
      </c>
      <c r="R252" s="392">
        <v>42751</v>
      </c>
      <c r="S252" s="392" t="str">
        <f>_xlfn.IFNA(VLOOKUP(B252,'[1]VLOOKUP NO DUPS'!$A$1:$C$456,2,FALSE),"")</f>
        <v>02/24/2017</v>
      </c>
      <c r="T252" s="168" t="str">
        <f>_xlfn.IFNA(VLOOKUP(B252,'[1]VLOOKUP NO DUPS'!$A$1:$C$456,3,FALSE),"")</f>
        <v>Levi &amp; Korsinsky, LLP</v>
      </c>
      <c r="U252" s="92"/>
      <c r="V252" s="92"/>
      <c r="W252" s="92"/>
    </row>
    <row r="253" spans="1:23" s="91" customFormat="1" ht="30" x14ac:dyDescent="0.25">
      <c r="A253" s="165" t="str">
        <f t="shared" si="6"/>
        <v/>
      </c>
      <c r="B253" s="23" t="s">
        <v>2182</v>
      </c>
      <c r="C253" s="23" t="s">
        <v>4704</v>
      </c>
      <c r="D253" s="166" t="s">
        <v>4705</v>
      </c>
      <c r="E253" s="242" t="s">
        <v>1008</v>
      </c>
      <c r="F253" s="169">
        <v>2</v>
      </c>
      <c r="G253" s="243" t="s">
        <v>4706</v>
      </c>
      <c r="H253" s="89">
        <v>75000000</v>
      </c>
      <c r="I253" s="89" t="str">
        <f>IF($H253&lt;='Abbrev Key'!$A$2,'Abbrev Key'!$B$2,IF($H253&lt;='Abbrev Key'!$A$3,'Abbrev Key'!$B$3,IF($H253&lt;='Abbrev Key'!$A$4,'Abbrev Key'!$B$4,IF($H253&lt;='Abbrev Key'!$A$5,'Abbrev Key'!$B$5,IF($H253&lt;='Abbrev Key'!$A$6,'Abbrev Key'!$B$6,IF($H253&gt;='Abbrev Key'!$A$7,'Abbrev Key'!$B$7,IF($H253='Abbrev Key'!$A$8,'Abbrev Key'!$B$8,"")))))))</f>
        <v>C</v>
      </c>
      <c r="J253" s="23" t="s">
        <v>2184</v>
      </c>
      <c r="K253" s="23" t="s">
        <v>633</v>
      </c>
      <c r="L253" s="398">
        <v>76437.38</v>
      </c>
      <c r="M253" s="403">
        <f t="shared" si="7"/>
        <v>1.0191650666666668E-3</v>
      </c>
      <c r="N253" s="23" t="s">
        <v>1583</v>
      </c>
      <c r="O253" s="23"/>
      <c r="P253" s="167" t="s">
        <v>4287</v>
      </c>
      <c r="Q253" s="392">
        <v>42790</v>
      </c>
      <c r="R253" s="392">
        <v>42789</v>
      </c>
      <c r="S253" s="392" t="str">
        <f>_xlfn.IFNA(VLOOKUP(B253,'[1]VLOOKUP NO DUPS'!$A$1:$C$456,2,FALSE),"")</f>
        <v>02/27/2017</v>
      </c>
      <c r="T253" s="168" t="str">
        <f>_xlfn.IFNA(VLOOKUP(B253,'[1]VLOOKUP NO DUPS'!$A$1:$C$456,3,FALSE),"")</f>
        <v>Law Offices of Curtis V. Trinko; Robbins, Geller, Rudman &amp; Dowd, LLP; The Rosen Law Firm, P.A.</v>
      </c>
      <c r="U253" s="92"/>
      <c r="V253" s="92"/>
      <c r="W253" s="92"/>
    </row>
    <row r="254" spans="1:23" s="91" customFormat="1" x14ac:dyDescent="0.25">
      <c r="A254" s="165" t="str">
        <f t="shared" si="6"/>
        <v/>
      </c>
      <c r="B254" s="23" t="s">
        <v>2407</v>
      </c>
      <c r="C254" s="23" t="s">
        <v>4795</v>
      </c>
      <c r="D254" s="166" t="s">
        <v>4796</v>
      </c>
      <c r="E254" s="242" t="s">
        <v>457</v>
      </c>
      <c r="F254" s="169">
        <v>9</v>
      </c>
      <c r="G254" s="243" t="s">
        <v>4797</v>
      </c>
      <c r="H254" s="89">
        <v>16000000</v>
      </c>
      <c r="I254" s="89" t="str">
        <f>IF($H254&lt;='Abbrev Key'!$A$2,'Abbrev Key'!$B$2,IF($H254&lt;='Abbrev Key'!$A$3,'Abbrev Key'!$B$3,IF($H254&lt;='Abbrev Key'!$A$4,'Abbrev Key'!$B$4,IF($H254&lt;='Abbrev Key'!$A$5,'Abbrev Key'!$B$5,IF($H254&lt;='Abbrev Key'!$A$6,'Abbrev Key'!$B$6,IF($H254&gt;='Abbrev Key'!$A$7,'Abbrev Key'!$B$7,IF($H254='Abbrev Key'!$A$8,'Abbrev Key'!$B$8,"")))))))</f>
        <v>A</v>
      </c>
      <c r="J254" s="17" t="s">
        <v>2408</v>
      </c>
      <c r="K254" s="92" t="s">
        <v>637</v>
      </c>
      <c r="L254" s="398">
        <v>2051.91</v>
      </c>
      <c r="M254" s="403">
        <f t="shared" si="7"/>
        <v>1.2824437499999998E-4</v>
      </c>
      <c r="N254" s="92" t="s">
        <v>4798</v>
      </c>
      <c r="O254" s="92"/>
      <c r="P254" s="167" t="s">
        <v>4287</v>
      </c>
      <c r="Q254" s="392">
        <v>42677</v>
      </c>
      <c r="R254" s="392">
        <v>42676</v>
      </c>
      <c r="S254" s="392" t="str">
        <f>_xlfn.IFNA(VLOOKUP(B254,'[1]VLOOKUP NO DUPS'!$A$1:$C$456,2,FALSE),"")</f>
        <v>02/27/2017</v>
      </c>
      <c r="T254" s="168" t="str">
        <f>_xlfn.IFNA(VLOOKUP(B254,'[1]VLOOKUP NO DUPS'!$A$1:$C$456,3,FALSE),"")</f>
        <v>Glancy Prongay &amp; Murray, LLP; Holzer &amp; Holzer, LLC</v>
      </c>
      <c r="U254" s="92"/>
      <c r="V254" s="92"/>
      <c r="W254" s="92"/>
    </row>
    <row r="255" spans="1:23" s="91" customFormat="1" ht="60" x14ac:dyDescent="0.25">
      <c r="A255" s="165" t="str">
        <f t="shared" si="6"/>
        <v/>
      </c>
      <c r="B255" s="23" t="s">
        <v>66</v>
      </c>
      <c r="C255" s="23" t="s">
        <v>4350</v>
      </c>
      <c r="D255" s="166" t="s">
        <v>4351</v>
      </c>
      <c r="E255" s="166" t="s">
        <v>446</v>
      </c>
      <c r="F255" s="169">
        <v>9</v>
      </c>
      <c r="G255" s="243" t="s">
        <v>4352</v>
      </c>
      <c r="H255" s="89">
        <v>480000000</v>
      </c>
      <c r="I255" s="89" t="str">
        <f>IF($H255&lt;='Abbrev Key'!$A$2,'Abbrev Key'!$B$2,IF($H255&lt;='Abbrev Key'!$A$3,'Abbrev Key'!$B$3,IF($H255&lt;='Abbrev Key'!$A$4,'Abbrev Key'!$B$4,IF($H255&lt;='Abbrev Key'!$A$5,'Abbrev Key'!$B$5,IF($H255&lt;='Abbrev Key'!$A$6,'Abbrev Key'!$B$6,IF($H255&gt;='Abbrev Key'!$A$7,'Abbrev Key'!$B$7,IF($H255='Abbrev Key'!$A$8,'Abbrev Key'!$B$8,"")))))))</f>
        <v>E</v>
      </c>
      <c r="J255" s="92" t="s">
        <v>11781</v>
      </c>
      <c r="K255" s="92" t="s">
        <v>640</v>
      </c>
      <c r="L255" s="398">
        <v>27024.54</v>
      </c>
      <c r="M255" s="403">
        <f t="shared" si="7"/>
        <v>5.6301125000000004E-5</v>
      </c>
      <c r="N255" s="92" t="s">
        <v>11780</v>
      </c>
      <c r="O255" s="92"/>
      <c r="P255" s="167" t="s">
        <v>4287</v>
      </c>
      <c r="Q255" s="392">
        <v>42810</v>
      </c>
      <c r="R255" s="392">
        <v>42809</v>
      </c>
      <c r="S255" s="392" t="str">
        <f>_xlfn.IFNA(VLOOKUP(B255,'[1]VLOOKUP NO DUPS'!$A$1:$C$456,2,FALSE),"")</f>
        <v>03/01/2017</v>
      </c>
      <c r="T255" s="168" t="str">
        <f>_xlfn.IFNA(VLOOKUP(B255,'[1]VLOOKUP NO DUPS'!$A$1:$C$456,3,FALSE),"")</f>
        <v>Block &amp; Leviton LLP; Bronstein, Gewirtz &amp; Grossman, LLC; Gainey McKenna &amp; Egleston; Gardy &amp; Notis, LLP; Pomerantz LLP; Roy Jacobs &amp; Associates; The Paskowitz Law Firm, P.C.</v>
      </c>
      <c r="U255" s="92"/>
      <c r="V255" s="92"/>
      <c r="W255" s="92"/>
    </row>
    <row r="256" spans="1:23" s="91" customFormat="1" x14ac:dyDescent="0.25">
      <c r="A256" s="165" t="str">
        <f t="shared" si="6"/>
        <v/>
      </c>
      <c r="B256" s="23" t="s">
        <v>2804</v>
      </c>
      <c r="C256" s="23" t="s">
        <v>4950</v>
      </c>
      <c r="D256" s="166" t="s">
        <v>4951</v>
      </c>
      <c r="E256" s="242" t="s">
        <v>457</v>
      </c>
      <c r="F256" s="169">
        <v>9</v>
      </c>
      <c r="G256" s="243" t="s">
        <v>4952</v>
      </c>
      <c r="H256" s="89">
        <v>7500000000</v>
      </c>
      <c r="I256" s="89" t="str">
        <f>IF($H256&lt;='Abbrev Key'!$A$2,'Abbrev Key'!$B$2,IF($H256&lt;='Abbrev Key'!$A$3,'Abbrev Key'!$B$3,IF($H256&lt;='Abbrev Key'!$A$4,'Abbrev Key'!$B$4,IF($H256&lt;='Abbrev Key'!$A$5,'Abbrev Key'!$B$5,IF($H256&lt;='Abbrev Key'!$A$6,'Abbrev Key'!$B$6,IF($H256&gt;='Abbrev Key'!$A$7,'Abbrev Key'!$B$7,IF($H256='Abbrev Key'!$A$8,'Abbrev Key'!$B$8,"")))))))</f>
        <v>F</v>
      </c>
      <c r="J256" s="17" t="s">
        <v>2806</v>
      </c>
      <c r="K256" s="92" t="s">
        <v>637</v>
      </c>
      <c r="L256" s="398">
        <v>18865.5</v>
      </c>
      <c r="M256" s="403">
        <f t="shared" si="7"/>
        <v>2.5154000000000001E-6</v>
      </c>
      <c r="N256" s="92" t="s">
        <v>2808</v>
      </c>
      <c r="O256" s="92"/>
      <c r="P256" s="167" t="s">
        <v>4287</v>
      </c>
      <c r="Q256" s="392">
        <v>41927</v>
      </c>
      <c r="R256" s="392">
        <v>41926</v>
      </c>
      <c r="S256" s="392" t="str">
        <f>_xlfn.IFNA(VLOOKUP(B256,'[1]VLOOKUP NO DUPS'!$A$1:$C$456,2,FALSE),"")</f>
        <v>03/01/2017</v>
      </c>
      <c r="T256" s="168" t="str">
        <f>_xlfn.IFNA(VLOOKUP(B256,'[1]VLOOKUP NO DUPS'!$A$1:$C$456,3,FALSE),"")</f>
        <v>Finkelstein &amp; Krinsk LLP; Kahn Swick &amp; Foti, LLC</v>
      </c>
      <c r="U256" s="92"/>
      <c r="V256" s="92"/>
      <c r="W256" s="92"/>
    </row>
    <row r="257" spans="1:23" s="91" customFormat="1" ht="30" x14ac:dyDescent="0.25">
      <c r="A257" s="165" t="str">
        <f t="shared" si="6"/>
        <v/>
      </c>
      <c r="B257" s="23" t="s">
        <v>107</v>
      </c>
      <c r="C257" s="23" t="s">
        <v>4467</v>
      </c>
      <c r="D257" s="166" t="s">
        <v>4468</v>
      </c>
      <c r="E257" s="242" t="s">
        <v>418</v>
      </c>
      <c r="F257" s="169">
        <v>2</v>
      </c>
      <c r="G257" s="243" t="s">
        <v>4469</v>
      </c>
      <c r="H257" s="89">
        <v>850000000</v>
      </c>
      <c r="I257" s="89" t="str">
        <f>IF($H257&lt;='Abbrev Key'!$A$2,'Abbrev Key'!$B$2,IF($H257&lt;='Abbrev Key'!$A$3,'Abbrev Key'!$B$3,IF($H257&lt;='Abbrev Key'!$A$4,'Abbrev Key'!$B$4,IF($H257&lt;='Abbrev Key'!$A$5,'Abbrev Key'!$B$5,IF($H257&lt;='Abbrev Key'!$A$6,'Abbrev Key'!$B$6,IF($H257&gt;='Abbrev Key'!$A$7,'Abbrev Key'!$B$7,IF($H257='Abbrev Key'!$A$8,'Abbrev Key'!$B$8,"")))))))</f>
        <v>F</v>
      </c>
      <c r="J257" s="92" t="s">
        <v>1332</v>
      </c>
      <c r="K257" s="23" t="s">
        <v>633</v>
      </c>
      <c r="L257" s="398">
        <v>3076000.83</v>
      </c>
      <c r="M257" s="403">
        <f t="shared" si="7"/>
        <v>3.618824505882353E-3</v>
      </c>
      <c r="N257" s="92" t="s">
        <v>849</v>
      </c>
      <c r="O257" s="92"/>
      <c r="P257" s="167" t="s">
        <v>4287</v>
      </c>
      <c r="Q257" s="392">
        <v>41983</v>
      </c>
      <c r="R257" s="392">
        <v>41982</v>
      </c>
      <c r="S257" s="392" t="str">
        <f>_xlfn.IFNA(VLOOKUP(B257,'[1]VLOOKUP NO DUPS'!$A$1:$C$456,2,FALSE),"")</f>
        <v>03/02/2017</v>
      </c>
      <c r="T257" s="168" t="str">
        <f>_xlfn.IFNA(VLOOKUP(B257,'[1]VLOOKUP NO DUPS'!$A$1:$C$456,3,FALSE),"")</f>
        <v>Levi &amp; Korsinsky, LLP; Robbins, Geller, Rudman &amp; Dowd, LLP; VanOverbeke Michaud &amp; Timmony, P.C.</v>
      </c>
      <c r="U257" s="92"/>
      <c r="V257" s="92"/>
      <c r="W257" s="92"/>
    </row>
    <row r="258" spans="1:23" s="91" customFormat="1" ht="30" x14ac:dyDescent="0.25">
      <c r="A258" s="165" t="str">
        <f t="shared" ref="A258:A321" si="8">IF(COUNTIF(B:B,B258)&gt;=2,"DUP","")</f>
        <v/>
      </c>
      <c r="B258" s="23" t="s">
        <v>49</v>
      </c>
      <c r="C258" s="23" t="s">
        <v>4383</v>
      </c>
      <c r="D258" s="166" t="s">
        <v>4384</v>
      </c>
      <c r="E258" s="242" t="s">
        <v>450</v>
      </c>
      <c r="F258" s="169">
        <v>4</v>
      </c>
      <c r="G258" s="243" t="s">
        <v>4385</v>
      </c>
      <c r="H258" s="89">
        <v>240000000</v>
      </c>
      <c r="I258" s="89" t="str">
        <f>IF($H258&lt;='Abbrev Key'!$A$2,'Abbrev Key'!$B$2,IF($H258&lt;='Abbrev Key'!$A$3,'Abbrev Key'!$B$3,IF($H258&lt;='Abbrev Key'!$A$4,'Abbrev Key'!$B$4,IF($H258&lt;='Abbrev Key'!$A$5,'Abbrev Key'!$B$5,IF($H258&lt;='Abbrev Key'!$A$6,'Abbrev Key'!$B$6,IF($H258&gt;='Abbrev Key'!$A$7,'Abbrev Key'!$B$7,IF($H258='Abbrev Key'!$A$8,'Abbrev Key'!$B$8,"")))))))</f>
        <v>D</v>
      </c>
      <c r="J258" s="17" t="s">
        <v>39</v>
      </c>
      <c r="K258" s="92" t="s">
        <v>633</v>
      </c>
      <c r="L258" s="398">
        <v>5470011.8700000001</v>
      </c>
      <c r="M258" s="403">
        <f t="shared" ref="M258:M321" si="9">IFERROR((L258/H258),"DC")</f>
        <v>2.2791716125E-2</v>
      </c>
      <c r="N258" s="23" t="s">
        <v>981</v>
      </c>
      <c r="O258" s="23"/>
      <c r="P258" s="167" t="s">
        <v>4287</v>
      </c>
      <c r="Q258" s="392">
        <v>42794</v>
      </c>
      <c r="R258" s="392">
        <v>42793</v>
      </c>
      <c r="S258" s="392" t="str">
        <f>_xlfn.IFNA(VLOOKUP(B258,'[1]VLOOKUP NO DUPS'!$A$1:$C$456,2,FALSE),"")</f>
        <v>03/03/2017</v>
      </c>
      <c r="T258" s="168" t="str">
        <f>_xlfn.IFNA(VLOOKUP(B258,'[1]VLOOKUP NO DUPS'!$A$1:$C$456,3,FALSE),"")</f>
        <v>Holzer &amp; Holzer, LLC; McDaniel &amp; Anderson, LLP; Robbins, Geller, Rudman &amp; Dowd, LLP</v>
      </c>
      <c r="U258" s="92"/>
      <c r="V258" s="92"/>
      <c r="W258" s="92"/>
    </row>
    <row r="259" spans="1:23" s="91" customFormat="1" ht="30" x14ac:dyDescent="0.25">
      <c r="A259" s="165" t="str">
        <f t="shared" si="8"/>
        <v/>
      </c>
      <c r="B259" s="23" t="s">
        <v>328</v>
      </c>
      <c r="C259" s="23" t="s">
        <v>4432</v>
      </c>
      <c r="D259" s="166" t="s">
        <v>4433</v>
      </c>
      <c r="E259" s="242" t="s">
        <v>465</v>
      </c>
      <c r="F259" s="169">
        <v>7</v>
      </c>
      <c r="G259" s="243" t="s">
        <v>4434</v>
      </c>
      <c r="H259" s="89">
        <v>350000000</v>
      </c>
      <c r="I259" s="89" t="str">
        <f>IF($H259&lt;='Abbrev Key'!$A$2,'Abbrev Key'!$B$2,IF($H259&lt;='Abbrev Key'!$A$3,'Abbrev Key'!$B$3,IF($H259&lt;='Abbrev Key'!$A$4,'Abbrev Key'!$B$4,IF($H259&lt;='Abbrev Key'!$A$5,'Abbrev Key'!$B$5,IF($H259&lt;='Abbrev Key'!$A$6,'Abbrev Key'!$B$6,IF($H259&gt;='Abbrev Key'!$A$7,'Abbrev Key'!$B$7,IF($H259='Abbrev Key'!$A$8,'Abbrev Key'!$B$8,"")))))))</f>
        <v>E</v>
      </c>
      <c r="J259" s="17" t="s">
        <v>327</v>
      </c>
      <c r="K259" s="23" t="s">
        <v>633</v>
      </c>
      <c r="L259" s="398">
        <v>990918.58</v>
      </c>
      <c r="M259" s="403">
        <f t="shared" si="9"/>
        <v>2.8311959428571429E-3</v>
      </c>
      <c r="N259" s="23" t="s">
        <v>1166</v>
      </c>
      <c r="O259" s="23"/>
      <c r="P259" s="167" t="s">
        <v>4295</v>
      </c>
      <c r="Q259" s="392">
        <v>42795</v>
      </c>
      <c r="R259" s="392">
        <v>42794</v>
      </c>
      <c r="S259" s="392" t="str">
        <f>_xlfn.IFNA(VLOOKUP(B259,'[1]VLOOKUP NO DUPS'!$A$1:$C$456,2,FALSE),"")</f>
        <v>03/03/2017</v>
      </c>
      <c r="T259" s="168" t="str">
        <f>_xlfn.IFNA(VLOOKUP(B259,'[1]VLOOKUP NO DUPS'!$A$1:$C$456,3,FALSE),"")</f>
        <v>Pomerantz LLP</v>
      </c>
      <c r="U259" s="92"/>
      <c r="V259" s="92"/>
      <c r="W259" s="92"/>
    </row>
    <row r="260" spans="1:23" s="91" customFormat="1" x14ac:dyDescent="0.25">
      <c r="A260" s="165" t="str">
        <f t="shared" si="8"/>
        <v/>
      </c>
      <c r="B260" s="23" t="s">
        <v>2221</v>
      </c>
      <c r="C260" s="23" t="s">
        <v>4727</v>
      </c>
      <c r="D260" s="166" t="s">
        <v>4728</v>
      </c>
      <c r="E260" s="244" t="s">
        <v>1815</v>
      </c>
      <c r="F260" s="169">
        <v>5</v>
      </c>
      <c r="G260" s="243" t="s">
        <v>4729</v>
      </c>
      <c r="H260" s="89">
        <v>10000000</v>
      </c>
      <c r="I260" s="89" t="str">
        <f>IF($H260&lt;='Abbrev Key'!$A$2,'Abbrev Key'!$B$2,IF($H260&lt;='Abbrev Key'!$A$3,'Abbrev Key'!$B$3,IF($H260&lt;='Abbrev Key'!$A$4,'Abbrev Key'!$B$4,IF($H260&lt;='Abbrev Key'!$A$5,'Abbrev Key'!$B$5,IF($H260&lt;='Abbrev Key'!$A$6,'Abbrev Key'!$B$6,IF($H260&gt;='Abbrev Key'!$A$7,'Abbrev Key'!$B$7,IF($H260='Abbrev Key'!$A$8,'Abbrev Key'!$B$8,"")))))))</f>
        <v>A</v>
      </c>
      <c r="J260" s="17" t="s">
        <v>11851</v>
      </c>
      <c r="K260" s="92" t="s">
        <v>646</v>
      </c>
      <c r="L260" s="398">
        <v>2754.63</v>
      </c>
      <c r="M260" s="403">
        <f t="shared" si="9"/>
        <v>2.7546299999999999E-4</v>
      </c>
      <c r="N260" s="92" t="s">
        <v>4336</v>
      </c>
      <c r="O260" s="92"/>
      <c r="P260" s="167" t="s">
        <v>4295</v>
      </c>
      <c r="Q260" s="392">
        <v>42796</v>
      </c>
      <c r="R260" s="392">
        <v>42795</v>
      </c>
      <c r="S260" s="392" t="str">
        <f>_xlfn.IFNA(VLOOKUP(B260,'[1]VLOOKUP NO DUPS'!$A$1:$C$456,2,FALSE),"")</f>
        <v>03/03/2017</v>
      </c>
      <c r="T260" s="168" t="str">
        <f>_xlfn.IFNA(VLOOKUP(B260,'[1]VLOOKUP NO DUPS'!$A$1:$C$456,3,FALSE),"")</f>
        <v>The Rosen Law Firm, P.A.</v>
      </c>
      <c r="U260" s="92"/>
      <c r="V260" s="92"/>
      <c r="W260" s="92"/>
    </row>
    <row r="261" spans="1:23" s="91" customFormat="1" ht="30" x14ac:dyDescent="0.25">
      <c r="A261" s="165" t="str">
        <f t="shared" si="8"/>
        <v/>
      </c>
      <c r="B261" s="23" t="s">
        <v>3124</v>
      </c>
      <c r="C261" s="23" t="s">
        <v>5054</v>
      </c>
      <c r="D261" s="166" t="s">
        <v>5055</v>
      </c>
      <c r="E261" s="242" t="s">
        <v>424</v>
      </c>
      <c r="F261" s="169">
        <v>3</v>
      </c>
      <c r="G261" s="243" t="s">
        <v>5056</v>
      </c>
      <c r="H261" s="89" t="s">
        <v>4882</v>
      </c>
      <c r="I261" s="89" t="s">
        <v>6732</v>
      </c>
      <c r="J261" s="17" t="s">
        <v>11891</v>
      </c>
      <c r="K261" s="92" t="s">
        <v>646</v>
      </c>
      <c r="L261" s="398">
        <v>16176.08</v>
      </c>
      <c r="M261" s="403" t="str">
        <f t="shared" si="9"/>
        <v>DC</v>
      </c>
      <c r="N261" s="92" t="s">
        <v>682</v>
      </c>
      <c r="O261" s="92"/>
      <c r="P261" s="167" t="s">
        <v>4295</v>
      </c>
      <c r="Q261" s="392">
        <v>42781</v>
      </c>
      <c r="R261" s="392">
        <v>42780</v>
      </c>
      <c r="S261" s="392" t="str">
        <f>_xlfn.IFNA(VLOOKUP(B261,'[1]VLOOKUP NO DUPS'!$A$1:$C$456,2,FALSE),"")</f>
        <v>03/03/2017</v>
      </c>
      <c r="T261" s="168" t="str">
        <f>_xlfn.IFNA(VLOOKUP(B261,'[1]VLOOKUP NO DUPS'!$A$1:$C$456,3,FALSE),"")</f>
        <v>The Rosen Law Firm, P.A.</v>
      </c>
      <c r="U261" s="92"/>
      <c r="V261" s="92"/>
      <c r="W261" s="92"/>
    </row>
    <row r="262" spans="1:23" s="91" customFormat="1" ht="45" x14ac:dyDescent="0.25">
      <c r="A262" s="165" t="str">
        <f t="shared" si="8"/>
        <v/>
      </c>
      <c r="B262" s="23" t="s">
        <v>339</v>
      </c>
      <c r="C262" s="23" t="s">
        <v>4930</v>
      </c>
      <c r="D262" s="166" t="s">
        <v>4931</v>
      </c>
      <c r="E262" s="242" t="s">
        <v>446</v>
      </c>
      <c r="F262" s="169">
        <v>9</v>
      </c>
      <c r="G262" s="243" t="s">
        <v>4932</v>
      </c>
      <c r="H262" s="89">
        <v>17000000</v>
      </c>
      <c r="I262" s="89" t="str">
        <f>IF($H262&lt;='Abbrev Key'!$A$2,'Abbrev Key'!$B$2,IF($H262&lt;='Abbrev Key'!$A$3,'Abbrev Key'!$B$3,IF($H262&lt;='Abbrev Key'!$A$4,'Abbrev Key'!$B$4,IF($H262&lt;='Abbrev Key'!$A$5,'Abbrev Key'!$B$5,IF($H262&lt;='Abbrev Key'!$A$6,'Abbrev Key'!$B$6,IF($H262&gt;='Abbrev Key'!$A$7,'Abbrev Key'!$B$7,IF($H262='Abbrev Key'!$A$8,'Abbrev Key'!$B$8,"")))))))</f>
        <v>A</v>
      </c>
      <c r="J262" s="17" t="s">
        <v>11879</v>
      </c>
      <c r="K262" s="23" t="s">
        <v>662</v>
      </c>
      <c r="L262" s="398">
        <v>455909.32</v>
      </c>
      <c r="M262" s="403">
        <f t="shared" si="9"/>
        <v>2.6818195294117646E-2</v>
      </c>
      <c r="N262" s="23" t="s">
        <v>338</v>
      </c>
      <c r="O262" s="23"/>
      <c r="P262" s="167" t="s">
        <v>4287</v>
      </c>
      <c r="Q262" s="392">
        <v>42856</v>
      </c>
      <c r="R262" s="392">
        <v>42855</v>
      </c>
      <c r="S262" s="392" t="str">
        <f>_xlfn.IFNA(VLOOKUP(B262,'[1]VLOOKUP NO DUPS'!$A$1:$C$456,2,FALSE),"")</f>
        <v>03/07/2017</v>
      </c>
      <c r="T262" s="168" t="str">
        <f>_xlfn.IFNA(VLOOKUP(B262,'[1]VLOOKUP NO DUPS'!$A$1:$C$456,3,FALSE),"")</f>
        <v>Glancy Prongay &amp; Murray, LLP; Goldberg Law PC; Levi &amp; Korsinsky, LLP; Pomerantz LLP</v>
      </c>
      <c r="U262" s="92"/>
      <c r="V262" s="92"/>
      <c r="W262" s="92"/>
    </row>
    <row r="263" spans="1:23" s="91" customFormat="1" ht="45" x14ac:dyDescent="0.25">
      <c r="A263" s="165" t="str">
        <f t="shared" si="8"/>
        <v/>
      </c>
      <c r="B263" s="23" t="s">
        <v>3809</v>
      </c>
      <c r="C263" s="23" t="s">
        <v>5293</v>
      </c>
      <c r="D263" s="166" t="s">
        <v>5294</v>
      </c>
      <c r="E263" s="166" t="s">
        <v>424</v>
      </c>
      <c r="F263" s="169">
        <v>3</v>
      </c>
      <c r="G263" s="167" t="s">
        <v>5295</v>
      </c>
      <c r="H263" s="89">
        <v>90000000</v>
      </c>
      <c r="I263" s="89" t="str">
        <f>IF($H263&lt;='Abbrev Key'!$A$2,'Abbrev Key'!$B$2,IF($H263&lt;='Abbrev Key'!$A$3,'Abbrev Key'!$B$3,IF($H263&lt;='Abbrev Key'!$A$4,'Abbrev Key'!$B$4,IF($H263&lt;='Abbrev Key'!$A$5,'Abbrev Key'!$B$5,IF($H263&lt;='Abbrev Key'!$A$6,'Abbrev Key'!$B$6,IF($H263&gt;='Abbrev Key'!$A$7,'Abbrev Key'!$B$7,IF($H263='Abbrev Key'!$A$8,'Abbrev Key'!$B$8,"")))))))</f>
        <v>C</v>
      </c>
      <c r="J263" s="92" t="s">
        <v>3814</v>
      </c>
      <c r="K263" s="92" t="s">
        <v>637</v>
      </c>
      <c r="L263" s="398">
        <v>49669</v>
      </c>
      <c r="M263" s="403">
        <f t="shared" si="9"/>
        <v>5.5187777777777783E-4</v>
      </c>
      <c r="N263" s="92" t="s">
        <v>2897</v>
      </c>
      <c r="O263" s="92" t="s">
        <v>11197</v>
      </c>
      <c r="P263" s="167" t="s">
        <v>4287</v>
      </c>
      <c r="Q263" s="392">
        <v>42803</v>
      </c>
      <c r="R263" s="392">
        <f t="shared" ref="R263:R278" si="10">Q263-1</f>
        <v>42802</v>
      </c>
      <c r="S263" s="392" t="str">
        <f>_xlfn.IFNA(VLOOKUP(B263,'[1]VLOOKUP NO DUPS'!$A$1:$C$456,2,FALSE),"")</f>
        <v>03/12/2017</v>
      </c>
      <c r="T263" s="168" t="str">
        <f>_xlfn.IFNA(VLOOKUP(B263,'[1]VLOOKUP NO DUPS'!$A$1:$C$456,3,FALSE),"")</f>
        <v>Bronstein, Gewirtz &amp; Grossman, LLC; Lite Depalma Greenberg, LLC; Pomerantz LLP; The Rosen Law Firm, P.A.</v>
      </c>
      <c r="U263" s="92"/>
      <c r="V263" s="92"/>
      <c r="W263" s="92"/>
    </row>
    <row r="264" spans="1:23" s="91" customFormat="1" ht="75" x14ac:dyDescent="0.25">
      <c r="A264" s="165" t="str">
        <f t="shared" si="8"/>
        <v/>
      </c>
      <c r="B264" s="23" t="s">
        <v>927</v>
      </c>
      <c r="C264" s="18" t="s">
        <v>4373</v>
      </c>
      <c r="D264" s="166" t="s">
        <v>4374</v>
      </c>
      <c r="E264" s="242" t="s">
        <v>503</v>
      </c>
      <c r="F264" s="169">
        <v>4</v>
      </c>
      <c r="G264" s="242" t="s">
        <v>4375</v>
      </c>
      <c r="H264" s="89">
        <v>40000000</v>
      </c>
      <c r="I264" s="89" t="str">
        <f>IF($H264&lt;='Abbrev Key'!$A$2,'Abbrev Key'!$B$2,IF($H264&lt;='Abbrev Key'!$A$3,'Abbrev Key'!$B$3,IF($H264&lt;='Abbrev Key'!$A$4,'Abbrev Key'!$B$4,IF($H264&lt;='Abbrev Key'!$A$5,'Abbrev Key'!$B$5,IF($H264&lt;='Abbrev Key'!$A$6,'Abbrev Key'!$B$6,IF($H264&gt;='Abbrev Key'!$A$7,'Abbrev Key'!$B$7,IF($H264='Abbrev Key'!$A$8,'Abbrev Key'!$B$8,"")))))))</f>
        <v>B</v>
      </c>
      <c r="J264" s="92" t="s">
        <v>11931</v>
      </c>
      <c r="K264" s="92" t="s">
        <v>662</v>
      </c>
      <c r="L264" s="398">
        <f>522742.97+93176.71+363820.61+198710.96+146236.74+193791.84+781711.56</f>
        <v>2300191.39</v>
      </c>
      <c r="M264" s="403">
        <f t="shared" si="9"/>
        <v>5.7504784750000003E-2</v>
      </c>
      <c r="N264" s="92" t="s">
        <v>4376</v>
      </c>
      <c r="O264" s="92" t="s">
        <v>11197</v>
      </c>
      <c r="P264" s="167" t="s">
        <v>4295</v>
      </c>
      <c r="Q264" s="392">
        <v>42787</v>
      </c>
      <c r="R264" s="392">
        <f t="shared" si="10"/>
        <v>42786</v>
      </c>
      <c r="S264" s="392" t="str">
        <f>_xlfn.IFNA(VLOOKUP(B264,'[1]VLOOKUP NO DUPS'!$A$1:$C$456,2,FALSE),"")</f>
        <v>03/14/2017</v>
      </c>
      <c r="T264" s="168" t="str">
        <f>_xlfn.IFNA(VLOOKUP(B264,'[1]VLOOKUP NO DUPS'!$A$1:$C$456,3,FALSE),"")</f>
        <v>Levi &amp; Korsinsky, LLP; Ward Black Law</v>
      </c>
      <c r="U264" s="92"/>
      <c r="V264" s="92"/>
      <c r="W264" s="92"/>
    </row>
    <row r="265" spans="1:23" s="91" customFormat="1" ht="30" x14ac:dyDescent="0.25">
      <c r="A265" s="165" t="str">
        <f t="shared" si="8"/>
        <v/>
      </c>
      <c r="B265" s="23" t="s">
        <v>3029</v>
      </c>
      <c r="C265" s="23" t="s">
        <v>5022</v>
      </c>
      <c r="D265" s="166" t="s">
        <v>5023</v>
      </c>
      <c r="E265" s="166" t="s">
        <v>418</v>
      </c>
      <c r="F265" s="169">
        <v>2</v>
      </c>
      <c r="G265" s="167" t="s">
        <v>5024</v>
      </c>
      <c r="H265" s="89">
        <v>20000000</v>
      </c>
      <c r="I265" s="89" t="str">
        <f>IF($H265&lt;='Abbrev Key'!$A$2,'Abbrev Key'!$B$2,IF($H265&lt;='Abbrev Key'!$A$3,'Abbrev Key'!$B$3,IF($H265&lt;='Abbrev Key'!$A$4,'Abbrev Key'!$B$4,IF($H265&lt;='Abbrev Key'!$A$5,'Abbrev Key'!$B$5,IF($H265&lt;='Abbrev Key'!$A$6,'Abbrev Key'!$B$6,IF($H265&gt;='Abbrev Key'!$A$7,'Abbrev Key'!$B$7,IF($H265='Abbrev Key'!$A$8,'Abbrev Key'!$B$8,"")))))))</f>
        <v>A</v>
      </c>
      <c r="J265" s="92" t="s">
        <v>11961</v>
      </c>
      <c r="K265" s="92" t="s">
        <v>662</v>
      </c>
      <c r="L265" s="398">
        <f>380227.73+56409.63</f>
        <v>436637.36</v>
      </c>
      <c r="M265" s="403">
        <f t="shared" si="9"/>
        <v>2.1831868000000001E-2</v>
      </c>
      <c r="N265" s="92" t="s">
        <v>11071</v>
      </c>
      <c r="O265" s="92" t="s">
        <v>11197</v>
      </c>
      <c r="P265" s="167" t="s">
        <v>4287</v>
      </c>
      <c r="Q265" s="392">
        <v>42797</v>
      </c>
      <c r="R265" s="392">
        <f t="shared" si="10"/>
        <v>42796</v>
      </c>
      <c r="S265" s="392" t="str">
        <f>_xlfn.IFNA(VLOOKUP(B265,'[1]VLOOKUP NO DUPS'!$A$1:$C$456,2,FALSE),"")</f>
        <v>03/14/2017</v>
      </c>
      <c r="T265" s="168" t="str">
        <f>_xlfn.IFNA(VLOOKUP(B265,'[1]VLOOKUP NO DUPS'!$A$1:$C$456,3,FALSE),"")</f>
        <v>Glancy Prongay &amp; Murray, LLP; Safirstein Metcalf LLP; The Grant Law Firm PLLC</v>
      </c>
      <c r="U265" s="92"/>
      <c r="V265" s="92"/>
      <c r="W265" s="92"/>
    </row>
    <row r="266" spans="1:23" s="91" customFormat="1" x14ac:dyDescent="0.25">
      <c r="A266" s="165" t="str">
        <f t="shared" si="8"/>
        <v/>
      </c>
      <c r="B266" s="23" t="s">
        <v>1614</v>
      </c>
      <c r="C266" s="18" t="s">
        <v>4536</v>
      </c>
      <c r="D266" s="166" t="s">
        <v>4537</v>
      </c>
      <c r="E266" s="242" t="s">
        <v>1008</v>
      </c>
      <c r="F266" s="169">
        <v>2</v>
      </c>
      <c r="G266" s="242" t="s">
        <v>4538</v>
      </c>
      <c r="H266" s="89">
        <v>400000000</v>
      </c>
      <c r="I266" s="89" t="str">
        <f>IF($H266&lt;='Abbrev Key'!$A$2,'Abbrev Key'!$B$2,IF($H266&lt;='Abbrev Key'!$A$3,'Abbrev Key'!$B$3,IF($H266&lt;='Abbrev Key'!$A$4,'Abbrev Key'!$B$4,IF($H266&lt;='Abbrev Key'!$A$5,'Abbrev Key'!$B$5,IF($H266&lt;='Abbrev Key'!$A$6,'Abbrev Key'!$B$6,IF($H266&gt;='Abbrev Key'!$A$7,'Abbrev Key'!$B$7,IF($H266='Abbrev Key'!$A$8,'Abbrev Key'!$B$8,"")))))))</f>
        <v>E</v>
      </c>
      <c r="J266" s="17" t="s">
        <v>1618</v>
      </c>
      <c r="K266" s="23" t="s">
        <v>637</v>
      </c>
      <c r="L266" s="398">
        <v>322308.15000000002</v>
      </c>
      <c r="M266" s="403">
        <f t="shared" si="9"/>
        <v>8.0577037500000005E-4</v>
      </c>
      <c r="N266" s="23" t="s">
        <v>63</v>
      </c>
      <c r="O266" s="23"/>
      <c r="P266" s="167" t="s">
        <v>4287</v>
      </c>
      <c r="Q266" s="392">
        <v>42495</v>
      </c>
      <c r="R266" s="392">
        <f t="shared" si="10"/>
        <v>42494</v>
      </c>
      <c r="S266" s="392" t="str">
        <f>_xlfn.IFNA(VLOOKUP(B266,'[1]VLOOKUP NO DUPS'!$A$1:$C$456,2,FALSE),"")</f>
        <v>03/14/2017</v>
      </c>
      <c r="T266" s="168" t="str">
        <f>_xlfn.IFNA(VLOOKUP(B266,'[1]VLOOKUP NO DUPS'!$A$1:$C$456,3,FALSE),"")</f>
        <v>The Rosen Law Firm, P.A.</v>
      </c>
      <c r="U266" s="92"/>
      <c r="V266" s="92"/>
      <c r="W266" s="92"/>
    </row>
    <row r="267" spans="1:23" s="91" customFormat="1" ht="30" x14ac:dyDescent="0.25">
      <c r="A267" s="165" t="str">
        <f t="shared" si="8"/>
        <v/>
      </c>
      <c r="B267" s="23" t="s">
        <v>4255</v>
      </c>
      <c r="C267" s="23" t="s">
        <v>7552</v>
      </c>
      <c r="D267" s="166" t="s">
        <v>11050</v>
      </c>
      <c r="E267" s="166" t="s">
        <v>418</v>
      </c>
      <c r="F267" s="167">
        <v>2</v>
      </c>
      <c r="G267" s="167" t="s">
        <v>8140</v>
      </c>
      <c r="H267" s="89">
        <v>8000000</v>
      </c>
      <c r="I267" s="89" t="str">
        <f>IF($H267&lt;='Abbrev Key'!$A$2,'Abbrev Key'!$B$2,IF($H267&lt;='Abbrev Key'!$A$3,'Abbrev Key'!$B$3,IF($H267&lt;='Abbrev Key'!$A$4,'Abbrev Key'!$B$4,IF($H267&lt;='Abbrev Key'!$A$5,'Abbrev Key'!$B$5,IF($H267&lt;='Abbrev Key'!$A$6,'Abbrev Key'!$B$6,IF($H267&gt;='Abbrev Key'!$A$7,'Abbrev Key'!$B$7,IF($H267='Abbrev Key'!$A$8,'Abbrev Key'!$B$8,"")))))))</f>
        <v>A</v>
      </c>
      <c r="J267" s="92" t="s">
        <v>11947</v>
      </c>
      <c r="K267" s="92" t="s">
        <v>646</v>
      </c>
      <c r="L267" s="398">
        <f>449972+485669</f>
        <v>935641</v>
      </c>
      <c r="M267" s="403">
        <f t="shared" si="9"/>
        <v>0.11695512499999999</v>
      </c>
      <c r="N267" s="92" t="s">
        <v>8985</v>
      </c>
      <c r="O267" s="92" t="s">
        <v>11197</v>
      </c>
      <c r="P267" s="167" t="s">
        <v>4287</v>
      </c>
      <c r="Q267" s="392" t="str">
        <f>RIGHT(G267,10)</f>
        <v>03/13/2017</v>
      </c>
      <c r="R267" s="392">
        <f t="shared" si="10"/>
        <v>42806</v>
      </c>
      <c r="S267" s="392" t="str">
        <f>_xlfn.IFNA(VLOOKUP(B267,'[1]VLOOKUP NO DUPS'!$A$1:$C$456,2,FALSE),"")</f>
        <v>03/16/2017</v>
      </c>
      <c r="T267" s="168" t="str">
        <f>_xlfn.IFNA(VLOOKUP(B267,'[1]VLOOKUP NO DUPS'!$A$1:$C$456,3,FALSE),"")</f>
        <v>Bronstein, Gewirtz &amp; Grossman, LLC; Gainey McKenna &amp; Egleston; Pomerantz LLP</v>
      </c>
      <c r="U267" s="167"/>
      <c r="V267" s="167"/>
      <c r="W267" s="92"/>
    </row>
    <row r="268" spans="1:23" s="91" customFormat="1" ht="30" x14ac:dyDescent="0.25">
      <c r="A268" s="165" t="str">
        <f t="shared" si="8"/>
        <v/>
      </c>
      <c r="B268" s="23" t="s">
        <v>1379</v>
      </c>
      <c r="C268" s="23" t="s">
        <v>4481</v>
      </c>
      <c r="D268" s="166" t="s">
        <v>4482</v>
      </c>
      <c r="E268" s="242" t="s">
        <v>1380</v>
      </c>
      <c r="F268" s="169">
        <v>5</v>
      </c>
      <c r="G268" s="242" t="s">
        <v>4483</v>
      </c>
      <c r="H268" s="89">
        <v>5000000</v>
      </c>
      <c r="I268" s="89" t="str">
        <f>IF($H268&lt;='Abbrev Key'!$A$2,'Abbrev Key'!$B$2,IF($H268&lt;='Abbrev Key'!$A$3,'Abbrev Key'!$B$3,IF($H268&lt;='Abbrev Key'!$A$4,'Abbrev Key'!$B$4,IF($H268&lt;='Abbrev Key'!$A$5,'Abbrev Key'!$B$5,IF($H268&lt;='Abbrev Key'!$A$6,'Abbrev Key'!$B$6,IF($H268&gt;='Abbrev Key'!$A$7,'Abbrev Key'!$B$7,IF($H268='Abbrev Key'!$A$8,'Abbrev Key'!$B$8,"")))))))</f>
        <v>A</v>
      </c>
      <c r="J268" s="17" t="s">
        <v>11802</v>
      </c>
      <c r="K268" s="23" t="s">
        <v>646</v>
      </c>
      <c r="L268" s="354">
        <v>998.92000000000007</v>
      </c>
      <c r="M268" s="405">
        <f t="shared" si="9"/>
        <v>1.9978400000000002E-4</v>
      </c>
      <c r="N268" s="23" t="s">
        <v>1384</v>
      </c>
      <c r="O268" s="23"/>
      <c r="P268" s="167" t="s">
        <v>4295</v>
      </c>
      <c r="Q268" s="392">
        <v>42852</v>
      </c>
      <c r="R268" s="392">
        <f t="shared" si="10"/>
        <v>42851</v>
      </c>
      <c r="S268" s="392" t="str">
        <f>_xlfn.IFNA(VLOOKUP(B268,'[1]VLOOKUP NO DUPS'!$A$1:$C$456,2,FALSE),"")</f>
        <v>03/16/2017</v>
      </c>
      <c r="T268" s="168" t="str">
        <f>_xlfn.IFNA(VLOOKUP(B268,'[1]VLOOKUP NO DUPS'!$A$1:$C$456,3,FALSE),"")</f>
        <v>The Rosen Law Firm, P.A.</v>
      </c>
      <c r="U268" s="92"/>
      <c r="V268" s="92"/>
      <c r="W268" s="92"/>
    </row>
    <row r="269" spans="1:23" s="91" customFormat="1" x14ac:dyDescent="0.25">
      <c r="A269" s="165" t="str">
        <f t="shared" si="8"/>
        <v/>
      </c>
      <c r="B269" s="23" t="s">
        <v>4095</v>
      </c>
      <c r="C269" s="23" t="s">
        <v>5379</v>
      </c>
      <c r="D269" s="166" t="s">
        <v>5380</v>
      </c>
      <c r="E269" s="166" t="s">
        <v>542</v>
      </c>
      <c r="F269" s="169">
        <v>3</v>
      </c>
      <c r="G269" s="167" t="s">
        <v>5381</v>
      </c>
      <c r="H269" s="89">
        <v>17000000</v>
      </c>
      <c r="I269" s="89" t="str">
        <f>IF($H269&lt;='Abbrev Key'!$A$2,'Abbrev Key'!$B$2,IF($H269&lt;='Abbrev Key'!$A$3,'Abbrev Key'!$B$3,IF($H269&lt;='Abbrev Key'!$A$4,'Abbrev Key'!$B$4,IF($H269&lt;='Abbrev Key'!$A$5,'Abbrev Key'!$B$5,IF($H269&lt;='Abbrev Key'!$A$6,'Abbrev Key'!$B$6,IF($H269&gt;='Abbrev Key'!$A$7,'Abbrev Key'!$B$7,IF($H269='Abbrev Key'!$A$8,'Abbrev Key'!$B$8,"")))))))</f>
        <v>A</v>
      </c>
      <c r="J269" s="17" t="s">
        <v>4099</v>
      </c>
      <c r="K269" s="92" t="s">
        <v>637</v>
      </c>
      <c r="L269" s="398">
        <v>83796.350000000006</v>
      </c>
      <c r="M269" s="403">
        <f t="shared" si="9"/>
        <v>4.92919705882353E-3</v>
      </c>
      <c r="N269" s="92" t="s">
        <v>597</v>
      </c>
      <c r="O269" s="92"/>
      <c r="P269" s="167" t="s">
        <v>4408</v>
      </c>
      <c r="Q269" s="392">
        <v>42807</v>
      </c>
      <c r="R269" s="392">
        <f t="shared" si="10"/>
        <v>42806</v>
      </c>
      <c r="S269" s="392" t="str">
        <f>_xlfn.IFNA(VLOOKUP(B269,'[1]VLOOKUP NO DUPS'!$A$1:$C$456,2,FALSE),"")</f>
        <v>03/16/2017</v>
      </c>
      <c r="T269" s="168" t="str">
        <f>_xlfn.IFNA(VLOOKUP(B269,'[1]VLOOKUP NO DUPS'!$A$1:$C$456,3,FALSE),"")</f>
        <v>The Rosen Law Firm, P.A.</v>
      </c>
      <c r="U269" s="92"/>
      <c r="V269" s="92"/>
      <c r="W269" s="92"/>
    </row>
    <row r="270" spans="1:23" s="91" customFormat="1" ht="30" x14ac:dyDescent="0.25">
      <c r="A270" s="165" t="str">
        <f t="shared" si="8"/>
        <v>DUP</v>
      </c>
      <c r="B270" s="23" t="s">
        <v>2370</v>
      </c>
      <c r="C270" s="18" t="s">
        <v>10738</v>
      </c>
      <c r="D270" s="166" t="s">
        <v>4780</v>
      </c>
      <c r="E270" s="242" t="s">
        <v>418</v>
      </c>
      <c r="F270" s="169">
        <v>2</v>
      </c>
      <c r="G270" s="242" t="s">
        <v>4781</v>
      </c>
      <c r="H270" s="89">
        <v>150000000</v>
      </c>
      <c r="I270" s="89" t="str">
        <f>IF($H270&lt;='Abbrev Key'!$A$2,'Abbrev Key'!$B$2,IF($H270&lt;='Abbrev Key'!$A$3,'Abbrev Key'!$B$3,IF($H270&lt;='Abbrev Key'!$A$4,'Abbrev Key'!$B$4,IF($H270&lt;='Abbrev Key'!$A$5,'Abbrev Key'!$B$5,IF($H270&lt;='Abbrev Key'!$A$6,'Abbrev Key'!$B$6,IF($H270&gt;='Abbrev Key'!$A$7,'Abbrev Key'!$B$7,IF($H270='Abbrev Key'!$A$8,'Abbrev Key'!$B$8,"")))))))</f>
        <v>D</v>
      </c>
      <c r="J270" s="17" t="s">
        <v>2383</v>
      </c>
      <c r="K270" s="92" t="s">
        <v>637</v>
      </c>
      <c r="L270" s="398">
        <v>124470.12</v>
      </c>
      <c r="M270" s="403">
        <f t="shared" si="9"/>
        <v>8.2980079999999995E-4</v>
      </c>
      <c r="N270" s="92" t="s">
        <v>63</v>
      </c>
      <c r="O270" s="92"/>
      <c r="P270" s="167" t="s">
        <v>4287</v>
      </c>
      <c r="Q270" s="392">
        <v>42825</v>
      </c>
      <c r="R270" s="392">
        <f t="shared" si="10"/>
        <v>42824</v>
      </c>
      <c r="S270" s="392" t="s">
        <v>2377</v>
      </c>
      <c r="T270" s="168" t="s">
        <v>10896</v>
      </c>
      <c r="U270" s="92"/>
      <c r="V270" s="92"/>
      <c r="W270" s="92"/>
    </row>
    <row r="271" spans="1:23" s="91" customFormat="1" x14ac:dyDescent="0.25">
      <c r="A271" s="165" t="str">
        <f t="shared" si="8"/>
        <v/>
      </c>
      <c r="B271" s="23" t="s">
        <v>1007</v>
      </c>
      <c r="C271" s="18" t="s">
        <v>4395</v>
      </c>
      <c r="D271" s="166" t="s">
        <v>4396</v>
      </c>
      <c r="E271" s="242" t="s">
        <v>1008</v>
      </c>
      <c r="F271" s="169">
        <v>2</v>
      </c>
      <c r="G271" s="242" t="s">
        <v>4397</v>
      </c>
      <c r="H271" s="89">
        <v>5500000</v>
      </c>
      <c r="I271" s="89" t="str">
        <f>IF($H271&lt;='Abbrev Key'!$A$2,'Abbrev Key'!$B$2,IF($H271&lt;='Abbrev Key'!$A$3,'Abbrev Key'!$B$3,IF($H271&lt;='Abbrev Key'!$A$4,'Abbrev Key'!$B$4,IF($H271&lt;='Abbrev Key'!$A$5,'Abbrev Key'!$B$5,IF($H271&lt;='Abbrev Key'!$A$6,'Abbrev Key'!$B$6,IF($H271&gt;='Abbrev Key'!$A$7,'Abbrev Key'!$B$7,IF($H271='Abbrev Key'!$A$8,'Abbrev Key'!$B$8,"")))))))</f>
        <v>A</v>
      </c>
      <c r="J271" s="23" t="s">
        <v>1013</v>
      </c>
      <c r="K271" s="23" t="s">
        <v>637</v>
      </c>
      <c r="L271" s="398">
        <v>71586.67</v>
      </c>
      <c r="M271" s="403">
        <f t="shared" si="9"/>
        <v>1.3015758181818181E-2</v>
      </c>
      <c r="N271" s="23" t="s">
        <v>1015</v>
      </c>
      <c r="O271" s="23"/>
      <c r="P271" s="167" t="s">
        <v>4287</v>
      </c>
      <c r="Q271" s="392">
        <v>42810</v>
      </c>
      <c r="R271" s="392">
        <f t="shared" si="10"/>
        <v>42809</v>
      </c>
      <c r="S271" s="392" t="str">
        <f>_xlfn.IFNA(VLOOKUP(B271,'[1]VLOOKUP NO DUPS'!$A$1:$C$456,2,FALSE),"")</f>
        <v>03/18/2017</v>
      </c>
      <c r="T271" s="168" t="str">
        <f>_xlfn.IFNA(VLOOKUP(B271,'[1]VLOOKUP NO DUPS'!$A$1:$C$456,3,FALSE),"")</f>
        <v>The Rosen Law Firm, P.A.</v>
      </c>
      <c r="U271" s="92"/>
      <c r="V271" s="92"/>
      <c r="W271" s="92"/>
    </row>
    <row r="272" spans="1:23" s="91" customFormat="1" ht="60" x14ac:dyDescent="0.25">
      <c r="A272" s="165" t="str">
        <f t="shared" si="8"/>
        <v/>
      </c>
      <c r="B272" s="23" t="s">
        <v>1989</v>
      </c>
      <c r="C272" s="23" t="s">
        <v>4658</v>
      </c>
      <c r="D272" s="166" t="s">
        <v>4659</v>
      </c>
      <c r="E272" s="242" t="s">
        <v>465</v>
      </c>
      <c r="F272" s="169">
        <v>7</v>
      </c>
      <c r="G272" s="242" t="s">
        <v>4660</v>
      </c>
      <c r="H272" s="89">
        <v>65000000</v>
      </c>
      <c r="I272" s="89" t="str">
        <f>IF($H272&lt;='Abbrev Key'!$A$2,'Abbrev Key'!$B$2,IF($H272&lt;='Abbrev Key'!$A$3,'Abbrev Key'!$B$3,IF($H272&lt;='Abbrev Key'!$A$4,'Abbrev Key'!$B$4,IF($H272&lt;='Abbrev Key'!$A$5,'Abbrev Key'!$B$5,IF($H272&lt;='Abbrev Key'!$A$6,'Abbrev Key'!$B$6,IF($H272&gt;='Abbrev Key'!$A$7,'Abbrev Key'!$B$7,IF($H272='Abbrev Key'!$A$8,'Abbrev Key'!$B$8,"")))))))</f>
        <v>C</v>
      </c>
      <c r="J272" s="17" t="s">
        <v>1993</v>
      </c>
      <c r="K272" s="92" t="s">
        <v>633</v>
      </c>
      <c r="L272" s="398">
        <v>193034.37</v>
      </c>
      <c r="M272" s="403">
        <f t="shared" si="9"/>
        <v>2.9697595384615386E-3</v>
      </c>
      <c r="N272" s="92" t="s">
        <v>7</v>
      </c>
      <c r="O272" s="92"/>
      <c r="P272" s="167" t="s">
        <v>4295</v>
      </c>
      <c r="Q272" s="392">
        <v>42808</v>
      </c>
      <c r="R272" s="392">
        <f t="shared" si="10"/>
        <v>42807</v>
      </c>
      <c r="S272" s="392" t="str">
        <f>_xlfn.IFNA(VLOOKUP(B272,'[1]VLOOKUP NO DUPS'!$A$1:$C$456,2,FALSE),"")</f>
        <v>03/20/2017</v>
      </c>
      <c r="T272" s="168" t="str">
        <f>_xlfn.IFNA(VLOOKUP(B272,'[1]VLOOKUP NO DUPS'!$A$1:$C$456,3,FALSE),"")</f>
        <v>Goldberg Law PC; Pomerantz LLP</v>
      </c>
      <c r="U272" s="92"/>
      <c r="V272" s="92"/>
      <c r="W272" s="92"/>
    </row>
    <row r="273" spans="1:23" s="91" customFormat="1" ht="30" x14ac:dyDescent="0.25">
      <c r="A273" s="165" t="str">
        <f t="shared" si="8"/>
        <v>DUP</v>
      </c>
      <c r="B273" s="23" t="s">
        <v>3013</v>
      </c>
      <c r="C273" s="23" t="s">
        <v>10639</v>
      </c>
      <c r="D273" s="166" t="s">
        <v>5017</v>
      </c>
      <c r="E273" s="242" t="s">
        <v>409</v>
      </c>
      <c r="F273" s="169">
        <v>1</v>
      </c>
      <c r="G273" s="242" t="s">
        <v>5018</v>
      </c>
      <c r="H273" s="89">
        <v>200000000</v>
      </c>
      <c r="I273" s="89" t="str">
        <f>IF($H273&lt;='Abbrev Key'!$A$2,'Abbrev Key'!$B$2,IF($H273&lt;='Abbrev Key'!$A$3,'Abbrev Key'!$B$3,IF($H273&lt;='Abbrev Key'!$A$4,'Abbrev Key'!$B$4,IF($H273&lt;='Abbrev Key'!$A$5,'Abbrev Key'!$B$5,IF($H273&lt;='Abbrev Key'!$A$6,'Abbrev Key'!$B$6,IF($H273&gt;='Abbrev Key'!$A$7,'Abbrev Key'!$B$7,IF($H273='Abbrev Key'!$A$8,'Abbrev Key'!$B$8,"")))))))</f>
        <v>D</v>
      </c>
      <c r="J273" s="17" t="s">
        <v>3016</v>
      </c>
      <c r="K273" s="23" t="s">
        <v>633</v>
      </c>
      <c r="L273" s="398">
        <v>2162690.3199999998</v>
      </c>
      <c r="M273" s="403">
        <f t="shared" si="9"/>
        <v>1.0813451599999999E-2</v>
      </c>
      <c r="N273" s="23" t="s">
        <v>3017</v>
      </c>
      <c r="O273" s="23"/>
      <c r="P273" s="167" t="s">
        <v>4287</v>
      </c>
      <c r="Q273" s="392">
        <v>42089</v>
      </c>
      <c r="R273" s="392">
        <f t="shared" si="10"/>
        <v>42088</v>
      </c>
      <c r="S273" s="392" t="s">
        <v>544</v>
      </c>
      <c r="T273" s="168" t="s">
        <v>10910</v>
      </c>
      <c r="U273" s="92"/>
      <c r="V273" s="92"/>
      <c r="W273" s="92"/>
    </row>
    <row r="274" spans="1:23" s="91" customFormat="1" ht="30" x14ac:dyDescent="0.25">
      <c r="A274" s="165" t="str">
        <f t="shared" si="8"/>
        <v/>
      </c>
      <c r="B274" s="23" t="s">
        <v>3708</v>
      </c>
      <c r="C274" s="23" t="s">
        <v>5260</v>
      </c>
      <c r="D274" s="166" t="s">
        <v>5261</v>
      </c>
      <c r="E274" s="166" t="s">
        <v>418</v>
      </c>
      <c r="F274" s="169">
        <v>2</v>
      </c>
      <c r="G274" s="167" t="s">
        <v>5262</v>
      </c>
      <c r="H274" s="89">
        <v>450000000</v>
      </c>
      <c r="I274" s="89" t="str">
        <f>IF($H274&lt;='Abbrev Key'!$A$2,'Abbrev Key'!$B$2,IF($H274&lt;='Abbrev Key'!$A$3,'Abbrev Key'!$B$3,IF($H274&lt;='Abbrev Key'!$A$4,'Abbrev Key'!$B$4,IF($H274&lt;='Abbrev Key'!$A$5,'Abbrev Key'!$B$5,IF($H274&lt;='Abbrev Key'!$A$6,'Abbrev Key'!$B$6,IF($H274&gt;='Abbrev Key'!$A$7,'Abbrev Key'!$B$7,IF($H274='Abbrev Key'!$A$8,'Abbrev Key'!$B$8,"")))))))</f>
        <v>E</v>
      </c>
      <c r="J274" s="23" t="s">
        <v>280</v>
      </c>
      <c r="K274" s="23" t="s">
        <v>633</v>
      </c>
      <c r="L274" s="398">
        <v>37833.58</v>
      </c>
      <c r="M274" s="403">
        <f t="shared" si="9"/>
        <v>8.4074622222222228E-5</v>
      </c>
      <c r="N274" s="92" t="s">
        <v>56</v>
      </c>
      <c r="O274" s="92"/>
      <c r="P274" s="167" t="s">
        <v>4287</v>
      </c>
      <c r="Q274" s="392">
        <v>42762</v>
      </c>
      <c r="R274" s="392">
        <f t="shared" si="10"/>
        <v>42761</v>
      </c>
      <c r="S274" s="392" t="str">
        <f>_xlfn.IFNA(VLOOKUP(B274,'[1]VLOOKUP NO DUPS'!$A$1:$C$456,2,FALSE),"")</f>
        <v>03/24/2017</v>
      </c>
      <c r="T274" s="168" t="str">
        <f>_xlfn.IFNA(VLOOKUP(B274,'[1]VLOOKUP NO DUPS'!$A$1:$C$456,3,FALSE),"")</f>
        <v>Johnson &amp; Weaver LLP</v>
      </c>
      <c r="U274" s="92"/>
      <c r="V274" s="92"/>
      <c r="W274" s="92"/>
    </row>
    <row r="275" spans="1:23" s="91" customFormat="1" ht="30" x14ac:dyDescent="0.25">
      <c r="A275" s="165" t="str">
        <f t="shared" si="8"/>
        <v/>
      </c>
      <c r="B275" s="23" t="s">
        <v>2399</v>
      </c>
      <c r="C275" s="23" t="s">
        <v>4792</v>
      </c>
      <c r="D275" s="166" t="s">
        <v>4793</v>
      </c>
      <c r="E275" s="242" t="s">
        <v>399</v>
      </c>
      <c r="F275" s="169">
        <v>9</v>
      </c>
      <c r="G275" s="242" t="s">
        <v>4794</v>
      </c>
      <c r="H275" s="89">
        <v>10000000</v>
      </c>
      <c r="I275" s="89" t="str">
        <f>IF($H275&lt;='Abbrev Key'!$A$2,'Abbrev Key'!$B$2,IF($H275&lt;='Abbrev Key'!$A$3,'Abbrev Key'!$B$3,IF($H275&lt;='Abbrev Key'!$A$4,'Abbrev Key'!$B$4,IF($H275&lt;='Abbrev Key'!$A$5,'Abbrev Key'!$B$5,IF($H275&lt;='Abbrev Key'!$A$6,'Abbrev Key'!$B$6,IF($H275&gt;='Abbrev Key'!$A$7,'Abbrev Key'!$B$7,IF($H275='Abbrev Key'!$A$8,'Abbrev Key'!$B$8,"")))))))</f>
        <v>A</v>
      </c>
      <c r="J275" s="17" t="s">
        <v>11910</v>
      </c>
      <c r="K275" s="92" t="s">
        <v>646</v>
      </c>
      <c r="L275" s="398">
        <v>16225.58</v>
      </c>
      <c r="M275" s="403">
        <f t="shared" si="9"/>
        <v>1.6225580000000001E-3</v>
      </c>
      <c r="N275" s="23" t="s">
        <v>1975</v>
      </c>
      <c r="O275" s="23"/>
      <c r="P275" s="167" t="s">
        <v>4295</v>
      </c>
      <c r="Q275" s="392">
        <v>42810</v>
      </c>
      <c r="R275" s="392">
        <f t="shared" si="10"/>
        <v>42809</v>
      </c>
      <c r="S275" s="392" t="str">
        <f>_xlfn.IFNA(VLOOKUP(B275,'[1]VLOOKUP NO DUPS'!$A$1:$C$456,2,FALSE),"")</f>
        <v>03/28/2017</v>
      </c>
      <c r="T275" s="168" t="str">
        <f>_xlfn.IFNA(VLOOKUP(B275,'[1]VLOOKUP NO DUPS'!$A$1:$C$456,3,FALSE),"")</f>
        <v>Glancy Prongay &amp; Murray, LLP; Martin &amp; Bonnett, PLLC; Pomerantz LLP; Tiffany &amp; Bosco, PA</v>
      </c>
      <c r="U275" s="92"/>
      <c r="V275" s="92"/>
      <c r="W275" s="92"/>
    </row>
    <row r="276" spans="1:23" s="91" customFormat="1" ht="30" x14ac:dyDescent="0.25">
      <c r="A276" s="165" t="str">
        <f t="shared" si="8"/>
        <v/>
      </c>
      <c r="B276" s="23" t="s">
        <v>3961</v>
      </c>
      <c r="C276" s="23" t="s">
        <v>5338</v>
      </c>
      <c r="D276" s="166" t="s">
        <v>5339</v>
      </c>
      <c r="E276" s="166" t="s">
        <v>1815</v>
      </c>
      <c r="F276" s="169">
        <v>5</v>
      </c>
      <c r="G276" s="167" t="s">
        <v>5340</v>
      </c>
      <c r="H276" s="89">
        <v>15000000</v>
      </c>
      <c r="I276" s="89" t="str">
        <f>IF($H276&lt;='Abbrev Key'!$A$2,'Abbrev Key'!$B$2,IF($H276&lt;='Abbrev Key'!$A$3,'Abbrev Key'!$B$3,IF($H276&lt;='Abbrev Key'!$A$4,'Abbrev Key'!$B$4,IF($H276&lt;='Abbrev Key'!$A$5,'Abbrev Key'!$B$5,IF($H276&lt;='Abbrev Key'!$A$6,'Abbrev Key'!$B$6,IF($H276&gt;='Abbrev Key'!$A$7,'Abbrev Key'!$B$7,IF($H276='Abbrev Key'!$A$8,'Abbrev Key'!$B$8,"")))))))</f>
        <v>A</v>
      </c>
      <c r="J276" s="23" t="s">
        <v>11979</v>
      </c>
      <c r="K276" s="14" t="s">
        <v>646</v>
      </c>
      <c r="L276" s="398">
        <v>5500.96</v>
      </c>
      <c r="M276" s="403">
        <f t="shared" si="9"/>
        <v>3.6673066666666665E-4</v>
      </c>
      <c r="N276" s="23" t="s">
        <v>3964</v>
      </c>
      <c r="O276" s="322"/>
      <c r="P276" s="167" t="s">
        <v>4295</v>
      </c>
      <c r="Q276" s="392">
        <v>42817</v>
      </c>
      <c r="R276" s="392">
        <f t="shared" si="10"/>
        <v>42816</v>
      </c>
      <c r="S276" s="392" t="str">
        <f>_xlfn.IFNA(VLOOKUP(B276,'[1]VLOOKUP NO DUPS'!$A$1:$C$456,2,FALSE),"")</f>
        <v>03/28/2017</v>
      </c>
      <c r="T276" s="168" t="str">
        <f>_xlfn.IFNA(VLOOKUP(B276,'[1]VLOOKUP NO DUPS'!$A$1:$C$456,3,FALSE),"")</f>
        <v>Pomerantz LLP; The Briscoe Law Firm, PLLC</v>
      </c>
      <c r="U276" s="92"/>
      <c r="V276" s="92"/>
      <c r="W276" s="92"/>
    </row>
    <row r="277" spans="1:23" s="91" customFormat="1" x14ac:dyDescent="0.25">
      <c r="A277" s="164" t="str">
        <f t="shared" si="8"/>
        <v/>
      </c>
      <c r="B277" s="23" t="s">
        <v>3971</v>
      </c>
      <c r="C277" s="23" t="s">
        <v>5342</v>
      </c>
      <c r="D277" s="166" t="s">
        <v>5343</v>
      </c>
      <c r="E277" s="166" t="s">
        <v>418</v>
      </c>
      <c r="F277" s="169">
        <v>2</v>
      </c>
      <c r="G277" s="167" t="s">
        <v>8084</v>
      </c>
      <c r="H277" s="89">
        <v>7750000</v>
      </c>
      <c r="I277" s="89" t="str">
        <f>IF($H277&lt;='Abbrev Key'!$A$2,'Abbrev Key'!$B$2,IF($H277&lt;='Abbrev Key'!$A$3,'Abbrev Key'!$B$3,IF($H277&lt;='Abbrev Key'!$A$4,'Abbrev Key'!$B$4,IF($H277&lt;='Abbrev Key'!$A$5,'Abbrev Key'!$B$5,IF($H277&lt;='Abbrev Key'!$A$6,'Abbrev Key'!$B$6,IF($H277&gt;='Abbrev Key'!$A$7,'Abbrev Key'!$B$7,IF($H277='Abbrev Key'!$A$8,'Abbrev Key'!$B$8,"")))))))</f>
        <v>A</v>
      </c>
      <c r="J277" s="17" t="s">
        <v>3972</v>
      </c>
      <c r="K277" s="23" t="s">
        <v>637</v>
      </c>
      <c r="L277" s="398">
        <v>162.81</v>
      </c>
      <c r="M277" s="403">
        <f t="shared" si="9"/>
        <v>2.1007741935483872E-5</v>
      </c>
      <c r="N277" s="23" t="s">
        <v>877</v>
      </c>
      <c r="O277" s="23"/>
      <c r="P277" s="167" t="s">
        <v>4287</v>
      </c>
      <c r="Q277" s="392">
        <v>42810</v>
      </c>
      <c r="R277" s="392">
        <f t="shared" si="10"/>
        <v>42809</v>
      </c>
      <c r="S277" s="392" t="str">
        <f>_xlfn.IFNA(VLOOKUP(B277,'[1]VLOOKUP NO DUPS'!$A$1:$C$456,2,FALSE),"")</f>
        <v>03/31/2017</v>
      </c>
      <c r="T277" s="168" t="str">
        <f>_xlfn.IFNA(VLOOKUP(B277,'[1]VLOOKUP NO DUPS'!$A$1:$C$456,3,FALSE),"")</f>
        <v>Glancy Prongay &amp; Murray, LLP</v>
      </c>
      <c r="U277" s="92"/>
      <c r="V277" s="92"/>
      <c r="W277" s="92"/>
    </row>
    <row r="278" spans="1:23" s="91" customFormat="1" x14ac:dyDescent="0.25">
      <c r="A278" s="165" t="str">
        <f t="shared" si="8"/>
        <v/>
      </c>
      <c r="B278" s="23" t="s">
        <v>1034</v>
      </c>
      <c r="C278" s="18" t="s">
        <v>7514</v>
      </c>
      <c r="D278" s="166" t="s">
        <v>8982</v>
      </c>
      <c r="E278" s="242" t="s">
        <v>557</v>
      </c>
      <c r="F278" s="169">
        <v>9</v>
      </c>
      <c r="G278" s="242" t="s">
        <v>8983</v>
      </c>
      <c r="H278" s="89">
        <v>170000000</v>
      </c>
      <c r="I278" s="89" t="str">
        <f>IF($H278&lt;='Abbrev Key'!$A$2,'Abbrev Key'!$B$2,IF($H278&lt;='Abbrev Key'!$A$3,'Abbrev Key'!$B$3,IF($H278&lt;='Abbrev Key'!$A$4,'Abbrev Key'!$B$4,IF($H278&lt;='Abbrev Key'!$A$5,'Abbrev Key'!$B$5,IF($H278&lt;='Abbrev Key'!$A$6,'Abbrev Key'!$B$6,IF($H278&gt;='Abbrev Key'!$A$7,'Abbrev Key'!$B$7,IF($H278='Abbrev Key'!$A$8,'Abbrev Key'!$B$8,"")))))))</f>
        <v>D</v>
      </c>
      <c r="J278" s="92" t="s">
        <v>11933</v>
      </c>
      <c r="K278" s="92" t="s">
        <v>646</v>
      </c>
      <c r="L278" s="398">
        <f>94049.42+62320</f>
        <v>156369.41999999998</v>
      </c>
      <c r="M278" s="403">
        <f t="shared" si="9"/>
        <v>9.1982011764705877E-4</v>
      </c>
      <c r="N278" s="92" t="s">
        <v>79</v>
      </c>
      <c r="O278" s="92"/>
      <c r="P278" s="167" t="s">
        <v>4287</v>
      </c>
      <c r="Q278" s="392">
        <v>43032</v>
      </c>
      <c r="R278" s="392">
        <f t="shared" si="10"/>
        <v>43031</v>
      </c>
      <c r="S278" s="392" t="str">
        <f>_xlfn.IFNA(VLOOKUP(B278,'[1]VLOOKUP NO DUPS'!$A$1:$C$456,2,FALSE),"")</f>
        <v>04/03/2017</v>
      </c>
      <c r="T278" s="168" t="str">
        <f>_xlfn.IFNA(VLOOKUP(B278,'[1]VLOOKUP NO DUPS'!$A$1:$C$456,3,FALSE),"")</f>
        <v>Pomerantz LLP</v>
      </c>
      <c r="U278" s="92"/>
      <c r="V278" s="92"/>
      <c r="W278" s="92"/>
    </row>
    <row r="279" spans="1:23" s="91" customFormat="1" ht="30" x14ac:dyDescent="0.25">
      <c r="A279" s="164" t="str">
        <f t="shared" si="8"/>
        <v/>
      </c>
      <c r="B279" s="23" t="s">
        <v>2917</v>
      </c>
      <c r="C279" s="23" t="s">
        <v>4993</v>
      </c>
      <c r="D279" s="166" t="s">
        <v>4994</v>
      </c>
      <c r="E279" s="166" t="s">
        <v>418</v>
      </c>
      <c r="F279" s="169">
        <v>9</v>
      </c>
      <c r="G279" s="243" t="s">
        <v>4995</v>
      </c>
      <c r="H279" s="89">
        <v>70000000</v>
      </c>
      <c r="I279" s="89" t="str">
        <f>IF($H279&lt;='Abbrev Key'!$A$2,'Abbrev Key'!$B$2,IF($H279&lt;='Abbrev Key'!$A$3,'Abbrev Key'!$B$3,IF($H279&lt;='Abbrev Key'!$A$4,'Abbrev Key'!$B$4,IF($H279&lt;='Abbrev Key'!$A$5,'Abbrev Key'!$B$5,IF($H279&lt;='Abbrev Key'!$A$6,'Abbrev Key'!$B$6,IF($H279&gt;='Abbrev Key'!$A$7,'Abbrev Key'!$B$7,IF($H279='Abbrev Key'!$A$8,'Abbrev Key'!$B$8,"")))))))</f>
        <v>C</v>
      </c>
      <c r="J279" s="17" t="s">
        <v>2932</v>
      </c>
      <c r="K279" s="23" t="s">
        <v>633</v>
      </c>
      <c r="L279" s="398">
        <v>24251.94</v>
      </c>
      <c r="M279" s="403">
        <f t="shared" si="9"/>
        <v>3.464562857142857E-4</v>
      </c>
      <c r="N279" s="23" t="s">
        <v>2934</v>
      </c>
      <c r="O279" s="23"/>
      <c r="P279" s="167" t="s">
        <v>4287</v>
      </c>
      <c r="Q279" s="392">
        <v>42795</v>
      </c>
      <c r="R279" s="392">
        <v>42794</v>
      </c>
      <c r="S279" s="392" t="str">
        <f>_xlfn.IFNA(VLOOKUP(B279,'[1]VLOOKUP NO DUPS'!$A$1:$C$456,2,FALSE),"")</f>
        <v>04/05/2017</v>
      </c>
      <c r="T279" s="168" t="str">
        <f>_xlfn.IFNA(VLOOKUP(B279,'[1]VLOOKUP NO DUPS'!$A$1:$C$456,3,FALSE),"")</f>
        <v>Goldberg Law PC; Pomerantz LLP; The Rosen Law Firm, P.A.</v>
      </c>
      <c r="U279" s="92"/>
      <c r="V279" s="92"/>
      <c r="W279" s="92"/>
    </row>
    <row r="280" spans="1:23" s="91" customFormat="1" x14ac:dyDescent="0.25">
      <c r="A280" s="165" t="str">
        <f t="shared" si="8"/>
        <v/>
      </c>
      <c r="B280" s="23" t="s">
        <v>2593</v>
      </c>
      <c r="C280" s="23" t="s">
        <v>4866</v>
      </c>
      <c r="D280" s="166" t="s">
        <v>4867</v>
      </c>
      <c r="E280" s="242" t="s">
        <v>457</v>
      </c>
      <c r="F280" s="169">
        <v>9</v>
      </c>
      <c r="G280" s="242" t="s">
        <v>8138</v>
      </c>
      <c r="H280" s="89">
        <v>55000000</v>
      </c>
      <c r="I280" s="89" t="str">
        <f>IF($H280&lt;='Abbrev Key'!$A$2,'Abbrev Key'!$B$2,IF($H280&lt;='Abbrev Key'!$A$3,'Abbrev Key'!$B$3,IF($H280&lt;='Abbrev Key'!$A$4,'Abbrev Key'!$B$4,IF($H280&lt;='Abbrev Key'!$A$5,'Abbrev Key'!$B$5,IF($H280&lt;='Abbrev Key'!$A$6,'Abbrev Key'!$B$6,IF($H280&gt;='Abbrev Key'!$A$7,'Abbrev Key'!$B$7,IF($H280='Abbrev Key'!$A$8,'Abbrev Key'!$B$8,"")))))))</f>
        <v>C</v>
      </c>
      <c r="J280" s="17" t="s">
        <v>2600</v>
      </c>
      <c r="K280" s="92" t="s">
        <v>637</v>
      </c>
      <c r="L280" s="398">
        <v>177583.84</v>
      </c>
      <c r="M280" s="403">
        <f t="shared" si="9"/>
        <v>3.2287970909090908E-3</v>
      </c>
      <c r="N280" s="92" t="s">
        <v>4392</v>
      </c>
      <c r="O280" s="92"/>
      <c r="P280" s="167" t="s">
        <v>4408</v>
      </c>
      <c r="Q280" s="392">
        <v>42835</v>
      </c>
      <c r="R280" s="392">
        <f t="shared" ref="R280:R311" si="11">Q280-1</f>
        <v>42834</v>
      </c>
      <c r="S280" s="392" t="str">
        <f>_xlfn.IFNA(VLOOKUP(B280,'[1]VLOOKUP NO DUPS'!$A$1:$C$456,2,FALSE),"")</f>
        <v>04/14/2017</v>
      </c>
      <c r="T280" s="168" t="str">
        <f>_xlfn.IFNA(VLOOKUP(B280,'[1]VLOOKUP NO DUPS'!$A$1:$C$456,3,FALSE),"")</f>
        <v>The Rosen Law Firm, P.A.</v>
      </c>
      <c r="U280" s="92"/>
      <c r="V280" s="92"/>
      <c r="W280" s="92"/>
    </row>
    <row r="281" spans="1:23" s="91" customFormat="1" ht="45" x14ac:dyDescent="0.25">
      <c r="A281" s="164" t="str">
        <f t="shared" si="8"/>
        <v/>
      </c>
      <c r="B281" s="23" t="s">
        <v>775</v>
      </c>
      <c r="C281" s="18" t="s">
        <v>4330</v>
      </c>
      <c r="D281" s="166" t="s">
        <v>4331</v>
      </c>
      <c r="E281" s="242" t="s">
        <v>424</v>
      </c>
      <c r="F281" s="169">
        <v>3</v>
      </c>
      <c r="G281" s="242" t="s">
        <v>8080</v>
      </c>
      <c r="H281" s="89">
        <v>500000</v>
      </c>
      <c r="I281" s="89" t="str">
        <f>IF($H281&lt;='Abbrev Key'!$A$2,'Abbrev Key'!$B$2,IF($H281&lt;='Abbrev Key'!$A$3,'Abbrev Key'!$B$3,IF($H281&lt;='Abbrev Key'!$A$4,'Abbrev Key'!$B$4,IF($H281&lt;='Abbrev Key'!$A$5,'Abbrev Key'!$B$5,IF($H281&lt;='Abbrev Key'!$A$6,'Abbrev Key'!$B$6,IF($H281&gt;='Abbrev Key'!$A$7,'Abbrev Key'!$B$7,IF($H281='Abbrev Key'!$A$8,'Abbrev Key'!$B$8,"")))))))</f>
        <v>A</v>
      </c>
      <c r="J281" s="17" t="s">
        <v>11778</v>
      </c>
      <c r="K281" s="92" t="s">
        <v>646</v>
      </c>
      <c r="L281" s="398">
        <v>55456.06</v>
      </c>
      <c r="M281" s="403">
        <f t="shared" si="9"/>
        <v>0.11091211999999999</v>
      </c>
      <c r="N281" s="92" t="s">
        <v>10946</v>
      </c>
      <c r="O281" s="92"/>
      <c r="P281" s="167" t="s">
        <v>4408</v>
      </c>
      <c r="Q281" s="392">
        <v>42837</v>
      </c>
      <c r="R281" s="392">
        <f t="shared" si="11"/>
        <v>42836</v>
      </c>
      <c r="S281" s="392" t="str">
        <f>_xlfn.IFNA(VLOOKUP(B281,'[1]VLOOKUP NO DUPS'!$A$1:$C$456,2,FALSE),"")</f>
        <v>04/17/2017</v>
      </c>
      <c r="T281" s="168" t="str">
        <f>_xlfn.IFNA(VLOOKUP(B281,'[1]VLOOKUP NO DUPS'!$A$1:$C$456,3,FALSE),"")</f>
        <v>The Rosen Law Firm, P.A.</v>
      </c>
      <c r="U281" s="92"/>
      <c r="V281" s="92"/>
      <c r="W281" s="92"/>
    </row>
    <row r="282" spans="1:23" s="91" customFormat="1" ht="45" x14ac:dyDescent="0.25">
      <c r="A282" s="165" t="str">
        <f t="shared" si="8"/>
        <v/>
      </c>
      <c r="B282" s="23" t="s">
        <v>3825</v>
      </c>
      <c r="C282" s="23" t="s">
        <v>5303</v>
      </c>
      <c r="D282" s="166" t="s">
        <v>8202</v>
      </c>
      <c r="E282" s="166" t="s">
        <v>603</v>
      </c>
      <c r="F282" s="169">
        <v>11</v>
      </c>
      <c r="G282" s="167" t="s">
        <v>5304</v>
      </c>
      <c r="H282" s="89">
        <v>45000000</v>
      </c>
      <c r="I282" s="89" t="str">
        <f>IF($H282&lt;='Abbrev Key'!$A$2,'Abbrev Key'!$B$2,IF($H282&lt;='Abbrev Key'!$A$3,'Abbrev Key'!$B$3,IF($H282&lt;='Abbrev Key'!$A$4,'Abbrev Key'!$B$4,IF($H282&lt;='Abbrev Key'!$A$5,'Abbrev Key'!$B$5,IF($H282&lt;='Abbrev Key'!$A$6,'Abbrev Key'!$B$6,IF($H282&gt;='Abbrev Key'!$A$7,'Abbrev Key'!$B$7,IF($H282='Abbrev Key'!$A$8,'Abbrev Key'!$B$8,"")))))))</f>
        <v>B</v>
      </c>
      <c r="J282" s="17" t="s">
        <v>3833</v>
      </c>
      <c r="K282" s="23" t="s">
        <v>637</v>
      </c>
      <c r="L282" s="398">
        <v>185712.7</v>
      </c>
      <c r="M282" s="403">
        <f t="shared" si="9"/>
        <v>4.1269488888888888E-3</v>
      </c>
      <c r="N282" s="23" t="s">
        <v>1679</v>
      </c>
      <c r="O282" s="23"/>
      <c r="P282" s="167" t="s">
        <v>4295</v>
      </c>
      <c r="Q282" s="392">
        <v>42862</v>
      </c>
      <c r="R282" s="392">
        <f t="shared" si="11"/>
        <v>42861</v>
      </c>
      <c r="S282" s="392" t="str">
        <f>_xlfn.IFNA(VLOOKUP(B282,'[1]VLOOKUP NO DUPS'!$A$1:$C$456,2,FALSE),"")</f>
        <v>04/17/2017</v>
      </c>
      <c r="T282" s="168" t="str">
        <f>_xlfn.IFNA(VLOOKUP(B282,'[1]VLOOKUP NO DUPS'!$A$1:$C$456,3,FALSE),"")</f>
        <v>Bronstein, Gewirtz &amp; Grossman, LLC; Cullin O'Brien Law, P.A.; Levi &amp; Korsinsky, LLP; Pomerantz LLP; Shepherd, Finkelman, Miller &amp; Shah, LLP</v>
      </c>
      <c r="U282" s="92"/>
      <c r="V282" s="92"/>
      <c r="W282" s="92"/>
    </row>
    <row r="283" spans="1:23" s="91" customFormat="1" ht="45" x14ac:dyDescent="0.25">
      <c r="A283" s="164" t="str">
        <f t="shared" si="8"/>
        <v/>
      </c>
      <c r="B283" s="23" t="s">
        <v>1192</v>
      </c>
      <c r="C283" s="18" t="s">
        <v>4438</v>
      </c>
      <c r="D283" s="166" t="s">
        <v>4439</v>
      </c>
      <c r="E283" s="242" t="s">
        <v>418</v>
      </c>
      <c r="F283" s="169">
        <v>2</v>
      </c>
      <c r="G283" s="242" t="s">
        <v>4440</v>
      </c>
      <c r="H283" s="89">
        <v>15000000</v>
      </c>
      <c r="I283" s="89" t="str">
        <f>IF($H283&lt;='Abbrev Key'!$A$2,'Abbrev Key'!$B$2,IF($H283&lt;='Abbrev Key'!$A$3,'Abbrev Key'!$B$3,IF($H283&lt;='Abbrev Key'!$A$4,'Abbrev Key'!$B$4,IF($H283&lt;='Abbrev Key'!$A$5,'Abbrev Key'!$B$5,IF($H283&lt;='Abbrev Key'!$A$6,'Abbrev Key'!$B$6,IF($H283&gt;='Abbrev Key'!$A$7,'Abbrev Key'!$B$7,IF($H283='Abbrev Key'!$A$8,'Abbrev Key'!$B$8,"")))))))</f>
        <v>A</v>
      </c>
      <c r="J283" s="17" t="s">
        <v>11800</v>
      </c>
      <c r="K283" s="17" t="s">
        <v>640</v>
      </c>
      <c r="L283" s="399">
        <v>1073467.54</v>
      </c>
      <c r="M283" s="404">
        <f t="shared" si="9"/>
        <v>7.1564502666666668E-2</v>
      </c>
      <c r="N283" s="17" t="s">
        <v>56</v>
      </c>
      <c r="O283" s="17"/>
      <c r="P283" s="167" t="s">
        <v>4408</v>
      </c>
      <c r="Q283" s="392">
        <v>42857</v>
      </c>
      <c r="R283" s="392">
        <f t="shared" si="11"/>
        <v>42856</v>
      </c>
      <c r="S283" s="392" t="str">
        <f>_xlfn.IFNA(VLOOKUP(B283,'[1]VLOOKUP NO DUPS'!$A$1:$C$456,2,FALSE),"")</f>
        <v>04/19/2017</v>
      </c>
      <c r="T283" s="168" t="str">
        <f>_xlfn.IFNA(VLOOKUP(B283,'[1]VLOOKUP NO DUPS'!$A$1:$C$456,3,FALSE),"")</f>
        <v>Block &amp; Leviton LLP; Gardy &amp; Notis, LLP</v>
      </c>
      <c r="U283" s="92"/>
      <c r="V283" s="92"/>
      <c r="W283" s="92"/>
    </row>
    <row r="284" spans="1:23" s="91" customFormat="1" x14ac:dyDescent="0.25">
      <c r="A284" s="165" t="str">
        <f t="shared" si="8"/>
        <v/>
      </c>
      <c r="B284" s="23" t="s">
        <v>870</v>
      </c>
      <c r="C284" s="18" t="s">
        <v>4353</v>
      </c>
      <c r="D284" s="166" t="s">
        <v>4354</v>
      </c>
      <c r="E284" s="242" t="s">
        <v>457</v>
      </c>
      <c r="F284" s="169">
        <v>9</v>
      </c>
      <c r="G284" s="242" t="s">
        <v>4355</v>
      </c>
      <c r="H284" s="89">
        <v>1500000</v>
      </c>
      <c r="I284" s="89" t="str">
        <f>IF($H284&lt;='Abbrev Key'!$A$2,'Abbrev Key'!$B$2,IF($H284&lt;='Abbrev Key'!$A$3,'Abbrev Key'!$B$3,IF($H284&lt;='Abbrev Key'!$A$4,'Abbrev Key'!$B$4,IF($H284&lt;='Abbrev Key'!$A$5,'Abbrev Key'!$B$5,IF($H284&lt;='Abbrev Key'!$A$6,'Abbrev Key'!$B$6,IF($H284&gt;='Abbrev Key'!$A$7,'Abbrev Key'!$B$7,IF($H284='Abbrev Key'!$A$8,'Abbrev Key'!$B$8,"")))))))</f>
        <v>A</v>
      </c>
      <c r="J284" s="17" t="s">
        <v>873</v>
      </c>
      <c r="K284" s="92" t="s">
        <v>637</v>
      </c>
      <c r="L284" s="398">
        <v>11257.08</v>
      </c>
      <c r="M284" s="403">
        <f t="shared" si="9"/>
        <v>7.5047200000000003E-3</v>
      </c>
      <c r="N284" s="92" t="s">
        <v>63</v>
      </c>
      <c r="O284" s="92"/>
      <c r="P284" s="167" t="s">
        <v>4295</v>
      </c>
      <c r="Q284" s="392">
        <v>42842</v>
      </c>
      <c r="R284" s="392">
        <f t="shared" si="11"/>
        <v>42841</v>
      </c>
      <c r="S284" s="392" t="str">
        <f>_xlfn.IFNA(VLOOKUP(B284,'[1]VLOOKUP NO DUPS'!$A$1:$C$456,2,FALSE),"")</f>
        <v>04/20/2017</v>
      </c>
      <c r="T284" s="168" t="str">
        <f>_xlfn.IFNA(VLOOKUP(B284,'[1]VLOOKUP NO DUPS'!$A$1:$C$456,3,FALSE),"")</f>
        <v>The Rosen Law Firm, P.A.</v>
      </c>
      <c r="U284" s="92"/>
      <c r="V284" s="92"/>
      <c r="W284" s="92"/>
    </row>
    <row r="285" spans="1:23" s="91" customFormat="1" ht="30" x14ac:dyDescent="0.25">
      <c r="A285" s="164" t="str">
        <f t="shared" si="8"/>
        <v/>
      </c>
      <c r="B285" s="23" t="s">
        <v>4149</v>
      </c>
      <c r="C285" s="23" t="s">
        <v>5395</v>
      </c>
      <c r="D285" s="166" t="s">
        <v>5396</v>
      </c>
      <c r="E285" s="166" t="s">
        <v>446</v>
      </c>
      <c r="F285" s="169">
        <v>9</v>
      </c>
      <c r="G285" s="167" t="s">
        <v>5397</v>
      </c>
      <c r="H285" s="89">
        <v>13000000</v>
      </c>
      <c r="I285" s="89" t="str">
        <f>IF($H285&lt;='Abbrev Key'!$A$2,'Abbrev Key'!$B$2,IF($H285&lt;='Abbrev Key'!$A$3,'Abbrev Key'!$B$3,IF($H285&lt;='Abbrev Key'!$A$4,'Abbrev Key'!$B$4,IF($H285&lt;='Abbrev Key'!$A$5,'Abbrev Key'!$B$5,IF($H285&lt;='Abbrev Key'!$A$6,'Abbrev Key'!$B$6,IF($H285&gt;='Abbrev Key'!$A$7,'Abbrev Key'!$B$7,IF($H285='Abbrev Key'!$A$8,'Abbrev Key'!$B$8,"")))))))</f>
        <v>A</v>
      </c>
      <c r="J285" s="23" t="s">
        <v>11984</v>
      </c>
      <c r="K285" s="14" t="s">
        <v>646</v>
      </c>
      <c r="L285" s="398">
        <v>156075.24</v>
      </c>
      <c r="M285" s="403">
        <f t="shared" si="9"/>
        <v>1.2005787692307691E-2</v>
      </c>
      <c r="N285" s="23" t="s">
        <v>2174</v>
      </c>
      <c r="O285" s="23"/>
      <c r="P285" s="167" t="s">
        <v>4287</v>
      </c>
      <c r="Q285" s="392">
        <v>42823</v>
      </c>
      <c r="R285" s="392">
        <f t="shared" si="11"/>
        <v>42822</v>
      </c>
      <c r="S285" s="392" t="str">
        <f>_xlfn.IFNA(VLOOKUP(B285,'[1]VLOOKUP NO DUPS'!$A$1:$C$456,2,FALSE),"")</f>
        <v>04/20/2017</v>
      </c>
      <c r="T285" s="168" t="str">
        <f>_xlfn.IFNA(VLOOKUP(B285,'[1]VLOOKUP NO DUPS'!$A$1:$C$456,3,FALSE),"")</f>
        <v>The Rosen Law Firm, P.A.</v>
      </c>
      <c r="U285" s="92"/>
      <c r="V285" s="92"/>
      <c r="W285" s="92"/>
    </row>
    <row r="286" spans="1:23" s="91" customFormat="1" ht="30" x14ac:dyDescent="0.25">
      <c r="A286" s="165" t="str">
        <f t="shared" si="8"/>
        <v/>
      </c>
      <c r="B286" s="23" t="s">
        <v>2901</v>
      </c>
      <c r="C286" s="23" t="s">
        <v>4990</v>
      </c>
      <c r="D286" s="166" t="s">
        <v>4991</v>
      </c>
      <c r="E286" s="242" t="s">
        <v>603</v>
      </c>
      <c r="F286" s="169">
        <v>11</v>
      </c>
      <c r="G286" s="242" t="s">
        <v>4992</v>
      </c>
      <c r="H286" s="89">
        <v>170000000</v>
      </c>
      <c r="I286" s="89" t="str">
        <f>IF($H286&lt;='Abbrev Key'!$A$2,'Abbrev Key'!$B$2,IF($H286&lt;='Abbrev Key'!$A$3,'Abbrev Key'!$B$3,IF($H286&lt;='Abbrev Key'!$A$4,'Abbrev Key'!$B$4,IF($H286&lt;='Abbrev Key'!$A$5,'Abbrev Key'!$B$5,IF($H286&lt;='Abbrev Key'!$A$6,'Abbrev Key'!$B$6,IF($H286&gt;='Abbrev Key'!$A$7,'Abbrev Key'!$B$7,IF($H286='Abbrev Key'!$A$8,'Abbrev Key'!$B$8,"")))))))</f>
        <v>D</v>
      </c>
      <c r="J286" s="17" t="s">
        <v>377</v>
      </c>
      <c r="K286" s="92" t="s">
        <v>633</v>
      </c>
      <c r="L286" s="398">
        <v>192850.05</v>
      </c>
      <c r="M286" s="403">
        <f t="shared" si="9"/>
        <v>1.1344120588235294E-3</v>
      </c>
      <c r="N286" s="23" t="s">
        <v>2904</v>
      </c>
      <c r="O286" s="23"/>
      <c r="P286" s="167" t="s">
        <v>4287</v>
      </c>
      <c r="Q286" s="392">
        <v>42845</v>
      </c>
      <c r="R286" s="392">
        <f t="shared" si="11"/>
        <v>42844</v>
      </c>
      <c r="S286" s="392" t="str">
        <f>_xlfn.IFNA(VLOOKUP(B286,'[1]VLOOKUP NO DUPS'!$A$1:$C$456,2,FALSE),"")</f>
        <v>04/21/2017</v>
      </c>
      <c r="T286" s="168" t="str">
        <f>_xlfn.IFNA(VLOOKUP(B286,'[1]VLOOKUP NO DUPS'!$A$1:$C$456,3,FALSE),"")</f>
        <v>Desmond Law Firm, P.C.; Glancy Prongay &amp; Murray, LLP; Pomerantz LLP; Shepherd, Finkelman, Miller &amp; Shah, LLP</v>
      </c>
      <c r="U286" s="92"/>
      <c r="V286" s="92"/>
      <c r="W286" s="92"/>
    </row>
    <row r="287" spans="1:23" s="91" customFormat="1" x14ac:dyDescent="0.25">
      <c r="A287" s="164" t="str">
        <f t="shared" si="8"/>
        <v/>
      </c>
      <c r="B287" s="23" t="s">
        <v>1371</v>
      </c>
      <c r="C287" s="18" t="s">
        <v>4478</v>
      </c>
      <c r="D287" s="166" t="s">
        <v>4479</v>
      </c>
      <c r="E287" s="242" t="s">
        <v>418</v>
      </c>
      <c r="F287" s="169">
        <v>2</v>
      </c>
      <c r="G287" s="242" t="s">
        <v>4480</v>
      </c>
      <c r="H287" s="89">
        <v>75000000</v>
      </c>
      <c r="I287" s="89" t="str">
        <f>IF($H287&lt;='Abbrev Key'!$A$2,'Abbrev Key'!$B$2,IF($H287&lt;='Abbrev Key'!$A$3,'Abbrev Key'!$B$3,IF($H287&lt;='Abbrev Key'!$A$4,'Abbrev Key'!$B$4,IF($H287&lt;='Abbrev Key'!$A$5,'Abbrev Key'!$B$5,IF($H287&lt;='Abbrev Key'!$A$6,'Abbrev Key'!$B$6,IF($H287&gt;='Abbrev Key'!$A$7,'Abbrev Key'!$B$7,IF($H287='Abbrev Key'!$A$8,'Abbrev Key'!$B$8,"")))))))</f>
        <v>C</v>
      </c>
      <c r="J287" s="17" t="s">
        <v>11799</v>
      </c>
      <c r="K287" s="23" t="s">
        <v>646</v>
      </c>
      <c r="L287" s="398">
        <v>33083.279999999999</v>
      </c>
      <c r="M287" s="403">
        <f t="shared" si="9"/>
        <v>4.4111040000000001E-4</v>
      </c>
      <c r="N287" s="92" t="s">
        <v>1375</v>
      </c>
      <c r="O287" s="92"/>
      <c r="P287" s="167" t="s">
        <v>4295</v>
      </c>
      <c r="Q287" s="392">
        <v>42823</v>
      </c>
      <c r="R287" s="392">
        <f t="shared" si="11"/>
        <v>42822</v>
      </c>
      <c r="S287" s="392" t="str">
        <f>_xlfn.IFNA(VLOOKUP(B287,'[1]VLOOKUP NO DUPS'!$A$1:$C$456,2,FALSE),"")</f>
        <v>04/25/2017</v>
      </c>
      <c r="T287" s="168" t="str">
        <f>_xlfn.IFNA(VLOOKUP(B287,'[1]VLOOKUP NO DUPS'!$A$1:$C$456,3,FALSE),"")</f>
        <v>Glancy Prongay &amp; Murray, LLP; Pomerantz LLP</v>
      </c>
      <c r="U287" s="92"/>
      <c r="V287" s="92"/>
      <c r="W287" s="92"/>
    </row>
    <row r="288" spans="1:23" s="91" customFormat="1" ht="60" x14ac:dyDescent="0.25">
      <c r="A288" s="164" t="str">
        <f t="shared" si="8"/>
        <v/>
      </c>
      <c r="B288" s="23" t="s">
        <v>1123</v>
      </c>
      <c r="C288" s="23" t="s">
        <v>4429</v>
      </c>
      <c r="D288" s="166" t="s">
        <v>4430</v>
      </c>
      <c r="E288" s="242" t="s">
        <v>1008</v>
      </c>
      <c r="F288" s="169">
        <v>2</v>
      </c>
      <c r="G288" s="242" t="s">
        <v>4431</v>
      </c>
      <c r="H288" s="89">
        <v>675000000</v>
      </c>
      <c r="I288" s="89" t="str">
        <f>IF($H288&lt;='Abbrev Key'!$A$2,'Abbrev Key'!$B$2,IF($H288&lt;='Abbrev Key'!$A$3,'Abbrev Key'!$B$3,IF($H288&lt;='Abbrev Key'!$A$4,'Abbrev Key'!$B$4,IF($H288&lt;='Abbrev Key'!$A$5,'Abbrev Key'!$B$5,IF($H288&lt;='Abbrev Key'!$A$6,'Abbrev Key'!$B$6,IF($H288&gt;='Abbrev Key'!$A$7,'Abbrev Key'!$B$7,IF($H288='Abbrev Key'!$A$8,'Abbrev Key'!$B$8,"")))))))</f>
        <v>F</v>
      </c>
      <c r="J288" s="92" t="s">
        <v>11944</v>
      </c>
      <c r="K288" s="92" t="s">
        <v>646</v>
      </c>
      <c r="L288" s="398">
        <f>297433.4+226838.47</f>
        <v>524271.87</v>
      </c>
      <c r="M288" s="403">
        <f t="shared" si="9"/>
        <v>7.7669906666666671E-4</v>
      </c>
      <c r="N288" s="92" t="s">
        <v>5247</v>
      </c>
      <c r="O288" s="92" t="s">
        <v>11197</v>
      </c>
      <c r="P288" s="167" t="s">
        <v>4287</v>
      </c>
      <c r="Q288" s="392">
        <v>42853</v>
      </c>
      <c r="R288" s="392">
        <f t="shared" si="11"/>
        <v>42852</v>
      </c>
      <c r="S288" s="392" t="str">
        <f>_xlfn.IFNA(VLOOKUP(B288,'[1]VLOOKUP NO DUPS'!$A$1:$C$456,2,FALSE),"")</f>
        <v>04/28/2017</v>
      </c>
      <c r="T288" s="168" t="str">
        <f>_xlfn.IFNA(VLOOKUP(B288,'[1]VLOOKUP NO DUPS'!$A$1:$C$456,3,FALSE),"")</f>
        <v>Johnson &amp; Weaver LLP; Robbins, Geller, Rudman &amp; Dowd, LLP</v>
      </c>
      <c r="U288" s="92"/>
      <c r="V288" s="92"/>
      <c r="W288" s="92"/>
    </row>
    <row r="289" spans="1:23" s="91" customFormat="1" ht="30" x14ac:dyDescent="0.25">
      <c r="A289" s="164" t="str">
        <f t="shared" si="8"/>
        <v/>
      </c>
      <c r="B289" s="23" t="s">
        <v>2297</v>
      </c>
      <c r="C289" s="18" t="s">
        <v>4749</v>
      </c>
      <c r="D289" s="166" t="s">
        <v>4750</v>
      </c>
      <c r="E289" s="242" t="s">
        <v>446</v>
      </c>
      <c r="F289" s="169">
        <v>9</v>
      </c>
      <c r="G289" s="247" t="s">
        <v>4751</v>
      </c>
      <c r="H289" s="89">
        <v>160000000</v>
      </c>
      <c r="I289" s="89" t="str">
        <f>IF($H289&lt;='Abbrev Key'!$A$2,'Abbrev Key'!$B$2,IF($H289&lt;='Abbrev Key'!$A$3,'Abbrev Key'!$B$3,IF($H289&lt;='Abbrev Key'!$A$4,'Abbrev Key'!$B$4,IF($H289&lt;='Abbrev Key'!$A$5,'Abbrev Key'!$B$5,IF($H289&lt;='Abbrev Key'!$A$6,'Abbrev Key'!$B$6,IF($H289&gt;='Abbrev Key'!$A$7,'Abbrev Key'!$B$7,IF($H289='Abbrev Key'!$A$8,'Abbrev Key'!$B$8,"")))))))</f>
        <v>D</v>
      </c>
      <c r="J289" s="92" t="s">
        <v>11945</v>
      </c>
      <c r="K289" s="92" t="s">
        <v>637</v>
      </c>
      <c r="L289" s="398">
        <v>522412</v>
      </c>
      <c r="M289" s="403">
        <f t="shared" si="9"/>
        <v>3.2650750000000001E-3</v>
      </c>
      <c r="N289" s="92" t="s">
        <v>11049</v>
      </c>
      <c r="O289" s="92" t="s">
        <v>11197</v>
      </c>
      <c r="P289" s="167" t="s">
        <v>4287</v>
      </c>
      <c r="Q289" s="392">
        <v>41619</v>
      </c>
      <c r="R289" s="392">
        <f t="shared" si="11"/>
        <v>41618</v>
      </c>
      <c r="S289" s="392" t="str">
        <f>_xlfn.IFNA(VLOOKUP(B289,'[1]VLOOKUP NO DUPS'!$A$1:$C$456,2,FALSE),"")</f>
        <v>05/01/2017</v>
      </c>
      <c r="T289" s="168" t="str">
        <f>_xlfn.IFNA(VLOOKUP(B289,'[1]VLOOKUP NO DUPS'!$A$1:$C$456,3,FALSE),"")</f>
        <v>Glancy Prongay &amp; Murray, LLP; Wolf Popper LLP</v>
      </c>
      <c r="U289" s="92"/>
      <c r="V289" s="92"/>
      <c r="W289" s="92"/>
    </row>
    <row r="290" spans="1:23" s="91" customFormat="1" ht="60" x14ac:dyDescent="0.25">
      <c r="A290" s="164" t="str">
        <f t="shared" si="8"/>
        <v/>
      </c>
      <c r="B290" s="23" t="s">
        <v>3637</v>
      </c>
      <c r="C290" s="23" t="s">
        <v>5232</v>
      </c>
      <c r="D290" s="166" t="s">
        <v>5233</v>
      </c>
      <c r="E290" s="166" t="s">
        <v>424</v>
      </c>
      <c r="F290" s="169">
        <v>3</v>
      </c>
      <c r="G290" s="167" t="s">
        <v>5234</v>
      </c>
      <c r="H290" s="89">
        <v>300000000</v>
      </c>
      <c r="I290" s="89" t="str">
        <f>IF($H290&lt;='Abbrev Key'!$A$2,'Abbrev Key'!$B$2,IF($H290&lt;='Abbrev Key'!$A$3,'Abbrev Key'!$B$3,IF($H290&lt;='Abbrev Key'!$A$4,'Abbrev Key'!$B$4,IF($H290&lt;='Abbrev Key'!$A$5,'Abbrev Key'!$B$5,IF($H290&lt;='Abbrev Key'!$A$6,'Abbrev Key'!$B$6,IF($H290&gt;='Abbrev Key'!$A$7,'Abbrev Key'!$B$7,IF($H290='Abbrev Key'!$A$8,'Abbrev Key'!$B$8,"")))))))</f>
        <v>E</v>
      </c>
      <c r="J290" s="17" t="s">
        <v>172</v>
      </c>
      <c r="K290" s="92" t="s">
        <v>633</v>
      </c>
      <c r="L290" s="398">
        <v>2467510</v>
      </c>
      <c r="M290" s="403">
        <f t="shared" si="9"/>
        <v>8.2250333333333328E-3</v>
      </c>
      <c r="N290" s="23" t="s">
        <v>3641</v>
      </c>
      <c r="O290" s="23"/>
      <c r="P290" s="167" t="s">
        <v>4287</v>
      </c>
      <c r="Q290" s="392">
        <v>42852</v>
      </c>
      <c r="R290" s="392">
        <f t="shared" si="11"/>
        <v>42851</v>
      </c>
      <c r="S290" s="392" t="str">
        <f>_xlfn.IFNA(VLOOKUP(B290,'[1]VLOOKUP NO DUPS'!$A$1:$C$456,2,FALSE),"")</f>
        <v>05/01/2017</v>
      </c>
      <c r="T290" s="168" t="str">
        <f>_xlfn.IFNA(VLOOKUP(B290,'[1]VLOOKUP NO DUPS'!$A$1:$C$456,3,FALSE),"")</f>
        <v>Carella, Byrne, Cecchi, Olstein, Brody &amp; Agnello P.C.; Glancy Prongay &amp; Murray, LLP; Law Offices of Howard G. Smith; Lite Depalma Greenberg, LLC; Pomerantz LLP; Saxena White P.A.; The Rosen Law Firm, P.A.</v>
      </c>
      <c r="U290" s="92"/>
      <c r="V290" s="92"/>
      <c r="W290" s="92"/>
    </row>
    <row r="291" spans="1:23" s="91" customFormat="1" ht="45" x14ac:dyDescent="0.25">
      <c r="A291" s="164" t="str">
        <f t="shared" si="8"/>
        <v>DUP</v>
      </c>
      <c r="B291" s="23" t="s">
        <v>3616</v>
      </c>
      <c r="C291" s="23" t="s">
        <v>10748</v>
      </c>
      <c r="D291" s="166" t="s">
        <v>8099</v>
      </c>
      <c r="E291" s="166" t="s">
        <v>457</v>
      </c>
      <c r="F291" s="167">
        <v>9</v>
      </c>
      <c r="G291" s="167" t="s">
        <v>8066</v>
      </c>
      <c r="H291" s="89">
        <v>30000000</v>
      </c>
      <c r="I291" s="89" t="str">
        <f>IF($H291&lt;='Abbrev Key'!$A$2,'Abbrev Key'!$B$2,IF($H291&lt;='Abbrev Key'!$A$3,'Abbrev Key'!$B$3,IF($H291&lt;='Abbrev Key'!$A$4,'Abbrev Key'!$B$4,IF($H291&lt;='Abbrev Key'!$A$5,'Abbrev Key'!$B$5,IF($H291&lt;='Abbrev Key'!$A$6,'Abbrev Key'!$B$6,IF($H291&gt;='Abbrev Key'!$A$7,'Abbrev Key'!$B$7,IF($H291='Abbrev Key'!$A$8,'Abbrev Key'!$B$8,"")))))))</f>
        <v>B</v>
      </c>
      <c r="J291" s="92" t="s">
        <v>11965</v>
      </c>
      <c r="K291" s="92" t="s">
        <v>646</v>
      </c>
      <c r="L291" s="398">
        <v>31327.699999999997</v>
      </c>
      <c r="M291" s="403">
        <f t="shared" si="9"/>
        <v>1.0442566666666667E-3</v>
      </c>
      <c r="N291" s="92" t="str">
        <f>VLOOKUP(B291,[2]Sheet!$B$2:$C$570,2,FALSE)</f>
        <v xml:space="preserve">Pomerantz LLP </v>
      </c>
      <c r="O291" s="92" t="s">
        <v>11197</v>
      </c>
      <c r="P291" s="167" t="s">
        <v>4295</v>
      </c>
      <c r="Q291" s="392" t="str">
        <f t="shared" ref="Q291:Q322" si="12">RIGHT(G291,10)</f>
        <v>05/03/2017</v>
      </c>
      <c r="R291" s="392">
        <f t="shared" si="11"/>
        <v>42857</v>
      </c>
      <c r="S291" s="392" t="s">
        <v>7168</v>
      </c>
      <c r="T291" s="168" t="s">
        <v>10902</v>
      </c>
      <c r="U291" s="167"/>
      <c r="V291" s="167"/>
      <c r="W291" s="92"/>
    </row>
    <row r="292" spans="1:23" s="91" customFormat="1" ht="45" x14ac:dyDescent="0.25">
      <c r="A292" s="165" t="str">
        <f t="shared" si="8"/>
        <v/>
      </c>
      <c r="B292" s="23" t="s">
        <v>7266</v>
      </c>
      <c r="C292" s="23" t="s">
        <v>7502</v>
      </c>
      <c r="D292" s="166" t="s">
        <v>8081</v>
      </c>
      <c r="E292" s="166" t="s">
        <v>421</v>
      </c>
      <c r="F292" s="167">
        <v>5</v>
      </c>
      <c r="G292" s="167" t="s">
        <v>8009</v>
      </c>
      <c r="H292" s="89">
        <v>2500000000</v>
      </c>
      <c r="I292" s="89" t="str">
        <f>IF($H292&lt;='Abbrev Key'!$A$2,'Abbrev Key'!$B$2,IF($H292&lt;='Abbrev Key'!$A$3,'Abbrev Key'!$B$3,IF($H292&lt;='Abbrev Key'!$A$4,'Abbrev Key'!$B$4,IF($H292&lt;='Abbrev Key'!$A$5,'Abbrev Key'!$B$5,IF($H292&lt;='Abbrev Key'!$A$6,'Abbrev Key'!$B$6,IF($H292&gt;='Abbrev Key'!$A$7,'Abbrev Key'!$B$7,IF($H292='Abbrev Key'!$A$8,'Abbrev Key'!$B$8,"")))))))</f>
        <v>F</v>
      </c>
      <c r="J292" s="23" t="s">
        <v>201</v>
      </c>
      <c r="K292" s="23" t="s">
        <v>633</v>
      </c>
      <c r="L292" s="398">
        <v>486053.75</v>
      </c>
      <c r="M292" s="403">
        <f t="shared" si="9"/>
        <v>1.944215E-4</v>
      </c>
      <c r="N292" s="23" t="s">
        <v>7269</v>
      </c>
      <c r="O292" s="23"/>
      <c r="P292" s="167" t="s">
        <v>4287</v>
      </c>
      <c r="Q292" s="392" t="str">
        <f t="shared" si="12"/>
        <v>05/02/2017</v>
      </c>
      <c r="R292" s="392">
        <f t="shared" si="11"/>
        <v>42856</v>
      </c>
      <c r="S292" s="392" t="str">
        <f>_xlfn.IFNA(VLOOKUP(B292,'[1]VLOOKUP NO DUPS'!$A$1:$C$456,2,FALSE),"")</f>
        <v>05/03/2017</v>
      </c>
      <c r="T292" s="168" t="str">
        <f>_xlfn.IFNA(VLOOKUP(B292,'[1]VLOOKUP NO DUPS'!$A$1:$C$456,3,FALSE),"")</f>
        <v>Bronstein, Gewirtz &amp; Grossman, LLC; Pomerantz LLP; The Briscoe Law Firm, PLLC</v>
      </c>
      <c r="U292" s="167"/>
      <c r="V292" s="167"/>
      <c r="W292" s="92"/>
    </row>
    <row r="293" spans="1:23" s="86" customFormat="1" ht="30" x14ac:dyDescent="0.25">
      <c r="A293" s="165" t="str">
        <f t="shared" si="8"/>
        <v/>
      </c>
      <c r="B293" s="23" t="s">
        <v>7263</v>
      </c>
      <c r="C293" s="23" t="s">
        <v>7553</v>
      </c>
      <c r="D293" s="166" t="s">
        <v>8139</v>
      </c>
      <c r="E293" s="166" t="s">
        <v>421</v>
      </c>
      <c r="F293" s="167">
        <v>5</v>
      </c>
      <c r="G293" s="167" t="s">
        <v>8034</v>
      </c>
      <c r="H293" s="89">
        <v>40000000</v>
      </c>
      <c r="I293" s="89" t="str">
        <f>IF($H293&lt;='Abbrev Key'!$A$2,'Abbrev Key'!$B$2,IF($H293&lt;='Abbrev Key'!$A$3,'Abbrev Key'!$B$3,IF($H293&lt;='Abbrev Key'!$A$4,'Abbrev Key'!$B$4,IF($H293&lt;='Abbrev Key'!$A$5,'Abbrev Key'!$B$5,IF($H293&lt;='Abbrev Key'!$A$6,'Abbrev Key'!$B$6,IF($H293&gt;='Abbrev Key'!$A$7,'Abbrev Key'!$B$7,IF($H293='Abbrev Key'!$A$8,'Abbrev Key'!$B$8,"")))))))</f>
        <v>B</v>
      </c>
      <c r="J293" s="23" t="s">
        <v>7265</v>
      </c>
      <c r="K293" s="23" t="s">
        <v>637</v>
      </c>
      <c r="L293" s="398">
        <v>844886</v>
      </c>
      <c r="M293" s="403">
        <f t="shared" si="9"/>
        <v>2.1122149999999999E-2</v>
      </c>
      <c r="N293" s="23" t="s">
        <v>2858</v>
      </c>
      <c r="O293" s="23"/>
      <c r="P293" s="167" t="s">
        <v>4295</v>
      </c>
      <c r="Q293" s="392" t="str">
        <f t="shared" si="12"/>
        <v>04/27/2017</v>
      </c>
      <c r="R293" s="392">
        <f t="shared" si="11"/>
        <v>42851</v>
      </c>
      <c r="S293" s="392" t="str">
        <f>_xlfn.IFNA(VLOOKUP(B293,'[1]VLOOKUP NO DUPS'!$A$1:$C$456,2,FALSE),"")</f>
        <v>05/03/2017</v>
      </c>
      <c r="T293" s="168" t="str">
        <f>_xlfn.IFNA(VLOOKUP(B293,'[1]VLOOKUP NO DUPS'!$A$1:$C$456,3,FALSE),"")</f>
        <v>Pomerantz LLP; The Briscoe Law Firm, PLLC</v>
      </c>
      <c r="U293" s="167"/>
      <c r="V293" s="167"/>
      <c r="W293" s="92"/>
    </row>
    <row r="294" spans="1:23" s="86" customFormat="1" ht="30" x14ac:dyDescent="0.25">
      <c r="A294" s="164" t="str">
        <f t="shared" si="8"/>
        <v/>
      </c>
      <c r="B294" s="23" t="s">
        <v>7280</v>
      </c>
      <c r="C294" s="23" t="s">
        <v>7574</v>
      </c>
      <c r="D294" s="166" t="s">
        <v>8112</v>
      </c>
      <c r="E294" s="166" t="s">
        <v>446</v>
      </c>
      <c r="F294" s="167">
        <v>9</v>
      </c>
      <c r="G294" s="167" t="s">
        <v>8042</v>
      </c>
      <c r="H294" s="89">
        <v>8000000</v>
      </c>
      <c r="I294" s="89" t="str">
        <f>IF($H294&lt;='Abbrev Key'!$A$2,'Abbrev Key'!$B$2,IF($H294&lt;='Abbrev Key'!$A$3,'Abbrev Key'!$B$3,IF($H294&lt;='Abbrev Key'!$A$4,'Abbrev Key'!$B$4,IF($H294&lt;='Abbrev Key'!$A$5,'Abbrev Key'!$B$5,IF($H294&lt;='Abbrev Key'!$A$6,'Abbrev Key'!$B$6,IF($H294&gt;='Abbrev Key'!$A$7,'Abbrev Key'!$B$7,IF($H294='Abbrev Key'!$A$8,'Abbrev Key'!$B$8,"")))))))</f>
        <v>A</v>
      </c>
      <c r="J294" s="322" t="s">
        <v>11886</v>
      </c>
      <c r="K294" s="23" t="s">
        <v>646</v>
      </c>
      <c r="L294" s="398">
        <v>65378.400000000001</v>
      </c>
      <c r="M294" s="403">
        <f t="shared" si="9"/>
        <v>8.1723000000000004E-3</v>
      </c>
      <c r="N294" s="23" t="s">
        <v>877</v>
      </c>
      <c r="O294" s="23"/>
      <c r="P294" s="167" t="s">
        <v>4295</v>
      </c>
      <c r="Q294" s="392" t="str">
        <f t="shared" si="12"/>
        <v>05/02/2017</v>
      </c>
      <c r="R294" s="392">
        <f t="shared" si="11"/>
        <v>42856</v>
      </c>
      <c r="S294" s="392" t="str">
        <f>_xlfn.IFNA(VLOOKUP(B294,'[1]VLOOKUP NO DUPS'!$A$1:$C$456,2,FALSE),"")</f>
        <v>05/03/2017</v>
      </c>
      <c r="T294" s="168" t="str">
        <f>_xlfn.IFNA(VLOOKUP(B294,'[1]VLOOKUP NO DUPS'!$A$1:$C$456,3,FALSE),"")</f>
        <v>The Rosen Law Firm, P.A.</v>
      </c>
      <c r="U294" s="167"/>
      <c r="V294" s="167"/>
      <c r="W294" s="92"/>
    </row>
    <row r="295" spans="1:23" s="86" customFormat="1" ht="45" x14ac:dyDescent="0.25">
      <c r="A295" s="11" t="str">
        <f t="shared" si="8"/>
        <v/>
      </c>
      <c r="B295" s="23" t="s">
        <v>7285</v>
      </c>
      <c r="C295" s="322" t="s">
        <v>7607</v>
      </c>
      <c r="D295" s="166" t="s">
        <v>8198</v>
      </c>
      <c r="E295" s="166" t="s">
        <v>7286</v>
      </c>
      <c r="F295" s="167">
        <v>3</v>
      </c>
      <c r="G295" s="167" t="s">
        <v>8063</v>
      </c>
      <c r="H295" s="89">
        <v>650000000</v>
      </c>
      <c r="I295" s="89" t="str">
        <f>IF($H295&lt;='Abbrev Key'!$A$2,'Abbrev Key'!$B$2,IF($H295&lt;='Abbrev Key'!$A$3,'Abbrev Key'!$B$3,IF($H295&lt;='Abbrev Key'!$A$4,'Abbrev Key'!$B$4,IF($H295&lt;='Abbrev Key'!$A$5,'Abbrev Key'!$B$5,IF($H295&lt;='Abbrev Key'!$A$6,'Abbrev Key'!$B$6,IF($H295&gt;='Abbrev Key'!$A$7,'Abbrev Key'!$B$7,IF($H295='Abbrev Key'!$A$8,'Abbrev Key'!$B$8,"")))))))</f>
        <v>F</v>
      </c>
      <c r="J295" s="23" t="s">
        <v>7296</v>
      </c>
      <c r="K295" s="92" t="s">
        <v>637</v>
      </c>
      <c r="L295" s="398">
        <v>2989482.59</v>
      </c>
      <c r="M295" s="403">
        <f t="shared" si="9"/>
        <v>4.5992039846153845E-3</v>
      </c>
      <c r="N295" s="92" t="str">
        <f>VLOOKUP(B295,[2]Sheet!$B$2:$C$570,2,FALSE)</f>
        <v xml:space="preserve">Levi &amp; Korsinsky, LLP </v>
      </c>
      <c r="O295" s="92"/>
      <c r="P295" s="167" t="s">
        <v>4287</v>
      </c>
      <c r="Q295" s="392" t="str">
        <f t="shared" si="12"/>
        <v>04/25/2017</v>
      </c>
      <c r="R295" s="392">
        <f t="shared" si="11"/>
        <v>42849</v>
      </c>
      <c r="S295" s="392" t="str">
        <f>_xlfn.IFNA(VLOOKUP(B295,'[1]VLOOKUP NO DUPS'!$A$1:$C$456,2,FALSE),"")</f>
        <v>05/04/2017</v>
      </c>
      <c r="T295" s="168" t="str">
        <f>_xlfn.IFNA(VLOOKUP(B295,'[1]VLOOKUP NO DUPS'!$A$1:$C$456,3,FALSE),"")</f>
        <v>Bronstein, Gewirtz &amp; Grossman, LLC; Johnson &amp; Weaver LLP; Law Office Of Alfred G. Yates, Jr. PC; Pomerantz LLP; Pribanic &amp; Pribanic</v>
      </c>
      <c r="U295" s="167"/>
      <c r="V295" s="167"/>
      <c r="W295" s="92"/>
    </row>
    <row r="296" spans="1:23" s="86" customFormat="1" x14ac:dyDescent="0.25">
      <c r="A296" s="165" t="str">
        <f t="shared" si="8"/>
        <v/>
      </c>
      <c r="B296" s="23" t="s">
        <v>7256</v>
      </c>
      <c r="C296" s="23" t="s">
        <v>7558</v>
      </c>
      <c r="D296" s="166" t="s">
        <v>8136</v>
      </c>
      <c r="E296" s="166" t="s">
        <v>3449</v>
      </c>
      <c r="F296" s="167">
        <v>9</v>
      </c>
      <c r="G296" s="167" t="s">
        <v>8036</v>
      </c>
      <c r="H296" s="89">
        <v>650000</v>
      </c>
      <c r="I296" s="89" t="str">
        <f>IF($H296&lt;='Abbrev Key'!$A$2,'Abbrev Key'!$B$2,IF($H296&lt;='Abbrev Key'!$A$3,'Abbrev Key'!$B$3,IF($H296&lt;='Abbrev Key'!$A$4,'Abbrev Key'!$B$4,IF($H296&lt;='Abbrev Key'!$A$5,'Abbrev Key'!$B$5,IF($H296&lt;='Abbrev Key'!$A$6,'Abbrev Key'!$B$6,IF($H296&gt;='Abbrev Key'!$A$7,'Abbrev Key'!$B$7,IF($H296='Abbrev Key'!$A$8,'Abbrev Key'!$B$8,"")))))))</f>
        <v>A</v>
      </c>
      <c r="J296" s="23" t="s">
        <v>11865</v>
      </c>
      <c r="K296" s="17" t="s">
        <v>646</v>
      </c>
      <c r="L296" s="398">
        <v>14529.95</v>
      </c>
      <c r="M296" s="403">
        <f t="shared" si="9"/>
        <v>2.2353769230769233E-2</v>
      </c>
      <c r="N296" s="92" t="s">
        <v>7259</v>
      </c>
      <c r="O296" s="92"/>
      <c r="P296" s="167" t="s">
        <v>4295</v>
      </c>
      <c r="Q296" s="392" t="str">
        <f t="shared" si="12"/>
        <v>01/06/2017</v>
      </c>
      <c r="R296" s="392">
        <f t="shared" si="11"/>
        <v>42740</v>
      </c>
      <c r="S296" s="392" t="str">
        <f>_xlfn.IFNA(VLOOKUP(B296,'[1]VLOOKUP NO DUPS'!$A$1:$C$456,2,FALSE),"")</f>
        <v>05/05/2017</v>
      </c>
      <c r="T296" s="168" t="str">
        <f>_xlfn.IFNA(VLOOKUP(B296,'[1]VLOOKUP NO DUPS'!$A$1:$C$456,3,FALSE),"")</f>
        <v>Aldrich Law Firm, Ltd.; Lifshitz &amp; Miller</v>
      </c>
      <c r="U296" s="167"/>
      <c r="V296" s="167"/>
      <c r="W296" s="92"/>
    </row>
    <row r="297" spans="1:23" s="86" customFormat="1" x14ac:dyDescent="0.25">
      <c r="A297" s="336" t="str">
        <f t="shared" si="8"/>
        <v/>
      </c>
      <c r="B297" s="23" t="s">
        <v>7261</v>
      </c>
      <c r="C297" s="23" t="s">
        <v>7609</v>
      </c>
      <c r="D297" s="166" t="s">
        <v>8196</v>
      </c>
      <c r="E297" s="166" t="s">
        <v>1008</v>
      </c>
      <c r="F297" s="167">
        <v>2</v>
      </c>
      <c r="G297" s="167" t="s">
        <v>8061</v>
      </c>
      <c r="H297" s="89">
        <v>2500000</v>
      </c>
      <c r="I297" s="89" t="str">
        <f>IF($H297&lt;='Abbrev Key'!$A$2,'Abbrev Key'!$B$2,IF($H297&lt;='Abbrev Key'!$A$3,'Abbrev Key'!$B$3,IF($H297&lt;='Abbrev Key'!$A$4,'Abbrev Key'!$B$4,IF($H297&lt;='Abbrev Key'!$A$5,'Abbrev Key'!$B$5,IF($H297&lt;='Abbrev Key'!$A$6,'Abbrev Key'!$B$6,IF($H297&gt;='Abbrev Key'!$A$7,'Abbrev Key'!$B$7,IF($H297='Abbrev Key'!$A$8,'Abbrev Key'!$B$8,"")))))))</f>
        <v>A</v>
      </c>
      <c r="J297" s="92" t="s">
        <v>7262</v>
      </c>
      <c r="K297" s="92" t="s">
        <v>637</v>
      </c>
      <c r="L297" s="398">
        <v>73094.320000000007</v>
      </c>
      <c r="M297" s="403">
        <f t="shared" si="9"/>
        <v>2.9237728000000004E-2</v>
      </c>
      <c r="N297" s="92" t="s">
        <v>682</v>
      </c>
      <c r="O297" s="92"/>
      <c r="P297" s="167" t="s">
        <v>4295</v>
      </c>
      <c r="Q297" s="392" t="str">
        <f t="shared" si="12"/>
        <v>04/27/2017</v>
      </c>
      <c r="R297" s="392">
        <f t="shared" si="11"/>
        <v>42851</v>
      </c>
      <c r="S297" s="392" t="str">
        <f>_xlfn.IFNA(VLOOKUP(B297,'[1]VLOOKUP NO DUPS'!$A$1:$C$456,2,FALSE),"")</f>
        <v>05/05/2017</v>
      </c>
      <c r="T297" s="168" t="str">
        <f>_xlfn.IFNA(VLOOKUP(B297,'[1]VLOOKUP NO DUPS'!$A$1:$C$456,3,FALSE),"")</f>
        <v>The Rosen Law Firm, P.A.</v>
      </c>
      <c r="U297" s="167"/>
      <c r="V297" s="167"/>
      <c r="W297" s="92"/>
    </row>
    <row r="298" spans="1:23" s="86" customFormat="1" ht="30" x14ac:dyDescent="0.25">
      <c r="A298" s="164" t="str">
        <f t="shared" si="8"/>
        <v/>
      </c>
      <c r="B298" s="23" t="s">
        <v>7245</v>
      </c>
      <c r="C298" s="23" t="s">
        <v>7545</v>
      </c>
      <c r="D298" s="166" t="s">
        <v>8151</v>
      </c>
      <c r="E298" s="166" t="s">
        <v>424</v>
      </c>
      <c r="F298" s="167">
        <v>3</v>
      </c>
      <c r="G298" s="167" t="s">
        <v>8030</v>
      </c>
      <c r="H298" s="89" t="s">
        <v>4882</v>
      </c>
      <c r="I298" s="89" t="s">
        <v>6732</v>
      </c>
      <c r="J298" s="23" t="s">
        <v>11797</v>
      </c>
      <c r="K298" s="23" t="s">
        <v>646</v>
      </c>
      <c r="L298" s="398">
        <v>458201.75</v>
      </c>
      <c r="M298" s="403" t="str">
        <f t="shared" si="9"/>
        <v>DC</v>
      </c>
      <c r="N298" s="92" t="str">
        <f>VLOOKUP(B298,[2]Sheet!$B$2:$C$570,2,FALSE)</f>
        <v xml:space="preserve">The Rosen Law Firm, P.A. </v>
      </c>
      <c r="O298" s="92"/>
      <c r="P298" s="167" t="s">
        <v>4287</v>
      </c>
      <c r="Q298" s="392" t="str">
        <f t="shared" si="12"/>
        <v>04/07/2017</v>
      </c>
      <c r="R298" s="392">
        <f t="shared" si="11"/>
        <v>42831</v>
      </c>
      <c r="S298" s="392" t="str">
        <f>_xlfn.IFNA(VLOOKUP(B298,'[1]VLOOKUP NO DUPS'!$A$1:$C$456,2,FALSE),"")</f>
        <v>05/08/2017</v>
      </c>
      <c r="T298" s="168" t="str">
        <f>_xlfn.IFNA(VLOOKUP(B298,'[1]VLOOKUP NO DUPS'!$A$1:$C$456,3,FALSE),"")</f>
        <v>Lifshitz &amp; Miller; The Rosen Law Firm, P.A.</v>
      </c>
      <c r="U298" s="167"/>
      <c r="V298" s="167"/>
      <c r="W298" s="92"/>
    </row>
    <row r="299" spans="1:23" s="86" customFormat="1" x14ac:dyDescent="0.25">
      <c r="A299" s="164" t="str">
        <f t="shared" si="8"/>
        <v/>
      </c>
      <c r="B299" s="23" t="s">
        <v>7232</v>
      </c>
      <c r="C299" s="23" t="s">
        <v>7511</v>
      </c>
      <c r="D299" s="166" t="s">
        <v>8182</v>
      </c>
      <c r="E299" s="166" t="s">
        <v>418</v>
      </c>
      <c r="F299" s="167">
        <v>2</v>
      </c>
      <c r="G299" s="167" t="s">
        <v>8016</v>
      </c>
      <c r="H299" s="89">
        <v>240000000</v>
      </c>
      <c r="I299" s="89" t="str">
        <f>IF($H299&lt;='Abbrev Key'!$A$2,'Abbrev Key'!$B$2,IF($H299&lt;='Abbrev Key'!$A$3,'Abbrev Key'!$B$3,IF($H299&lt;='Abbrev Key'!$A$4,'Abbrev Key'!$B$4,IF($H299&lt;='Abbrev Key'!$A$5,'Abbrev Key'!$B$5,IF($H299&lt;='Abbrev Key'!$A$6,'Abbrev Key'!$B$6,IF($H299&gt;='Abbrev Key'!$A$7,'Abbrev Key'!$B$7,IF($H299='Abbrev Key'!$A$8,'Abbrev Key'!$B$8,"")))))))</f>
        <v>D</v>
      </c>
      <c r="J299" s="92" t="s">
        <v>7239</v>
      </c>
      <c r="K299" s="92" t="s">
        <v>637</v>
      </c>
      <c r="L299" s="398">
        <v>96686.67</v>
      </c>
      <c r="M299" s="403">
        <f t="shared" si="9"/>
        <v>4.0286112500000001E-4</v>
      </c>
      <c r="N299" s="92" t="str">
        <f>VLOOKUP(B299,[2]Sheet!$B$2:$C$570,2,FALSE)</f>
        <v xml:space="preserve">Kahn Swick &amp; Foti, LLC </v>
      </c>
      <c r="O299" s="92"/>
      <c r="P299" s="167" t="s">
        <v>4287</v>
      </c>
      <c r="Q299" s="392" t="str">
        <f t="shared" si="12"/>
        <v>04/24/2017</v>
      </c>
      <c r="R299" s="392">
        <f t="shared" si="11"/>
        <v>42848</v>
      </c>
      <c r="S299" s="392" t="str">
        <f>_xlfn.IFNA(VLOOKUP(B299,'[1]VLOOKUP NO DUPS'!$A$1:$C$456,2,FALSE),"")</f>
        <v>05/10/2017</v>
      </c>
      <c r="T299" s="168" t="str">
        <f>_xlfn.IFNA(VLOOKUP(B299,'[1]VLOOKUP NO DUPS'!$A$1:$C$456,3,FALSE),"")</f>
        <v>Glancy Prongay &amp; Murray, LLP; Pomerantz LLP</v>
      </c>
      <c r="U299" s="167"/>
      <c r="V299" s="167"/>
      <c r="W299" s="92"/>
    </row>
    <row r="300" spans="1:23" s="86" customFormat="1" x14ac:dyDescent="0.25">
      <c r="A300" s="164" t="str">
        <f t="shared" si="8"/>
        <v/>
      </c>
      <c r="B300" s="23" t="s">
        <v>7227</v>
      </c>
      <c r="C300" s="23" t="s">
        <v>7578</v>
      </c>
      <c r="D300" s="166" t="s">
        <v>8108</v>
      </c>
      <c r="E300" s="166" t="s">
        <v>418</v>
      </c>
      <c r="F300" s="167">
        <v>2</v>
      </c>
      <c r="G300" s="167" t="s">
        <v>8044</v>
      </c>
      <c r="H300" s="89">
        <v>815000000</v>
      </c>
      <c r="I300" s="89" t="str">
        <f>IF($H300&lt;='Abbrev Key'!$A$2,'Abbrev Key'!$B$2,IF($H300&lt;='Abbrev Key'!$A$3,'Abbrev Key'!$B$3,IF($H300&lt;='Abbrev Key'!$A$4,'Abbrev Key'!$B$4,IF($H300&lt;='Abbrev Key'!$A$5,'Abbrev Key'!$B$5,IF($H300&lt;='Abbrev Key'!$A$6,'Abbrev Key'!$B$6,IF($H300&gt;='Abbrev Key'!$A$7,'Abbrev Key'!$B$7,IF($H300='Abbrev Key'!$A$8,'Abbrev Key'!$B$8,"")))))))</f>
        <v>F</v>
      </c>
      <c r="J300" s="23" t="s">
        <v>218</v>
      </c>
      <c r="K300" s="92" t="s">
        <v>633</v>
      </c>
      <c r="L300" s="398">
        <v>3926958.93</v>
      </c>
      <c r="M300" s="403">
        <f t="shared" si="9"/>
        <v>4.8183545153374233E-3</v>
      </c>
      <c r="N300" s="92" t="str">
        <f>VLOOKUP(B300,[2]Sheet!$B$2:$C$570,2,FALSE)</f>
        <v xml:space="preserve">Motley Rice LLC </v>
      </c>
      <c r="O300" s="92"/>
      <c r="P300" s="167" t="s">
        <v>4287</v>
      </c>
      <c r="Q300" s="392" t="str">
        <f t="shared" si="12"/>
        <v>08/10/2015</v>
      </c>
      <c r="R300" s="392">
        <f t="shared" si="11"/>
        <v>42225</v>
      </c>
      <c r="S300" s="392" t="str">
        <f>_xlfn.IFNA(VLOOKUP(B300,'[1]VLOOKUP NO DUPS'!$A$1:$C$456,2,FALSE),"")</f>
        <v>05/10/2017</v>
      </c>
      <c r="T300" s="168" t="str">
        <f>_xlfn.IFNA(VLOOKUP(B300,'[1]VLOOKUP NO DUPS'!$A$1:$C$456,3,FALSE),"")</f>
        <v>Labaton Sucharow LLP</v>
      </c>
      <c r="U300" s="167"/>
      <c r="V300" s="167"/>
      <c r="W300" s="92"/>
    </row>
    <row r="301" spans="1:23" s="86" customFormat="1" ht="30" x14ac:dyDescent="0.25">
      <c r="A301" s="164" t="str">
        <f t="shared" si="8"/>
        <v/>
      </c>
      <c r="B301" s="23" t="s">
        <v>7212</v>
      </c>
      <c r="C301" s="23" t="s">
        <v>7499</v>
      </c>
      <c r="D301" s="166" t="s">
        <v>8079</v>
      </c>
      <c r="E301" s="166" t="s">
        <v>418</v>
      </c>
      <c r="F301" s="167">
        <v>2</v>
      </c>
      <c r="G301" s="167" t="s">
        <v>8008</v>
      </c>
      <c r="H301" s="89">
        <v>3500000</v>
      </c>
      <c r="I301" s="89" t="str">
        <f>IF($H301&lt;='Abbrev Key'!$A$2,'Abbrev Key'!$B$2,IF($H301&lt;='Abbrev Key'!$A$3,'Abbrev Key'!$B$3,IF($H301&lt;='Abbrev Key'!$A$4,'Abbrev Key'!$B$4,IF($H301&lt;='Abbrev Key'!$A$5,'Abbrev Key'!$B$5,IF($H301&lt;='Abbrev Key'!$A$6,'Abbrev Key'!$B$6,IF($H301&gt;='Abbrev Key'!$A$7,'Abbrev Key'!$B$7,IF($H301='Abbrev Key'!$A$8,'Abbrev Key'!$B$8,"")))))))</f>
        <v>A</v>
      </c>
      <c r="J301" s="23" t="s">
        <v>11771</v>
      </c>
      <c r="K301" s="92" t="s">
        <v>646</v>
      </c>
      <c r="L301" s="398">
        <v>197132.61</v>
      </c>
      <c r="M301" s="403">
        <f t="shared" si="9"/>
        <v>5.632360285714285E-2</v>
      </c>
      <c r="N301" s="92" t="str">
        <f>VLOOKUP(B301,[2]Sheet!$B$2:$C$570,2,FALSE)</f>
        <v xml:space="preserve">The Rosen Law Firm, P.A. </v>
      </c>
      <c r="O301" s="92"/>
      <c r="P301" s="167" t="s">
        <v>4408</v>
      </c>
      <c r="Q301" s="392" t="str">
        <f t="shared" si="12"/>
        <v>05/11/2017</v>
      </c>
      <c r="R301" s="392">
        <f t="shared" si="11"/>
        <v>42865</v>
      </c>
      <c r="S301" s="392" t="str">
        <f>_xlfn.IFNA(VLOOKUP(B301,'[1]VLOOKUP NO DUPS'!$A$1:$C$456,2,FALSE),"")</f>
        <v>05/12/2017</v>
      </c>
      <c r="T301" s="168" t="str">
        <f>_xlfn.IFNA(VLOOKUP(B301,'[1]VLOOKUP NO DUPS'!$A$1:$C$456,3,FALSE),"")</f>
        <v>Glancy Prongay &amp; Murray, LLP; Holzer &amp; Holzer, LLC; Pomerantz LLP</v>
      </c>
      <c r="U301" s="167"/>
      <c r="V301" s="167"/>
      <c r="W301" s="92"/>
    </row>
    <row r="302" spans="1:23" s="86" customFormat="1" x14ac:dyDescent="0.25">
      <c r="A302" s="164" t="str">
        <f t="shared" si="8"/>
        <v/>
      </c>
      <c r="B302" s="23" t="s">
        <v>7221</v>
      </c>
      <c r="C302" s="23" t="s">
        <v>7548</v>
      </c>
      <c r="D302" s="166" t="s">
        <v>8143</v>
      </c>
      <c r="E302" s="166" t="s">
        <v>1008</v>
      </c>
      <c r="F302" s="167">
        <v>2</v>
      </c>
      <c r="G302" s="167" t="s">
        <v>8032</v>
      </c>
      <c r="H302" s="89">
        <v>100000000</v>
      </c>
      <c r="I302" s="89" t="str">
        <f>IF($H302&lt;='Abbrev Key'!$A$2,'Abbrev Key'!$B$2,IF($H302&lt;='Abbrev Key'!$A$3,'Abbrev Key'!$B$3,IF($H302&lt;='Abbrev Key'!$A$4,'Abbrev Key'!$B$4,IF($H302&lt;='Abbrev Key'!$A$5,'Abbrev Key'!$B$5,IF($H302&lt;='Abbrev Key'!$A$6,'Abbrev Key'!$B$6,IF($H302&gt;='Abbrev Key'!$A$7,'Abbrev Key'!$B$7,IF($H302='Abbrev Key'!$A$8,'Abbrev Key'!$B$8,"")))))))</f>
        <v>C</v>
      </c>
      <c r="J302" s="23" t="s">
        <v>11857</v>
      </c>
      <c r="K302" s="92" t="s">
        <v>646</v>
      </c>
      <c r="L302" s="398">
        <v>98482.28</v>
      </c>
      <c r="M302" s="403">
        <f t="shared" si="9"/>
        <v>9.8482280000000005E-4</v>
      </c>
      <c r="N302" s="92" t="str">
        <f>VLOOKUP(B302,[2]Sheet!$B$2:$C$570,2,FALSE)</f>
        <v xml:space="preserve">The Rosen Law Firm, P.A. </v>
      </c>
      <c r="O302" s="92"/>
      <c r="P302" s="167" t="s">
        <v>4295</v>
      </c>
      <c r="Q302" s="392" t="str">
        <f t="shared" si="12"/>
        <v>04/28/2017</v>
      </c>
      <c r="R302" s="392">
        <f t="shared" si="11"/>
        <v>42852</v>
      </c>
      <c r="S302" s="392" t="str">
        <f>_xlfn.IFNA(VLOOKUP(B302,'[1]VLOOKUP NO DUPS'!$A$1:$C$456,2,FALSE),"")</f>
        <v>05/12/2017</v>
      </c>
      <c r="T302" s="168" t="str">
        <f>_xlfn.IFNA(VLOOKUP(B302,'[1]VLOOKUP NO DUPS'!$A$1:$C$456,3,FALSE),"")</f>
        <v>Pomerantz LLP; The Rosen Law Firm, P.A.</v>
      </c>
      <c r="U302" s="167"/>
      <c r="V302" s="167"/>
      <c r="W302" s="92"/>
    </row>
    <row r="303" spans="1:23" s="86" customFormat="1" ht="30" x14ac:dyDescent="0.25">
      <c r="A303" s="336" t="str">
        <f t="shared" si="8"/>
        <v/>
      </c>
      <c r="B303" s="23" t="s">
        <v>7219</v>
      </c>
      <c r="C303" s="23" t="s">
        <v>7608</v>
      </c>
      <c r="D303" s="166" t="s">
        <v>8197</v>
      </c>
      <c r="E303" s="166" t="s">
        <v>418</v>
      </c>
      <c r="F303" s="167">
        <v>2</v>
      </c>
      <c r="G303" s="167" t="s">
        <v>8062</v>
      </c>
      <c r="H303" s="89">
        <v>3500000000</v>
      </c>
      <c r="I303" s="89" t="str">
        <f>IF($H303&lt;='Abbrev Key'!$A$2,'Abbrev Key'!$B$2,IF($H303&lt;='Abbrev Key'!$A$3,'Abbrev Key'!$B$3,IF($H303&lt;='Abbrev Key'!$A$4,'Abbrev Key'!$B$4,IF($H303&lt;='Abbrev Key'!$A$5,'Abbrev Key'!$B$5,IF($H303&lt;='Abbrev Key'!$A$6,'Abbrev Key'!$B$6,IF($H303&gt;='Abbrev Key'!$A$7,'Abbrev Key'!$B$7,IF($H303='Abbrev Key'!$A$8,'Abbrev Key'!$B$8,"")))))))</f>
        <v>F</v>
      </c>
      <c r="J303" s="23" t="s">
        <v>7220</v>
      </c>
      <c r="K303" s="23" t="s">
        <v>633</v>
      </c>
      <c r="L303" s="398">
        <v>2479769.7599999998</v>
      </c>
      <c r="M303" s="403">
        <f t="shared" si="9"/>
        <v>7.0850564571428565E-4</v>
      </c>
      <c r="N303" s="23" t="s">
        <v>10810</v>
      </c>
      <c r="O303" s="23"/>
      <c r="P303" s="167" t="s">
        <v>4287</v>
      </c>
      <c r="Q303" s="392" t="str">
        <f t="shared" si="12"/>
        <v>07/20/2015</v>
      </c>
      <c r="R303" s="392">
        <f t="shared" si="11"/>
        <v>42204</v>
      </c>
      <c r="S303" s="392" t="str">
        <f>_xlfn.IFNA(VLOOKUP(B303,'[1]VLOOKUP NO DUPS'!$A$1:$C$456,2,FALSE),"")</f>
        <v>05/12/2017</v>
      </c>
      <c r="T303" s="168" t="str">
        <f>_xlfn.IFNA(VLOOKUP(B303,'[1]VLOOKUP NO DUPS'!$A$1:$C$456,3,FALSE),"")</f>
        <v>Labaton Sucharow LLP</v>
      </c>
      <c r="U303" s="167"/>
      <c r="V303" s="167"/>
      <c r="W303" s="92"/>
    </row>
    <row r="304" spans="1:23" s="86" customFormat="1" ht="45" x14ac:dyDescent="0.25">
      <c r="A304" s="164" t="str">
        <f t="shared" si="8"/>
        <v/>
      </c>
      <c r="B304" s="23" t="s">
        <v>7201</v>
      </c>
      <c r="C304" s="23" t="s">
        <v>7524</v>
      </c>
      <c r="D304" s="166" t="s">
        <v>8175</v>
      </c>
      <c r="E304" s="166" t="s">
        <v>418</v>
      </c>
      <c r="F304" s="167">
        <v>2</v>
      </c>
      <c r="G304" s="167" t="s">
        <v>8021</v>
      </c>
      <c r="H304" s="89">
        <v>175000000</v>
      </c>
      <c r="I304" s="89" t="str">
        <f>IF($H304&lt;='Abbrev Key'!$A$2,'Abbrev Key'!$B$2,IF($H304&lt;='Abbrev Key'!$A$3,'Abbrev Key'!$B$3,IF($H304&lt;='Abbrev Key'!$A$4,'Abbrev Key'!$B$4,IF($H304&lt;='Abbrev Key'!$A$5,'Abbrev Key'!$B$5,IF($H304&lt;='Abbrev Key'!$A$6,'Abbrev Key'!$B$6,IF($H304&gt;='Abbrev Key'!$A$7,'Abbrev Key'!$B$7,IF($H304='Abbrev Key'!$A$8,'Abbrev Key'!$B$8,"")))))))</f>
        <v>D</v>
      </c>
      <c r="J304" s="23" t="s">
        <v>11811</v>
      </c>
      <c r="K304" s="92" t="s">
        <v>640</v>
      </c>
      <c r="L304" s="398">
        <v>473814</v>
      </c>
      <c r="M304" s="403">
        <f t="shared" si="9"/>
        <v>2.7075085714285715E-3</v>
      </c>
      <c r="N304" s="92" t="str">
        <f>VLOOKUP(B304,[3]Sheet!$B$2:$C$139,2,FALSE)</f>
        <v xml:space="preserve">Pomerantz LLP </v>
      </c>
      <c r="O304" s="92"/>
      <c r="P304" s="167" t="s">
        <v>4295</v>
      </c>
      <c r="Q304" s="392" t="str">
        <f t="shared" si="12"/>
        <v>05/15/2017</v>
      </c>
      <c r="R304" s="392">
        <f t="shared" si="11"/>
        <v>42869</v>
      </c>
      <c r="S304" s="392" t="str">
        <f>_xlfn.IFNA(VLOOKUP(B304,'[1]VLOOKUP NO DUPS'!$A$1:$C$456,2,FALSE),"")</f>
        <v>05/16/2017</v>
      </c>
      <c r="T304" s="168" t="str">
        <f>_xlfn.IFNA(VLOOKUP(B304,'[1]VLOOKUP NO DUPS'!$A$1:$C$456,3,FALSE),"")</f>
        <v>Pomerantz LLP</v>
      </c>
      <c r="U304" s="167"/>
      <c r="V304" s="167"/>
      <c r="W304" s="92"/>
    </row>
    <row r="305" spans="1:23" s="86" customFormat="1" ht="30" x14ac:dyDescent="0.25">
      <c r="A305" s="164" t="str">
        <f t="shared" si="8"/>
        <v/>
      </c>
      <c r="B305" s="23" t="s">
        <v>7190</v>
      </c>
      <c r="C305" s="23" t="s">
        <v>7590</v>
      </c>
      <c r="D305" s="166" t="s">
        <v>8101</v>
      </c>
      <c r="E305" s="166" t="s">
        <v>446</v>
      </c>
      <c r="F305" s="167">
        <v>9</v>
      </c>
      <c r="G305" s="167" t="s">
        <v>8049</v>
      </c>
      <c r="H305" s="89">
        <v>350000000</v>
      </c>
      <c r="I305" s="89" t="str">
        <f>IF($H305&lt;='Abbrev Key'!$A$2,'Abbrev Key'!$B$2,IF($H305&lt;='Abbrev Key'!$A$3,'Abbrev Key'!$B$3,IF($H305&lt;='Abbrev Key'!$A$4,'Abbrev Key'!$B$4,IF($H305&lt;='Abbrev Key'!$A$5,'Abbrev Key'!$B$5,IF($H305&lt;='Abbrev Key'!$A$6,'Abbrev Key'!$B$6,IF($H305&gt;='Abbrev Key'!$A$7,'Abbrev Key'!$B$7,IF($H305='Abbrev Key'!$A$8,'Abbrev Key'!$B$8,"")))))))</f>
        <v>E</v>
      </c>
      <c r="J305" s="23" t="s">
        <v>7195</v>
      </c>
      <c r="K305" s="23" t="s">
        <v>637</v>
      </c>
      <c r="L305" s="398">
        <v>308999.78999999998</v>
      </c>
      <c r="M305" s="403">
        <f t="shared" si="9"/>
        <v>8.8285654285714282E-4</v>
      </c>
      <c r="N305" s="23" t="s">
        <v>10815</v>
      </c>
      <c r="O305" s="23"/>
      <c r="P305" s="167" t="s">
        <v>4287</v>
      </c>
      <c r="Q305" s="392" t="str">
        <f t="shared" si="12"/>
        <v>06/06/2017</v>
      </c>
      <c r="R305" s="392">
        <f t="shared" si="11"/>
        <v>42891</v>
      </c>
      <c r="S305" s="392" t="str">
        <f>_xlfn.IFNA(VLOOKUP(B305,'[1]VLOOKUP NO DUPS'!$A$1:$C$456,2,FALSE),"")</f>
        <v>05/16/2017</v>
      </c>
      <c r="T305" s="168" t="str">
        <f>_xlfn.IFNA(VLOOKUP(B305,'[1]VLOOKUP NO DUPS'!$A$1:$C$456,3,FALSE),"")</f>
        <v>Faruqi &amp; Faruqi, LLP; Pomerantz LLP</v>
      </c>
      <c r="U305" s="167"/>
      <c r="V305" s="167"/>
      <c r="W305" s="92"/>
    </row>
    <row r="306" spans="1:23" s="86" customFormat="1" ht="30" x14ac:dyDescent="0.25">
      <c r="A306" s="164" t="str">
        <f t="shared" si="8"/>
        <v/>
      </c>
      <c r="B306" s="23" t="s">
        <v>7207</v>
      </c>
      <c r="C306" s="23" t="s">
        <v>7567</v>
      </c>
      <c r="D306" s="166" t="s">
        <v>8129</v>
      </c>
      <c r="E306" s="166" t="s">
        <v>418</v>
      </c>
      <c r="F306" s="167">
        <v>2</v>
      </c>
      <c r="G306" s="167" t="s">
        <v>8040</v>
      </c>
      <c r="H306" s="89">
        <v>45000000</v>
      </c>
      <c r="I306" s="89" t="str">
        <f>IF($H306&lt;='Abbrev Key'!$A$2,'Abbrev Key'!$B$2,IF($H306&lt;='Abbrev Key'!$A$3,'Abbrev Key'!$B$3,IF($H306&lt;='Abbrev Key'!$A$4,'Abbrev Key'!$B$4,IF($H306&lt;='Abbrev Key'!$A$5,'Abbrev Key'!$B$5,IF($H306&lt;='Abbrev Key'!$A$6,'Abbrev Key'!$B$6,IF($H306&gt;='Abbrev Key'!$A$7,'Abbrev Key'!$B$7,IF($H306='Abbrev Key'!$A$8,'Abbrev Key'!$B$8,"")))))))</f>
        <v>B</v>
      </c>
      <c r="J306" s="23" t="s">
        <v>11884</v>
      </c>
      <c r="K306" s="23" t="s">
        <v>646</v>
      </c>
      <c r="L306" s="398">
        <v>78617</v>
      </c>
      <c r="M306" s="403">
        <f t="shared" si="9"/>
        <v>1.7470444444444445E-3</v>
      </c>
      <c r="N306" s="23" t="s">
        <v>4571</v>
      </c>
      <c r="O306" s="23"/>
      <c r="P306" s="167" t="s">
        <v>4295</v>
      </c>
      <c r="Q306" s="392" t="str">
        <f t="shared" si="12"/>
        <v>04/28/2017</v>
      </c>
      <c r="R306" s="392">
        <f t="shared" si="11"/>
        <v>42852</v>
      </c>
      <c r="S306" s="392" t="str">
        <f>_xlfn.IFNA(VLOOKUP(B306,'[1]VLOOKUP NO DUPS'!$A$1:$C$456,2,FALSE),"")</f>
        <v>05/17/2017</v>
      </c>
      <c r="T306" s="168" t="str">
        <f>_xlfn.IFNA(VLOOKUP(B306,'[1]VLOOKUP NO DUPS'!$A$1:$C$456,3,FALSE),"")</f>
        <v>Bronstein, Gewirtz &amp; Grossman, LLC; Levi &amp; Korsinsky, LLP; Pomerantz LLP</v>
      </c>
      <c r="U306" s="167"/>
      <c r="V306" s="167"/>
      <c r="W306" s="92"/>
    </row>
    <row r="307" spans="1:23" s="86" customFormat="1" x14ac:dyDescent="0.25">
      <c r="A307" s="164" t="str">
        <f t="shared" si="8"/>
        <v/>
      </c>
      <c r="B307" s="23" t="s">
        <v>7025</v>
      </c>
      <c r="C307" s="23" t="s">
        <v>7508</v>
      </c>
      <c r="D307" s="166" t="s">
        <v>8185</v>
      </c>
      <c r="E307" s="166" t="s">
        <v>457</v>
      </c>
      <c r="F307" s="167">
        <v>9</v>
      </c>
      <c r="G307" s="167" t="s">
        <v>8186</v>
      </c>
      <c r="H307" s="89" t="s">
        <v>4882</v>
      </c>
      <c r="I307" s="89" t="s">
        <v>6732</v>
      </c>
      <c r="J307" s="92" t="s">
        <v>11786</v>
      </c>
      <c r="K307" s="92" t="s">
        <v>646</v>
      </c>
      <c r="L307" s="398">
        <v>148535.59</v>
      </c>
      <c r="M307" s="403" t="str">
        <f t="shared" si="9"/>
        <v>DC</v>
      </c>
      <c r="N307" s="92" t="str">
        <f>VLOOKUP(B307,[2]Sheet!$B$2:$C$570,2,FALSE)</f>
        <v xml:space="preserve">Scott &amp; Scott,  LLP </v>
      </c>
      <c r="O307" s="92"/>
      <c r="P307" s="167" t="s">
        <v>4408</v>
      </c>
      <c r="Q307" s="392" t="str">
        <f t="shared" si="12"/>
        <v>04/10/2017</v>
      </c>
      <c r="R307" s="392">
        <f t="shared" si="11"/>
        <v>42834</v>
      </c>
      <c r="S307" s="392" t="str">
        <f>_xlfn.IFNA(VLOOKUP(B307,'[1]VLOOKUP NO DUPS'!$A$1:$C$456,2,FALSE),"")</f>
        <v>05/22/2017</v>
      </c>
      <c r="T307" s="168" t="str">
        <f>_xlfn.IFNA(VLOOKUP(B307,'[1]VLOOKUP NO DUPS'!$A$1:$C$456,3,FALSE),"")</f>
        <v>Bottini &amp; Bottini, Inc.</v>
      </c>
      <c r="U307" s="167"/>
      <c r="V307" s="167"/>
      <c r="W307" s="92"/>
    </row>
    <row r="308" spans="1:23" s="86" customFormat="1" x14ac:dyDescent="0.25">
      <c r="A308" s="164" t="str">
        <f t="shared" si="8"/>
        <v/>
      </c>
      <c r="B308" s="23" t="s">
        <v>4257</v>
      </c>
      <c r="C308" s="23" t="s">
        <v>7551</v>
      </c>
      <c r="D308" s="166" t="s">
        <v>8141</v>
      </c>
      <c r="E308" s="166" t="s">
        <v>542</v>
      </c>
      <c r="F308" s="169">
        <v>3</v>
      </c>
      <c r="G308" s="167" t="s">
        <v>8075</v>
      </c>
      <c r="H308" s="89">
        <v>9000000</v>
      </c>
      <c r="I308" s="89" t="str">
        <f>IF($H308&lt;='Abbrev Key'!$A$2,'Abbrev Key'!$B$2,IF($H308&lt;='Abbrev Key'!$A$3,'Abbrev Key'!$B$3,IF($H308&lt;='Abbrev Key'!$A$4,'Abbrev Key'!$B$4,IF($H308&lt;='Abbrev Key'!$A$5,'Abbrev Key'!$B$5,IF($H308&lt;='Abbrev Key'!$A$6,'Abbrev Key'!$B$6,IF($H308&gt;='Abbrev Key'!$A$7,'Abbrev Key'!$B$7,IF($H308='Abbrev Key'!$A$8,'Abbrev Key'!$B$8,"")))))))</f>
        <v>A</v>
      </c>
      <c r="J308" s="23" t="s">
        <v>7187</v>
      </c>
      <c r="K308" s="92" t="s">
        <v>633</v>
      </c>
      <c r="L308" s="398">
        <v>385918.25</v>
      </c>
      <c r="M308" s="403">
        <f t="shared" si="9"/>
        <v>4.2879805555555553E-2</v>
      </c>
      <c r="N308" s="92" t="str">
        <f>VLOOKUP(B308,[2]Sheet!$B$2:$C$570,2,FALSE)</f>
        <v xml:space="preserve">Levi &amp; Korsinsky, LLP </v>
      </c>
      <c r="O308" s="92"/>
      <c r="P308" s="167" t="s">
        <v>4287</v>
      </c>
      <c r="Q308" s="392" t="str">
        <f t="shared" si="12"/>
        <v>05/19/2017</v>
      </c>
      <c r="R308" s="392">
        <f t="shared" si="11"/>
        <v>42873</v>
      </c>
      <c r="S308" s="392">
        <v>42877</v>
      </c>
      <c r="T308" s="168" t="s">
        <v>682</v>
      </c>
      <c r="U308" s="167"/>
      <c r="V308" s="167"/>
      <c r="W308" s="92"/>
    </row>
    <row r="309" spans="1:23" s="86" customFormat="1" ht="45" x14ac:dyDescent="0.25">
      <c r="A309" s="164" t="str">
        <f t="shared" si="8"/>
        <v/>
      </c>
      <c r="B309" s="23" t="s">
        <v>7170</v>
      </c>
      <c r="C309" s="23" t="s">
        <v>7530</v>
      </c>
      <c r="D309" s="166" t="s">
        <v>8172</v>
      </c>
      <c r="E309" s="166" t="s">
        <v>424</v>
      </c>
      <c r="F309" s="167">
        <v>3</v>
      </c>
      <c r="G309" s="167" t="s">
        <v>8024</v>
      </c>
      <c r="H309" s="89">
        <v>11000000</v>
      </c>
      <c r="I309" s="89" t="str">
        <f>IF($H309&lt;='Abbrev Key'!$A$2,'Abbrev Key'!$B$2,IF($H309&lt;='Abbrev Key'!$A$3,'Abbrev Key'!$B$3,IF($H309&lt;='Abbrev Key'!$A$4,'Abbrev Key'!$B$4,IF($H309&lt;='Abbrev Key'!$A$5,'Abbrev Key'!$B$5,IF($H309&lt;='Abbrev Key'!$A$6,'Abbrev Key'!$B$6,IF($H309&gt;='Abbrev Key'!$A$7,'Abbrev Key'!$B$7,IF($H309='Abbrev Key'!$A$8,'Abbrev Key'!$B$8,"")))))))</f>
        <v>A</v>
      </c>
      <c r="J309" s="23" t="s">
        <v>7173</v>
      </c>
      <c r="K309" s="23" t="s">
        <v>637</v>
      </c>
      <c r="L309" s="398">
        <v>294666</v>
      </c>
      <c r="M309" s="403">
        <f t="shared" si="9"/>
        <v>2.6787818181818183E-2</v>
      </c>
      <c r="N309" s="23" t="s">
        <v>687</v>
      </c>
      <c r="O309" s="23"/>
      <c r="P309" s="167" t="s">
        <v>4287</v>
      </c>
      <c r="Q309" s="392" t="str">
        <f t="shared" si="12"/>
        <v>05/19/2017</v>
      </c>
      <c r="R309" s="392">
        <f t="shared" si="11"/>
        <v>42873</v>
      </c>
      <c r="S309" s="392" t="str">
        <f>_xlfn.IFNA(VLOOKUP(B309,'[1]VLOOKUP NO DUPS'!$A$1:$C$456,2,FALSE),"")</f>
        <v>05/24/2017</v>
      </c>
      <c r="T309" s="168" t="str">
        <f>_xlfn.IFNA(VLOOKUP(B309,'[1]VLOOKUP NO DUPS'!$A$1:$C$456,3,FALSE),"")</f>
        <v>Carella, Byrne, Cecchi, Olstein, Brody &amp; Agnello P.C.; Glancy Prongay &amp; Murray, LLP; Lite Depalma Greenberg, LLC; Pomerantz LLP; The Rosen Law Firm, P.A.</v>
      </c>
      <c r="U309" s="167"/>
      <c r="V309" s="167"/>
      <c r="W309" s="92"/>
    </row>
    <row r="310" spans="1:23" s="86" customFormat="1" x14ac:dyDescent="0.25">
      <c r="A310" s="336" t="str">
        <f t="shared" si="8"/>
        <v/>
      </c>
      <c r="B310" s="23" t="s">
        <v>7142</v>
      </c>
      <c r="C310" s="322" t="s">
        <v>7619</v>
      </c>
      <c r="D310" s="166" t="s">
        <v>8190</v>
      </c>
      <c r="E310" s="166" t="s">
        <v>424</v>
      </c>
      <c r="F310" s="167">
        <v>3</v>
      </c>
      <c r="G310" s="167" t="s">
        <v>8056</v>
      </c>
      <c r="H310" s="89">
        <v>7500000</v>
      </c>
      <c r="I310" s="89" t="str">
        <f>IF($H310&lt;='Abbrev Key'!$A$2,'Abbrev Key'!$B$2,IF($H310&lt;='Abbrev Key'!$A$3,'Abbrev Key'!$B$3,IF($H310&lt;='Abbrev Key'!$A$4,'Abbrev Key'!$B$4,IF($H310&lt;='Abbrev Key'!$A$5,'Abbrev Key'!$B$5,IF($H310&lt;='Abbrev Key'!$A$6,'Abbrev Key'!$B$6,IF($H310&gt;='Abbrev Key'!$A$7,'Abbrev Key'!$B$7,IF($H310='Abbrev Key'!$A$8,'Abbrev Key'!$B$8,"")))))))</f>
        <v>A</v>
      </c>
      <c r="J310" s="23" t="s">
        <v>7144</v>
      </c>
      <c r="K310" s="92" t="s">
        <v>637</v>
      </c>
      <c r="L310" s="398">
        <v>139815.78</v>
      </c>
      <c r="M310" s="403">
        <f t="shared" si="9"/>
        <v>1.8642104E-2</v>
      </c>
      <c r="N310" s="92" t="str">
        <f>VLOOKUP(B310,[2]Sheet!$B$2:$C$570,2,FALSE)</f>
        <v xml:space="preserve">Wolf Haldenstein Adler Freeman &amp; Herz LLP </v>
      </c>
      <c r="O310" s="92"/>
      <c r="P310" s="167" t="s">
        <v>4287</v>
      </c>
      <c r="Q310" s="392" t="str">
        <f t="shared" si="12"/>
        <v>05/24/2017</v>
      </c>
      <c r="R310" s="392">
        <f t="shared" si="11"/>
        <v>42878</v>
      </c>
      <c r="S310" s="392" t="str">
        <f>_xlfn.IFNA(VLOOKUP(B310,'[1]VLOOKUP NO DUPS'!$A$1:$C$456,2,FALSE),"")</f>
        <v>05/30/2017</v>
      </c>
      <c r="T310" s="168" t="str">
        <f>_xlfn.IFNA(VLOOKUP(B310,'[1]VLOOKUP NO DUPS'!$A$1:$C$456,3,FALSE),"")</f>
        <v>Lite Depalma Greenberg, LLC; Pomerantz LLP</v>
      </c>
      <c r="U310" s="167"/>
      <c r="V310" s="167"/>
      <c r="W310" s="92"/>
    </row>
    <row r="311" spans="1:23" s="86" customFormat="1" x14ac:dyDescent="0.25">
      <c r="A311" s="164" t="str">
        <f t="shared" si="8"/>
        <v/>
      </c>
      <c r="B311" s="23" t="s">
        <v>7150</v>
      </c>
      <c r="C311" s="23" t="s">
        <v>7506</v>
      </c>
      <c r="D311" s="166" t="s">
        <v>8187</v>
      </c>
      <c r="E311" s="166" t="s">
        <v>1008</v>
      </c>
      <c r="F311" s="167">
        <v>2</v>
      </c>
      <c r="G311" s="167" t="s">
        <v>8013</v>
      </c>
      <c r="H311" s="89">
        <v>40000000</v>
      </c>
      <c r="I311" s="89" t="str">
        <f>IF($H311&lt;='Abbrev Key'!$A$2,'Abbrev Key'!$B$2,IF($H311&lt;='Abbrev Key'!$A$3,'Abbrev Key'!$B$3,IF($H311&lt;='Abbrev Key'!$A$4,'Abbrev Key'!$B$4,IF($H311&lt;='Abbrev Key'!$A$5,'Abbrev Key'!$B$5,IF($H311&lt;='Abbrev Key'!$A$6,'Abbrev Key'!$B$6,IF($H311&gt;='Abbrev Key'!$A$7,'Abbrev Key'!$B$7,IF($H311='Abbrev Key'!$A$8,'Abbrev Key'!$B$8,"")))))))</f>
        <v>B</v>
      </c>
      <c r="J311" s="23" t="s">
        <v>7152</v>
      </c>
      <c r="K311" s="14" t="s">
        <v>637</v>
      </c>
      <c r="L311" s="399">
        <v>106724.5</v>
      </c>
      <c r="M311" s="404">
        <f t="shared" si="9"/>
        <v>2.6681125E-3</v>
      </c>
      <c r="N311" s="92" t="s">
        <v>7153</v>
      </c>
      <c r="O311" s="92"/>
      <c r="P311" s="167" t="s">
        <v>4295</v>
      </c>
      <c r="Q311" s="392" t="str">
        <f t="shared" si="12"/>
        <v>05/31/2017</v>
      </c>
      <c r="R311" s="392">
        <f t="shared" si="11"/>
        <v>42885</v>
      </c>
      <c r="S311" s="392" t="str">
        <f>_xlfn.IFNA(VLOOKUP(B311,'[1]VLOOKUP NO DUPS'!$A$1:$C$456,2,FALSE),"")</f>
        <v>05/31/2017</v>
      </c>
      <c r="T311" s="168" t="str">
        <f>_xlfn.IFNA(VLOOKUP(B311,'[1]VLOOKUP NO DUPS'!$A$1:$C$456,3,FALSE),"")</f>
        <v>The Rosen Law Firm, P.A.</v>
      </c>
      <c r="U311" s="167"/>
      <c r="V311" s="167"/>
      <c r="W311" s="92"/>
    </row>
    <row r="312" spans="1:23" s="86" customFormat="1" x14ac:dyDescent="0.25">
      <c r="A312" s="164" t="str">
        <f t="shared" si="8"/>
        <v/>
      </c>
      <c r="B312" s="23" t="s">
        <v>7139</v>
      </c>
      <c r="C312" s="23" t="s">
        <v>7582</v>
      </c>
      <c r="D312" s="166" t="s">
        <v>8105</v>
      </c>
      <c r="E312" s="166" t="s">
        <v>424</v>
      </c>
      <c r="F312" s="167">
        <v>3</v>
      </c>
      <c r="G312" s="167" t="s">
        <v>8045</v>
      </c>
      <c r="H312" s="89">
        <v>52000000</v>
      </c>
      <c r="I312" s="89" t="str">
        <f>IF($H312&lt;='Abbrev Key'!$A$2,'Abbrev Key'!$B$2,IF($H312&lt;='Abbrev Key'!$A$3,'Abbrev Key'!$B$3,IF($H312&lt;='Abbrev Key'!$A$4,'Abbrev Key'!$B$4,IF($H312&lt;='Abbrev Key'!$A$5,'Abbrev Key'!$B$5,IF($H312&lt;='Abbrev Key'!$A$6,'Abbrev Key'!$B$6,IF($H312&gt;='Abbrev Key'!$A$7,'Abbrev Key'!$B$7,IF($H312='Abbrev Key'!$A$8,'Abbrev Key'!$B$8,"")))))))</f>
        <v>C</v>
      </c>
      <c r="J312" s="23" t="s">
        <v>7141</v>
      </c>
      <c r="K312" s="23" t="s">
        <v>637</v>
      </c>
      <c r="L312" s="398">
        <v>7490</v>
      </c>
      <c r="M312" s="403">
        <f t="shared" si="9"/>
        <v>1.4403846153846153E-4</v>
      </c>
      <c r="N312" s="23" t="s">
        <v>877</v>
      </c>
      <c r="O312" s="23"/>
      <c r="P312" s="167" t="s">
        <v>4295</v>
      </c>
      <c r="Q312" s="392" t="str">
        <f t="shared" si="12"/>
        <v>06/05/2017</v>
      </c>
      <c r="R312" s="392">
        <f t="shared" ref="R312:R343" si="13">Q312-1</f>
        <v>42890</v>
      </c>
      <c r="S312" s="392" t="str">
        <f>_xlfn.IFNA(VLOOKUP(B312,'[1]VLOOKUP NO DUPS'!$A$1:$C$456,2,FALSE),"")</f>
        <v>06/06/2017</v>
      </c>
      <c r="T312" s="168" t="str">
        <f>_xlfn.IFNA(VLOOKUP(B312,'[1]VLOOKUP NO DUPS'!$A$1:$C$456,3,FALSE),"")</f>
        <v>The Rosen Law Firm, P.A.</v>
      </c>
      <c r="U312" s="167"/>
      <c r="V312" s="167"/>
      <c r="W312" s="92"/>
    </row>
    <row r="313" spans="1:23" s="86" customFormat="1" ht="30" x14ac:dyDescent="0.25">
      <c r="A313" s="164" t="str">
        <f t="shared" si="8"/>
        <v/>
      </c>
      <c r="B313" s="23" t="s">
        <v>7126</v>
      </c>
      <c r="C313" s="23" t="s">
        <v>7564</v>
      </c>
      <c r="D313" s="166" t="s">
        <v>8131</v>
      </c>
      <c r="E313" s="166" t="s">
        <v>418</v>
      </c>
      <c r="F313" s="167">
        <v>2</v>
      </c>
      <c r="G313" s="167" t="s">
        <v>8039</v>
      </c>
      <c r="H313" s="89">
        <v>20000000</v>
      </c>
      <c r="I313" s="89" t="str">
        <f>IF($H313&lt;='Abbrev Key'!$A$2,'Abbrev Key'!$B$2,IF($H313&lt;='Abbrev Key'!$A$3,'Abbrev Key'!$B$3,IF($H313&lt;='Abbrev Key'!$A$4,'Abbrev Key'!$B$4,IF($H313&lt;='Abbrev Key'!$A$5,'Abbrev Key'!$B$5,IF($H313&lt;='Abbrev Key'!$A$6,'Abbrev Key'!$B$6,IF($H313&gt;='Abbrev Key'!$A$7,'Abbrev Key'!$B$7,IF($H313='Abbrev Key'!$A$8,'Abbrev Key'!$B$8,"")))))))</f>
        <v>A</v>
      </c>
      <c r="J313" s="23" t="s">
        <v>11875</v>
      </c>
      <c r="K313" s="92" t="s">
        <v>646</v>
      </c>
      <c r="L313" s="398">
        <v>17561.87</v>
      </c>
      <c r="M313" s="403">
        <f t="shared" si="9"/>
        <v>8.7809349999999999E-4</v>
      </c>
      <c r="N313" s="23" t="s">
        <v>877</v>
      </c>
      <c r="O313" s="23"/>
      <c r="P313" s="167" t="s">
        <v>4295</v>
      </c>
      <c r="Q313" s="392" t="str">
        <f t="shared" si="12"/>
        <v>06/08/2017</v>
      </c>
      <c r="R313" s="392">
        <f t="shared" si="13"/>
        <v>42893</v>
      </c>
      <c r="S313" s="392" t="str">
        <f>_xlfn.IFNA(VLOOKUP(B313,'[1]VLOOKUP NO DUPS'!$A$1:$C$456,2,FALSE),"")</f>
        <v>06/09/2017</v>
      </c>
      <c r="T313" s="168" t="str">
        <f>_xlfn.IFNA(VLOOKUP(B313,'[1]VLOOKUP NO DUPS'!$A$1:$C$456,3,FALSE),"")</f>
        <v>Bronstein, Gewirtz &amp; Grossman, LLC; Glancy Prongay &amp; Murray, LLP; Pomerantz LLP</v>
      </c>
      <c r="U313" s="167"/>
      <c r="V313" s="167"/>
      <c r="W313" s="92"/>
    </row>
    <row r="314" spans="1:23" s="86" customFormat="1" ht="30" x14ac:dyDescent="0.25">
      <c r="A314" s="165" t="str">
        <f t="shared" si="8"/>
        <v/>
      </c>
      <c r="B314" s="23" t="s">
        <v>7122</v>
      </c>
      <c r="C314" s="23" t="s">
        <v>7537</v>
      </c>
      <c r="D314" s="166" t="s">
        <v>8163</v>
      </c>
      <c r="E314" s="166" t="s">
        <v>592</v>
      </c>
      <c r="F314" s="167">
        <v>11</v>
      </c>
      <c r="G314" s="167" t="s">
        <v>8164</v>
      </c>
      <c r="H314" s="89" t="s">
        <v>4882</v>
      </c>
      <c r="I314" s="89" t="s">
        <v>6732</v>
      </c>
      <c r="J314" s="23" t="s">
        <v>7124</v>
      </c>
      <c r="K314" s="23" t="s">
        <v>633</v>
      </c>
      <c r="L314" s="398">
        <v>1130</v>
      </c>
      <c r="M314" s="403" t="str">
        <f t="shared" si="9"/>
        <v>DC</v>
      </c>
      <c r="N314" s="23" t="s">
        <v>7125</v>
      </c>
      <c r="O314" s="23"/>
      <c r="P314" s="167" t="s">
        <v>4287</v>
      </c>
      <c r="Q314" s="392" t="str">
        <f t="shared" si="12"/>
        <v>05/03/2017</v>
      </c>
      <c r="R314" s="392">
        <f t="shared" si="13"/>
        <v>42857</v>
      </c>
      <c r="S314" s="392" t="str">
        <f>_xlfn.IFNA(VLOOKUP(B314,'[1]VLOOKUP NO DUPS'!$A$1:$C$456,2,FALSE),"")</f>
        <v>06/15/2017</v>
      </c>
      <c r="T314" s="168" t="str">
        <f>_xlfn.IFNA(VLOOKUP(B314,'[1]VLOOKUP NO DUPS'!$A$1:$C$456,3,FALSE),"")</f>
        <v>Bernstein Litowitz Berger &amp; Grossmann LLP; Bondurant Mixson &amp; Elmore, LLP</v>
      </c>
      <c r="U314" s="167"/>
      <c r="V314" s="167"/>
      <c r="W314" s="92"/>
    </row>
    <row r="315" spans="1:23" s="86" customFormat="1" ht="30" x14ac:dyDescent="0.25">
      <c r="A315" s="336" t="str">
        <f t="shared" si="8"/>
        <v/>
      </c>
      <c r="B315" s="23" t="s">
        <v>7111</v>
      </c>
      <c r="C315" s="23" t="s">
        <v>7497</v>
      </c>
      <c r="D315" s="166" t="s">
        <v>8077</v>
      </c>
      <c r="E315" s="166" t="s">
        <v>592</v>
      </c>
      <c r="F315" s="167">
        <v>11</v>
      </c>
      <c r="G315" s="167" t="s">
        <v>8006</v>
      </c>
      <c r="H315" s="89">
        <v>240000000</v>
      </c>
      <c r="I315" s="89" t="str">
        <f>IF($H315&lt;='Abbrev Key'!$A$2,'Abbrev Key'!$B$2,IF($H315&lt;='Abbrev Key'!$A$3,'Abbrev Key'!$B$3,IF($H315&lt;='Abbrev Key'!$A$4,'Abbrev Key'!$B$4,IF($H315&lt;='Abbrev Key'!$A$5,'Abbrev Key'!$B$5,IF($H315&lt;='Abbrev Key'!$A$6,'Abbrev Key'!$B$6,IF($H315&gt;='Abbrev Key'!$A$7,'Abbrev Key'!$B$7,IF($H315='Abbrev Key'!$A$8,'Abbrev Key'!$B$8,"")))))))</f>
        <v>D</v>
      </c>
      <c r="J315" s="23" t="s">
        <v>39</v>
      </c>
      <c r="K315" s="23" t="s">
        <v>633</v>
      </c>
      <c r="L315" s="398">
        <v>820939.62</v>
      </c>
      <c r="M315" s="403">
        <f t="shared" si="9"/>
        <v>3.4205817499999998E-3</v>
      </c>
      <c r="N315" s="23" t="s">
        <v>95</v>
      </c>
      <c r="O315" s="23"/>
      <c r="P315" s="167" t="s">
        <v>4295</v>
      </c>
      <c r="Q315" s="392" t="str">
        <f t="shared" si="12"/>
        <v>10/29/2015</v>
      </c>
      <c r="R315" s="392">
        <f t="shared" si="13"/>
        <v>42305</v>
      </c>
      <c r="S315" s="392" t="str">
        <f>_xlfn.IFNA(VLOOKUP(B315,'[1]VLOOKUP NO DUPS'!$A$1:$C$456,2,FALSE),"")</f>
        <v>06/16/2017</v>
      </c>
      <c r="T315" s="168" t="str">
        <f>_xlfn.IFNA(VLOOKUP(B315,'[1]VLOOKUP NO DUPS'!$A$1:$C$456,3,FALSE),"")</f>
        <v>Bernstein Litowitz Berger &amp; Grossmann LLP; Caplan Cobb LLP</v>
      </c>
      <c r="U315" s="167"/>
      <c r="V315" s="167"/>
      <c r="W315" s="92"/>
    </row>
    <row r="316" spans="1:23" s="86" customFormat="1" x14ac:dyDescent="0.25">
      <c r="A316" s="164" t="str">
        <f t="shared" si="8"/>
        <v/>
      </c>
      <c r="B316" s="23" t="s">
        <v>7113</v>
      </c>
      <c r="C316" s="23" t="s">
        <v>7589</v>
      </c>
      <c r="D316" s="166" t="s">
        <v>8102</v>
      </c>
      <c r="E316" s="166" t="s">
        <v>418</v>
      </c>
      <c r="F316" s="167">
        <v>2</v>
      </c>
      <c r="G316" s="167" t="s">
        <v>8050</v>
      </c>
      <c r="H316" s="89">
        <v>43000000</v>
      </c>
      <c r="I316" s="89" t="str">
        <f>IF($H316&lt;='Abbrev Key'!$A$2,'Abbrev Key'!$B$2,IF($H316&lt;='Abbrev Key'!$A$3,'Abbrev Key'!$B$3,IF($H316&lt;='Abbrev Key'!$A$4,'Abbrev Key'!$B$4,IF($H316&lt;='Abbrev Key'!$A$5,'Abbrev Key'!$B$5,IF($H316&lt;='Abbrev Key'!$A$6,'Abbrev Key'!$B$6,IF($H316&gt;='Abbrev Key'!$A$7,'Abbrev Key'!$B$7,IF($H316='Abbrev Key'!$A$8,'Abbrev Key'!$B$8,"")))))))</f>
        <v>B</v>
      </c>
      <c r="J316" s="23" t="s">
        <v>7115</v>
      </c>
      <c r="K316" s="23" t="s">
        <v>637</v>
      </c>
      <c r="L316" s="398">
        <v>205201</v>
      </c>
      <c r="M316" s="403">
        <f t="shared" si="9"/>
        <v>4.7721162790697672E-3</v>
      </c>
      <c r="N316" s="92" t="str">
        <f>VLOOKUP(B316,[2]Sheet!$B$2:$C$570,2,FALSE)</f>
        <v xml:space="preserve">Wolf Popper LLP </v>
      </c>
      <c r="O316" s="92"/>
      <c r="P316" s="167" t="s">
        <v>4287</v>
      </c>
      <c r="Q316" s="392" t="str">
        <f t="shared" si="12"/>
        <v>06/12/2017</v>
      </c>
      <c r="R316" s="392">
        <f t="shared" si="13"/>
        <v>42897</v>
      </c>
      <c r="S316" s="392" t="str">
        <f>_xlfn.IFNA(VLOOKUP(B316,'[1]VLOOKUP NO DUPS'!$A$1:$C$456,2,FALSE),"")</f>
        <v>06/16/2017</v>
      </c>
      <c r="T316" s="168" t="str">
        <f>_xlfn.IFNA(VLOOKUP(B316,'[1]VLOOKUP NO DUPS'!$A$1:$C$456,3,FALSE),"")</f>
        <v>Bronstein, Gewirtz &amp; Grossman, LLC; Pomerantz LLP</v>
      </c>
      <c r="U316" s="167"/>
      <c r="V316" s="167"/>
      <c r="W316" s="92"/>
    </row>
    <row r="317" spans="1:23" s="86" customFormat="1" ht="75" x14ac:dyDescent="0.25">
      <c r="A317" s="165" t="str">
        <f t="shared" si="8"/>
        <v/>
      </c>
      <c r="B317" s="23" t="s">
        <v>7108</v>
      </c>
      <c r="C317" s="23" t="s">
        <v>7515</v>
      </c>
      <c r="D317" s="166" t="s">
        <v>8180</v>
      </c>
      <c r="E317" s="166" t="s">
        <v>460</v>
      </c>
      <c r="F317" s="167">
        <v>4</v>
      </c>
      <c r="G317" s="167" t="s">
        <v>8018</v>
      </c>
      <c r="H317" s="89">
        <v>225000000</v>
      </c>
      <c r="I317" s="89" t="str">
        <f>IF($H317&lt;='Abbrev Key'!$A$2,'Abbrev Key'!$B$2,IF($H317&lt;='Abbrev Key'!$A$3,'Abbrev Key'!$B$3,IF($H317&lt;='Abbrev Key'!$A$4,'Abbrev Key'!$B$4,IF($H317&lt;='Abbrev Key'!$A$5,'Abbrev Key'!$B$5,IF($H317&lt;='Abbrev Key'!$A$6,'Abbrev Key'!$B$6,IF($H317&gt;='Abbrev Key'!$A$7,'Abbrev Key'!$B$7,IF($H317='Abbrev Key'!$A$8,'Abbrev Key'!$B$8,"")))))))</f>
        <v>D</v>
      </c>
      <c r="J317" s="92" t="s">
        <v>11932</v>
      </c>
      <c r="K317" s="92" t="s">
        <v>640</v>
      </c>
      <c r="L317" s="398">
        <f>15306.08+67332.4</f>
        <v>82638.48</v>
      </c>
      <c r="M317" s="403">
        <f t="shared" si="9"/>
        <v>3.6728213333333333E-4</v>
      </c>
      <c r="N317" s="92" t="s">
        <v>8981</v>
      </c>
      <c r="O317" s="92" t="s">
        <v>11197</v>
      </c>
      <c r="P317" s="167" t="s">
        <v>4295</v>
      </c>
      <c r="Q317" s="392" t="str">
        <f t="shared" si="12"/>
        <v>06/15/2017</v>
      </c>
      <c r="R317" s="392">
        <f t="shared" si="13"/>
        <v>42900</v>
      </c>
      <c r="S317" s="392" t="str">
        <f>_xlfn.IFNA(VLOOKUP(B317,'[1]VLOOKUP NO DUPS'!$A$1:$C$456,2,FALSE),"")</f>
        <v>06/19/2017</v>
      </c>
      <c r="T317" s="168" t="str">
        <f>_xlfn.IFNA(VLOOKUP(B317,'[1]VLOOKUP NO DUPS'!$A$1:$C$456,3,FALSE),"")</f>
        <v>Cohen Milstein Sellers &amp; Toll PLLC; Pomerantz LLP</v>
      </c>
      <c r="U317" s="167"/>
      <c r="V317" s="167"/>
      <c r="W317" s="92"/>
    </row>
    <row r="318" spans="1:23" s="86" customFormat="1" ht="45" x14ac:dyDescent="0.25">
      <c r="A318" s="164" t="str">
        <f t="shared" si="8"/>
        <v/>
      </c>
      <c r="B318" s="23" t="s">
        <v>7080</v>
      </c>
      <c r="C318" s="23" t="s">
        <v>7509</v>
      </c>
      <c r="D318" s="166" t="s">
        <v>8184</v>
      </c>
      <c r="E318" s="166" t="s">
        <v>418</v>
      </c>
      <c r="F318" s="167">
        <v>2</v>
      </c>
      <c r="G318" s="167" t="s">
        <v>8014</v>
      </c>
      <c r="H318" s="89">
        <v>2200000</v>
      </c>
      <c r="I318" s="89" t="str">
        <f>IF($H318&lt;='Abbrev Key'!$A$2,'Abbrev Key'!$B$2,IF($H318&lt;='Abbrev Key'!$A$3,'Abbrev Key'!$B$3,IF($H318&lt;='Abbrev Key'!$A$4,'Abbrev Key'!$B$4,IF($H318&lt;='Abbrev Key'!$A$5,'Abbrev Key'!$B$5,IF($H318&lt;='Abbrev Key'!$A$6,'Abbrev Key'!$B$6,IF($H318&gt;='Abbrev Key'!$A$7,'Abbrev Key'!$B$7,IF($H318='Abbrev Key'!$A$8,'Abbrev Key'!$B$8,"")))))))</f>
        <v>A</v>
      </c>
      <c r="J318" s="92" t="s">
        <v>11929</v>
      </c>
      <c r="K318" s="92" t="s">
        <v>662</v>
      </c>
      <c r="L318" s="398">
        <f>45825.9+152918.32+171849+85543</f>
        <v>456136.22</v>
      </c>
      <c r="M318" s="403">
        <f t="shared" si="9"/>
        <v>0.20733464545454544</v>
      </c>
      <c r="N318" s="92" t="s">
        <v>8980</v>
      </c>
      <c r="O318" s="92" t="s">
        <v>11197</v>
      </c>
      <c r="P318" s="167" t="s">
        <v>4287</v>
      </c>
      <c r="Q318" s="392" t="str">
        <f t="shared" si="12"/>
        <v>06/19/2017</v>
      </c>
      <c r="R318" s="392">
        <f t="shared" si="13"/>
        <v>42904</v>
      </c>
      <c r="S318" s="392" t="str">
        <f>_xlfn.IFNA(VLOOKUP(B318,'[1]VLOOKUP NO DUPS'!$A$1:$C$456,2,FALSE),"")</f>
        <v>06/22/2017</v>
      </c>
      <c r="T318" s="168" t="str">
        <f>_xlfn.IFNA(VLOOKUP(B318,'[1]VLOOKUP NO DUPS'!$A$1:$C$456,3,FALSE),"")</f>
        <v>Bronstein, Gewirtz &amp; Grossman, LLC; Pomerantz LLP</v>
      </c>
      <c r="U318" s="167"/>
      <c r="V318" s="167"/>
      <c r="W318" s="92"/>
    </row>
    <row r="319" spans="1:23" s="86" customFormat="1" ht="30" x14ac:dyDescent="0.25">
      <c r="A319" s="164" t="str">
        <f t="shared" si="8"/>
        <v/>
      </c>
      <c r="B319" s="23" t="s">
        <v>7090</v>
      </c>
      <c r="C319" s="23" t="s">
        <v>7519</v>
      </c>
      <c r="D319" s="166" t="s">
        <v>10939</v>
      </c>
      <c r="E319" s="166" t="s">
        <v>7091</v>
      </c>
      <c r="F319" s="167">
        <v>5</v>
      </c>
      <c r="G319" s="167" t="s">
        <v>8019</v>
      </c>
      <c r="H319" s="89">
        <v>500000000</v>
      </c>
      <c r="I319" s="89" t="str">
        <f>IF($H319&lt;='Abbrev Key'!$A$2,'Abbrev Key'!$B$2,IF($H319&lt;='Abbrev Key'!$A$3,'Abbrev Key'!$B$3,IF($H319&lt;='Abbrev Key'!$A$4,'Abbrev Key'!$B$4,IF($H319&lt;='Abbrev Key'!$A$5,'Abbrev Key'!$B$5,IF($H319&lt;='Abbrev Key'!$A$6,'Abbrev Key'!$B$6,IF($H319&gt;='Abbrev Key'!$A$7,'Abbrev Key'!$B$7,IF($H319='Abbrev Key'!$A$8,'Abbrev Key'!$B$8,"")))))))</f>
        <v>E</v>
      </c>
      <c r="J319" s="23" t="s">
        <v>7097</v>
      </c>
      <c r="K319" s="23" t="s">
        <v>633</v>
      </c>
      <c r="L319" s="398">
        <v>6894049.8600000003</v>
      </c>
      <c r="M319" s="403">
        <f t="shared" si="9"/>
        <v>1.378809972E-2</v>
      </c>
      <c r="N319" s="23" t="s">
        <v>7098</v>
      </c>
      <c r="O319" s="23"/>
      <c r="P319" s="167" t="s">
        <v>4287</v>
      </c>
      <c r="Q319" s="392" t="str">
        <f t="shared" si="12"/>
        <v>06/19/2017</v>
      </c>
      <c r="R319" s="392">
        <f t="shared" si="13"/>
        <v>42904</v>
      </c>
      <c r="S319" s="392">
        <v>42908</v>
      </c>
      <c r="T319" s="168" t="s">
        <v>10934</v>
      </c>
      <c r="U319" s="167"/>
      <c r="V319" s="167"/>
      <c r="W319" s="92"/>
    </row>
    <row r="320" spans="1:23" s="86" customFormat="1" x14ac:dyDescent="0.25">
      <c r="A320" s="164" t="str">
        <f t="shared" si="8"/>
        <v/>
      </c>
      <c r="B320" s="23" t="s">
        <v>7073</v>
      </c>
      <c r="C320" s="23" t="s">
        <v>7577</v>
      </c>
      <c r="D320" s="166" t="s">
        <v>8109</v>
      </c>
      <c r="E320" s="166" t="s">
        <v>1008</v>
      </c>
      <c r="F320" s="167">
        <v>2</v>
      </c>
      <c r="G320" s="167" t="s">
        <v>8043</v>
      </c>
      <c r="H320" s="89">
        <v>12000000</v>
      </c>
      <c r="I320" s="89" t="str">
        <f>IF($H320&lt;='Abbrev Key'!$A$2,'Abbrev Key'!$B$2,IF($H320&lt;='Abbrev Key'!$A$3,'Abbrev Key'!$B$3,IF($H320&lt;='Abbrev Key'!$A$4,'Abbrev Key'!$B$4,IF($H320&lt;='Abbrev Key'!$A$5,'Abbrev Key'!$B$5,IF($H320&lt;='Abbrev Key'!$A$6,'Abbrev Key'!$B$6,IF($H320&gt;='Abbrev Key'!$A$7,'Abbrev Key'!$B$7,IF($H320='Abbrev Key'!$A$8,'Abbrev Key'!$B$8,"")))))))</f>
        <v>A</v>
      </c>
      <c r="J320" s="23" t="s">
        <v>7076</v>
      </c>
      <c r="K320" s="23" t="s">
        <v>637</v>
      </c>
      <c r="L320" s="398">
        <v>8962.4</v>
      </c>
      <c r="M320" s="403">
        <f t="shared" si="9"/>
        <v>7.4686666666666664E-4</v>
      </c>
      <c r="N320" s="92" t="str">
        <f>VLOOKUP(B320,[3]Sheet!$B$2:$C$139,2,FALSE)</f>
        <v xml:space="preserve">Glancy Prongay &amp; Murray, LLP </v>
      </c>
      <c r="O320" s="92"/>
      <c r="P320" s="167" t="s">
        <v>4287</v>
      </c>
      <c r="Q320" s="392" t="str">
        <f t="shared" si="12"/>
        <v>05/10/2017</v>
      </c>
      <c r="R320" s="392">
        <f t="shared" si="13"/>
        <v>42864</v>
      </c>
      <c r="S320" s="392" t="str">
        <f>_xlfn.IFNA(VLOOKUP(B320,'[1]VLOOKUP NO DUPS'!$A$1:$C$456,2,FALSE),"")</f>
        <v>06/23/2017</v>
      </c>
      <c r="T320" s="168" t="str">
        <f>_xlfn.IFNA(VLOOKUP(B320,'[1]VLOOKUP NO DUPS'!$A$1:$C$456,3,FALSE),"")</f>
        <v>The Rosen Law Firm, P.A.</v>
      </c>
      <c r="U320" s="167"/>
      <c r="V320" s="167"/>
      <c r="W320" s="92"/>
    </row>
    <row r="321" spans="1:23" s="86" customFormat="1" ht="45" x14ac:dyDescent="0.25">
      <c r="A321" s="164" t="str">
        <f t="shared" si="8"/>
        <v/>
      </c>
      <c r="B321" s="23" t="s">
        <v>7061</v>
      </c>
      <c r="C321" s="23" t="s">
        <v>7562</v>
      </c>
      <c r="D321" s="166" t="s">
        <v>8133</v>
      </c>
      <c r="E321" s="166" t="s">
        <v>446</v>
      </c>
      <c r="F321" s="167">
        <v>9</v>
      </c>
      <c r="G321" s="167" t="s">
        <v>8037</v>
      </c>
      <c r="H321" s="89" t="s">
        <v>4882</v>
      </c>
      <c r="I321" s="89" t="s">
        <v>6732</v>
      </c>
      <c r="J321" s="23" t="s">
        <v>7063</v>
      </c>
      <c r="K321" s="92" t="s">
        <v>637</v>
      </c>
      <c r="L321" s="398">
        <v>67310.83</v>
      </c>
      <c r="M321" s="403" t="str">
        <f t="shared" si="9"/>
        <v>DC</v>
      </c>
      <c r="N321" s="92" t="str">
        <f>VLOOKUP(B321,[2]Sheet!$B$2:$C$570,2,FALSE)</f>
        <v xml:space="preserve">Levi &amp; Korsinsky, LLP </v>
      </c>
      <c r="O321" s="92"/>
      <c r="P321" s="167" t="s">
        <v>4287</v>
      </c>
      <c r="Q321" s="392" t="str">
        <f t="shared" si="12"/>
        <v>04/20/2017</v>
      </c>
      <c r="R321" s="392">
        <f t="shared" si="13"/>
        <v>42844</v>
      </c>
      <c r="S321" s="392" t="str">
        <f>_xlfn.IFNA(VLOOKUP(B321,'[1]VLOOKUP NO DUPS'!$A$1:$C$456,2,FALSE),"")</f>
        <v>06/27/2017</v>
      </c>
      <c r="T321" s="168" t="str">
        <f>_xlfn.IFNA(VLOOKUP(B321,'[1]VLOOKUP NO DUPS'!$A$1:$C$456,3,FALSE),"")</f>
        <v>Bronstein, Gewirtz &amp; Grossman, LLC; Pomerantz LLP; Robbins, Geller, Rudman &amp; Dowd, LLP; VanOverbeke Michaud &amp; Timmony, P.C.</v>
      </c>
      <c r="U321" s="167"/>
      <c r="V321" s="167"/>
      <c r="W321" s="92"/>
    </row>
    <row r="322" spans="1:23" s="86" customFormat="1" x14ac:dyDescent="0.25">
      <c r="A322" s="164" t="str">
        <f t="shared" ref="A322:A385" si="14">IF(COUNTIF(B:B,B322)&gt;=2,"DUP","")</f>
        <v/>
      </c>
      <c r="B322" s="23" t="s">
        <v>7056</v>
      </c>
      <c r="C322" s="23" t="s">
        <v>7612</v>
      </c>
      <c r="D322" s="166" t="s">
        <v>8192</v>
      </c>
      <c r="E322" s="166" t="s">
        <v>424</v>
      </c>
      <c r="F322" s="167">
        <v>3</v>
      </c>
      <c r="G322" s="167" t="s">
        <v>8059</v>
      </c>
      <c r="H322" s="89">
        <v>85000000</v>
      </c>
      <c r="I322" s="89" t="str">
        <f>IF($H322&lt;='Abbrev Key'!$A$2,'Abbrev Key'!$B$2,IF($H322&lt;='Abbrev Key'!$A$3,'Abbrev Key'!$B$3,IF($H322&lt;='Abbrev Key'!$A$4,'Abbrev Key'!$B$4,IF($H322&lt;='Abbrev Key'!$A$5,'Abbrev Key'!$B$5,IF($H322&lt;='Abbrev Key'!$A$6,'Abbrev Key'!$B$6,IF($H322&gt;='Abbrev Key'!$A$7,'Abbrev Key'!$B$7,IF($H322='Abbrev Key'!$A$8,'Abbrev Key'!$B$8,"")))))))</f>
        <v>C</v>
      </c>
      <c r="J322" s="23" t="s">
        <v>7058</v>
      </c>
      <c r="K322" s="92" t="s">
        <v>637</v>
      </c>
      <c r="L322" s="398">
        <v>43258.83</v>
      </c>
      <c r="M322" s="403">
        <f t="shared" ref="M322:M351" si="15">IFERROR((L322/H322),"DC")</f>
        <v>5.0892741176470594E-4</v>
      </c>
      <c r="N322" s="92" t="str">
        <f>VLOOKUP(B322,[2]Sheet!$B$2:$C$570,2,FALSE)</f>
        <v xml:space="preserve">Levi &amp; Korsinsky, LLP </v>
      </c>
      <c r="O322" s="92"/>
      <c r="P322" s="167" t="s">
        <v>4295</v>
      </c>
      <c r="Q322" s="392" t="str">
        <f t="shared" si="12"/>
        <v>06/22/2017</v>
      </c>
      <c r="R322" s="392">
        <f t="shared" si="13"/>
        <v>42907</v>
      </c>
      <c r="S322" s="392" t="str">
        <f>_xlfn.IFNA(VLOOKUP(B322,'[1]VLOOKUP NO DUPS'!$A$1:$C$456,2,FALSE),"")</f>
        <v>06/27/2017</v>
      </c>
      <c r="T322" s="168" t="str">
        <f>_xlfn.IFNA(VLOOKUP(B322,'[1]VLOOKUP NO DUPS'!$A$1:$C$456,3,FALSE),"")</f>
        <v>Levi &amp; Korsinsky, LLP; The Rosen Law Firm, P.A.</v>
      </c>
      <c r="U322" s="167"/>
      <c r="V322" s="167"/>
      <c r="W322" s="92"/>
    </row>
    <row r="323" spans="1:23" s="86" customFormat="1" ht="45" x14ac:dyDescent="0.25">
      <c r="A323" s="164" t="str">
        <f t="shared" si="14"/>
        <v/>
      </c>
      <c r="B323" s="23" t="s">
        <v>7068</v>
      </c>
      <c r="C323" s="23" t="s">
        <v>7510</v>
      </c>
      <c r="D323" s="166" t="s">
        <v>8183</v>
      </c>
      <c r="E323" s="166" t="s">
        <v>418</v>
      </c>
      <c r="F323" s="167">
        <v>2</v>
      </c>
      <c r="G323" s="167" t="s">
        <v>8015</v>
      </c>
      <c r="H323" s="89">
        <v>15000000</v>
      </c>
      <c r="I323" s="89" t="str">
        <f>IF($H323&lt;='Abbrev Key'!$A$2,'Abbrev Key'!$B$2,IF($H323&lt;='Abbrev Key'!$A$3,'Abbrev Key'!$B$3,IF($H323&lt;='Abbrev Key'!$A$4,'Abbrev Key'!$B$4,IF($H323&lt;='Abbrev Key'!$A$5,'Abbrev Key'!$B$5,IF($H323&lt;='Abbrev Key'!$A$6,'Abbrev Key'!$B$6,IF($H323&gt;='Abbrev Key'!$A$7,'Abbrev Key'!$B$7,IF($H323='Abbrev Key'!$A$8,'Abbrev Key'!$B$8,"")))))))</f>
        <v>A</v>
      </c>
      <c r="J323" s="23" t="s">
        <v>11788</v>
      </c>
      <c r="K323" s="23" t="s">
        <v>646</v>
      </c>
      <c r="L323" s="357">
        <v>13960</v>
      </c>
      <c r="M323" s="406">
        <f t="shared" si="15"/>
        <v>9.3066666666666666E-4</v>
      </c>
      <c r="N323" s="23" t="s">
        <v>1204</v>
      </c>
      <c r="O323" s="23"/>
      <c r="P323" s="167" t="s">
        <v>4287</v>
      </c>
      <c r="Q323" s="392" t="str">
        <f t="shared" ref="Q323:Q354" si="16">RIGHT(G323,10)</f>
        <v>06/19/2017</v>
      </c>
      <c r="R323" s="392">
        <f t="shared" si="13"/>
        <v>42904</v>
      </c>
      <c r="S323" s="392" t="str">
        <f>_xlfn.IFNA(VLOOKUP(B323,'[1]VLOOKUP NO DUPS'!$A$1:$C$456,2,FALSE),"")</f>
        <v>06/29/2017</v>
      </c>
      <c r="T323" s="168" t="str">
        <f>_xlfn.IFNA(VLOOKUP(B323,'[1]VLOOKUP NO DUPS'!$A$1:$C$456,3,FALSE),"")</f>
        <v>Bronstein, Gewirtz &amp; Grossman, LLC; Pomerantz LLP</v>
      </c>
      <c r="U323" s="167"/>
      <c r="V323" s="167"/>
      <c r="W323" s="92"/>
    </row>
    <row r="324" spans="1:23" s="86" customFormat="1" ht="30" x14ac:dyDescent="0.25">
      <c r="A324" s="164" t="str">
        <f t="shared" si="14"/>
        <v/>
      </c>
      <c r="B324" s="23" t="s">
        <v>7155</v>
      </c>
      <c r="C324" s="23" t="s">
        <v>7540</v>
      </c>
      <c r="D324" s="166" t="s">
        <v>8156</v>
      </c>
      <c r="E324" s="166" t="s">
        <v>8609</v>
      </c>
      <c r="F324" s="167">
        <v>6</v>
      </c>
      <c r="G324" s="168" t="s">
        <v>8027</v>
      </c>
      <c r="H324" s="89">
        <v>100000000</v>
      </c>
      <c r="I324" s="89" t="str">
        <f>IF($H324&lt;='Abbrev Key'!$A$2,'Abbrev Key'!$B$2,IF($H324&lt;='Abbrev Key'!$A$3,'Abbrev Key'!$B$3,IF($H324&lt;='Abbrev Key'!$A$4,'Abbrev Key'!$B$4,IF($H324&lt;='Abbrev Key'!$A$5,'Abbrev Key'!$B$5,IF($H324&lt;='Abbrev Key'!$A$6,'Abbrev Key'!$B$6,IF($H324&gt;='Abbrev Key'!$A$7,'Abbrev Key'!$B$7,IF($H324='Abbrev Key'!$A$8,'Abbrev Key'!$B$8,"")))))))</f>
        <v>C</v>
      </c>
      <c r="J324" s="23" t="s">
        <v>218</v>
      </c>
      <c r="K324" s="23" t="s">
        <v>633</v>
      </c>
      <c r="L324" s="398">
        <v>320934.02</v>
      </c>
      <c r="M324" s="403">
        <f t="shared" si="15"/>
        <v>3.2093402000000003E-3</v>
      </c>
      <c r="N324" s="23" t="s">
        <v>7163</v>
      </c>
      <c r="O324" s="23"/>
      <c r="P324" s="167" t="s">
        <v>4295</v>
      </c>
      <c r="Q324" s="392" t="str">
        <f t="shared" si="16"/>
        <v>05/25/2017</v>
      </c>
      <c r="R324" s="392">
        <f t="shared" si="13"/>
        <v>42879</v>
      </c>
      <c r="S324" s="392" t="str">
        <f>_xlfn.IFNA(VLOOKUP(B324,'[1]VLOOKUP NO DUPS'!$A$1:$C$456,2,FALSE),"")</f>
        <v>07/05/2017</v>
      </c>
      <c r="T324" s="168" t="str">
        <f>_xlfn.IFNA(VLOOKUP(B324,'[1]VLOOKUP NO DUPS'!$A$1:$C$456,3,FALSE),"")</f>
        <v>Bronstein, Gewirtz &amp; Grossman, LLC; Pomerantz LLP; The Rosen Law Firm, P.A.; Weitz &amp; Luxenberg, P.C.</v>
      </c>
      <c r="U324" s="167"/>
      <c r="V324" s="167"/>
      <c r="W324" s="92"/>
    </row>
    <row r="325" spans="1:23" s="86" customFormat="1" ht="30" x14ac:dyDescent="0.25">
      <c r="A325" s="164" t="str">
        <f t="shared" si="14"/>
        <v/>
      </c>
      <c r="B325" s="23" t="s">
        <v>7033</v>
      </c>
      <c r="C325" s="322" t="s">
        <v>7569</v>
      </c>
      <c r="D325" s="166" t="s">
        <v>8128</v>
      </c>
      <c r="E325" s="166" t="s">
        <v>424</v>
      </c>
      <c r="F325" s="167">
        <v>3</v>
      </c>
      <c r="G325" s="167" t="s">
        <v>8041</v>
      </c>
      <c r="H325" s="89">
        <v>40000000</v>
      </c>
      <c r="I325" s="89" t="str">
        <f>IF($H325&lt;='Abbrev Key'!$A$2,'Abbrev Key'!$B$2,IF($H325&lt;='Abbrev Key'!$A$3,'Abbrev Key'!$B$3,IF($H325&lt;='Abbrev Key'!$A$4,'Abbrev Key'!$B$4,IF($H325&lt;='Abbrev Key'!$A$5,'Abbrev Key'!$B$5,IF($H325&lt;='Abbrev Key'!$A$6,'Abbrev Key'!$B$6,IF($H325&gt;='Abbrev Key'!$A$7,'Abbrev Key'!$B$7,IF($H325='Abbrev Key'!$A$8,'Abbrev Key'!$B$8,"")))))))</f>
        <v>B</v>
      </c>
      <c r="J325" s="92" t="s">
        <v>11957</v>
      </c>
      <c r="K325" s="92" t="s">
        <v>646</v>
      </c>
      <c r="L325" s="398">
        <f>112800+260544</f>
        <v>373344</v>
      </c>
      <c r="M325" s="403">
        <f t="shared" si="15"/>
        <v>9.3335999999999992E-3</v>
      </c>
      <c r="N325" s="92" t="s">
        <v>8987</v>
      </c>
      <c r="O325" s="92" t="s">
        <v>11197</v>
      </c>
      <c r="P325" s="167" t="s">
        <v>4287</v>
      </c>
      <c r="Q325" s="392" t="str">
        <f t="shared" si="16"/>
        <v>07/11/2017</v>
      </c>
      <c r="R325" s="392">
        <f t="shared" si="13"/>
        <v>42926</v>
      </c>
      <c r="S325" s="392" t="str">
        <f>_xlfn.IFNA(VLOOKUP(B325,'[1]VLOOKUP NO DUPS'!$A$1:$C$456,2,FALSE),"")</f>
        <v>07/07/2017</v>
      </c>
      <c r="T325" s="168" t="str">
        <f>_xlfn.IFNA(VLOOKUP(B325,'[1]VLOOKUP NO DUPS'!$A$1:$C$456,3,FALSE),"")</f>
        <v>Levi &amp; Korsinsky, LLP; Lite Depalma Greenberg, LLC; Pomerantz LLP; The Rosen Law Firm, P.A.</v>
      </c>
      <c r="U325" s="167"/>
      <c r="V325" s="167"/>
      <c r="W325" s="92"/>
    </row>
    <row r="326" spans="1:23" s="86" customFormat="1" x14ac:dyDescent="0.25">
      <c r="A326" s="164" t="str">
        <f t="shared" si="14"/>
        <v/>
      </c>
      <c r="B326" s="23" t="s">
        <v>7046</v>
      </c>
      <c r="C326" s="23" t="s">
        <v>7594</v>
      </c>
      <c r="D326" s="166" t="s">
        <v>8095</v>
      </c>
      <c r="E326" s="166" t="s">
        <v>418</v>
      </c>
      <c r="F326" s="167">
        <v>2</v>
      </c>
      <c r="G326" s="167" t="s">
        <v>8052</v>
      </c>
      <c r="H326" s="89">
        <v>355000000</v>
      </c>
      <c r="I326" s="89" t="str">
        <f>IF($H326&lt;='Abbrev Key'!$A$2,'Abbrev Key'!$B$2,IF($H326&lt;='Abbrev Key'!$A$3,'Abbrev Key'!$B$3,IF($H326&lt;='Abbrev Key'!$A$4,'Abbrev Key'!$B$4,IF($H326&lt;='Abbrev Key'!$A$5,'Abbrev Key'!$B$5,IF($H326&lt;='Abbrev Key'!$A$6,'Abbrev Key'!$B$6,IF($H326&gt;='Abbrev Key'!$A$7,'Abbrev Key'!$B$7,IF($H326='Abbrev Key'!$A$8,'Abbrev Key'!$B$8,"")))))))</f>
        <v>E</v>
      </c>
      <c r="J326" s="23" t="s">
        <v>7051</v>
      </c>
      <c r="K326" s="23" t="s">
        <v>637</v>
      </c>
      <c r="L326" s="398">
        <v>1822156.3</v>
      </c>
      <c r="M326" s="403">
        <f t="shared" si="15"/>
        <v>5.1328346478873238E-3</v>
      </c>
      <c r="N326" s="92" t="str">
        <f>VLOOKUP(B326,[2]Sheet!$B$2:$C$570,2,FALSE)</f>
        <v xml:space="preserve">Faruqi &amp; Faruqi, LLP </v>
      </c>
      <c r="O326" s="92"/>
      <c r="P326" s="167" t="s">
        <v>4287</v>
      </c>
      <c r="Q326" s="392" t="str">
        <f t="shared" si="16"/>
        <v>07/05/2017</v>
      </c>
      <c r="R326" s="392">
        <f t="shared" si="13"/>
        <v>42920</v>
      </c>
      <c r="S326" s="392" t="str">
        <f>_xlfn.IFNA(VLOOKUP(B326,'[1]VLOOKUP NO DUPS'!$A$1:$C$456,2,FALSE),"")</f>
        <v>07/07/2017</v>
      </c>
      <c r="T326" s="168" t="str">
        <f>_xlfn.IFNA(VLOOKUP(B326,'[1]VLOOKUP NO DUPS'!$A$1:$C$456,3,FALSE),"")</f>
        <v>Pomerantz LLP</v>
      </c>
      <c r="U326" s="167"/>
      <c r="V326" s="167"/>
      <c r="W326" s="92"/>
    </row>
    <row r="327" spans="1:23" s="86" customFormat="1" ht="90" x14ac:dyDescent="0.25">
      <c r="A327" s="164" t="str">
        <f t="shared" si="14"/>
        <v/>
      </c>
      <c r="B327" s="23" t="s">
        <v>7013</v>
      </c>
      <c r="C327" s="23" t="s">
        <v>7543</v>
      </c>
      <c r="D327" s="166" t="s">
        <v>8153</v>
      </c>
      <c r="E327" s="166" t="s">
        <v>592</v>
      </c>
      <c r="F327" s="167">
        <v>11</v>
      </c>
      <c r="G327" s="167" t="s">
        <v>8028</v>
      </c>
      <c r="H327" s="89">
        <v>935000000</v>
      </c>
      <c r="I327" s="89" t="str">
        <f>IF($H327&lt;='Abbrev Key'!$A$2,'Abbrev Key'!$B$2,IF($H327&lt;='Abbrev Key'!$A$3,'Abbrev Key'!$B$3,IF($H327&lt;='Abbrev Key'!$A$4,'Abbrev Key'!$B$4,IF($H327&lt;='Abbrev Key'!$A$5,'Abbrev Key'!$B$5,IF($H327&lt;='Abbrev Key'!$A$6,'Abbrev Key'!$B$6,IF($H327&gt;='Abbrev Key'!$A$7,'Abbrev Key'!$B$7,IF($H327='Abbrev Key'!$A$8,'Abbrev Key'!$B$8,"")))))))</f>
        <v>F</v>
      </c>
      <c r="J327" s="23" t="s">
        <v>11849</v>
      </c>
      <c r="K327" s="23" t="s">
        <v>640</v>
      </c>
      <c r="L327" s="398">
        <v>1918485</v>
      </c>
      <c r="M327" s="403">
        <f t="shared" si="15"/>
        <v>2.051855614973262E-3</v>
      </c>
      <c r="N327" s="23" t="s">
        <v>7017</v>
      </c>
      <c r="O327" s="23"/>
      <c r="P327" s="167" t="s">
        <v>4287</v>
      </c>
      <c r="Q327" s="392" t="str">
        <f t="shared" si="16"/>
        <v>06/05/2017</v>
      </c>
      <c r="R327" s="392">
        <f t="shared" si="13"/>
        <v>42890</v>
      </c>
      <c r="S327" s="392" t="str">
        <f>_xlfn.IFNA(VLOOKUP(B327,'[1]VLOOKUP NO DUPS'!$A$1:$C$456,2,FALSE),"")</f>
        <v>07/11/2017</v>
      </c>
      <c r="T327" s="168" t="str">
        <f>_xlfn.IFNA(VLOOKUP(B327,'[1]VLOOKUP NO DUPS'!$A$1:$C$456,3,FALSE),"")</f>
        <v>Bronstein, Gewirtz &amp; Grossman, LLC; Klausner, Kaufman, Jensen &amp; Levinson; Law Offices of David A. Bain, LLC; Pomerantz LLP; Saxena White P.A.</v>
      </c>
      <c r="U327" s="167"/>
      <c r="V327" s="167"/>
      <c r="W327" s="92"/>
    </row>
    <row r="328" spans="1:23" s="86" customFormat="1" x14ac:dyDescent="0.25">
      <c r="A328" s="165" t="str">
        <f t="shared" si="14"/>
        <v>DUP</v>
      </c>
      <c r="B328" s="23" t="s">
        <v>40</v>
      </c>
      <c r="C328" s="23" t="s">
        <v>10495</v>
      </c>
      <c r="D328" s="166" t="s">
        <v>8179</v>
      </c>
      <c r="E328" s="166" t="s">
        <v>545</v>
      </c>
      <c r="F328" s="167">
        <v>10</v>
      </c>
      <c r="G328" s="167" t="s">
        <v>8074</v>
      </c>
      <c r="H328" s="89">
        <v>740000000</v>
      </c>
      <c r="I328" s="89" t="str">
        <f>IF($H328&lt;='Abbrev Key'!$A$2,'Abbrev Key'!$B$2,IF($H328&lt;='Abbrev Key'!$A$3,'Abbrev Key'!$B$3,IF($H328&lt;='Abbrev Key'!$A$4,'Abbrev Key'!$B$4,IF($H328&lt;='Abbrev Key'!$A$5,'Abbrev Key'!$B$5,IF($H328&lt;='Abbrev Key'!$A$6,'Abbrev Key'!$B$6,IF($H328&gt;='Abbrev Key'!$A$7,'Abbrev Key'!$B$7,IF($H328='Abbrev Key'!$A$8,'Abbrev Key'!$B$8,"")))))))</f>
        <v>F</v>
      </c>
      <c r="J328" s="23" t="s">
        <v>6981</v>
      </c>
      <c r="K328" s="23" t="s">
        <v>637</v>
      </c>
      <c r="L328" s="357">
        <v>1538925</v>
      </c>
      <c r="M328" s="406">
        <f t="shared" si="15"/>
        <v>2.0796283783783786E-3</v>
      </c>
      <c r="N328" s="92" t="s">
        <v>79</v>
      </c>
      <c r="O328" s="92"/>
      <c r="P328" s="167" t="s">
        <v>4287</v>
      </c>
      <c r="Q328" s="392" t="str">
        <f t="shared" si="16"/>
        <v>07/19/2017</v>
      </c>
      <c r="R328" s="392">
        <f t="shared" si="13"/>
        <v>42934</v>
      </c>
      <c r="S328" s="392" t="s">
        <v>6917</v>
      </c>
      <c r="T328" s="168" t="s">
        <v>79</v>
      </c>
      <c r="U328" s="167"/>
      <c r="V328" s="167"/>
      <c r="W328" s="92"/>
    </row>
    <row r="329" spans="1:23" s="86" customFormat="1" ht="30" x14ac:dyDescent="0.25">
      <c r="A329" s="164" t="str">
        <f t="shared" si="14"/>
        <v/>
      </c>
      <c r="B329" s="23" t="s">
        <v>6971</v>
      </c>
      <c r="C329" s="23" t="s">
        <v>7556</v>
      </c>
      <c r="D329" s="166" t="s">
        <v>8137</v>
      </c>
      <c r="E329" s="166" t="s">
        <v>418</v>
      </c>
      <c r="F329" s="167">
        <v>2</v>
      </c>
      <c r="G329" s="167" t="s">
        <v>8035</v>
      </c>
      <c r="H329" s="89">
        <v>360000000</v>
      </c>
      <c r="I329" s="89" t="str">
        <f>IF($H329&lt;='Abbrev Key'!$A$2,'Abbrev Key'!$B$2,IF($H329&lt;='Abbrev Key'!$A$3,'Abbrev Key'!$B$3,IF($H329&lt;='Abbrev Key'!$A$4,'Abbrev Key'!$B$4,IF($H329&lt;='Abbrev Key'!$A$5,'Abbrev Key'!$B$5,IF($H329&lt;='Abbrev Key'!$A$6,'Abbrev Key'!$B$6,IF($H329&gt;='Abbrev Key'!$A$7,'Abbrev Key'!$B$7,IF($H329='Abbrev Key'!$A$8,'Abbrev Key'!$B$8,"")))))))</f>
        <v>E</v>
      </c>
      <c r="J329" s="23" t="s">
        <v>3273</v>
      </c>
      <c r="K329" s="92" t="s">
        <v>633</v>
      </c>
      <c r="L329" s="398">
        <v>208278.5</v>
      </c>
      <c r="M329" s="403">
        <f t="shared" si="15"/>
        <v>5.7855138888888893E-4</v>
      </c>
      <c r="N329" s="92" t="str">
        <f>VLOOKUP(B329,[2]Sheet!$B$2:$C$570,2,FALSE)</f>
        <v xml:space="preserve">Robbins, Geller, Rudman &amp; Dowd, LLP </v>
      </c>
      <c r="O329" s="92"/>
      <c r="P329" s="167" t="s">
        <v>4287</v>
      </c>
      <c r="Q329" s="392" t="str">
        <f t="shared" si="16"/>
        <v>07/20/2015</v>
      </c>
      <c r="R329" s="392">
        <f t="shared" si="13"/>
        <v>42204</v>
      </c>
      <c r="S329" s="392" t="str">
        <f>_xlfn.IFNA(VLOOKUP(B329,'[1]VLOOKUP NO DUPS'!$A$1:$C$456,2,FALSE),"")</f>
        <v>07/20/2017</v>
      </c>
      <c r="T329" s="168" t="str">
        <f>_xlfn.IFNA(VLOOKUP(B329,'[1]VLOOKUP NO DUPS'!$A$1:$C$456,3,FALSE),"")</f>
        <v>Labaton Sucharow LLP</v>
      </c>
      <c r="U329" s="167"/>
      <c r="V329" s="167"/>
      <c r="W329" s="92"/>
    </row>
    <row r="330" spans="1:23" s="86" customFormat="1" ht="30" x14ac:dyDescent="0.25">
      <c r="A330" s="164" t="str">
        <f t="shared" si="14"/>
        <v/>
      </c>
      <c r="B330" s="23" t="s">
        <v>6964</v>
      </c>
      <c r="C330" s="322" t="s">
        <v>7616</v>
      </c>
      <c r="D330" s="166" t="s">
        <v>8119</v>
      </c>
      <c r="E330" s="166" t="s">
        <v>1008</v>
      </c>
      <c r="F330" s="167">
        <v>2</v>
      </c>
      <c r="G330" s="167" t="s">
        <v>8058</v>
      </c>
      <c r="H330" s="89">
        <v>1100000000</v>
      </c>
      <c r="I330" s="89" t="str">
        <f>IF($H330&lt;='Abbrev Key'!$A$2,'Abbrev Key'!$B$2,IF($H330&lt;='Abbrev Key'!$A$3,'Abbrev Key'!$B$3,IF($H330&lt;='Abbrev Key'!$A$4,'Abbrev Key'!$B$4,IF($H330&lt;='Abbrev Key'!$A$5,'Abbrev Key'!$B$5,IF($H330&lt;='Abbrev Key'!$A$6,'Abbrev Key'!$B$6,IF($H330&gt;='Abbrev Key'!$A$7,'Abbrev Key'!$B$7,IF($H330='Abbrev Key'!$A$8,'Abbrev Key'!$B$8,"")))))))</f>
        <v>F</v>
      </c>
      <c r="J330" s="23" t="s">
        <v>6968</v>
      </c>
      <c r="K330" s="23" t="s">
        <v>633</v>
      </c>
      <c r="L330" s="398">
        <v>191224.82</v>
      </c>
      <c r="M330" s="403">
        <f t="shared" si="15"/>
        <v>1.7384074545454545E-4</v>
      </c>
      <c r="N330" s="23" t="s">
        <v>1640</v>
      </c>
      <c r="O330" s="23"/>
      <c r="P330" s="167" t="s">
        <v>4287</v>
      </c>
      <c r="Q330" s="392" t="str">
        <f t="shared" si="16"/>
        <v>05/09/2016</v>
      </c>
      <c r="R330" s="392">
        <f t="shared" si="13"/>
        <v>42498</v>
      </c>
      <c r="S330" s="392" t="str">
        <f>_xlfn.IFNA(VLOOKUP(B330,'[1]VLOOKUP NO DUPS'!$A$1:$C$456,2,FALSE),"")</f>
        <v>07/26/2017</v>
      </c>
      <c r="T330" s="168" t="str">
        <f>_xlfn.IFNA(VLOOKUP(B330,'[1]VLOOKUP NO DUPS'!$A$1:$C$456,3,FALSE),"")</f>
        <v>Levi &amp; Korsinsky, LLP; Robbins, Geller, Rudman &amp; Dowd, LLP; VanOverbeke Michaud &amp; Timmony, P.C.</v>
      </c>
      <c r="U330" s="167"/>
      <c r="V330" s="167"/>
      <c r="W330" s="92"/>
    </row>
    <row r="331" spans="1:23" s="86" customFormat="1" ht="30" x14ac:dyDescent="0.25">
      <c r="A331" s="164" t="str">
        <f t="shared" si="14"/>
        <v/>
      </c>
      <c r="B331" s="23" t="s">
        <v>6957</v>
      </c>
      <c r="C331" s="23" t="s">
        <v>7593</v>
      </c>
      <c r="D331" s="166" t="s">
        <v>8096</v>
      </c>
      <c r="E331" s="166" t="s">
        <v>418</v>
      </c>
      <c r="F331" s="167">
        <v>2</v>
      </c>
      <c r="G331" s="167" t="s">
        <v>8051</v>
      </c>
      <c r="H331" s="89">
        <v>2000000000</v>
      </c>
      <c r="I331" s="89" t="str">
        <f>IF($H331&lt;='Abbrev Key'!$A$2,'Abbrev Key'!$B$2,IF($H331&lt;='Abbrev Key'!$A$3,'Abbrev Key'!$B$3,IF($H331&lt;='Abbrev Key'!$A$4,'Abbrev Key'!$B$4,IF($H331&lt;='Abbrev Key'!$A$5,'Abbrev Key'!$B$5,IF($H331&lt;='Abbrev Key'!$A$6,'Abbrev Key'!$B$6,IF($H331&gt;='Abbrev Key'!$A$7,'Abbrev Key'!$B$7,IF($H331='Abbrev Key'!$A$8,'Abbrev Key'!$B$8,"")))))))</f>
        <v>F</v>
      </c>
      <c r="J331" s="23" t="s">
        <v>291</v>
      </c>
      <c r="K331" s="23" t="s">
        <v>633</v>
      </c>
      <c r="L331" s="398">
        <v>1413202.66</v>
      </c>
      <c r="M331" s="403">
        <f t="shared" si="15"/>
        <v>7.0660132999999993E-4</v>
      </c>
      <c r="N331" s="23" t="s">
        <v>1191</v>
      </c>
      <c r="O331" s="23"/>
      <c r="P331" s="167"/>
      <c r="Q331" s="392" t="str">
        <f t="shared" si="16"/>
        <v>02/04/2016</v>
      </c>
      <c r="R331" s="392">
        <f t="shared" si="13"/>
        <v>42403</v>
      </c>
      <c r="S331" s="392" t="str">
        <f>_xlfn.IFNA(VLOOKUP(B331,'[1]VLOOKUP NO DUPS'!$A$1:$C$456,2,FALSE),"")</f>
        <v>07/28/2017</v>
      </c>
      <c r="T331" s="168" t="str">
        <f>_xlfn.IFNA(VLOOKUP(B331,'[1]VLOOKUP NO DUPS'!$A$1:$C$456,3,FALSE),"")</f>
        <v>Levi &amp; Korsinsky, LLP</v>
      </c>
      <c r="U331" s="167"/>
      <c r="V331" s="167"/>
      <c r="W331" s="92"/>
    </row>
    <row r="332" spans="1:23" s="86" customFormat="1" ht="30" x14ac:dyDescent="0.25">
      <c r="A332" s="165" t="str">
        <f t="shared" si="14"/>
        <v/>
      </c>
      <c r="B332" s="23" t="s">
        <v>6952</v>
      </c>
      <c r="C332" s="23" t="s">
        <v>7532</v>
      </c>
      <c r="D332" s="166" t="s">
        <v>8159</v>
      </c>
      <c r="E332" s="166" t="s">
        <v>409</v>
      </c>
      <c r="F332" s="167">
        <v>1</v>
      </c>
      <c r="G332" s="167" t="s">
        <v>8026</v>
      </c>
      <c r="H332" s="89">
        <v>90000000</v>
      </c>
      <c r="I332" s="89" t="str">
        <f>IF($H332&lt;='Abbrev Key'!$A$2,'Abbrev Key'!$B$2,IF($H332&lt;='Abbrev Key'!$A$3,'Abbrev Key'!$B$3,IF($H332&lt;='Abbrev Key'!$A$4,'Abbrev Key'!$B$4,IF($H332&lt;='Abbrev Key'!$A$5,'Abbrev Key'!$B$5,IF($H332&lt;='Abbrev Key'!$A$6,'Abbrev Key'!$B$6,IF($H332&gt;='Abbrev Key'!$A$7,'Abbrev Key'!$B$7,IF($H332='Abbrev Key'!$A$8,'Abbrev Key'!$B$8,"")))))))</f>
        <v>C</v>
      </c>
      <c r="J332" s="23" t="s">
        <v>11836</v>
      </c>
      <c r="K332" s="23" t="s">
        <v>646</v>
      </c>
      <c r="L332" s="398">
        <v>7227.4</v>
      </c>
      <c r="M332" s="403">
        <f t="shared" si="15"/>
        <v>8.0304444444444445E-5</v>
      </c>
      <c r="N332" s="23" t="s">
        <v>6955</v>
      </c>
      <c r="O332" s="23"/>
      <c r="P332" s="167" t="s">
        <v>4295</v>
      </c>
      <c r="Q332" s="392" t="str">
        <f t="shared" si="16"/>
        <v>11/03/2015</v>
      </c>
      <c r="R332" s="392">
        <f t="shared" si="13"/>
        <v>42310</v>
      </c>
      <c r="S332" s="392" t="str">
        <f>_xlfn.IFNA(VLOOKUP(B332,'[1]VLOOKUP NO DUPS'!$A$1:$C$456,2,FALSE),"")</f>
        <v>07/28/2017</v>
      </c>
      <c r="T332" s="168" t="str">
        <f>_xlfn.IFNA(VLOOKUP(B332,'[1]VLOOKUP NO DUPS'!$A$1:$C$456,3,FALSE),"")</f>
        <v>Hutchings, Barsamian, Mandelcorn, LLP; Levi &amp; Korsinsky, LLP; Robbins, Geller, Rudman &amp; Dowd, LLP</v>
      </c>
      <c r="U332" s="167"/>
      <c r="V332" s="167"/>
      <c r="W332" s="92"/>
    </row>
    <row r="333" spans="1:23" s="86" customFormat="1" ht="30" x14ac:dyDescent="0.25">
      <c r="A333" s="164" t="str">
        <f t="shared" si="14"/>
        <v/>
      </c>
      <c r="B333" s="23" t="s">
        <v>6947</v>
      </c>
      <c r="C333" s="23" t="s">
        <v>7546</v>
      </c>
      <c r="D333" s="166" t="s">
        <v>8146</v>
      </c>
      <c r="E333" s="166" t="s">
        <v>418</v>
      </c>
      <c r="F333" s="167">
        <v>2</v>
      </c>
      <c r="G333" s="167" t="s">
        <v>8145</v>
      </c>
      <c r="H333" s="89">
        <v>22000000</v>
      </c>
      <c r="I333" s="89" t="str">
        <f>IF($H333&lt;='Abbrev Key'!$A$2,'Abbrev Key'!$B$2,IF($H333&lt;='Abbrev Key'!$A$3,'Abbrev Key'!$B$3,IF($H333&lt;='Abbrev Key'!$A$4,'Abbrev Key'!$B$4,IF($H333&lt;='Abbrev Key'!$A$5,'Abbrev Key'!$B$5,IF($H333&lt;='Abbrev Key'!$A$6,'Abbrev Key'!$B$6,IF($H333&gt;='Abbrev Key'!$A$7,'Abbrev Key'!$B$7,IF($H333='Abbrev Key'!$A$8,'Abbrev Key'!$B$8,"")))))))</f>
        <v>A</v>
      </c>
      <c r="J333" s="23" t="s">
        <v>11855</v>
      </c>
      <c r="K333" s="92" t="s">
        <v>646</v>
      </c>
      <c r="L333" s="398">
        <v>101484.97</v>
      </c>
      <c r="M333" s="403">
        <f t="shared" si="15"/>
        <v>4.6129531818181815E-3</v>
      </c>
      <c r="N333" s="92" t="str">
        <f>VLOOKUP(B333,[2]Sheet!$B$2:$C$570,2,FALSE)</f>
        <v xml:space="preserve">Kahn Swick &amp; Foti, LLC </v>
      </c>
      <c r="O333" s="92"/>
      <c r="P333" s="167" t="s">
        <v>4287</v>
      </c>
      <c r="Q333" s="392" t="str">
        <f t="shared" si="16"/>
        <v>07/26/2017</v>
      </c>
      <c r="R333" s="392">
        <f t="shared" si="13"/>
        <v>42941</v>
      </c>
      <c r="S333" s="392" t="str">
        <f>_xlfn.IFNA(VLOOKUP(B333,'[1]VLOOKUP NO DUPS'!$A$1:$C$456,2,FALSE),"")</f>
        <v>07/28/2017</v>
      </c>
      <c r="T333" s="168" t="str">
        <f>_xlfn.IFNA(VLOOKUP(B333,'[1]VLOOKUP NO DUPS'!$A$1:$C$456,3,FALSE),"")</f>
        <v>Bronstein, Gewirtz &amp; Grossman, LLC; Kahn Swick &amp; Foti, LLC; Levi &amp; Korsinsky, LLP; Pomerantz LLP</v>
      </c>
      <c r="U333" s="167"/>
      <c r="V333" s="167"/>
      <c r="W333" s="92"/>
    </row>
    <row r="334" spans="1:23" s="86" customFormat="1" ht="45" x14ac:dyDescent="0.25">
      <c r="A334" s="164" t="str">
        <f t="shared" si="14"/>
        <v/>
      </c>
      <c r="B334" s="23" t="s">
        <v>6987</v>
      </c>
      <c r="C334" s="322" t="s">
        <v>7528</v>
      </c>
      <c r="D334" s="166" t="s">
        <v>8173</v>
      </c>
      <c r="E334" s="166" t="s">
        <v>1008</v>
      </c>
      <c r="F334" s="167">
        <v>2</v>
      </c>
      <c r="G334" s="167" t="s">
        <v>8023</v>
      </c>
      <c r="H334" s="89" t="s">
        <v>4882</v>
      </c>
      <c r="I334" s="89" t="s">
        <v>6732</v>
      </c>
      <c r="J334" s="23" t="s">
        <v>11814</v>
      </c>
      <c r="K334" s="23" t="s">
        <v>646</v>
      </c>
      <c r="L334" s="398">
        <v>7452593.3499999996</v>
      </c>
      <c r="M334" s="403" t="str">
        <f t="shared" si="15"/>
        <v>DC</v>
      </c>
      <c r="N334" s="23" t="s">
        <v>10844</v>
      </c>
      <c r="O334" s="23"/>
      <c r="P334" s="167"/>
      <c r="Q334" s="392" t="str">
        <f t="shared" si="16"/>
        <v>07/14/2017</v>
      </c>
      <c r="R334" s="392">
        <f t="shared" si="13"/>
        <v>42929</v>
      </c>
      <c r="S334" s="392" t="str">
        <f>_xlfn.IFNA(VLOOKUP(B334,'[1]VLOOKUP NO DUPS'!$A$1:$C$456,2,FALSE),"")</f>
        <v>08/02/2017</v>
      </c>
      <c r="T334" s="168" t="str">
        <f>_xlfn.IFNA(VLOOKUP(B334,'[1]VLOOKUP NO DUPS'!$A$1:$C$456,3,FALSE),"")</f>
        <v>Abraham, Fruchter &amp; Twersky, LLP; Robbins, Geller, Rudman &amp; Dowd, LLP</v>
      </c>
      <c r="U334" s="167"/>
      <c r="V334" s="167"/>
      <c r="W334" s="92"/>
    </row>
    <row r="335" spans="1:23" s="86" customFormat="1" ht="45" x14ac:dyDescent="0.25">
      <c r="A335" s="164" t="str">
        <f t="shared" si="14"/>
        <v/>
      </c>
      <c r="B335" s="23" t="s">
        <v>6940</v>
      </c>
      <c r="C335" s="23" t="s">
        <v>7599</v>
      </c>
      <c r="D335" s="166" t="s">
        <v>8088</v>
      </c>
      <c r="E335" s="166" t="s">
        <v>418</v>
      </c>
      <c r="F335" s="167">
        <v>2</v>
      </c>
      <c r="G335" s="167" t="s">
        <v>8073</v>
      </c>
      <c r="H335" s="89">
        <v>400000000</v>
      </c>
      <c r="I335" s="89" t="str">
        <f>IF($H335&lt;='Abbrev Key'!$A$2,'Abbrev Key'!$B$2,IF($H335&lt;='Abbrev Key'!$A$3,'Abbrev Key'!$B$3,IF($H335&lt;='Abbrev Key'!$A$4,'Abbrev Key'!$B$4,IF($H335&lt;='Abbrev Key'!$A$5,'Abbrev Key'!$B$5,IF($H335&lt;='Abbrev Key'!$A$6,'Abbrev Key'!$B$6,IF($H335&gt;='Abbrev Key'!$A$7,'Abbrev Key'!$B$7,IF($H335='Abbrev Key'!$A$8,'Abbrev Key'!$B$8,"")))))))</f>
        <v>E</v>
      </c>
      <c r="J335" s="92" t="s">
        <v>11766</v>
      </c>
      <c r="K335" s="92" t="s">
        <v>640</v>
      </c>
      <c r="L335" s="398">
        <v>1030296.48</v>
      </c>
      <c r="M335" s="403">
        <f t="shared" si="15"/>
        <v>2.5757411999999999E-3</v>
      </c>
      <c r="N335" s="92" t="str">
        <f>VLOOKUP(B335,[2]Sheet!$B$2:$C$570,2,FALSE)</f>
        <v xml:space="preserve">Robbins, Geller, Rudman &amp; Dowd, LLP </v>
      </c>
      <c r="O335" s="92"/>
      <c r="P335" s="167"/>
      <c r="Q335" s="392" t="str">
        <f t="shared" si="16"/>
        <v>02/23/2016</v>
      </c>
      <c r="R335" s="392">
        <f t="shared" si="13"/>
        <v>42422</v>
      </c>
      <c r="S335" s="392" t="str">
        <f>_xlfn.IFNA(VLOOKUP(B335,'[1]VLOOKUP NO DUPS'!$A$1:$C$456,2,FALSE),"")</f>
        <v>08/03/2017</v>
      </c>
      <c r="T335" s="168" t="str">
        <f>_xlfn.IFNA(VLOOKUP(B335,'[1]VLOOKUP NO DUPS'!$A$1:$C$456,3,FALSE),"")</f>
        <v>Robbins, Geller, Rudman &amp; Dowd, LLP; VanOverbeke Michaud &amp; Timmony, P.C.</v>
      </c>
      <c r="U335" s="167"/>
      <c r="V335" s="167"/>
      <c r="W335" s="92"/>
    </row>
    <row r="336" spans="1:23" s="86" customFormat="1" ht="30" x14ac:dyDescent="0.25">
      <c r="A336" s="164" t="str">
        <f t="shared" si="14"/>
        <v/>
      </c>
      <c r="B336" s="23" t="s">
        <v>6936</v>
      </c>
      <c r="C336" s="23" t="s">
        <v>7596</v>
      </c>
      <c r="D336" s="166" t="s">
        <v>8121</v>
      </c>
      <c r="E336" s="166" t="s">
        <v>421</v>
      </c>
      <c r="F336" s="167">
        <v>5</v>
      </c>
      <c r="G336" s="167" t="s">
        <v>8120</v>
      </c>
      <c r="H336" s="89" t="s">
        <v>4882</v>
      </c>
      <c r="I336" s="89" t="s">
        <v>6732</v>
      </c>
      <c r="J336" s="23" t="s">
        <v>6939</v>
      </c>
      <c r="K336" s="23" t="s">
        <v>637</v>
      </c>
      <c r="L336" s="398">
        <v>1721</v>
      </c>
      <c r="M336" s="403" t="str">
        <f t="shared" si="15"/>
        <v>DC</v>
      </c>
      <c r="N336" s="23" t="s">
        <v>2858</v>
      </c>
      <c r="O336" s="23"/>
      <c r="P336" s="167"/>
      <c r="Q336" s="392" t="str">
        <f t="shared" si="16"/>
        <v>07/24/2017</v>
      </c>
      <c r="R336" s="392">
        <f t="shared" si="13"/>
        <v>42939</v>
      </c>
      <c r="S336" s="392" t="str">
        <f>_xlfn.IFNA(VLOOKUP(B336,'[1]VLOOKUP NO DUPS'!$A$1:$C$456,2,FALSE),"")</f>
        <v>08/03/2017</v>
      </c>
      <c r="T336" s="168" t="str">
        <f>_xlfn.IFNA(VLOOKUP(B336,'[1]VLOOKUP NO DUPS'!$A$1:$C$456,3,FALSE),"")</f>
        <v>Pomerantz LLP; The Briscoe Law Firm, PLLC</v>
      </c>
      <c r="U336" s="167"/>
      <c r="V336" s="167"/>
      <c r="W336" s="92"/>
    </row>
    <row r="337" spans="1:23" s="86" customFormat="1" ht="60" x14ac:dyDescent="0.25">
      <c r="A337" s="165" t="str">
        <f t="shared" si="14"/>
        <v/>
      </c>
      <c r="B337" s="23" t="s">
        <v>6921</v>
      </c>
      <c r="C337" s="23" t="s">
        <v>4594</v>
      </c>
      <c r="D337" s="166" t="s">
        <v>8169</v>
      </c>
      <c r="E337" s="166" t="s">
        <v>431</v>
      </c>
      <c r="F337" s="169">
        <v>6</v>
      </c>
      <c r="G337" s="167" t="s">
        <v>8168</v>
      </c>
      <c r="H337" s="89">
        <v>235000000</v>
      </c>
      <c r="I337" s="89" t="str">
        <f>IF($H337&lt;='Abbrev Key'!$A$2,'Abbrev Key'!$B$2,IF($H337&lt;='Abbrev Key'!$A$3,'Abbrev Key'!$B$3,IF($H337&lt;='Abbrev Key'!$A$4,'Abbrev Key'!$B$4,IF($H337&lt;='Abbrev Key'!$A$5,'Abbrev Key'!$B$5,IF($H337&lt;='Abbrev Key'!$A$6,'Abbrev Key'!$B$6,IF($H337&gt;='Abbrev Key'!$A$7,'Abbrev Key'!$B$7,IF($H337='Abbrev Key'!$A$8,'Abbrev Key'!$B$8,"")))))))</f>
        <v>D</v>
      </c>
      <c r="J337" s="23" t="s">
        <v>11828</v>
      </c>
      <c r="K337" s="23" t="s">
        <v>640</v>
      </c>
      <c r="L337" s="398">
        <v>3344034.1100000003</v>
      </c>
      <c r="M337" s="403">
        <f t="shared" si="15"/>
        <v>1.4229932382978724E-2</v>
      </c>
      <c r="N337" s="23" t="s">
        <v>1515</v>
      </c>
      <c r="O337" s="23"/>
      <c r="P337" s="167"/>
      <c r="Q337" s="392" t="str">
        <f t="shared" si="16"/>
        <v>09/18/2017</v>
      </c>
      <c r="R337" s="392">
        <f t="shared" si="13"/>
        <v>42995</v>
      </c>
      <c r="S337" s="392" t="str">
        <f>_xlfn.IFNA(VLOOKUP(B337,'[1]VLOOKUP NO DUPS'!$A$1:$C$456,2,FALSE),"")</f>
        <v>08/04/2017</v>
      </c>
      <c r="T337" s="168" t="str">
        <f>_xlfn.IFNA(VLOOKUP(B337,'[1]VLOOKUP NO DUPS'!$A$1:$C$456,3,FALSE),"")</f>
        <v>Bramlett Law Offices; Cavanagh &amp; O'Hara; Gilbert McWherter Scott &amp; Bobbitt PLC; Lieff Cabraser Heimann &amp; Bernstein, LLP; Pomerantz LLP; Saxena White P.A.</v>
      </c>
      <c r="U337" s="167"/>
      <c r="V337" s="167"/>
      <c r="W337" s="92"/>
    </row>
    <row r="338" spans="1:23" s="86" customFormat="1" ht="45" x14ac:dyDescent="0.25">
      <c r="A338" s="165" t="str">
        <f t="shared" si="14"/>
        <v/>
      </c>
      <c r="B338" s="23" t="s">
        <v>6896</v>
      </c>
      <c r="C338" s="23" t="s">
        <v>7563</v>
      </c>
      <c r="D338" s="166" t="s">
        <v>8132</v>
      </c>
      <c r="E338" s="166" t="s">
        <v>460</v>
      </c>
      <c r="F338" s="167">
        <v>4</v>
      </c>
      <c r="G338" s="167" t="s">
        <v>8038</v>
      </c>
      <c r="H338" s="89">
        <v>900000000</v>
      </c>
      <c r="I338" s="89" t="str">
        <f>IF($H338&lt;='Abbrev Key'!$A$2,'Abbrev Key'!$B$2,IF($H338&lt;='Abbrev Key'!$A$3,'Abbrev Key'!$B$3,IF($H338&lt;='Abbrev Key'!$A$4,'Abbrev Key'!$B$4,IF($H338&lt;='Abbrev Key'!$A$5,'Abbrev Key'!$B$5,IF($H338&lt;='Abbrev Key'!$A$6,'Abbrev Key'!$B$6,IF($H338&gt;='Abbrev Key'!$A$7,'Abbrev Key'!$B$7,IF($H338='Abbrev Key'!$A$8,'Abbrev Key'!$B$8,"")))))))</f>
        <v>F</v>
      </c>
      <c r="J338" s="23" t="s">
        <v>12</v>
      </c>
      <c r="K338" s="23" t="s">
        <v>633</v>
      </c>
      <c r="L338" s="398">
        <v>358632.77</v>
      </c>
      <c r="M338" s="403">
        <f t="shared" si="15"/>
        <v>3.9848085555555559E-4</v>
      </c>
      <c r="N338" s="23" t="s">
        <v>6899</v>
      </c>
      <c r="O338" s="23"/>
      <c r="P338" s="167"/>
      <c r="Q338" s="392" t="str">
        <f t="shared" si="16"/>
        <v>02/03/2016</v>
      </c>
      <c r="R338" s="392">
        <f t="shared" si="13"/>
        <v>42402</v>
      </c>
      <c r="S338" s="392" t="str">
        <f>_xlfn.IFNA(VLOOKUP(B338,'[1]VLOOKUP NO DUPS'!$A$1:$C$456,2,FALSE),"")</f>
        <v>08/04/2017</v>
      </c>
      <c r="T338" s="168" t="str">
        <f>_xlfn.IFNA(VLOOKUP(B338,'[1]VLOOKUP NO DUPS'!$A$1:$C$456,3,FALSE),"")</f>
        <v>Labaton Sucharow LLP; Law Offices of Susan R. Podolsky</v>
      </c>
      <c r="U338" s="167"/>
      <c r="V338" s="167"/>
      <c r="W338" s="92"/>
    </row>
    <row r="339" spans="1:23" s="86" customFormat="1" ht="45" x14ac:dyDescent="0.25">
      <c r="A339" s="164" t="str">
        <f t="shared" si="14"/>
        <v>DUP</v>
      </c>
      <c r="B339" s="23" t="s">
        <v>6900</v>
      </c>
      <c r="C339" s="322" t="s">
        <v>10593</v>
      </c>
      <c r="D339" s="166" t="s">
        <v>8189</v>
      </c>
      <c r="E339" s="166" t="s">
        <v>421</v>
      </c>
      <c r="F339" s="167">
        <v>5</v>
      </c>
      <c r="G339" s="167" t="s">
        <v>8011</v>
      </c>
      <c r="H339" s="89">
        <v>400000000</v>
      </c>
      <c r="I339" s="89" t="str">
        <f>IF($H339&lt;='Abbrev Key'!$A$2,'Abbrev Key'!$B$2,IF($H339&lt;='Abbrev Key'!$A$3,'Abbrev Key'!$B$3,IF($H339&lt;='Abbrev Key'!$A$4,'Abbrev Key'!$B$4,IF($H339&lt;='Abbrev Key'!$A$5,'Abbrev Key'!$B$5,IF($H339&lt;='Abbrev Key'!$A$6,'Abbrev Key'!$B$6,IF($H339&gt;='Abbrev Key'!$A$7,'Abbrev Key'!$B$7,IF($H339='Abbrev Key'!$A$8,'Abbrev Key'!$B$8,"")))))))</f>
        <v>E</v>
      </c>
      <c r="J339" s="23" t="s">
        <v>6909</v>
      </c>
      <c r="K339" s="23" t="s">
        <v>637</v>
      </c>
      <c r="L339" s="398">
        <v>417690</v>
      </c>
      <c r="M339" s="403">
        <f t="shared" si="15"/>
        <v>1.044225E-3</v>
      </c>
      <c r="N339" s="23" t="s">
        <v>6910</v>
      </c>
      <c r="O339" s="23"/>
      <c r="P339" s="167" t="s">
        <v>4287</v>
      </c>
      <c r="Q339" s="392" t="str">
        <f t="shared" si="16"/>
        <v>08/03/2017</v>
      </c>
      <c r="R339" s="392">
        <f t="shared" si="13"/>
        <v>42949</v>
      </c>
      <c r="S339" s="392" t="s">
        <v>6901</v>
      </c>
      <c r="T339" s="168" t="s">
        <v>10932</v>
      </c>
      <c r="U339" s="167"/>
      <c r="V339" s="167"/>
      <c r="W339" s="92"/>
    </row>
    <row r="340" spans="1:23" s="86" customFormat="1" ht="30" x14ac:dyDescent="0.25">
      <c r="A340" s="165" t="str">
        <f t="shared" si="14"/>
        <v/>
      </c>
      <c r="B340" s="23" t="s">
        <v>6883</v>
      </c>
      <c r="C340" s="23" t="s">
        <v>7542</v>
      </c>
      <c r="D340" s="166" t="s">
        <v>8154</v>
      </c>
      <c r="E340" s="166" t="s">
        <v>1380</v>
      </c>
      <c r="F340" s="167">
        <v>5</v>
      </c>
      <c r="G340" s="167" t="s">
        <v>8155</v>
      </c>
      <c r="H340" s="89">
        <v>5000000</v>
      </c>
      <c r="I340" s="89" t="str">
        <f>IF($H340&lt;='Abbrev Key'!$A$2,'Abbrev Key'!$B$2,IF($H340&lt;='Abbrev Key'!$A$3,'Abbrev Key'!$B$3,IF($H340&lt;='Abbrev Key'!$A$4,'Abbrev Key'!$B$4,IF($H340&lt;='Abbrev Key'!$A$5,'Abbrev Key'!$B$5,IF($H340&lt;='Abbrev Key'!$A$6,'Abbrev Key'!$B$6,IF($H340&gt;='Abbrev Key'!$A$7,'Abbrev Key'!$B$7,IF($H340='Abbrev Key'!$A$8,'Abbrev Key'!$B$8,"")))))))</f>
        <v>A</v>
      </c>
      <c r="J340" s="23" t="s">
        <v>6885</v>
      </c>
      <c r="K340" s="23" t="s">
        <v>637</v>
      </c>
      <c r="L340" s="398">
        <v>3439.66</v>
      </c>
      <c r="M340" s="403">
        <f t="shared" si="15"/>
        <v>6.8793199999999993E-4</v>
      </c>
      <c r="N340" s="23" t="s">
        <v>6886</v>
      </c>
      <c r="O340" s="23"/>
      <c r="P340" s="167"/>
      <c r="Q340" s="392" t="str">
        <f t="shared" si="16"/>
        <v>08/07/2017</v>
      </c>
      <c r="R340" s="392">
        <f t="shared" si="13"/>
        <v>42953</v>
      </c>
      <c r="S340" s="392" t="str">
        <f>_xlfn.IFNA(VLOOKUP(B340,'[1]VLOOKUP NO DUPS'!$A$1:$C$456,2,FALSE),"")</f>
        <v>08/09/2017</v>
      </c>
      <c r="T340" s="168" t="str">
        <f>_xlfn.IFNA(VLOOKUP(B340,'[1]VLOOKUP NO DUPS'!$A$1:$C$456,3,FALSE),"")</f>
        <v>Block &amp; Leviton LLP; Kendall Law Group, LLP</v>
      </c>
      <c r="U340" s="167"/>
      <c r="V340" s="167"/>
      <c r="W340" s="92"/>
    </row>
    <row r="341" spans="1:23" s="86" customFormat="1" ht="30" x14ac:dyDescent="0.25">
      <c r="A341" s="164" t="str">
        <f t="shared" si="14"/>
        <v/>
      </c>
      <c r="B341" s="23" t="s">
        <v>6875</v>
      </c>
      <c r="C341" s="23" t="s">
        <v>7585</v>
      </c>
      <c r="D341" s="166" t="s">
        <v>8104</v>
      </c>
      <c r="E341" s="166" t="s">
        <v>1008</v>
      </c>
      <c r="F341" s="167">
        <v>2</v>
      </c>
      <c r="G341" s="167" t="s">
        <v>8047</v>
      </c>
      <c r="H341" s="89">
        <v>7000000</v>
      </c>
      <c r="I341" s="89" t="str">
        <f>IF($H341&lt;='Abbrev Key'!$A$2,'Abbrev Key'!$B$2,IF($H341&lt;='Abbrev Key'!$A$3,'Abbrev Key'!$B$3,IF($H341&lt;='Abbrev Key'!$A$4,'Abbrev Key'!$B$4,IF($H341&lt;='Abbrev Key'!$A$5,'Abbrev Key'!$B$5,IF($H341&lt;='Abbrev Key'!$A$6,'Abbrev Key'!$B$6,IF($H341&gt;='Abbrev Key'!$A$7,'Abbrev Key'!$B$7,IF($H341='Abbrev Key'!$A$8,'Abbrev Key'!$B$8,"")))))))</f>
        <v>A</v>
      </c>
      <c r="J341" s="23" t="s">
        <v>11913</v>
      </c>
      <c r="K341" s="23" t="s">
        <v>646</v>
      </c>
      <c r="L341" s="398">
        <v>144271</v>
      </c>
      <c r="M341" s="403">
        <f t="shared" si="15"/>
        <v>2.0610142857142858E-2</v>
      </c>
      <c r="N341" s="23" t="s">
        <v>1169</v>
      </c>
      <c r="O341" s="23"/>
      <c r="P341" s="167"/>
      <c r="Q341" s="392" t="str">
        <f t="shared" si="16"/>
        <v>07/31/2017</v>
      </c>
      <c r="R341" s="392">
        <f t="shared" si="13"/>
        <v>42946</v>
      </c>
      <c r="S341" s="392" t="str">
        <f>_xlfn.IFNA(VLOOKUP(B341,'[1]VLOOKUP NO DUPS'!$A$1:$C$456,2,FALSE),"")</f>
        <v>08/09/2017</v>
      </c>
      <c r="T341" s="168" t="str">
        <f>_xlfn.IFNA(VLOOKUP(B341,'[1]VLOOKUP NO DUPS'!$A$1:$C$456,3,FALSE),"")</f>
        <v>Bronstein, Gewirtz &amp; Grossman, LLC; Pomerantz LLP; The Rosen Law Firm, P.A.</v>
      </c>
      <c r="U341" s="167"/>
      <c r="V341" s="167"/>
      <c r="W341" s="92"/>
    </row>
    <row r="342" spans="1:23" s="86" customFormat="1" ht="45" x14ac:dyDescent="0.25">
      <c r="A342" s="164" t="str">
        <f t="shared" si="14"/>
        <v/>
      </c>
      <c r="B342" s="23" t="s">
        <v>6893</v>
      </c>
      <c r="C342" s="23" t="s">
        <v>7531</v>
      </c>
      <c r="D342" s="166" t="s">
        <v>8171</v>
      </c>
      <c r="E342" s="166" t="s">
        <v>424</v>
      </c>
      <c r="F342" s="167">
        <v>3</v>
      </c>
      <c r="G342" s="167" t="s">
        <v>8025</v>
      </c>
      <c r="H342" s="89">
        <v>500000000</v>
      </c>
      <c r="I342" s="89" t="str">
        <f>IF($H342&lt;='Abbrev Key'!$A$2,'Abbrev Key'!$B$2,IF($H342&lt;='Abbrev Key'!$A$3,'Abbrev Key'!$B$3,IF($H342&lt;='Abbrev Key'!$A$4,'Abbrev Key'!$B$4,IF($H342&lt;='Abbrev Key'!$A$5,'Abbrev Key'!$B$5,IF($H342&lt;='Abbrev Key'!$A$6,'Abbrev Key'!$B$6,IF($H342&gt;='Abbrev Key'!$A$7,'Abbrev Key'!$B$7,IF($H342='Abbrev Key'!$A$8,'Abbrev Key'!$B$8,"")))))))</f>
        <v>E</v>
      </c>
      <c r="J342" s="92" t="s">
        <v>11937</v>
      </c>
      <c r="K342" s="92" t="s">
        <v>646</v>
      </c>
      <c r="L342" s="398">
        <f>1626.4+2083.11</f>
        <v>3709.51</v>
      </c>
      <c r="M342" s="403">
        <f t="shared" si="15"/>
        <v>7.4190200000000002E-6</v>
      </c>
      <c r="N342" s="92" t="s">
        <v>10953</v>
      </c>
      <c r="O342" s="92" t="s">
        <v>11197</v>
      </c>
      <c r="P342" s="167"/>
      <c r="Q342" s="392" t="str">
        <f t="shared" si="16"/>
        <v>08/03/2017</v>
      </c>
      <c r="R342" s="392">
        <f t="shared" si="13"/>
        <v>42949</v>
      </c>
      <c r="S342" s="392" t="str">
        <f>_xlfn.IFNA(VLOOKUP(B342,'[1]VLOOKUP NO DUPS'!$A$1:$C$456,2,FALSE),"")</f>
        <v>08/10/2017</v>
      </c>
      <c r="T342" s="168" t="str">
        <f>_xlfn.IFNA(VLOOKUP(B342,'[1]VLOOKUP NO DUPS'!$A$1:$C$456,3,FALSE),"")</f>
        <v>The Rosen Law Firm, P.A.</v>
      </c>
      <c r="U342" s="167"/>
      <c r="V342" s="167"/>
      <c r="W342" s="92"/>
    </row>
    <row r="343" spans="1:23" s="86" customFormat="1" ht="75" x14ac:dyDescent="0.25">
      <c r="A343" s="165" t="str">
        <f t="shared" si="14"/>
        <v/>
      </c>
      <c r="B343" s="23" t="s">
        <v>6887</v>
      </c>
      <c r="C343" s="23" t="s">
        <v>7603</v>
      </c>
      <c r="D343" s="166" t="s">
        <v>8199</v>
      </c>
      <c r="E343" s="166" t="s">
        <v>496</v>
      </c>
      <c r="F343" s="167">
        <v>6</v>
      </c>
      <c r="G343" s="167" t="s">
        <v>8085</v>
      </c>
      <c r="H343" s="89">
        <v>750000000</v>
      </c>
      <c r="I343" s="89" t="str">
        <f>IF($H343&lt;='Abbrev Key'!$A$2,'Abbrev Key'!$B$2,IF($H343&lt;='Abbrev Key'!$A$3,'Abbrev Key'!$B$3,IF($H343&lt;='Abbrev Key'!$A$4,'Abbrev Key'!$B$4,IF($H343&lt;='Abbrev Key'!$A$5,'Abbrev Key'!$B$5,IF($H343&lt;='Abbrev Key'!$A$6,'Abbrev Key'!$B$6,IF($H343&gt;='Abbrev Key'!$A$7,'Abbrev Key'!$B$7,IF($H343='Abbrev Key'!$A$8,'Abbrev Key'!$B$8,"")))))))</f>
        <v>F</v>
      </c>
      <c r="J343" s="23" t="s">
        <v>6889</v>
      </c>
      <c r="K343" s="23" t="s">
        <v>633</v>
      </c>
      <c r="L343" s="398">
        <v>53472</v>
      </c>
      <c r="M343" s="403">
        <f t="shared" si="15"/>
        <v>7.1296000000000003E-5</v>
      </c>
      <c r="N343" s="23" t="s">
        <v>6890</v>
      </c>
      <c r="O343" s="23"/>
      <c r="P343" s="167"/>
      <c r="Q343" s="392" t="str">
        <f t="shared" si="16"/>
        <v>03/21/2017</v>
      </c>
      <c r="R343" s="392">
        <f t="shared" si="13"/>
        <v>42814</v>
      </c>
      <c r="S343" s="392" t="str">
        <f>_xlfn.IFNA(VLOOKUP(B343,'[1]VLOOKUP NO DUPS'!$A$1:$C$456,2,FALSE),"")</f>
        <v>08/10/2017</v>
      </c>
      <c r="T343" s="168" t="str">
        <f>_xlfn.IFNA(VLOOKUP(B343,'[1]VLOOKUP NO DUPS'!$A$1:$C$456,3,FALSE),"")</f>
        <v>Climaco, Wilcox, Peca, Tarantino &amp; Garofoli Co., L.P.A.; Klausner, Kaufman, Jensen &amp; Levinson; Landskroner, Grieco, Merriman, LLC; Robbins, Geller, Rudman &amp; Dowd, LLP; Saxena White P.A.; VanOverbeke Michaud &amp; Timmony, P.C.</v>
      </c>
      <c r="U343" s="167"/>
      <c r="V343" s="167"/>
      <c r="W343" s="92"/>
    </row>
    <row r="344" spans="1:23" s="86" customFormat="1" ht="60" x14ac:dyDescent="0.25">
      <c r="A344" s="165" t="str">
        <f t="shared" si="14"/>
        <v/>
      </c>
      <c r="B344" s="23" t="s">
        <v>7389</v>
      </c>
      <c r="C344" s="23" t="s">
        <v>7504</v>
      </c>
      <c r="D344" s="166" t="s">
        <v>8188</v>
      </c>
      <c r="E344" s="166" t="s">
        <v>7286</v>
      </c>
      <c r="F344" s="167">
        <v>3</v>
      </c>
      <c r="G344" s="167" t="s">
        <v>8012</v>
      </c>
      <c r="H344" s="89">
        <v>450000000</v>
      </c>
      <c r="I344" s="89" t="str">
        <f>IF($H344&lt;='Abbrev Key'!$A$2,'Abbrev Key'!$B$2,IF($H344&lt;='Abbrev Key'!$A$3,'Abbrev Key'!$B$3,IF($H344&lt;='Abbrev Key'!$A$4,'Abbrev Key'!$B$4,IF($H344&lt;='Abbrev Key'!$A$5,'Abbrev Key'!$B$5,IF($H344&lt;='Abbrev Key'!$A$6,'Abbrev Key'!$B$6,IF($H344&gt;='Abbrev Key'!$A$7,'Abbrev Key'!$B$7,IF($H344='Abbrev Key'!$A$8,'Abbrev Key'!$B$8,"")))))))</f>
        <v>E</v>
      </c>
      <c r="J344" s="23" t="s">
        <v>11785</v>
      </c>
      <c r="K344" s="23" t="s">
        <v>662</v>
      </c>
      <c r="L344" s="398">
        <v>1162672</v>
      </c>
      <c r="M344" s="403">
        <f t="shared" si="15"/>
        <v>2.5837155555555554E-3</v>
      </c>
      <c r="N344" s="23" t="s">
        <v>7393</v>
      </c>
      <c r="O344" s="23"/>
      <c r="P344" s="167"/>
      <c r="Q344" s="392" t="str">
        <f t="shared" si="16"/>
        <v>06/26/2017</v>
      </c>
      <c r="R344" s="392">
        <f t="shared" ref="R344:R373" si="17">Q344-1</f>
        <v>42911</v>
      </c>
      <c r="S344" s="392" t="str">
        <f>_xlfn.IFNA(VLOOKUP(B344,'[1]VLOOKUP NO DUPS'!$A$1:$C$456,2,FALSE),"")</f>
        <v>08/11/2017</v>
      </c>
      <c r="T344" s="168" t="str">
        <f>_xlfn.IFNA(VLOOKUP(B344,'[1]VLOOKUP NO DUPS'!$A$1:$C$456,3,FALSE),"")</f>
        <v>Carlson Lynch Sweet Kilpela &amp; Carpenter, LLP; Law Office Of Alfred G. Yates, Jr. PC; Law Offices of Curtis V. Trinko; Robbins, Geller, Rudman &amp; Dowd, LLP; The Rosen Law Firm, P.A.</v>
      </c>
      <c r="U344" s="167"/>
      <c r="V344" s="167"/>
      <c r="W344" s="92"/>
    </row>
    <row r="345" spans="1:23" s="86" customFormat="1" ht="75" x14ac:dyDescent="0.25">
      <c r="A345" s="165" t="str">
        <f t="shared" si="14"/>
        <v/>
      </c>
      <c r="B345" s="23" t="s">
        <v>6865</v>
      </c>
      <c r="C345" s="23" t="s">
        <v>7498</v>
      </c>
      <c r="D345" s="166" t="s">
        <v>8078</v>
      </c>
      <c r="E345" s="166" t="s">
        <v>409</v>
      </c>
      <c r="F345" s="167">
        <v>1</v>
      </c>
      <c r="G345" s="167" t="s">
        <v>8007</v>
      </c>
      <c r="H345" s="89">
        <v>35000000</v>
      </c>
      <c r="I345" s="89" t="str">
        <f>IF($H345&lt;='Abbrev Key'!$A$2,'Abbrev Key'!$B$2,IF($H345&lt;='Abbrev Key'!$A$3,'Abbrev Key'!$B$3,IF($H345&lt;='Abbrev Key'!$A$4,'Abbrev Key'!$B$4,IF($H345&lt;='Abbrev Key'!$A$5,'Abbrev Key'!$B$5,IF($H345&lt;='Abbrev Key'!$A$6,'Abbrev Key'!$B$6,IF($H345&gt;='Abbrev Key'!$A$7,'Abbrev Key'!$B$7,IF($H345='Abbrev Key'!$A$8,'Abbrev Key'!$B$8,"")))))))</f>
        <v>B</v>
      </c>
      <c r="J345" s="92" t="s">
        <v>11928</v>
      </c>
      <c r="K345" s="92" t="s">
        <v>662</v>
      </c>
      <c r="L345" s="398">
        <f>133000+1034149.28+637132.62</f>
        <v>1804281.9</v>
      </c>
      <c r="M345" s="403">
        <f t="shared" si="15"/>
        <v>5.1550911428571426E-2</v>
      </c>
      <c r="N345" s="92" t="s">
        <v>11995</v>
      </c>
      <c r="O345" s="92" t="s">
        <v>11197</v>
      </c>
      <c r="P345" s="167" t="s">
        <v>4287</v>
      </c>
      <c r="Q345" s="392" t="str">
        <f t="shared" si="16"/>
        <v>07/13/2017</v>
      </c>
      <c r="R345" s="392">
        <f t="shared" si="17"/>
        <v>42928</v>
      </c>
      <c r="S345" s="392" t="str">
        <f>_xlfn.IFNA(VLOOKUP(B345,'[1]VLOOKUP NO DUPS'!$A$1:$C$456,2,FALSE),"")</f>
        <v>08/14/2017</v>
      </c>
      <c r="T345" s="168" t="str">
        <f>_xlfn.IFNA(VLOOKUP(B345,'[1]VLOOKUP NO DUPS'!$A$1:$C$456,3,FALSE),"")</f>
        <v>Abraham, Fruchter &amp; Twersky, LLP; Block &amp; Leviton LLP; Glancy Prongay &amp; Murray, LLP; Hutchings, Barsamian, Mandelcorn, LLP; Johnson Fistel, LLP; Law Office of Alan L. Kovacs; Pomerantz LLP; Robbins, Geller, Rudman &amp; Dowd, LLP; Shapiro Haber &amp; Urmy LLP</v>
      </c>
      <c r="U345" s="167"/>
      <c r="V345" s="167"/>
      <c r="W345" s="92"/>
    </row>
    <row r="346" spans="1:23" s="86" customFormat="1" ht="60" x14ac:dyDescent="0.25">
      <c r="A346" s="164" t="str">
        <f t="shared" si="14"/>
        <v/>
      </c>
      <c r="B346" s="23" t="s">
        <v>6857</v>
      </c>
      <c r="C346" s="23" t="s">
        <v>7538</v>
      </c>
      <c r="D346" s="166" t="s">
        <v>8160</v>
      </c>
      <c r="E346" s="166" t="s">
        <v>1008</v>
      </c>
      <c r="F346" s="167">
        <v>2</v>
      </c>
      <c r="G346" s="167" t="s">
        <v>8161</v>
      </c>
      <c r="H346" s="89">
        <v>430000000</v>
      </c>
      <c r="I346" s="89" t="str">
        <f>IF($H346&lt;='Abbrev Key'!$A$2,'Abbrev Key'!$B$2,IF($H346&lt;='Abbrev Key'!$A$3,'Abbrev Key'!$B$3,IF($H346&lt;='Abbrev Key'!$A$4,'Abbrev Key'!$B$4,IF($H346&lt;='Abbrev Key'!$A$5,'Abbrev Key'!$B$5,IF($H346&lt;='Abbrev Key'!$A$6,'Abbrev Key'!$B$6,IF($H346&gt;='Abbrev Key'!$A$7,'Abbrev Key'!$B$7,IF($H346='Abbrev Key'!$A$8,'Abbrev Key'!$B$8,"")))))))</f>
        <v>E</v>
      </c>
      <c r="J346" s="23" t="s">
        <v>6859</v>
      </c>
      <c r="K346" s="23" t="s">
        <v>637</v>
      </c>
      <c r="L346" s="398">
        <v>114311.52</v>
      </c>
      <c r="M346" s="403">
        <f t="shared" si="15"/>
        <v>2.6584074418604654E-4</v>
      </c>
      <c r="N346" s="92" t="str">
        <f>VLOOKUP(B346,[3]Sheet!$B$2:$C$139,2,FALSE)</f>
        <v xml:space="preserve">Glancy Prongay &amp; Murray, LLP </v>
      </c>
      <c r="O346" s="92"/>
      <c r="P346" s="167"/>
      <c r="Q346" s="392" t="str">
        <f t="shared" si="16"/>
        <v>08/09/2017</v>
      </c>
      <c r="R346" s="392">
        <f t="shared" si="17"/>
        <v>42955</v>
      </c>
      <c r="S346" s="392" t="str">
        <f>_xlfn.IFNA(VLOOKUP(B346,'[1]VLOOKUP NO DUPS'!$A$1:$C$456,2,FALSE),"")</f>
        <v>08/14/2017</v>
      </c>
      <c r="T346" s="168" t="str">
        <f>_xlfn.IFNA(VLOOKUP(B346,'[1]VLOOKUP NO DUPS'!$A$1:$C$456,3,FALSE),"")</f>
        <v>Bronstein, Gewirtz &amp; Grossman, LLC; Glancy Prongay &amp; Murray, LLP; Holzer &amp; Holzer, LLC; Law Offices of Howard G. Smith; Pomerantz LLP; Robbins, Geller, Rudman &amp; Dowd, LLP</v>
      </c>
      <c r="U346" s="167"/>
      <c r="V346" s="167"/>
      <c r="W346" s="92"/>
    </row>
    <row r="347" spans="1:23" s="86" customFormat="1" ht="75" x14ac:dyDescent="0.25">
      <c r="A347" s="164" t="str">
        <f t="shared" si="14"/>
        <v/>
      </c>
      <c r="B347" s="23" t="s">
        <v>6832</v>
      </c>
      <c r="C347" s="23" t="s">
        <v>7620</v>
      </c>
      <c r="D347" s="166" t="s">
        <v>8083</v>
      </c>
      <c r="E347" s="166" t="s">
        <v>418</v>
      </c>
      <c r="F347" s="167">
        <v>2</v>
      </c>
      <c r="G347" s="167" t="s">
        <v>8055</v>
      </c>
      <c r="H347" s="89">
        <v>540000000</v>
      </c>
      <c r="I347" s="89" t="str">
        <f>IF($H347&lt;='Abbrev Key'!$A$2,'Abbrev Key'!$B$2,IF($H347&lt;='Abbrev Key'!$A$3,'Abbrev Key'!$B$3,IF($H347&lt;='Abbrev Key'!$A$4,'Abbrev Key'!$B$4,IF($H347&lt;='Abbrev Key'!$A$5,'Abbrev Key'!$B$5,IF($H347&lt;='Abbrev Key'!$A$6,'Abbrev Key'!$B$6,IF($H347&gt;='Abbrev Key'!$A$7,'Abbrev Key'!$B$7,IF($H347='Abbrev Key'!$A$8,'Abbrev Key'!$B$8,"")))))))</f>
        <v>F</v>
      </c>
      <c r="J347" s="92" t="s">
        <v>11994</v>
      </c>
      <c r="K347" s="92" t="s">
        <v>646</v>
      </c>
      <c r="L347" s="398">
        <v>299241.86</v>
      </c>
      <c r="M347" s="403">
        <f t="shared" si="15"/>
        <v>5.5415159259259252E-4</v>
      </c>
      <c r="N347" s="92" t="str">
        <f>VLOOKUP(B347,[2]Sheet!$B$2:$C$570,2,FALSE)</f>
        <v xml:space="preserve">Hagens Berman Sobol Shapiro LLP </v>
      </c>
      <c r="O347" s="92"/>
      <c r="P347" s="167" t="s">
        <v>4287</v>
      </c>
      <c r="Q347" s="392" t="str">
        <f t="shared" si="16"/>
        <v>08/14/2017</v>
      </c>
      <c r="R347" s="392">
        <f t="shared" si="17"/>
        <v>42960</v>
      </c>
      <c r="S347" s="392" t="str">
        <f>_xlfn.IFNA(VLOOKUP(B347,'[1]VLOOKUP NO DUPS'!$A$1:$C$456,2,FALSE),"")</f>
        <v>08/14/2017</v>
      </c>
      <c r="T347" s="168" t="str">
        <f>_xlfn.IFNA(VLOOKUP(B347,'[1]VLOOKUP NO DUPS'!$A$1:$C$456,3,FALSE),"")</f>
        <v>Bottini &amp; Bottini, Inc.; Wolf Haldenstein Adler Freeman &amp; Herz LLP</v>
      </c>
      <c r="U347" s="167"/>
      <c r="V347" s="167"/>
      <c r="W347" s="167"/>
    </row>
    <row r="348" spans="1:23" s="86" customFormat="1" ht="30" x14ac:dyDescent="0.25">
      <c r="A348" s="164" t="str">
        <f t="shared" si="14"/>
        <v/>
      </c>
      <c r="B348" s="23" t="s">
        <v>6844</v>
      </c>
      <c r="C348" s="23" t="s">
        <v>7513</v>
      </c>
      <c r="D348" s="166" t="s">
        <v>8181</v>
      </c>
      <c r="E348" s="166" t="s">
        <v>1008</v>
      </c>
      <c r="F348" s="167">
        <v>2</v>
      </c>
      <c r="G348" s="167" t="s">
        <v>8017</v>
      </c>
      <c r="H348" s="89">
        <v>193000000</v>
      </c>
      <c r="I348" s="89" t="str">
        <f>IF($H348&lt;='Abbrev Key'!$A$2,'Abbrev Key'!$B$2,IF($H348&lt;='Abbrev Key'!$A$3,'Abbrev Key'!$B$3,IF($H348&lt;='Abbrev Key'!$A$4,'Abbrev Key'!$B$4,IF($H348&lt;='Abbrev Key'!$A$5,'Abbrev Key'!$B$5,IF($H348&lt;='Abbrev Key'!$A$6,'Abbrev Key'!$B$6,IF($H348&gt;='Abbrev Key'!$A$7,'Abbrev Key'!$B$7,IF($H348='Abbrev Key'!$A$8,'Abbrev Key'!$B$8,"")))))))</f>
        <v>D</v>
      </c>
      <c r="J348" s="23" t="s">
        <v>11782</v>
      </c>
      <c r="K348" s="23" t="s">
        <v>646</v>
      </c>
      <c r="L348" s="354">
        <v>91654</v>
      </c>
      <c r="M348" s="405">
        <f t="shared" si="15"/>
        <v>4.7489119170984458E-4</v>
      </c>
      <c r="N348" s="23" t="s">
        <v>1169</v>
      </c>
      <c r="O348" s="23"/>
      <c r="P348" s="167"/>
      <c r="Q348" s="392" t="str">
        <f t="shared" si="16"/>
        <v>08/17/2017</v>
      </c>
      <c r="R348" s="392">
        <f t="shared" si="17"/>
        <v>42963</v>
      </c>
      <c r="S348" s="392" t="str">
        <f>_xlfn.IFNA(VLOOKUP(B348,'[1]VLOOKUP NO DUPS'!$A$1:$C$456,2,FALSE),"")</f>
        <v>08/17/2017</v>
      </c>
      <c r="T348" s="168" t="str">
        <f>_xlfn.IFNA(VLOOKUP(B348,'[1]VLOOKUP NO DUPS'!$A$1:$C$456,3,FALSE),"")</f>
        <v>Bottini &amp; Bottini, Inc.; Levi &amp; Korsinsky, LLP; Wolf Haldenstein Adler Freeman &amp; Herz LLP</v>
      </c>
      <c r="U348" s="167"/>
      <c r="V348" s="167"/>
      <c r="W348" s="92"/>
    </row>
    <row r="349" spans="1:23" s="86" customFormat="1" ht="45" x14ac:dyDescent="0.25">
      <c r="A349" s="165" t="str">
        <f t="shared" si="14"/>
        <v/>
      </c>
      <c r="B349" s="23" t="s">
        <v>6854</v>
      </c>
      <c r="C349" s="23" t="s">
        <v>7579</v>
      </c>
      <c r="D349" s="166" t="s">
        <v>8107</v>
      </c>
      <c r="E349" s="166" t="s">
        <v>431</v>
      </c>
      <c r="F349" s="169">
        <v>6</v>
      </c>
      <c r="G349" s="167" t="s">
        <v>8072</v>
      </c>
      <c r="H349" s="89">
        <v>150000000</v>
      </c>
      <c r="I349" s="89" t="str">
        <f>IF($H349&lt;='Abbrev Key'!$A$2,'Abbrev Key'!$B$2,IF($H349&lt;='Abbrev Key'!$A$3,'Abbrev Key'!$B$3,IF($H349&lt;='Abbrev Key'!$A$4,'Abbrev Key'!$B$4,IF($H349&lt;='Abbrev Key'!$A$5,'Abbrev Key'!$B$5,IF($H349&lt;='Abbrev Key'!$A$6,'Abbrev Key'!$B$6,IF($H349&gt;='Abbrev Key'!$A$7,'Abbrev Key'!$B$7,IF($H349='Abbrev Key'!$A$8,'Abbrev Key'!$B$8,"")))))))</f>
        <v>D</v>
      </c>
      <c r="J349" s="23" t="s">
        <v>11903</v>
      </c>
      <c r="K349" s="23" t="s">
        <v>640</v>
      </c>
      <c r="L349" s="398">
        <v>558071.72</v>
      </c>
      <c r="M349" s="403">
        <f t="shared" si="15"/>
        <v>3.7204781333333332E-3</v>
      </c>
      <c r="N349" s="23" t="s">
        <v>11073</v>
      </c>
      <c r="O349" s="23"/>
      <c r="P349" s="167"/>
      <c r="Q349" s="392" t="str">
        <f t="shared" si="16"/>
        <v>08/19/2015</v>
      </c>
      <c r="R349" s="392">
        <f t="shared" si="17"/>
        <v>42234</v>
      </c>
      <c r="S349" s="392" t="str">
        <f>_xlfn.IFNA(VLOOKUP(B349,'[1]VLOOKUP NO DUPS'!$A$1:$C$456,2,FALSE),"")</f>
        <v>08/17/2017</v>
      </c>
      <c r="T349" s="168" t="str">
        <f>_xlfn.IFNA(VLOOKUP(B349,'[1]VLOOKUP NO DUPS'!$A$1:$C$456,3,FALSE),"")</f>
        <v>Robbins, Geller, Rudman &amp; Dowd, LLP; VanOverbeke Michaud &amp; Timmony, P.C.</v>
      </c>
      <c r="U349" s="167"/>
      <c r="V349" s="167"/>
      <c r="W349" s="92"/>
    </row>
    <row r="350" spans="1:23" s="86" customFormat="1" ht="30" x14ac:dyDescent="0.25">
      <c r="A350" s="164" t="str">
        <f t="shared" si="14"/>
        <v/>
      </c>
      <c r="B350" s="23" t="s">
        <v>6808</v>
      </c>
      <c r="C350" s="23" t="s">
        <v>7522</v>
      </c>
      <c r="D350" s="166" t="s">
        <v>8178</v>
      </c>
      <c r="E350" s="166" t="s">
        <v>457</v>
      </c>
      <c r="F350" s="167">
        <v>9</v>
      </c>
      <c r="G350" s="167" t="s">
        <v>8020</v>
      </c>
      <c r="H350" s="89">
        <v>135000000</v>
      </c>
      <c r="I350" s="89" t="str">
        <f>IF($H350&lt;='Abbrev Key'!$A$2,'Abbrev Key'!$B$2,IF($H350&lt;='Abbrev Key'!$A$3,'Abbrev Key'!$B$3,IF($H350&lt;='Abbrev Key'!$A$4,'Abbrev Key'!$B$4,IF($H350&lt;='Abbrev Key'!$A$5,'Abbrev Key'!$B$5,IF($H350&lt;='Abbrev Key'!$A$6,'Abbrev Key'!$B$6,IF($H350&gt;='Abbrev Key'!$A$7,'Abbrev Key'!$B$7,IF($H350='Abbrev Key'!$A$8,'Abbrev Key'!$B$8,"")))))))</f>
        <v>D</v>
      </c>
      <c r="J350" s="23" t="s">
        <v>11810</v>
      </c>
      <c r="K350" s="92" t="s">
        <v>646</v>
      </c>
      <c r="L350" s="398">
        <v>403930.08999999997</v>
      </c>
      <c r="M350" s="403">
        <f t="shared" si="15"/>
        <v>2.9920747407407404E-3</v>
      </c>
      <c r="N350" s="92" t="str">
        <f>VLOOKUP(B350,[2]Sheet!$B$2:$C$570,2,FALSE)</f>
        <v xml:space="preserve">Levi &amp; Korsinsky, LLP </v>
      </c>
      <c r="O350" s="92"/>
      <c r="P350" s="167"/>
      <c r="Q350" s="392" t="str">
        <f t="shared" si="16"/>
        <v>08/07/2017</v>
      </c>
      <c r="R350" s="392">
        <f t="shared" si="17"/>
        <v>42953</v>
      </c>
      <c r="S350" s="392" t="s">
        <v>6809</v>
      </c>
      <c r="T350" s="168" t="str">
        <f>_xlfn.IFNA(VLOOKUP(B350,'[1]VLOOKUP NO DUPS'!$A$1:$C$456,3,FALSE),"")</f>
        <v/>
      </c>
      <c r="U350" s="167"/>
      <c r="V350" s="167"/>
      <c r="W350" s="92"/>
    </row>
    <row r="351" spans="1:23" s="86" customFormat="1" x14ac:dyDescent="0.25">
      <c r="A351" s="164" t="str">
        <f t="shared" si="14"/>
        <v>DUP</v>
      </c>
      <c r="B351" s="23" t="s">
        <v>51</v>
      </c>
      <c r="C351" s="23" t="s">
        <v>10516</v>
      </c>
      <c r="D351" s="166" t="s">
        <v>8170</v>
      </c>
      <c r="E351" s="166" t="s">
        <v>542</v>
      </c>
      <c r="F351" s="169">
        <v>3</v>
      </c>
      <c r="G351" s="167" t="s">
        <v>8070</v>
      </c>
      <c r="H351" s="89">
        <v>2800000000</v>
      </c>
      <c r="I351" s="89" t="str">
        <f>IF($H351&lt;='Abbrev Key'!$A$2,'Abbrev Key'!$B$2,IF($H351&lt;='Abbrev Key'!$A$3,'Abbrev Key'!$B$3,IF($H351&lt;='Abbrev Key'!$A$4,'Abbrev Key'!$B$4,IF($H351&lt;='Abbrev Key'!$A$5,'Abbrev Key'!$B$5,IF($H351&lt;='Abbrev Key'!$A$6,'Abbrev Key'!$B$6,IF($H351&gt;='Abbrev Key'!$A$7,'Abbrev Key'!$B$7,IF($H351='Abbrev Key'!$A$8,'Abbrev Key'!$B$8,"")))))))</f>
        <v>F</v>
      </c>
      <c r="J351" s="23" t="s">
        <v>6831</v>
      </c>
      <c r="K351" s="23" t="s">
        <v>633</v>
      </c>
      <c r="L351" s="398">
        <v>14238109.76</v>
      </c>
      <c r="M351" s="403">
        <f t="shared" si="15"/>
        <v>5.0850391999999996E-3</v>
      </c>
      <c r="N351" s="23" t="s">
        <v>4392</v>
      </c>
      <c r="O351" s="23"/>
      <c r="P351" s="167" t="s">
        <v>4287</v>
      </c>
      <c r="Q351" s="392" t="str">
        <f t="shared" si="16"/>
        <v>07/06/2017</v>
      </c>
      <c r="R351" s="392">
        <f t="shared" si="17"/>
        <v>42921</v>
      </c>
      <c r="S351" s="392" t="s">
        <v>6809</v>
      </c>
      <c r="T351" s="168" t="s">
        <v>10929</v>
      </c>
      <c r="U351" s="167"/>
      <c r="V351" s="167"/>
      <c r="W351" s="92"/>
    </row>
    <row r="352" spans="1:23" s="86" customFormat="1" ht="30" x14ac:dyDescent="0.25">
      <c r="A352" s="164" t="str">
        <f t="shared" si="14"/>
        <v>DUP</v>
      </c>
      <c r="B352" s="23" t="s">
        <v>287</v>
      </c>
      <c r="C352" s="23" t="s">
        <v>10692</v>
      </c>
      <c r="D352" s="166" t="s">
        <v>8991</v>
      </c>
      <c r="E352" s="166" t="s">
        <v>511</v>
      </c>
      <c r="F352" s="167">
        <v>3</v>
      </c>
      <c r="G352" s="167" t="s">
        <v>8071</v>
      </c>
      <c r="H352" s="89">
        <v>4000000000</v>
      </c>
      <c r="I352" s="89" t="str">
        <f>IF($H352&lt;='Abbrev Key'!$A$2,'Abbrev Key'!$B$2,IF($H352&lt;='Abbrev Key'!$A$3,'Abbrev Key'!$B$3,IF($H352&lt;='Abbrev Key'!$A$4,'Abbrev Key'!$B$4,IF($H352&lt;='Abbrev Key'!$A$5,'Abbrev Key'!$B$5,IF($H352&lt;='Abbrev Key'!$A$6,'Abbrev Key'!$B$6,IF($H352&gt;='Abbrev Key'!$A$7,'Abbrev Key'!$B$7,IF($H352='Abbrev Key'!$A$8,'Abbrev Key'!$B$8,"")))))))</f>
        <v>F</v>
      </c>
      <c r="J352" s="92" t="s">
        <v>4332</v>
      </c>
      <c r="K352" s="92" t="s">
        <v>4332</v>
      </c>
      <c r="L352" s="92" t="s">
        <v>4332</v>
      </c>
      <c r="M352" s="92" t="s">
        <v>4332</v>
      </c>
      <c r="N352" s="92" t="s">
        <v>4332</v>
      </c>
      <c r="O352" s="92"/>
      <c r="P352" s="167" t="s">
        <v>4287</v>
      </c>
      <c r="Q352" s="392" t="str">
        <f t="shared" si="16"/>
        <v>08/02/2017</v>
      </c>
      <c r="R352" s="392">
        <f t="shared" si="17"/>
        <v>42948</v>
      </c>
      <c r="S352" s="392" t="s">
        <v>7079</v>
      </c>
      <c r="T352" s="168" t="s">
        <v>10897</v>
      </c>
      <c r="U352" s="167"/>
      <c r="V352" s="167"/>
      <c r="W352" s="92"/>
    </row>
    <row r="353" spans="1:23" s="86" customFormat="1" ht="30" x14ac:dyDescent="0.25">
      <c r="A353" s="164" t="str">
        <f t="shared" si="14"/>
        <v/>
      </c>
      <c r="B353" s="23" t="s">
        <v>6771</v>
      </c>
      <c r="C353" s="23" t="s">
        <v>7618</v>
      </c>
      <c r="D353" s="166" t="s">
        <v>8191</v>
      </c>
      <c r="E353" s="166" t="s">
        <v>446</v>
      </c>
      <c r="F353" s="167">
        <v>9</v>
      </c>
      <c r="G353" s="167" t="s">
        <v>8057</v>
      </c>
      <c r="H353" s="89">
        <v>100000000</v>
      </c>
      <c r="I353" s="89" t="str">
        <f>IF($H353&lt;='Abbrev Key'!$A$2,'Abbrev Key'!$B$2,IF($H353&lt;='Abbrev Key'!$A$3,'Abbrev Key'!$B$3,IF($H353&lt;='Abbrev Key'!$A$4,'Abbrev Key'!$B$4,IF($H353&lt;='Abbrev Key'!$A$5,'Abbrev Key'!$B$5,IF($H353&lt;='Abbrev Key'!$A$6,'Abbrev Key'!$B$6,IF($H353&gt;='Abbrev Key'!$A$7,'Abbrev Key'!$B$7,IF($H353='Abbrev Key'!$A$8,'Abbrev Key'!$B$8,"")))))))</f>
        <v>C</v>
      </c>
      <c r="J353" s="23" t="s">
        <v>11991</v>
      </c>
      <c r="K353" s="23" t="s">
        <v>646</v>
      </c>
      <c r="L353" s="398">
        <v>9206.0499999999993</v>
      </c>
      <c r="M353" s="403">
        <f t="shared" ref="M353:M366" si="18">IFERROR((L353/H353),"DC")</f>
        <v>9.206049999999999E-5</v>
      </c>
      <c r="N353" s="23" t="s">
        <v>797</v>
      </c>
      <c r="O353" s="23"/>
      <c r="P353" s="167"/>
      <c r="Q353" s="392" t="str">
        <f t="shared" si="16"/>
        <v>08/08/2017</v>
      </c>
      <c r="R353" s="392">
        <f t="shared" si="17"/>
        <v>42954</v>
      </c>
      <c r="S353" s="392" t="str">
        <f>_xlfn.IFNA(VLOOKUP(B353,'[1]VLOOKUP NO DUPS'!$A$1:$C$456,2,FALSE),"")</f>
        <v>08/22/2017</v>
      </c>
      <c r="T353" s="168" t="str">
        <f>_xlfn.IFNA(VLOOKUP(B353,'[1]VLOOKUP NO DUPS'!$A$1:$C$456,3,FALSE),"")</f>
        <v>The Rosen Law Firm, P.A.</v>
      </c>
      <c r="U353" s="167"/>
      <c r="V353" s="167"/>
      <c r="W353" s="92"/>
    </row>
    <row r="354" spans="1:23" s="86" customFormat="1" ht="30" x14ac:dyDescent="0.25">
      <c r="A354" s="164" t="str">
        <f t="shared" si="14"/>
        <v/>
      </c>
      <c r="B354" s="23" t="s">
        <v>6776</v>
      </c>
      <c r="C354" s="23" t="s">
        <v>7602</v>
      </c>
      <c r="D354" s="166" t="s">
        <v>8200</v>
      </c>
      <c r="E354" s="166" t="s">
        <v>1008</v>
      </c>
      <c r="F354" s="167">
        <v>2</v>
      </c>
      <c r="G354" s="167" t="s">
        <v>8064</v>
      </c>
      <c r="H354" s="89" t="s">
        <v>4882</v>
      </c>
      <c r="I354" s="89" t="s">
        <v>6732</v>
      </c>
      <c r="J354" s="23" t="s">
        <v>11923</v>
      </c>
      <c r="K354" s="23" t="s">
        <v>646</v>
      </c>
      <c r="L354" s="398">
        <v>384793</v>
      </c>
      <c r="M354" s="403" t="str">
        <f t="shared" si="18"/>
        <v>DC</v>
      </c>
      <c r="N354" s="23" t="s">
        <v>1204</v>
      </c>
      <c r="O354" s="23"/>
      <c r="P354" s="167"/>
      <c r="Q354" s="392" t="str">
        <f t="shared" si="16"/>
        <v>08/22/2017</v>
      </c>
      <c r="R354" s="392">
        <f t="shared" si="17"/>
        <v>42968</v>
      </c>
      <c r="S354" s="392" t="str">
        <f>_xlfn.IFNA(VLOOKUP(B354,'[1]VLOOKUP NO DUPS'!$A$1:$C$456,2,FALSE),"")</f>
        <v>08/23/2017</v>
      </c>
      <c r="T354" s="168" t="str">
        <f>_xlfn.IFNA(VLOOKUP(B354,'[1]VLOOKUP NO DUPS'!$A$1:$C$456,3,FALSE),"")</f>
        <v>Bronstein, Gewirtz &amp; Grossman, LLC; Pomerantz LLP; Robbins, Geller, Rudman &amp; Dowd, LLP</v>
      </c>
      <c r="U354" s="167"/>
      <c r="V354" s="167"/>
      <c r="W354" s="92"/>
    </row>
    <row r="355" spans="1:23" s="86" customFormat="1" ht="45" x14ac:dyDescent="0.25">
      <c r="A355" s="164" t="str">
        <f t="shared" si="14"/>
        <v/>
      </c>
      <c r="B355" s="23" t="s">
        <v>6758</v>
      </c>
      <c r="C355" s="23" t="s">
        <v>7575</v>
      </c>
      <c r="D355" s="166" t="s">
        <v>8110</v>
      </c>
      <c r="E355" s="166" t="s">
        <v>603</v>
      </c>
      <c r="F355" s="167">
        <v>11</v>
      </c>
      <c r="G355" s="167" t="s">
        <v>8111</v>
      </c>
      <c r="H355" s="89">
        <v>35000000</v>
      </c>
      <c r="I355" s="89" t="str">
        <f>IF($H355&lt;='Abbrev Key'!$A$2,'Abbrev Key'!$B$2,IF($H355&lt;='Abbrev Key'!$A$3,'Abbrev Key'!$B$3,IF($H355&lt;='Abbrev Key'!$A$4,'Abbrev Key'!$B$4,IF($H355&lt;='Abbrev Key'!$A$5,'Abbrev Key'!$B$5,IF($H355&lt;='Abbrev Key'!$A$6,'Abbrev Key'!$B$6,IF($H355&gt;='Abbrev Key'!$A$7,'Abbrev Key'!$B$7,IF($H355='Abbrev Key'!$A$8,'Abbrev Key'!$B$8,"")))))))</f>
        <v>B</v>
      </c>
      <c r="J355" s="23" t="s">
        <v>11889</v>
      </c>
      <c r="K355" s="23" t="s">
        <v>646</v>
      </c>
      <c r="L355" s="398">
        <v>14386</v>
      </c>
      <c r="M355" s="403">
        <f t="shared" si="18"/>
        <v>4.1102857142857142E-4</v>
      </c>
      <c r="N355" s="23" t="s">
        <v>11072</v>
      </c>
      <c r="O355" s="23"/>
      <c r="P355" s="167"/>
      <c r="Q355" s="392" t="str">
        <f t="shared" ref="Q355:Q373" si="19">RIGHT(G355,10)</f>
        <v>08/23/2017</v>
      </c>
      <c r="R355" s="392">
        <f t="shared" si="17"/>
        <v>42969</v>
      </c>
      <c r="S355" s="392" t="str">
        <f>_xlfn.IFNA(VLOOKUP(B355,'[1]VLOOKUP NO DUPS'!$A$1:$C$456,2,FALSE),"")</f>
        <v>08/25/2017</v>
      </c>
      <c r="T355" s="168" t="str">
        <f>_xlfn.IFNA(VLOOKUP(B355,'[1]VLOOKUP NO DUPS'!$A$1:$C$456,3,FALSE),"")</f>
        <v>Bronstein, Gewirtz &amp; Grossman, LLC; Desmond Law Firm, P.C.; Glancy Prongay &amp; Murray, LLP; Pomerantz LLP; Shepherd, Finkelman, Miller &amp; Shah, LLP</v>
      </c>
      <c r="U355" s="167"/>
      <c r="V355" s="167"/>
      <c r="W355" s="92"/>
    </row>
    <row r="356" spans="1:23" s="86" customFormat="1" ht="30" x14ac:dyDescent="0.25">
      <c r="A356" s="164" t="str">
        <f t="shared" si="14"/>
        <v/>
      </c>
      <c r="B356" s="23" t="s">
        <v>6751</v>
      </c>
      <c r="C356" s="23" t="s">
        <v>7527</v>
      </c>
      <c r="D356" s="166" t="s">
        <v>8174</v>
      </c>
      <c r="E356" s="166" t="s">
        <v>424</v>
      </c>
      <c r="F356" s="167">
        <v>3</v>
      </c>
      <c r="G356" s="167" t="s">
        <v>8022</v>
      </c>
      <c r="H356" s="89">
        <v>1350000000</v>
      </c>
      <c r="I356" s="89" t="str">
        <f>IF($H356&lt;='Abbrev Key'!$A$2,'Abbrev Key'!$B$2,IF($H356&lt;='Abbrev Key'!$A$3,'Abbrev Key'!$B$3,IF($H356&lt;='Abbrev Key'!$A$4,'Abbrev Key'!$B$4,IF($H356&lt;='Abbrev Key'!$A$5,'Abbrev Key'!$B$5,IF($H356&lt;='Abbrev Key'!$A$6,'Abbrev Key'!$B$6,IF($H356&gt;='Abbrev Key'!$A$7,'Abbrev Key'!$B$7,IF($H356='Abbrev Key'!$A$8,'Abbrev Key'!$B$8,"")))))))</f>
        <v>F</v>
      </c>
      <c r="J356" s="92" t="s">
        <v>249</v>
      </c>
      <c r="K356" s="92" t="s">
        <v>633</v>
      </c>
      <c r="L356" s="398">
        <v>2828044.92</v>
      </c>
      <c r="M356" s="403">
        <f t="shared" si="18"/>
        <v>2.0948480888888887E-3</v>
      </c>
      <c r="N356" s="23" t="s">
        <v>6757</v>
      </c>
      <c r="O356" s="23"/>
      <c r="P356" s="167"/>
      <c r="Q356" s="392" t="str">
        <f t="shared" si="19"/>
        <v>08/10/2017</v>
      </c>
      <c r="R356" s="392">
        <f t="shared" si="17"/>
        <v>42956</v>
      </c>
      <c r="S356" s="392" t="str">
        <f>_xlfn.IFNA(VLOOKUP(B356,'[1]VLOOKUP NO DUPS'!$A$1:$C$456,2,FALSE),"")</f>
        <v>08/25/2017</v>
      </c>
      <c r="T356" s="168" t="str">
        <f>_xlfn.IFNA(VLOOKUP(B356,'[1]VLOOKUP NO DUPS'!$A$1:$C$456,3,FALSE),"")</f>
        <v>The Rosen Law Firm, P.A.</v>
      </c>
      <c r="U356" s="167"/>
      <c r="V356" s="167"/>
      <c r="W356" s="92"/>
    </row>
    <row r="357" spans="1:23" s="86" customFormat="1" ht="45" x14ac:dyDescent="0.25">
      <c r="A357" s="336" t="str">
        <f t="shared" si="14"/>
        <v/>
      </c>
      <c r="B357" s="23" t="s">
        <v>7490</v>
      </c>
      <c r="C357" s="23" t="s">
        <v>7610</v>
      </c>
      <c r="D357" s="166" t="s">
        <v>8195</v>
      </c>
      <c r="E357" s="166" t="s">
        <v>424</v>
      </c>
      <c r="F357" s="167">
        <v>3</v>
      </c>
      <c r="G357" s="167" t="s">
        <v>8060</v>
      </c>
      <c r="H357" s="89">
        <v>155000000</v>
      </c>
      <c r="I357" s="89" t="str">
        <f>IF($H357&lt;='Abbrev Key'!$A$2,'Abbrev Key'!$B$2,IF($H357&lt;='Abbrev Key'!$A$3,'Abbrev Key'!$B$3,IF($H357&lt;='Abbrev Key'!$A$4,'Abbrev Key'!$B$4,IF($H357&lt;='Abbrev Key'!$A$5,'Abbrev Key'!$B$5,IF($H357&lt;='Abbrev Key'!$A$6,'Abbrev Key'!$B$6,IF($H357&gt;='Abbrev Key'!$A$7,'Abbrev Key'!$B$7,IF($H357='Abbrev Key'!$A$8,'Abbrev Key'!$B$8,"")))))))</f>
        <v>D</v>
      </c>
      <c r="J357" s="23" t="s">
        <v>11982</v>
      </c>
      <c r="K357" s="23" t="s">
        <v>646</v>
      </c>
      <c r="L357" s="398">
        <v>86454.51</v>
      </c>
      <c r="M357" s="403">
        <f t="shared" si="18"/>
        <v>5.5777103225806448E-4</v>
      </c>
      <c r="N357" s="23" t="s">
        <v>10846</v>
      </c>
      <c r="O357" s="23"/>
      <c r="P357" s="167"/>
      <c r="Q357" s="392" t="str">
        <f t="shared" si="19"/>
        <v>08/08/2017</v>
      </c>
      <c r="R357" s="392">
        <f t="shared" si="17"/>
        <v>42954</v>
      </c>
      <c r="S357" s="392" t="str">
        <f>_xlfn.IFNA(VLOOKUP(B357,'[1]VLOOKUP NO DUPS'!$A$1:$C$456,2,FALSE),"")</f>
        <v>08/28/2017</v>
      </c>
      <c r="T357" s="168" t="str">
        <f>_xlfn.IFNA(VLOOKUP(B357,'[1]VLOOKUP NO DUPS'!$A$1:$C$456,3,FALSE),"")</f>
        <v>Carella, Byrne, Cecchi, Olstein, Brody &amp; Agnello P.C.; Johnson &amp; Weaver LLP; Robbins, Geller, Rudman &amp; Dowd, LLP</v>
      </c>
      <c r="U357" s="167"/>
      <c r="V357" s="167"/>
      <c r="W357" s="92"/>
    </row>
    <row r="358" spans="1:23" s="86" customFormat="1" x14ac:dyDescent="0.25">
      <c r="A358" s="336" t="str">
        <f t="shared" si="14"/>
        <v/>
      </c>
      <c r="B358" s="23" t="s">
        <v>7487</v>
      </c>
      <c r="C358" s="23" t="s">
        <v>7611</v>
      </c>
      <c r="D358" s="166" t="s">
        <v>8194</v>
      </c>
      <c r="E358" s="166" t="s">
        <v>1008</v>
      </c>
      <c r="F358" s="167">
        <v>2</v>
      </c>
      <c r="G358" s="167" t="s">
        <v>8069</v>
      </c>
      <c r="H358" s="89">
        <v>5500000</v>
      </c>
      <c r="I358" s="89" t="str">
        <f>IF($H358&lt;='Abbrev Key'!$A$2,'Abbrev Key'!$B$2,IF($H358&lt;='Abbrev Key'!$A$3,'Abbrev Key'!$B$3,IF($H358&lt;='Abbrev Key'!$A$4,'Abbrev Key'!$B$4,IF($H358&lt;='Abbrev Key'!$A$5,'Abbrev Key'!$B$5,IF($H358&lt;='Abbrev Key'!$A$6,'Abbrev Key'!$B$6,IF($H358&gt;='Abbrev Key'!$A$7,'Abbrev Key'!$B$7,IF($H358='Abbrev Key'!$A$8,'Abbrev Key'!$B$8,"")))))))</f>
        <v>A</v>
      </c>
      <c r="J358" s="92" t="s">
        <v>7489</v>
      </c>
      <c r="K358" s="92" t="s">
        <v>637</v>
      </c>
      <c r="L358" s="398">
        <v>10096.81</v>
      </c>
      <c r="M358" s="403">
        <f t="shared" si="18"/>
        <v>1.8357836363636362E-3</v>
      </c>
      <c r="N358" s="92" t="str">
        <f>VLOOKUP(B358,[2]Sheet!$B$2:$C$570,2,FALSE)</f>
        <v xml:space="preserve">The Rosen Law Firm, P.A. </v>
      </c>
      <c r="O358" s="92"/>
      <c r="P358" s="167"/>
      <c r="Q358" s="392" t="str">
        <f t="shared" si="19"/>
        <v>07/26/2017</v>
      </c>
      <c r="R358" s="392">
        <f t="shared" si="17"/>
        <v>42941</v>
      </c>
      <c r="S358" s="392" t="str">
        <f>_xlfn.IFNA(VLOOKUP(B358,'[1]VLOOKUP NO DUPS'!$A$1:$C$456,2,FALSE),"")</f>
        <v>08/29/2017</v>
      </c>
      <c r="T358" s="168" t="str">
        <f>_xlfn.IFNA(VLOOKUP(B358,'[1]VLOOKUP NO DUPS'!$A$1:$C$456,3,FALSE),"")</f>
        <v>The Rosen Law Firm, P.A.</v>
      </c>
      <c r="U358" s="167"/>
      <c r="V358" s="167"/>
      <c r="W358" s="92"/>
    </row>
    <row r="359" spans="1:23" s="86" customFormat="1" ht="30" x14ac:dyDescent="0.25">
      <c r="A359" s="164" t="str">
        <f t="shared" si="14"/>
        <v/>
      </c>
      <c r="B359" s="23" t="s">
        <v>7475</v>
      </c>
      <c r="C359" s="23" t="s">
        <v>7533</v>
      </c>
      <c r="D359" s="166" t="s">
        <v>8166</v>
      </c>
      <c r="E359" s="166" t="s">
        <v>592</v>
      </c>
      <c r="F359" s="167">
        <v>11</v>
      </c>
      <c r="G359" s="167" t="s">
        <v>8167</v>
      </c>
      <c r="H359" s="89">
        <v>2000000000</v>
      </c>
      <c r="I359" s="89" t="str">
        <f>IF($H359&lt;='Abbrev Key'!$A$2,'Abbrev Key'!$B$2,IF($H359&lt;='Abbrev Key'!$A$3,'Abbrev Key'!$B$3,IF($H359&lt;='Abbrev Key'!$A$4,'Abbrev Key'!$B$4,IF($H359&lt;='Abbrev Key'!$A$5,'Abbrev Key'!$B$5,IF($H359&lt;='Abbrev Key'!$A$6,'Abbrev Key'!$B$6,IF($H359&gt;='Abbrev Key'!$A$7,'Abbrev Key'!$B$7,IF($H359='Abbrev Key'!$A$8,'Abbrev Key'!$B$8,"")))))))</f>
        <v>F</v>
      </c>
      <c r="J359" s="23" t="s">
        <v>373</v>
      </c>
      <c r="K359" s="23" t="s">
        <v>633</v>
      </c>
      <c r="L359" s="357">
        <v>2973692.22</v>
      </c>
      <c r="M359" s="406">
        <f t="shared" si="18"/>
        <v>1.48684611E-3</v>
      </c>
      <c r="N359" s="23" t="s">
        <v>7125</v>
      </c>
      <c r="O359" s="23"/>
      <c r="P359" s="167"/>
      <c r="Q359" s="392" t="str">
        <f t="shared" si="19"/>
        <v>09/15/2017</v>
      </c>
      <c r="R359" s="392">
        <f t="shared" si="17"/>
        <v>42992</v>
      </c>
      <c r="S359" s="392" t="str">
        <f>_xlfn.IFNA(VLOOKUP(B359,'[1]VLOOKUP NO DUPS'!$A$1:$C$456,2,FALSE),"")</f>
        <v>09/08/2017</v>
      </c>
      <c r="T359" s="168" t="str">
        <f>_xlfn.IFNA(VLOOKUP(B359,'[1]VLOOKUP NO DUPS'!$A$1:$C$456,3,FALSE),"")</f>
        <v>Law Offices of David A. Bain, LLC; Levi &amp; Korsinsky, LLP; Pomerantz LLP</v>
      </c>
      <c r="U359" s="167"/>
      <c r="V359" s="167"/>
      <c r="W359" s="92"/>
    </row>
    <row r="360" spans="1:23" s="86" customFormat="1" ht="30" x14ac:dyDescent="0.25">
      <c r="A360" s="164" t="str">
        <f t="shared" si="14"/>
        <v/>
      </c>
      <c r="B360" s="23" t="s">
        <v>7483</v>
      </c>
      <c r="C360" s="23" t="s">
        <v>7544</v>
      </c>
      <c r="D360" s="166" t="s">
        <v>10396</v>
      </c>
      <c r="E360" s="166" t="s">
        <v>4253</v>
      </c>
      <c r="F360" s="167">
        <v>11</v>
      </c>
      <c r="G360" s="167" t="s">
        <v>8029</v>
      </c>
      <c r="H360" s="89">
        <v>30000000</v>
      </c>
      <c r="I360" s="89" t="str">
        <f>IF($H360&lt;='Abbrev Key'!$A$2,'Abbrev Key'!$B$2,IF($H360&lt;='Abbrev Key'!$A$3,'Abbrev Key'!$B$3,IF($H360&lt;='Abbrev Key'!$A$4,'Abbrev Key'!$B$4,IF($H360&lt;='Abbrev Key'!$A$5,'Abbrev Key'!$B$5,IF($H360&lt;='Abbrev Key'!$A$6,'Abbrev Key'!$B$6,IF($H360&gt;='Abbrev Key'!$A$7,'Abbrev Key'!$B$7,IF($H360='Abbrev Key'!$A$8,'Abbrev Key'!$B$8,"")))))))</f>
        <v>B</v>
      </c>
      <c r="J360" s="23" t="s">
        <v>10398</v>
      </c>
      <c r="K360" s="23" t="s">
        <v>637</v>
      </c>
      <c r="L360" s="398">
        <v>177791.61</v>
      </c>
      <c r="M360" s="403">
        <f t="shared" si="18"/>
        <v>5.9263869999999991E-3</v>
      </c>
      <c r="N360" s="23" t="s">
        <v>10430</v>
      </c>
      <c r="O360" s="23"/>
      <c r="P360" s="167"/>
      <c r="Q360" s="392" t="str">
        <f t="shared" si="19"/>
        <v>09/11/2017</v>
      </c>
      <c r="R360" s="392">
        <f t="shared" si="17"/>
        <v>42988</v>
      </c>
      <c r="S360" s="392" t="str">
        <f>_xlfn.IFNA(VLOOKUP(B360,'[1]VLOOKUP NO DUPS'!$A$1:$C$456,2,FALSE),"")</f>
        <v>09/11/2017</v>
      </c>
      <c r="T360" s="168" t="str">
        <f>_xlfn.IFNA(VLOOKUP(B360,'[1]VLOOKUP NO DUPS'!$A$1:$C$456,3,FALSE),"")</f>
        <v>The Rosen Law Firm, P.A.</v>
      </c>
      <c r="U360" s="167"/>
      <c r="V360" s="167"/>
      <c r="W360" s="92"/>
    </row>
    <row r="361" spans="1:23" s="86" customFormat="1" ht="45" x14ac:dyDescent="0.25">
      <c r="A361" s="164" t="str">
        <f t="shared" si="14"/>
        <v/>
      </c>
      <c r="B361" s="23" t="s">
        <v>7465</v>
      </c>
      <c r="C361" s="23" t="s">
        <v>7601</v>
      </c>
      <c r="D361" s="166" t="s">
        <v>8201</v>
      </c>
      <c r="E361" s="166" t="s">
        <v>457</v>
      </c>
      <c r="F361" s="167">
        <v>9</v>
      </c>
      <c r="G361" s="167" t="s">
        <v>8065</v>
      </c>
      <c r="H361" s="89">
        <v>20000000</v>
      </c>
      <c r="I361" s="89" t="str">
        <f>IF($H361&lt;='Abbrev Key'!$A$2,'Abbrev Key'!$B$2,IF($H361&lt;='Abbrev Key'!$A$3,'Abbrev Key'!$B$3,IF($H361&lt;='Abbrev Key'!$A$4,'Abbrev Key'!$B$4,IF($H361&lt;='Abbrev Key'!$A$5,'Abbrev Key'!$B$5,IF($H361&lt;='Abbrev Key'!$A$6,'Abbrev Key'!$B$6,IF($H361&gt;='Abbrev Key'!$A$7,'Abbrev Key'!$B$7,IF($H361='Abbrev Key'!$A$8,'Abbrev Key'!$B$8,"")))))))</f>
        <v>A</v>
      </c>
      <c r="J361" s="92" t="s">
        <v>7471</v>
      </c>
      <c r="K361" s="92" t="s">
        <v>637</v>
      </c>
      <c r="L361" s="398">
        <v>51603</v>
      </c>
      <c r="M361" s="403">
        <f t="shared" si="18"/>
        <v>2.5801499999999998E-3</v>
      </c>
      <c r="N361" s="92" t="str">
        <f>VLOOKUP(B361,[2]Sheet!$B$2:$C$570,2,FALSE)</f>
        <v xml:space="preserve">Glancy Prongay &amp; Murray, LLP </v>
      </c>
      <c r="O361" s="92"/>
      <c r="P361" s="167"/>
      <c r="Q361" s="392" t="str">
        <f t="shared" si="19"/>
        <v>09/18/2017</v>
      </c>
      <c r="R361" s="392">
        <f t="shared" si="17"/>
        <v>42995</v>
      </c>
      <c r="S361" s="392" t="str">
        <f>_xlfn.IFNA(VLOOKUP(B361,'[1]VLOOKUP NO DUPS'!$A$1:$C$456,2,FALSE),"")</f>
        <v>09/18/2017</v>
      </c>
      <c r="T361" s="168" t="str">
        <f>_xlfn.IFNA(VLOOKUP(B361,'[1]VLOOKUP NO DUPS'!$A$1:$C$456,3,FALSE),"")</f>
        <v>Bottini &amp; Bottini, Inc.; Holzer &amp; Holzer, LLC; Robbins Arroyo LLP; Robbins, Geller, Rudman &amp; Dowd, LLP; The Rosen Law Firm, P.A.</v>
      </c>
      <c r="U361" s="167"/>
      <c r="V361" s="167"/>
      <c r="W361" s="92"/>
    </row>
    <row r="362" spans="1:23" s="86" customFormat="1" ht="30" x14ac:dyDescent="0.25">
      <c r="A362" s="165" t="str">
        <f t="shared" si="14"/>
        <v/>
      </c>
      <c r="B362" s="23" t="s">
        <v>7461</v>
      </c>
      <c r="C362" s="23" t="s">
        <v>7595</v>
      </c>
      <c r="D362" s="166" t="s">
        <v>8122</v>
      </c>
      <c r="E362" s="166" t="s">
        <v>4253</v>
      </c>
      <c r="F362" s="167">
        <v>11</v>
      </c>
      <c r="G362" s="167" t="s">
        <v>8053</v>
      </c>
      <c r="H362" s="89" t="s">
        <v>4882</v>
      </c>
      <c r="I362" s="89" t="s">
        <v>6732</v>
      </c>
      <c r="J362" s="23" t="s">
        <v>384</v>
      </c>
      <c r="K362" s="23" t="s">
        <v>633</v>
      </c>
      <c r="L362" s="398">
        <v>35790.379999999997</v>
      </c>
      <c r="M362" s="403" t="str">
        <f t="shared" si="18"/>
        <v>DC</v>
      </c>
      <c r="N362" s="23" t="s">
        <v>1640</v>
      </c>
      <c r="O362" s="23"/>
      <c r="P362" s="167"/>
      <c r="Q362" s="392" t="str">
        <f t="shared" si="19"/>
        <v>08/31/2017</v>
      </c>
      <c r="R362" s="392">
        <f t="shared" si="17"/>
        <v>42977</v>
      </c>
      <c r="S362" s="392" t="str">
        <f>_xlfn.IFNA(VLOOKUP(B362,'[1]VLOOKUP NO DUPS'!$A$1:$C$456,2,FALSE),"")</f>
        <v>09/21/2017</v>
      </c>
      <c r="T362" s="168" t="str">
        <f>_xlfn.IFNA(VLOOKUP(B362,'[1]VLOOKUP NO DUPS'!$A$1:$C$456,3,FALSE),"")</f>
        <v>Cullin O'Brien Law, P.A.; Levi &amp; Korsinsky, LLP</v>
      </c>
      <c r="U362" s="167"/>
      <c r="V362" s="167"/>
      <c r="W362" s="92"/>
    </row>
    <row r="363" spans="1:23" s="86" customFormat="1" ht="60" x14ac:dyDescent="0.25">
      <c r="A363" s="165" t="str">
        <f t="shared" si="14"/>
        <v/>
      </c>
      <c r="B363" s="23" t="s">
        <v>7406</v>
      </c>
      <c r="C363" s="23" t="s">
        <v>7539</v>
      </c>
      <c r="D363" s="166" t="s">
        <v>8157</v>
      </c>
      <c r="E363" s="166" t="s">
        <v>511</v>
      </c>
      <c r="F363" s="167">
        <v>2</v>
      </c>
      <c r="G363" s="167" t="s">
        <v>8158</v>
      </c>
      <c r="H363" s="89">
        <v>675000000</v>
      </c>
      <c r="I363" s="89" t="str">
        <f>IF($H363&lt;='Abbrev Key'!$A$2,'Abbrev Key'!$B$2,IF($H363&lt;='Abbrev Key'!$A$3,'Abbrev Key'!$B$3,IF($H363&lt;='Abbrev Key'!$A$4,'Abbrev Key'!$B$4,IF($H363&lt;='Abbrev Key'!$A$5,'Abbrev Key'!$B$5,IF($H363&lt;='Abbrev Key'!$A$6,'Abbrev Key'!$B$6,IF($H363&gt;='Abbrev Key'!$A$7,'Abbrev Key'!$B$7,IF($H363='Abbrev Key'!$A$8,'Abbrev Key'!$B$8,"")))))))</f>
        <v>F</v>
      </c>
      <c r="J363" s="23" t="s">
        <v>11838</v>
      </c>
      <c r="K363" s="23" t="s">
        <v>662</v>
      </c>
      <c r="L363" s="398">
        <v>7961107.9000000004</v>
      </c>
      <c r="M363" s="403">
        <f t="shared" si="18"/>
        <v>1.1794233925925926E-2</v>
      </c>
      <c r="N363" s="23" t="s">
        <v>7431</v>
      </c>
      <c r="O363" s="23"/>
      <c r="P363" s="167" t="s">
        <v>4287</v>
      </c>
      <c r="Q363" s="392" t="str">
        <f t="shared" si="19"/>
        <v>02/28/2018</v>
      </c>
      <c r="R363" s="392">
        <f t="shared" si="17"/>
        <v>43158</v>
      </c>
      <c r="S363" s="392" t="str">
        <f>_xlfn.IFNA(VLOOKUP(B363,'[1]VLOOKUP NO DUPS'!$A$1:$C$456,2,FALSE),"")</f>
        <v>09/26/2017</v>
      </c>
      <c r="T363" s="168" t="str">
        <f>_xlfn.IFNA(VLOOKUP(B363,'[1]VLOOKUP NO DUPS'!$A$1:$C$456,3,FALSE),"")</f>
        <v>Bernstein Litowitz Berger &amp; Grossmann LLP; Bronstein, Gewirtz &amp; Grossman, LLC; Glancy Prongay &amp; Murray, LLP; Law Offices of Howard G. Smith; Levi &amp; Korsinsky, LLP; Motley Rice LLC; Pomerantz LLP</v>
      </c>
      <c r="U363" s="167"/>
      <c r="V363" s="167"/>
      <c r="W363" s="92"/>
    </row>
    <row r="364" spans="1:23" s="86" customFormat="1" x14ac:dyDescent="0.25">
      <c r="A364" s="164" t="str">
        <f t="shared" si="14"/>
        <v/>
      </c>
      <c r="B364" s="23" t="s">
        <v>7433</v>
      </c>
      <c r="C364" s="23" t="s">
        <v>7547</v>
      </c>
      <c r="D364" s="166" t="s">
        <v>8144</v>
      </c>
      <c r="E364" s="166" t="s">
        <v>418</v>
      </c>
      <c r="F364" s="167">
        <v>2</v>
      </c>
      <c r="G364" s="167" t="s">
        <v>8031</v>
      </c>
      <c r="H364" s="89">
        <v>585000000</v>
      </c>
      <c r="I364" s="89" t="str">
        <f>IF($H364&lt;='Abbrev Key'!$A$2,'Abbrev Key'!$B$2,IF($H364&lt;='Abbrev Key'!$A$3,'Abbrev Key'!$B$3,IF($H364&lt;='Abbrev Key'!$A$4,'Abbrev Key'!$B$4,IF($H364&lt;='Abbrev Key'!$A$5,'Abbrev Key'!$B$5,IF($H364&lt;='Abbrev Key'!$A$6,'Abbrev Key'!$B$6,IF($H364&gt;='Abbrev Key'!$A$7,'Abbrev Key'!$B$7,IF($H364='Abbrev Key'!$A$8,'Abbrev Key'!$B$8,"")))))))</f>
        <v>F</v>
      </c>
      <c r="J364" s="23" t="s">
        <v>7442</v>
      </c>
      <c r="K364" s="92" t="s">
        <v>637</v>
      </c>
      <c r="L364" s="398">
        <v>109656.73</v>
      </c>
      <c r="M364" s="403">
        <f t="shared" si="18"/>
        <v>1.874474017094017E-4</v>
      </c>
      <c r="N364" s="92" t="str">
        <f>VLOOKUP(B364,[3]Sheet!$B$2:$C$139,2,FALSE)</f>
        <v xml:space="preserve">Faruqi &amp; Faruqi, LLP </v>
      </c>
      <c r="O364" s="92"/>
      <c r="P364" s="167"/>
      <c r="Q364" s="392" t="str">
        <f t="shared" si="19"/>
        <v>09/20/2017</v>
      </c>
      <c r="R364" s="392">
        <f t="shared" si="17"/>
        <v>42997</v>
      </c>
      <c r="S364" s="392" t="str">
        <f>_xlfn.IFNA(VLOOKUP(B364,'[1]VLOOKUP NO DUPS'!$A$1:$C$456,2,FALSE),"")</f>
        <v>09/27/2017</v>
      </c>
      <c r="T364" s="168" t="str">
        <f>_xlfn.IFNA(VLOOKUP(B364,'[1]VLOOKUP NO DUPS'!$A$1:$C$456,3,FALSE),"")</f>
        <v>Pomerantz LLP</v>
      </c>
      <c r="U364" s="167"/>
      <c r="V364" s="167"/>
      <c r="W364" s="92"/>
    </row>
    <row r="365" spans="1:23" s="86" customFormat="1" ht="75" x14ac:dyDescent="0.25">
      <c r="A365" s="164" t="str">
        <f t="shared" si="14"/>
        <v/>
      </c>
      <c r="B365" s="23" t="s">
        <v>7443</v>
      </c>
      <c r="C365" s="23" t="s">
        <v>7584</v>
      </c>
      <c r="D365" s="166" t="s">
        <v>8124</v>
      </c>
      <c r="E365" s="166" t="s">
        <v>7444</v>
      </c>
      <c r="F365" s="167">
        <v>4</v>
      </c>
      <c r="G365" s="167" t="s">
        <v>8125</v>
      </c>
      <c r="H365" s="89">
        <v>1000000000</v>
      </c>
      <c r="I365" s="89" t="str">
        <f>IF($H365&lt;='Abbrev Key'!$A$2,'Abbrev Key'!$B$2,IF($H365&lt;='Abbrev Key'!$A$3,'Abbrev Key'!$B$3,IF($H365&lt;='Abbrev Key'!$A$4,'Abbrev Key'!$B$4,IF($H365&lt;='Abbrev Key'!$A$5,'Abbrev Key'!$B$5,IF($H365&lt;='Abbrev Key'!$A$6,'Abbrev Key'!$B$6,IF($H365&gt;='Abbrev Key'!$A$7,'Abbrev Key'!$B$7,IF($H365='Abbrev Key'!$A$8,'Abbrev Key'!$B$8,"")))))))</f>
        <v>F</v>
      </c>
      <c r="J365" s="23" t="s">
        <v>11905</v>
      </c>
      <c r="K365" s="23" t="s">
        <v>640</v>
      </c>
      <c r="L365" s="398">
        <v>4570593.8</v>
      </c>
      <c r="M365" s="403">
        <f t="shared" si="18"/>
        <v>4.5705937999999998E-3</v>
      </c>
      <c r="N365" s="23" t="s">
        <v>7447</v>
      </c>
      <c r="O365" s="23"/>
      <c r="P365" s="167"/>
      <c r="Q365" s="392" t="str">
        <f t="shared" si="19"/>
        <v>12/20/2017</v>
      </c>
      <c r="R365" s="392">
        <f t="shared" si="17"/>
        <v>43088</v>
      </c>
      <c r="S365" s="392" t="str">
        <f>_xlfn.IFNA(VLOOKUP(B365,'[1]VLOOKUP NO DUPS'!$A$1:$C$456,2,FALSE),"")</f>
        <v>09/27/2017</v>
      </c>
      <c r="T365" s="168" t="str">
        <f>_xlfn.IFNA(VLOOKUP(B365,'[1]VLOOKUP NO DUPS'!$A$1:$C$456,3,FALSE),"")</f>
        <v>Bernstein Litowitz Berger &amp; Grossmann LLP; Bronstein, Gewirtz &amp; Grossman, LLC; Law Offices of Robert Dodson, P.A.; Motley Rice LLC; Pomerantz LLP; The Boozer Law Firm, LLC; The Rosen Law Firm, P.A.; U.S. Market Advisors Law Group PLLC</v>
      </c>
      <c r="U365" s="167"/>
      <c r="V365" s="167"/>
      <c r="W365" s="92"/>
    </row>
    <row r="366" spans="1:23" s="86" customFormat="1" x14ac:dyDescent="0.25">
      <c r="A366" s="164" t="str">
        <f t="shared" si="14"/>
        <v>DUP</v>
      </c>
      <c r="B366" s="23" t="s">
        <v>7379</v>
      </c>
      <c r="C366" s="23" t="s">
        <v>10688</v>
      </c>
      <c r="D366" s="166" t="s">
        <v>8089</v>
      </c>
      <c r="E366" s="166" t="s">
        <v>457</v>
      </c>
      <c r="F366" s="167">
        <v>9</v>
      </c>
      <c r="G366" s="167" t="s">
        <v>8054</v>
      </c>
      <c r="H366" s="89">
        <v>200000000</v>
      </c>
      <c r="I366" s="89" t="str">
        <f>IF($H366&lt;='Abbrev Key'!$A$2,'Abbrev Key'!$B$2,IF($H366&lt;='Abbrev Key'!$A$3,'Abbrev Key'!$B$3,IF($H366&lt;='Abbrev Key'!$A$4,'Abbrev Key'!$B$4,IF($H366&lt;='Abbrev Key'!$A$5,'Abbrev Key'!$B$5,IF($H366&lt;='Abbrev Key'!$A$6,'Abbrev Key'!$B$6,IF($H366&gt;='Abbrev Key'!$A$7,'Abbrev Key'!$B$7,IF($H366='Abbrev Key'!$A$8,'Abbrev Key'!$B$8,"")))))))</f>
        <v>D</v>
      </c>
      <c r="J366" s="17" t="s">
        <v>7380</v>
      </c>
      <c r="K366" s="92" t="s">
        <v>637</v>
      </c>
      <c r="L366" s="398">
        <v>103368</v>
      </c>
      <c r="M366" s="403">
        <f t="shared" si="18"/>
        <v>5.1683999999999996E-4</v>
      </c>
      <c r="N366" s="92" t="s">
        <v>682</v>
      </c>
      <c r="O366" s="92"/>
      <c r="P366" s="167" t="s">
        <v>4287</v>
      </c>
      <c r="Q366" s="392" t="str">
        <f t="shared" si="19"/>
        <v>10/06/2017</v>
      </c>
      <c r="R366" s="392">
        <f t="shared" si="17"/>
        <v>43013</v>
      </c>
      <c r="S366" s="392" t="s">
        <v>6877</v>
      </c>
      <c r="T366" s="168" t="s">
        <v>682</v>
      </c>
      <c r="U366" s="167"/>
      <c r="V366" s="167"/>
      <c r="W366" s="92"/>
    </row>
    <row r="367" spans="1:23" s="86" customFormat="1" ht="30" x14ac:dyDescent="0.25">
      <c r="A367" s="164" t="str">
        <f t="shared" si="14"/>
        <v/>
      </c>
      <c r="B367" s="23" t="s">
        <v>8990</v>
      </c>
      <c r="C367" s="23" t="s">
        <v>7583</v>
      </c>
      <c r="D367" s="166" t="s">
        <v>8126</v>
      </c>
      <c r="E367" s="166" t="s">
        <v>7385</v>
      </c>
      <c r="F367" s="167">
        <v>1</v>
      </c>
      <c r="G367" s="167" t="s">
        <v>8046</v>
      </c>
      <c r="H367" s="89" t="s">
        <v>4882</v>
      </c>
      <c r="I367" s="89" t="s">
        <v>6732</v>
      </c>
      <c r="J367" s="92" t="s">
        <v>4332</v>
      </c>
      <c r="K367" s="92" t="s">
        <v>4332</v>
      </c>
      <c r="L367" s="92" t="s">
        <v>4332</v>
      </c>
      <c r="M367" s="92" t="s">
        <v>4332</v>
      </c>
      <c r="N367" s="92" t="s">
        <v>4332</v>
      </c>
      <c r="O367" s="92"/>
      <c r="P367" s="167" t="s">
        <v>4287</v>
      </c>
      <c r="Q367" s="392" t="str">
        <f t="shared" si="19"/>
        <v>10/31/2013</v>
      </c>
      <c r="R367" s="392">
        <f t="shared" si="17"/>
        <v>41577</v>
      </c>
      <c r="S367" s="392" t="s">
        <v>7382</v>
      </c>
      <c r="T367" s="168" t="s">
        <v>9769</v>
      </c>
      <c r="U367" s="167"/>
      <c r="V367" s="167"/>
      <c r="W367" s="92"/>
    </row>
    <row r="368" spans="1:23" s="86" customFormat="1" ht="60" x14ac:dyDescent="0.25">
      <c r="A368" s="165" t="str">
        <f t="shared" si="14"/>
        <v/>
      </c>
      <c r="B368" s="23" t="s">
        <v>7370</v>
      </c>
      <c r="C368" s="23" t="s">
        <v>7549</v>
      </c>
      <c r="D368" s="166" t="s">
        <v>8142</v>
      </c>
      <c r="E368" s="166" t="s">
        <v>409</v>
      </c>
      <c r="F368" s="167">
        <v>1</v>
      </c>
      <c r="G368" s="167" t="s">
        <v>8033</v>
      </c>
      <c r="H368" s="89">
        <v>165000000</v>
      </c>
      <c r="I368" s="89" t="str">
        <f>IF($H368&lt;='Abbrev Key'!$A$2,'Abbrev Key'!$B$2,IF($H368&lt;='Abbrev Key'!$A$3,'Abbrev Key'!$B$3,IF($H368&lt;='Abbrev Key'!$A$4,'Abbrev Key'!$B$4,IF($H368&lt;='Abbrev Key'!$A$5,'Abbrev Key'!$B$5,IF($H368&lt;='Abbrev Key'!$A$6,'Abbrev Key'!$B$6,IF($H368&gt;='Abbrev Key'!$A$7,'Abbrev Key'!$B$7,IF($H368='Abbrev Key'!$A$8,'Abbrev Key'!$B$8,"")))))))</f>
        <v>D</v>
      </c>
      <c r="J368" s="23" t="s">
        <v>7374</v>
      </c>
      <c r="K368" s="92" t="s">
        <v>633</v>
      </c>
      <c r="L368" s="398">
        <v>112547.86</v>
      </c>
      <c r="M368" s="403">
        <f t="shared" ref="M368:M390" si="20">IFERROR((L368/H368),"DC")</f>
        <v>6.8210824242424242E-4</v>
      </c>
      <c r="N368" s="23" t="s">
        <v>3752</v>
      </c>
      <c r="O368" s="23"/>
      <c r="P368" s="167"/>
      <c r="Q368" s="392" t="str">
        <f t="shared" si="19"/>
        <v>10/13/2017</v>
      </c>
      <c r="R368" s="392">
        <f t="shared" si="17"/>
        <v>43020</v>
      </c>
      <c r="S368" s="392" t="str">
        <f>_xlfn.IFNA(VLOOKUP(B368,'[1]VLOOKUP NO DUPS'!$A$1:$C$456,2,FALSE),"")</f>
        <v>10/13/2017</v>
      </c>
      <c r="T368" s="168" t="str">
        <f>_xlfn.IFNA(VLOOKUP(B368,'[1]VLOOKUP NO DUPS'!$A$1:$C$456,3,FALSE),"")</f>
        <v>Block &amp; Leviton LLP; Hutchings, Barsamian, Mandelcorn, LLP; Johnson Fistel, LLP; Kaplan Fox &amp; Kilsheimer LLP; Pomerantz LLP; Robbins, Geller, Rudman &amp; Dowd, LLP; Shapiro Haber &amp; Urmy LLP</v>
      </c>
      <c r="U368" s="167"/>
      <c r="V368" s="167"/>
      <c r="W368" s="92"/>
    </row>
    <row r="369" spans="1:23" s="86" customFormat="1" ht="30" x14ac:dyDescent="0.25">
      <c r="A369" s="164" t="str">
        <f t="shared" si="14"/>
        <v>DUP</v>
      </c>
      <c r="B369" s="23" t="s">
        <v>13</v>
      </c>
      <c r="C369" s="23" t="s">
        <v>10625</v>
      </c>
      <c r="D369" s="166" t="s">
        <v>8130</v>
      </c>
      <c r="E369" s="166" t="s">
        <v>424</v>
      </c>
      <c r="F369" s="167">
        <v>3</v>
      </c>
      <c r="G369" s="167" t="s">
        <v>8068</v>
      </c>
      <c r="H369" s="89">
        <v>400000000</v>
      </c>
      <c r="I369" s="89" t="str">
        <f>IF($H369&lt;='Abbrev Key'!$A$2,'Abbrev Key'!$B$2,IF($H369&lt;='Abbrev Key'!$A$3,'Abbrev Key'!$B$3,IF($H369&lt;='Abbrev Key'!$A$4,'Abbrev Key'!$B$4,IF($H369&lt;='Abbrev Key'!$A$5,'Abbrev Key'!$B$5,IF($H369&lt;='Abbrev Key'!$A$6,'Abbrev Key'!$B$6,IF($H369&gt;='Abbrev Key'!$A$7,'Abbrev Key'!$B$7,IF($H369='Abbrev Key'!$A$8,'Abbrev Key'!$B$8,"")))))))</f>
        <v>E</v>
      </c>
      <c r="J369" s="23" t="s">
        <v>11878</v>
      </c>
      <c r="K369" s="92" t="s">
        <v>646</v>
      </c>
      <c r="L369" s="398">
        <v>3114.58</v>
      </c>
      <c r="M369" s="403">
        <f t="shared" si="20"/>
        <v>7.7864500000000006E-6</v>
      </c>
      <c r="N369" s="92" t="s">
        <v>63</v>
      </c>
      <c r="O369" s="92"/>
      <c r="P369" s="167"/>
      <c r="Q369" s="392" t="str">
        <f t="shared" si="19"/>
        <v>10/04/2017</v>
      </c>
      <c r="R369" s="392">
        <f t="shared" si="17"/>
        <v>43011</v>
      </c>
      <c r="S369" s="392" t="s">
        <v>6834</v>
      </c>
      <c r="T369" s="168" t="s">
        <v>10914</v>
      </c>
      <c r="U369" s="167"/>
      <c r="V369" s="167"/>
      <c r="W369" s="92"/>
    </row>
    <row r="370" spans="1:23" s="86" customFormat="1" x14ac:dyDescent="0.25">
      <c r="A370" s="164" t="str">
        <f t="shared" si="14"/>
        <v>DUP</v>
      </c>
      <c r="B370" s="23" t="s">
        <v>7329</v>
      </c>
      <c r="C370" s="23" t="s">
        <v>10789</v>
      </c>
      <c r="D370" s="166" t="s">
        <v>8103</v>
      </c>
      <c r="E370" s="166" t="s">
        <v>418</v>
      </c>
      <c r="F370" s="167">
        <v>2</v>
      </c>
      <c r="G370" s="167" t="s">
        <v>8048</v>
      </c>
      <c r="H370" s="89">
        <v>725000000</v>
      </c>
      <c r="I370" s="89" t="str">
        <f>IF($H370&lt;='Abbrev Key'!$A$2,'Abbrev Key'!$B$2,IF($H370&lt;='Abbrev Key'!$A$3,'Abbrev Key'!$B$3,IF($H370&lt;='Abbrev Key'!$A$4,'Abbrev Key'!$B$4,IF($H370&lt;='Abbrev Key'!$A$5,'Abbrev Key'!$B$5,IF($H370&lt;='Abbrev Key'!$A$6,'Abbrev Key'!$B$6,IF($H370&gt;='Abbrev Key'!$A$7,'Abbrev Key'!$B$7,IF($H370='Abbrev Key'!$A$8,'Abbrev Key'!$B$8,"")))))))</f>
        <v>F</v>
      </c>
      <c r="J370" s="23" t="s">
        <v>7336</v>
      </c>
      <c r="K370" s="92" t="s">
        <v>633</v>
      </c>
      <c r="L370" s="398">
        <v>283211.59999999998</v>
      </c>
      <c r="M370" s="403">
        <f t="shared" si="20"/>
        <v>3.9063668965517236E-4</v>
      </c>
      <c r="N370" s="92" t="str">
        <f>VLOOKUP(B370,[3]Sheet!$B$2:$C$139,2,FALSE)</f>
        <v xml:space="preserve">Labaton Sucharow LLP </v>
      </c>
      <c r="O370" s="92"/>
      <c r="P370" s="167"/>
      <c r="Q370" s="392" t="str">
        <f t="shared" si="19"/>
        <v>10/22/2015</v>
      </c>
      <c r="R370" s="392">
        <f t="shared" si="17"/>
        <v>42298</v>
      </c>
      <c r="S370" s="392" t="s">
        <v>7330</v>
      </c>
      <c r="T370" s="168" t="s">
        <v>56</v>
      </c>
      <c r="U370" s="167"/>
      <c r="V370" s="167"/>
      <c r="W370" s="92"/>
    </row>
    <row r="371" spans="1:23" s="86" customFormat="1" ht="30" x14ac:dyDescent="0.25">
      <c r="A371" s="164" t="str">
        <f t="shared" si="14"/>
        <v/>
      </c>
      <c r="B371" s="23" t="s">
        <v>7353</v>
      </c>
      <c r="C371" s="23" t="s">
        <v>7503</v>
      </c>
      <c r="D371" s="166" t="s">
        <v>8082</v>
      </c>
      <c r="E371" s="166" t="s">
        <v>424</v>
      </c>
      <c r="F371" s="167">
        <v>3</v>
      </c>
      <c r="G371" s="167" t="s">
        <v>8010</v>
      </c>
      <c r="H371" s="89">
        <v>55000000</v>
      </c>
      <c r="I371" s="89" t="str">
        <f>IF($H371&lt;='Abbrev Key'!$A$2,'Abbrev Key'!$B$2,IF($H371&lt;='Abbrev Key'!$A$3,'Abbrev Key'!$B$3,IF($H371&lt;='Abbrev Key'!$A$4,'Abbrev Key'!$B$4,IF($H371&lt;='Abbrev Key'!$A$5,'Abbrev Key'!$B$5,IF($H371&lt;='Abbrev Key'!$A$6,'Abbrev Key'!$B$6,IF($H371&gt;='Abbrev Key'!$A$7,'Abbrev Key'!$B$7,IF($H371='Abbrev Key'!$A$8,'Abbrev Key'!$B$8,"")))))))</f>
        <v>C</v>
      </c>
      <c r="J371" s="23" t="s">
        <v>7356</v>
      </c>
      <c r="K371" s="23" t="s">
        <v>637</v>
      </c>
      <c r="L371" s="398">
        <v>61764</v>
      </c>
      <c r="M371" s="403">
        <f t="shared" si="20"/>
        <v>1.1229818181818182E-3</v>
      </c>
      <c r="N371" s="23" t="s">
        <v>2897</v>
      </c>
      <c r="O371" s="23"/>
      <c r="P371" s="167" t="s">
        <v>4287</v>
      </c>
      <c r="Q371" s="392" t="str">
        <f t="shared" si="19"/>
        <v>10/12/2017</v>
      </c>
      <c r="R371" s="392">
        <f t="shared" si="17"/>
        <v>43019</v>
      </c>
      <c r="S371" s="392" t="str">
        <f>_xlfn.IFNA(VLOOKUP(B371,'[1]VLOOKUP NO DUPS'!$A$1:$C$456,2,FALSE),"")</f>
        <v>10/23/2017</v>
      </c>
      <c r="T371" s="168" t="str">
        <f>_xlfn.IFNA(VLOOKUP(B371,'[1]VLOOKUP NO DUPS'!$A$1:$C$456,3,FALSE),"")</f>
        <v>Lite Depalma Greenberg, LLC; Pomerantz LLP</v>
      </c>
      <c r="U371" s="167"/>
      <c r="V371" s="167"/>
      <c r="W371" s="92"/>
    </row>
    <row r="372" spans="1:23" s="86" customFormat="1" ht="30" x14ac:dyDescent="0.25">
      <c r="A372" s="164" t="str">
        <f t="shared" si="14"/>
        <v/>
      </c>
      <c r="B372" s="23" t="s">
        <v>7340</v>
      </c>
      <c r="C372" s="23" t="s">
        <v>7523</v>
      </c>
      <c r="D372" s="166" t="s">
        <v>8177</v>
      </c>
      <c r="E372" s="166" t="s">
        <v>1008</v>
      </c>
      <c r="F372" s="167">
        <v>2</v>
      </c>
      <c r="G372" s="167" t="s">
        <v>8176</v>
      </c>
      <c r="H372" s="89" t="s">
        <v>4882</v>
      </c>
      <c r="I372" s="89" t="s">
        <v>6732</v>
      </c>
      <c r="J372" s="23" t="s">
        <v>11809</v>
      </c>
      <c r="K372" s="23" t="s">
        <v>646</v>
      </c>
      <c r="L372" s="398">
        <v>236883.01</v>
      </c>
      <c r="M372" s="403" t="str">
        <f t="shared" si="20"/>
        <v>DC</v>
      </c>
      <c r="N372" s="23" t="s">
        <v>10848</v>
      </c>
      <c r="O372" s="23"/>
      <c r="P372" s="167"/>
      <c r="Q372" s="392" t="str">
        <f t="shared" si="19"/>
        <v>10/31/2017</v>
      </c>
      <c r="R372" s="392">
        <f t="shared" si="17"/>
        <v>43038</v>
      </c>
      <c r="S372" s="392" t="str">
        <f>_xlfn.IFNA(VLOOKUP(B372,'[1]VLOOKUP NO DUPS'!$A$1:$C$456,2,FALSE),"")</f>
        <v>10/23/2017</v>
      </c>
      <c r="T372" s="168" t="str">
        <f>_xlfn.IFNA(VLOOKUP(B372,'[1]VLOOKUP NO DUPS'!$A$1:$C$456,3,FALSE),"")</f>
        <v>Bronstein, Gewirtz &amp; Grossman, LLC; Pomerantz LLP; Robbins, Geller, Rudman &amp; Dowd, LLP</v>
      </c>
      <c r="U372" s="167"/>
      <c r="V372" s="167"/>
      <c r="W372" s="92"/>
    </row>
    <row r="373" spans="1:23" s="86" customFormat="1" x14ac:dyDescent="0.25">
      <c r="A373" s="164" t="str">
        <f t="shared" si="14"/>
        <v>DUP</v>
      </c>
      <c r="B373" s="23" t="s">
        <v>3319</v>
      </c>
      <c r="C373" s="23" t="s">
        <v>10677</v>
      </c>
      <c r="D373" s="166" t="s">
        <v>8106</v>
      </c>
      <c r="E373" s="166" t="s">
        <v>418</v>
      </c>
      <c r="F373" s="167">
        <v>2</v>
      </c>
      <c r="G373" s="167" t="s">
        <v>8067</v>
      </c>
      <c r="H373" s="89">
        <v>150000000</v>
      </c>
      <c r="I373" s="89" t="str">
        <f>IF($H373&lt;='Abbrev Key'!$A$2,'Abbrev Key'!$B$2,IF($H373&lt;='Abbrev Key'!$A$3,'Abbrev Key'!$B$3,IF($H373&lt;='Abbrev Key'!$A$4,'Abbrev Key'!$B$4,IF($H373&lt;='Abbrev Key'!$A$5,'Abbrev Key'!$B$5,IF($H373&lt;='Abbrev Key'!$A$6,'Abbrev Key'!$B$6,IF($H373&gt;='Abbrev Key'!$A$7,'Abbrev Key'!$B$7,IF($H373='Abbrev Key'!$A$8,'Abbrev Key'!$B$8,"")))))))</f>
        <v>D</v>
      </c>
      <c r="J373" s="14" t="s">
        <v>10735</v>
      </c>
      <c r="K373" s="23" t="s">
        <v>637</v>
      </c>
      <c r="L373" s="398">
        <v>622</v>
      </c>
      <c r="M373" s="403">
        <f t="shared" si="20"/>
        <v>4.1466666666666671E-6</v>
      </c>
      <c r="N373" s="92" t="s">
        <v>1002</v>
      </c>
      <c r="O373" s="92"/>
      <c r="P373" s="167"/>
      <c r="Q373" s="392" t="str">
        <f t="shared" si="19"/>
        <v>02/15/2013</v>
      </c>
      <c r="R373" s="392">
        <f t="shared" si="17"/>
        <v>41319</v>
      </c>
      <c r="S373" s="392" t="s">
        <v>6765</v>
      </c>
      <c r="T373" s="168" t="s">
        <v>1002</v>
      </c>
      <c r="U373" s="167"/>
      <c r="V373" s="167"/>
      <c r="W373" s="92"/>
    </row>
    <row r="374" spans="1:23" s="86" customFormat="1" ht="30" x14ac:dyDescent="0.25">
      <c r="A374" s="165" t="str">
        <f t="shared" si="14"/>
        <v/>
      </c>
      <c r="B374" s="23" t="s">
        <v>4162</v>
      </c>
      <c r="C374" s="23" t="s">
        <v>5398</v>
      </c>
      <c r="D374" s="166" t="s">
        <v>5399</v>
      </c>
      <c r="E374" s="242" t="s">
        <v>1380</v>
      </c>
      <c r="F374" s="169">
        <v>5</v>
      </c>
      <c r="G374" s="243" t="s">
        <v>5400</v>
      </c>
      <c r="H374" s="89">
        <v>40000000</v>
      </c>
      <c r="I374" s="89" t="str">
        <f>IF($H374&lt;='Abbrev Key'!$A$2,'Abbrev Key'!$B$2,IF($H374&lt;='Abbrev Key'!$A$3,'Abbrev Key'!$B$3,IF($H374&lt;='Abbrev Key'!$A$4,'Abbrev Key'!$B$4,IF($H374&lt;='Abbrev Key'!$A$5,'Abbrev Key'!$B$5,IF($H374&lt;='Abbrev Key'!$A$6,'Abbrev Key'!$B$6,IF($H374&gt;='Abbrev Key'!$A$7,'Abbrev Key'!$B$7,IF($H374='Abbrev Key'!$A$8,'Abbrev Key'!$B$8,"")))))))</f>
        <v>B</v>
      </c>
      <c r="J374" s="17" t="s">
        <v>4163</v>
      </c>
      <c r="K374" s="23" t="s">
        <v>637</v>
      </c>
      <c r="L374" s="398">
        <v>737324</v>
      </c>
      <c r="M374" s="403">
        <f t="shared" si="20"/>
        <v>1.8433100000000001E-2</v>
      </c>
      <c r="N374" s="23" t="s">
        <v>4165</v>
      </c>
      <c r="O374" s="23"/>
      <c r="P374" s="167" t="s">
        <v>4295</v>
      </c>
      <c r="Q374" s="392">
        <v>42331</v>
      </c>
      <c r="R374" s="392">
        <v>42330</v>
      </c>
      <c r="S374" s="392" t="s">
        <v>10892</v>
      </c>
      <c r="T374" s="168" t="s">
        <v>10893</v>
      </c>
      <c r="U374" s="92"/>
      <c r="V374" s="92"/>
      <c r="W374" s="92"/>
    </row>
    <row r="375" spans="1:23" s="86" customFormat="1" ht="60" x14ac:dyDescent="0.25">
      <c r="A375" s="165" t="str">
        <f t="shared" si="14"/>
        <v/>
      </c>
      <c r="B375" s="23" t="s">
        <v>7320</v>
      </c>
      <c r="C375" s="23" t="s">
        <v>6731</v>
      </c>
      <c r="D375" s="166" t="s">
        <v>8162</v>
      </c>
      <c r="E375" s="166" t="s">
        <v>8609</v>
      </c>
      <c r="F375" s="167">
        <v>6</v>
      </c>
      <c r="G375" s="167" t="s">
        <v>8076</v>
      </c>
      <c r="H375" s="89">
        <v>500000000</v>
      </c>
      <c r="I375" s="89" t="str">
        <f>IF($H375&lt;='Abbrev Key'!$A$2,'Abbrev Key'!$B$2,IF($H375&lt;='Abbrev Key'!$A$3,'Abbrev Key'!$B$3,IF($H375&lt;='Abbrev Key'!$A$4,'Abbrev Key'!$B$4,IF($H375&lt;='Abbrev Key'!$A$5,'Abbrev Key'!$B$5,IF($H375&lt;='Abbrev Key'!$A$6,'Abbrev Key'!$B$6,IF($H375&gt;='Abbrev Key'!$A$7,'Abbrev Key'!$B$7,IF($H375='Abbrev Key'!$A$8,'Abbrev Key'!$B$8,"")))))))</f>
        <v>E</v>
      </c>
      <c r="J375" s="23" t="s">
        <v>11829</v>
      </c>
      <c r="K375" s="23" t="s">
        <v>662</v>
      </c>
      <c r="L375" s="398">
        <v>1269232</v>
      </c>
      <c r="M375" s="403">
        <f t="shared" si="20"/>
        <v>2.5384639999999998E-3</v>
      </c>
      <c r="N375" s="23" t="s">
        <v>554</v>
      </c>
      <c r="O375" s="23"/>
      <c r="P375" s="167"/>
      <c r="Q375" s="392" t="str">
        <f t="shared" ref="Q375:Q438" si="21">RIGHT(G375,10)</f>
        <v>10/26/2017</v>
      </c>
      <c r="R375" s="392">
        <f t="shared" ref="R375:R438" si="22">Q375-1</f>
        <v>43033</v>
      </c>
      <c r="S375" s="392" t="str">
        <f>_xlfn.IFNA(VLOOKUP(B375,'[1]VLOOKUP NO DUPS'!$A$1:$C$456,2,FALSE),"")</f>
        <v>10/30/2017</v>
      </c>
      <c r="T375" s="168" t="str">
        <f>_xlfn.IFNA(VLOOKUP(B375,'[1]VLOOKUP NO DUPS'!$A$1:$C$456,3,FALSE),"")</f>
        <v>Bronstein, Gewirtz &amp; Grossman, LLC; Pomerantz LLP</v>
      </c>
      <c r="U375" s="167"/>
      <c r="V375" s="167"/>
      <c r="W375" s="92"/>
    </row>
    <row r="376" spans="1:23" s="86" customFormat="1" ht="30" x14ac:dyDescent="0.25">
      <c r="A376" s="164" t="str">
        <f t="shared" si="14"/>
        <v>DUP</v>
      </c>
      <c r="B376" s="23" t="s">
        <v>2654</v>
      </c>
      <c r="C376" s="23" t="s">
        <v>10620</v>
      </c>
      <c r="D376" s="166" t="s">
        <v>8134</v>
      </c>
      <c r="E376" s="166" t="s">
        <v>446</v>
      </c>
      <c r="F376" s="167">
        <v>9</v>
      </c>
      <c r="G376" s="168" t="s">
        <v>8135</v>
      </c>
      <c r="H376" s="89">
        <v>55000000</v>
      </c>
      <c r="I376" s="89" t="str">
        <f>IF($H376&lt;='Abbrev Key'!$A$2,'Abbrev Key'!$B$2,IF($H376&lt;='Abbrev Key'!$A$3,'Abbrev Key'!$B$3,IF($H376&lt;='Abbrev Key'!$A$4,'Abbrev Key'!$B$4,IF($H376&lt;='Abbrev Key'!$A$5,'Abbrev Key'!$B$5,IF($H376&lt;='Abbrev Key'!$A$6,'Abbrev Key'!$B$6,IF($H376&gt;='Abbrev Key'!$A$7,'Abbrev Key'!$B$7,IF($H376='Abbrev Key'!$A$8,'Abbrev Key'!$B$8,"")))))))</f>
        <v>C</v>
      </c>
      <c r="J376" s="23" t="s">
        <v>7318</v>
      </c>
      <c r="K376" s="23" t="s">
        <v>633</v>
      </c>
      <c r="L376" s="398">
        <v>338601.83</v>
      </c>
      <c r="M376" s="403">
        <f t="shared" si="20"/>
        <v>6.1563969090909091E-3</v>
      </c>
      <c r="N376" s="23" t="s">
        <v>7319</v>
      </c>
      <c r="O376" s="23"/>
      <c r="P376" s="167" t="s">
        <v>4287</v>
      </c>
      <c r="Q376" s="392" t="str">
        <f t="shared" si="21"/>
        <v>10/10/2017</v>
      </c>
      <c r="R376" s="392">
        <f t="shared" si="22"/>
        <v>43017</v>
      </c>
      <c r="S376" s="392" t="s">
        <v>7311</v>
      </c>
      <c r="T376" s="168" t="s">
        <v>10917</v>
      </c>
      <c r="U376" s="167"/>
      <c r="V376" s="167"/>
      <c r="W376" s="92"/>
    </row>
    <row r="377" spans="1:23" s="86" customFormat="1" ht="30" x14ac:dyDescent="0.25">
      <c r="A377" s="164" t="str">
        <f t="shared" si="14"/>
        <v/>
      </c>
      <c r="B377" s="23" t="s">
        <v>7310</v>
      </c>
      <c r="C377" s="23" t="s">
        <v>7605</v>
      </c>
      <c r="D377" s="166" t="s">
        <v>8118</v>
      </c>
      <c r="E377" s="166" t="s">
        <v>418</v>
      </c>
      <c r="F377" s="167">
        <v>2</v>
      </c>
      <c r="G377" s="167" t="s">
        <v>8127</v>
      </c>
      <c r="H377" s="89">
        <v>102000000</v>
      </c>
      <c r="I377" s="89" t="str">
        <f>IF($H377&lt;='Abbrev Key'!$A$2,'Abbrev Key'!$B$2,IF($H377&lt;='Abbrev Key'!$A$3,'Abbrev Key'!$B$3,IF($H377&lt;='Abbrev Key'!$A$4,'Abbrev Key'!$B$4,IF($H377&lt;='Abbrev Key'!$A$5,'Abbrev Key'!$B$5,IF($H377&lt;='Abbrev Key'!$A$6,'Abbrev Key'!$B$6,IF($H377&gt;='Abbrev Key'!$A$7,'Abbrev Key'!$B$7,IF($H377='Abbrev Key'!$A$8,'Abbrev Key'!$B$8,"")))))))</f>
        <v>D</v>
      </c>
      <c r="J377" s="92" t="s">
        <v>7314</v>
      </c>
      <c r="K377" s="92" t="s">
        <v>637</v>
      </c>
      <c r="L377" s="398">
        <v>570118.73</v>
      </c>
      <c r="M377" s="403">
        <f t="shared" si="20"/>
        <v>5.5893993137254901E-3</v>
      </c>
      <c r="N377" s="92" t="str">
        <f>VLOOKUP(B377,[3]Sheet!$B$2:$C$139,2,FALSE)</f>
        <v xml:space="preserve">Glancy Prongay &amp; Murray, LLP </v>
      </c>
      <c r="O377" s="92"/>
      <c r="P377" s="167"/>
      <c r="Q377" s="392" t="str">
        <f t="shared" si="21"/>
        <v>10/26/2017</v>
      </c>
      <c r="R377" s="392">
        <f t="shared" si="22"/>
        <v>43033</v>
      </c>
      <c r="S377" s="392" t="str">
        <f>_xlfn.IFNA(VLOOKUP(B377,'[1]VLOOKUP NO DUPS'!$A$1:$C$456,2,FALSE),"")</f>
        <v>10/30/2017</v>
      </c>
      <c r="T377" s="168" t="str">
        <f>_xlfn.IFNA(VLOOKUP(B377,'[1]VLOOKUP NO DUPS'!$A$1:$C$456,3,FALSE),"")</f>
        <v>Bronstein, Gewirtz &amp; Grossman, LLC; Glancy Prongay &amp; Murray, LLP; Holzer &amp; Holzer, LLC; Pomerantz LLP</v>
      </c>
      <c r="U377" s="167"/>
      <c r="V377" s="167"/>
      <c r="W377" s="92"/>
    </row>
    <row r="378" spans="1:23" s="86" customFormat="1" ht="45" x14ac:dyDescent="0.25">
      <c r="A378" s="165" t="str">
        <f t="shared" si="14"/>
        <v/>
      </c>
      <c r="B378" s="23" t="s">
        <v>8839</v>
      </c>
      <c r="C378" s="23" t="s">
        <v>8524</v>
      </c>
      <c r="D378" s="166" t="s">
        <v>8676</v>
      </c>
      <c r="E378" s="166" t="s">
        <v>409</v>
      </c>
      <c r="F378" s="167">
        <v>1</v>
      </c>
      <c r="G378" s="167" t="s">
        <v>8328</v>
      </c>
      <c r="H378" s="89">
        <v>40000000</v>
      </c>
      <c r="I378" s="89" t="str">
        <f>IF($H378&lt;='Abbrev Key'!$A$2,'Abbrev Key'!$B$2,IF($H378&lt;='Abbrev Key'!$A$3,'Abbrev Key'!$B$3,IF($H378&lt;='Abbrev Key'!$A$4,'Abbrev Key'!$B$4,IF($H378&lt;='Abbrev Key'!$A$5,'Abbrev Key'!$B$5,IF($H378&lt;='Abbrev Key'!$A$6,'Abbrev Key'!$B$6,IF($H378&gt;='Abbrev Key'!$A$7,'Abbrev Key'!$B$7,IF($H378='Abbrev Key'!$A$8,'Abbrev Key'!$B$8,"")))))))</f>
        <v>B</v>
      </c>
      <c r="J378" s="17" t="s">
        <v>11845</v>
      </c>
      <c r="K378" s="92" t="s">
        <v>646</v>
      </c>
      <c r="L378" s="398">
        <v>588502.48</v>
      </c>
      <c r="M378" s="403">
        <f t="shared" si="20"/>
        <v>1.4712562E-2</v>
      </c>
      <c r="N378" s="23" t="s">
        <v>10849</v>
      </c>
      <c r="O378" s="23"/>
      <c r="P378" s="167"/>
      <c r="Q378" s="392" t="str">
        <f t="shared" si="21"/>
        <v>09/25/2017</v>
      </c>
      <c r="R378" s="392">
        <f t="shared" si="22"/>
        <v>43002</v>
      </c>
      <c r="S378" s="392" t="str">
        <f>_xlfn.IFNA(VLOOKUP(B378,'[1]VLOOKUP NO DUPS'!$A$1:$C$456,2,FALSE),"")</f>
        <v>10/31/2017</v>
      </c>
      <c r="T378" s="168" t="str">
        <f>_xlfn.IFNA(VLOOKUP(B378,'[1]VLOOKUP NO DUPS'!$A$1:$C$456,3,FALSE),"")</f>
        <v>Andrews DeValerio LLP; Block &amp; Leviton LLP; Bronstein, Gewirtz &amp; Grossman, LLC; Levi &amp; Korsinsky, LLP; Pomerantz LLP; Scott &amp; Scott,  LLP</v>
      </c>
      <c r="U378" s="167"/>
      <c r="V378" s="167"/>
      <c r="W378" s="167"/>
    </row>
    <row r="379" spans="1:23" s="86" customFormat="1" ht="60" x14ac:dyDescent="0.25">
      <c r="A379" s="165" t="str">
        <f t="shared" si="14"/>
        <v/>
      </c>
      <c r="B379" s="23" t="s">
        <v>8876</v>
      </c>
      <c r="C379" s="23" t="s">
        <v>8557</v>
      </c>
      <c r="D379" s="166" t="s">
        <v>8722</v>
      </c>
      <c r="E379" s="166" t="s">
        <v>503</v>
      </c>
      <c r="F379" s="169">
        <v>4</v>
      </c>
      <c r="G379" s="167" t="s">
        <v>8723</v>
      </c>
      <c r="H379" s="89">
        <v>67000000</v>
      </c>
      <c r="I379" s="89" t="str">
        <f>IF($H379&lt;='Abbrev Key'!$A$2,'Abbrev Key'!$B$2,IF($H379&lt;='Abbrev Key'!$A$3,'Abbrev Key'!$B$3,IF($H379&lt;='Abbrev Key'!$A$4,'Abbrev Key'!$B$4,IF($H379&lt;='Abbrev Key'!$A$5,'Abbrev Key'!$B$5,IF($H379&lt;='Abbrev Key'!$A$6,'Abbrev Key'!$B$6,IF($H379&gt;='Abbrev Key'!$A$7,'Abbrev Key'!$B$7,IF($H379='Abbrev Key'!$A$8,'Abbrev Key'!$B$8,"")))))))</f>
        <v>C</v>
      </c>
      <c r="J379" s="17" t="s">
        <v>9716</v>
      </c>
      <c r="K379" s="23" t="s">
        <v>637</v>
      </c>
      <c r="L379" s="398">
        <v>49334.13</v>
      </c>
      <c r="M379" s="403">
        <f t="shared" si="20"/>
        <v>7.3633029850746266E-4</v>
      </c>
      <c r="N379" s="23" t="s">
        <v>9850</v>
      </c>
      <c r="O379" s="23"/>
      <c r="P379" s="167"/>
      <c r="Q379" s="392" t="str">
        <f t="shared" si="21"/>
        <v>01/26/2017</v>
      </c>
      <c r="R379" s="392">
        <f t="shared" si="22"/>
        <v>42760</v>
      </c>
      <c r="S379" s="392" t="str">
        <f>_xlfn.IFNA(VLOOKUP(B379,'[1]VLOOKUP NO DUPS'!$A$1:$C$456,2,FALSE),"")</f>
        <v>11/03/2017</v>
      </c>
      <c r="T379" s="168" t="str">
        <f>_xlfn.IFNA(VLOOKUP(B379,'[1]VLOOKUP NO DUPS'!$A$1:$C$456,3,FALSE),"")</f>
        <v>Bronstein, Gewirtz &amp; Grossman, LLC; Holzer &amp; Holzer, LLC; Johnson Fistel, LLP; McDaniel &amp; Anderson, LLP; Pomerantz LLP; Robbins, Geller, Rudman &amp; Dowd, LLP; Schiller &amp; Schiller, P.L.L.C.</v>
      </c>
      <c r="U379" s="167"/>
      <c r="V379" s="167"/>
      <c r="W379" s="167"/>
    </row>
    <row r="380" spans="1:23" s="86" customFormat="1" x14ac:dyDescent="0.25">
      <c r="A380" s="164" t="str">
        <f t="shared" si="14"/>
        <v>DUP</v>
      </c>
      <c r="B380" s="23" t="s">
        <v>8820</v>
      </c>
      <c r="C380" s="23" t="s">
        <v>11309</v>
      </c>
      <c r="D380" s="166" t="s">
        <v>8648</v>
      </c>
      <c r="E380" s="166" t="s">
        <v>446</v>
      </c>
      <c r="F380" s="167">
        <v>9</v>
      </c>
      <c r="G380" s="167" t="s">
        <v>8299</v>
      </c>
      <c r="H380" s="89" t="s">
        <v>4882</v>
      </c>
      <c r="I380" s="89" t="s">
        <v>6732</v>
      </c>
      <c r="J380" s="17" t="s">
        <v>9706</v>
      </c>
      <c r="K380" s="23" t="s">
        <v>637</v>
      </c>
      <c r="L380" s="398">
        <v>3000</v>
      </c>
      <c r="M380" s="403" t="str">
        <f t="shared" si="20"/>
        <v>DC</v>
      </c>
      <c r="N380" s="92" t="str">
        <f>VLOOKUP(B380,[3]Sheet!$B$2:$C$139,2,FALSE)</f>
        <v xml:space="preserve">The Rosen Law Firm, P.A. </v>
      </c>
      <c r="O380" s="92"/>
      <c r="P380" s="167"/>
      <c r="Q380" s="392" t="str">
        <f t="shared" si="21"/>
        <v>10/25/2017</v>
      </c>
      <c r="R380" s="392">
        <f t="shared" si="22"/>
        <v>43032</v>
      </c>
      <c r="S380" s="392" t="str">
        <f>_xlfn.IFNA(VLOOKUP(B380,'[1]VLOOKUP NO DUPS'!$A$1:$C$456,2,FALSE),"")</f>
        <v>11/08/2017</v>
      </c>
      <c r="T380" s="168" t="str">
        <f>_xlfn.IFNA(VLOOKUP(B380,'[1]VLOOKUP NO DUPS'!$A$1:$C$456,3,FALSE),"")</f>
        <v>The Rosen Law Firm, P.A.</v>
      </c>
      <c r="U380" s="167"/>
      <c r="V380" s="167"/>
      <c r="W380" s="167"/>
    </row>
    <row r="381" spans="1:23" s="86" customFormat="1" ht="30" x14ac:dyDescent="0.25">
      <c r="A381" s="164" t="str">
        <f t="shared" si="14"/>
        <v>DUP</v>
      </c>
      <c r="B381" s="23" t="s">
        <v>51</v>
      </c>
      <c r="C381" s="23" t="s">
        <v>10528</v>
      </c>
      <c r="D381" s="166" t="s">
        <v>8661</v>
      </c>
      <c r="E381" s="166" t="s">
        <v>542</v>
      </c>
      <c r="F381" s="169">
        <v>3</v>
      </c>
      <c r="G381" s="167" t="s">
        <v>8313</v>
      </c>
      <c r="H381" s="89">
        <v>800000000</v>
      </c>
      <c r="I381" s="89" t="str">
        <f>IF($H381&lt;='Abbrev Key'!$A$2,'Abbrev Key'!$B$2,IF($H381&lt;='Abbrev Key'!$A$3,'Abbrev Key'!$B$3,IF($H381&lt;='Abbrev Key'!$A$4,'Abbrev Key'!$B$4,IF($H381&lt;='Abbrev Key'!$A$5,'Abbrev Key'!$B$5,IF($H381&lt;='Abbrev Key'!$A$6,'Abbrev Key'!$B$6,IF($H381&gt;='Abbrev Key'!$A$7,'Abbrev Key'!$B$7,IF($H381='Abbrev Key'!$A$8,'Abbrev Key'!$B$8,"")))))))</f>
        <v>F</v>
      </c>
      <c r="J381" s="17" t="s">
        <v>9697</v>
      </c>
      <c r="K381" s="23" t="s">
        <v>633</v>
      </c>
      <c r="L381" s="398">
        <v>112536.1</v>
      </c>
      <c r="M381" s="403">
        <f t="shared" si="20"/>
        <v>1.4067012500000001E-4</v>
      </c>
      <c r="N381" s="23" t="s">
        <v>9846</v>
      </c>
      <c r="O381" s="23"/>
      <c r="P381" s="167" t="s">
        <v>4287</v>
      </c>
      <c r="Q381" s="392" t="str">
        <f t="shared" si="21"/>
        <v>02/28/2017</v>
      </c>
      <c r="R381" s="392">
        <f t="shared" si="22"/>
        <v>42793</v>
      </c>
      <c r="S381" s="392" t="s">
        <v>9141</v>
      </c>
      <c r="T381" s="168" t="s">
        <v>79</v>
      </c>
      <c r="U381" s="167"/>
      <c r="V381" s="167"/>
      <c r="W381" s="167"/>
    </row>
    <row r="382" spans="1:23" s="86" customFormat="1" ht="30" x14ac:dyDescent="0.25">
      <c r="A382" s="165" t="str">
        <f t="shared" si="14"/>
        <v/>
      </c>
      <c r="B382" s="23" t="s">
        <v>8866</v>
      </c>
      <c r="C382" s="23" t="s">
        <v>8546</v>
      </c>
      <c r="D382" s="166" t="s">
        <v>8709</v>
      </c>
      <c r="E382" s="166" t="s">
        <v>8611</v>
      </c>
      <c r="F382" s="167">
        <v>6</v>
      </c>
      <c r="G382" s="167" t="s">
        <v>8367</v>
      </c>
      <c r="H382" s="89">
        <v>35000000</v>
      </c>
      <c r="I382" s="89" t="str">
        <f>IF($H382&lt;='Abbrev Key'!$A$2,'Abbrev Key'!$B$2,IF($H382&lt;='Abbrev Key'!$A$3,'Abbrev Key'!$B$3,IF($H382&lt;='Abbrev Key'!$A$4,'Abbrev Key'!$B$4,IF($H382&lt;='Abbrev Key'!$A$5,'Abbrev Key'!$B$5,IF($H382&lt;='Abbrev Key'!$A$6,'Abbrev Key'!$B$6,IF($H382&gt;='Abbrev Key'!$A$7,'Abbrev Key'!$B$7,IF($H382='Abbrev Key'!$A$8,'Abbrev Key'!$B$8,"")))))))</f>
        <v>B</v>
      </c>
      <c r="J382" s="23" t="s">
        <v>9698</v>
      </c>
      <c r="K382" s="23" t="s">
        <v>637</v>
      </c>
      <c r="L382" s="398">
        <v>3544.05</v>
      </c>
      <c r="M382" s="403">
        <f t="shared" si="20"/>
        <v>1.0125857142857144E-4</v>
      </c>
      <c r="N382" s="23" t="s">
        <v>9847</v>
      </c>
      <c r="O382" s="23"/>
      <c r="P382" s="167"/>
      <c r="Q382" s="392" t="str">
        <f t="shared" si="21"/>
        <v>07/13/2017</v>
      </c>
      <c r="R382" s="392">
        <f t="shared" si="22"/>
        <v>42928</v>
      </c>
      <c r="S382" s="392" t="str">
        <f>_xlfn.IFNA(VLOOKUP(B382,'[1]VLOOKUP NO DUPS'!$A$1:$C$456,2,FALSE),"")</f>
        <v>11/15/2017</v>
      </c>
      <c r="T382" s="168" t="str">
        <f>_xlfn.IFNA(VLOOKUP(B382,'[1]VLOOKUP NO DUPS'!$A$1:$C$456,3,FALSE),"")</f>
        <v>Levi &amp; Korsinsky, LLP; Perantinides &amp; Nolan Co., L.P.A.</v>
      </c>
      <c r="U382" s="167"/>
      <c r="V382" s="167"/>
      <c r="W382" s="167"/>
    </row>
    <row r="383" spans="1:23" s="86" customFormat="1" x14ac:dyDescent="0.25">
      <c r="A383" s="164" t="str">
        <f t="shared" si="14"/>
        <v/>
      </c>
      <c r="B383" s="23" t="s">
        <v>8879</v>
      </c>
      <c r="C383" s="23" t="s">
        <v>8562</v>
      </c>
      <c r="D383" s="166" t="s">
        <v>8727</v>
      </c>
      <c r="E383" s="166" t="s">
        <v>418</v>
      </c>
      <c r="F383" s="167">
        <v>2</v>
      </c>
      <c r="G383" s="167" t="s">
        <v>8385</v>
      </c>
      <c r="H383" s="89">
        <v>375000000</v>
      </c>
      <c r="I383" s="89" t="str">
        <f>IF($H383&lt;='Abbrev Key'!$A$2,'Abbrev Key'!$B$2,IF($H383&lt;='Abbrev Key'!$A$3,'Abbrev Key'!$B$3,IF($H383&lt;='Abbrev Key'!$A$4,'Abbrev Key'!$B$4,IF($H383&lt;='Abbrev Key'!$A$5,'Abbrev Key'!$B$5,IF($H383&lt;='Abbrev Key'!$A$6,'Abbrev Key'!$B$6,IF($H383&gt;='Abbrev Key'!$A$7,'Abbrev Key'!$B$7,IF($H383='Abbrev Key'!$A$8,'Abbrev Key'!$B$8,"")))))))</f>
        <v>E</v>
      </c>
      <c r="J383" s="17" t="s">
        <v>9699</v>
      </c>
      <c r="K383" s="92" t="s">
        <v>637</v>
      </c>
      <c r="L383" s="398">
        <v>119400</v>
      </c>
      <c r="M383" s="403">
        <f t="shared" si="20"/>
        <v>3.1839999999999999E-4</v>
      </c>
      <c r="N383" s="92" t="str">
        <f>VLOOKUP(B383,[3]Sheet!$B$2:$C$139,2,FALSE)</f>
        <v xml:space="preserve">The Rosen Law Firm, P.A. </v>
      </c>
      <c r="O383" s="92"/>
      <c r="P383" s="167"/>
      <c r="Q383" s="392" t="str">
        <f t="shared" si="21"/>
        <v>10/31/2017</v>
      </c>
      <c r="R383" s="392">
        <f t="shared" si="22"/>
        <v>43038</v>
      </c>
      <c r="S383" s="392" t="str">
        <f>_xlfn.IFNA(VLOOKUP(B383,'[1]VLOOKUP NO DUPS'!$A$1:$C$456,2,FALSE),"")</f>
        <v>11/16/2017</v>
      </c>
      <c r="T383" s="168" t="str">
        <f>_xlfn.IFNA(VLOOKUP(B383,'[1]VLOOKUP NO DUPS'!$A$1:$C$456,3,FALSE),"")</f>
        <v>Glancy Prongay &amp; Murray, LLP; Pomerantz LLP</v>
      </c>
      <c r="U383" s="167"/>
      <c r="V383" s="167"/>
      <c r="W383" s="167"/>
    </row>
    <row r="384" spans="1:23" s="86" customFormat="1" x14ac:dyDescent="0.25">
      <c r="A384" s="164" t="str">
        <f t="shared" si="14"/>
        <v/>
      </c>
      <c r="B384" s="23" t="s">
        <v>8785</v>
      </c>
      <c r="C384" s="23" t="s">
        <v>8463</v>
      </c>
      <c r="D384" s="166" t="s">
        <v>8620</v>
      </c>
      <c r="E384" s="166" t="s">
        <v>418</v>
      </c>
      <c r="F384" s="167">
        <v>2</v>
      </c>
      <c r="G384" s="167" t="s">
        <v>8253</v>
      </c>
      <c r="H384" s="89">
        <v>225000000</v>
      </c>
      <c r="I384" s="89" t="str">
        <f>IF($H384&lt;='Abbrev Key'!$A$2,'Abbrev Key'!$B$2,IF($H384&lt;='Abbrev Key'!$A$3,'Abbrev Key'!$B$3,IF($H384&lt;='Abbrev Key'!$A$4,'Abbrev Key'!$B$4,IF($H384&lt;='Abbrev Key'!$A$5,'Abbrev Key'!$B$5,IF($H384&lt;='Abbrev Key'!$A$6,'Abbrev Key'!$B$6,IF($H384&gt;='Abbrev Key'!$A$7,'Abbrev Key'!$B$7,IF($H384='Abbrev Key'!$A$8,'Abbrev Key'!$B$8,"")))))))</f>
        <v>D</v>
      </c>
      <c r="J384" s="92" t="s">
        <v>9694</v>
      </c>
      <c r="K384" s="92" t="s">
        <v>637</v>
      </c>
      <c r="L384" s="398">
        <v>778</v>
      </c>
      <c r="M384" s="403">
        <f t="shared" si="20"/>
        <v>3.4577777777777778E-6</v>
      </c>
      <c r="N384" s="92" t="str">
        <f>VLOOKUP(B384,[3]Sheet!$B$2:$C$139,2,FALSE)</f>
        <v xml:space="preserve">Pomerantz LLP </v>
      </c>
      <c r="O384" s="92"/>
      <c r="P384" s="167"/>
      <c r="Q384" s="392" t="str">
        <f t="shared" si="21"/>
        <v>11/14/2017</v>
      </c>
      <c r="R384" s="392">
        <f t="shared" si="22"/>
        <v>43052</v>
      </c>
      <c r="S384" s="392" t="str">
        <f>_xlfn.IFNA(VLOOKUP(B384,'[1]VLOOKUP NO DUPS'!$A$1:$C$456,2,FALSE),"")</f>
        <v>11/17/2017</v>
      </c>
      <c r="T384" s="168" t="str">
        <f>_xlfn.IFNA(VLOOKUP(B384,'[1]VLOOKUP NO DUPS'!$A$1:$C$456,3,FALSE),"")</f>
        <v>Pomerantz LLP</v>
      </c>
      <c r="U384" s="167"/>
      <c r="V384" s="167"/>
      <c r="W384" s="167"/>
    </row>
    <row r="385" spans="1:23" s="86" customFormat="1" ht="30" x14ac:dyDescent="0.25">
      <c r="A385" s="164" t="str">
        <f t="shared" si="14"/>
        <v/>
      </c>
      <c r="B385" s="23" t="s">
        <v>8804</v>
      </c>
      <c r="C385" s="23" t="s">
        <v>8481</v>
      </c>
      <c r="D385" s="166" t="s">
        <v>8637</v>
      </c>
      <c r="E385" s="166" t="s">
        <v>545</v>
      </c>
      <c r="F385" s="167">
        <v>10</v>
      </c>
      <c r="G385" s="167" t="s">
        <v>8273</v>
      </c>
      <c r="H385" s="89">
        <v>72000000</v>
      </c>
      <c r="I385" s="89" t="str">
        <f>IF($H385&lt;='Abbrev Key'!$A$2,'Abbrev Key'!$B$2,IF($H385&lt;='Abbrev Key'!$A$3,'Abbrev Key'!$B$3,IF($H385&lt;='Abbrev Key'!$A$4,'Abbrev Key'!$B$4,IF($H385&lt;='Abbrev Key'!$A$5,'Abbrev Key'!$B$5,IF($H385&lt;='Abbrev Key'!$A$6,'Abbrev Key'!$B$6,IF($H385&gt;='Abbrev Key'!$A$7,'Abbrev Key'!$B$7,IF($H385='Abbrev Key'!$A$8,'Abbrev Key'!$B$8,"")))))))</f>
        <v>C</v>
      </c>
      <c r="J385" s="23" t="s">
        <v>9675</v>
      </c>
      <c r="K385" s="23" t="s">
        <v>637</v>
      </c>
      <c r="L385" s="398">
        <v>27735.48</v>
      </c>
      <c r="M385" s="403">
        <f t="shared" si="20"/>
        <v>3.85215E-4</v>
      </c>
      <c r="N385" s="23" t="s">
        <v>9838</v>
      </c>
      <c r="O385" s="23"/>
      <c r="P385" s="167"/>
      <c r="Q385" s="392" t="str">
        <f t="shared" si="21"/>
        <v>03/17/2017</v>
      </c>
      <c r="R385" s="392">
        <f t="shared" si="22"/>
        <v>42810</v>
      </c>
      <c r="S385" s="392" t="str">
        <f>_xlfn.IFNA(VLOOKUP(B385,'[1]VLOOKUP NO DUPS'!$A$1:$C$456,2,FALSE),"")</f>
        <v>11/20/2017</v>
      </c>
      <c r="T385" s="168" t="str">
        <f>_xlfn.IFNA(VLOOKUP(B385,'[1]VLOOKUP NO DUPS'!$A$1:$C$456,3,FALSE),"")</f>
        <v>Berens Law LLC; Bronstein, Gewirtz &amp; Grossman, LLC; Levi &amp; Korsinsky, LLP; Pomerantz LLP</v>
      </c>
      <c r="U385" s="167"/>
      <c r="V385" s="167"/>
      <c r="W385" s="167"/>
    </row>
    <row r="386" spans="1:23" s="86" customFormat="1" ht="30" x14ac:dyDescent="0.25">
      <c r="A386" s="165" t="str">
        <f t="shared" ref="A386:A449" si="23">IF(COUNTIF(B:B,B386)&gt;=2,"DUP","")</f>
        <v/>
      </c>
      <c r="B386" s="23" t="s">
        <v>8909</v>
      </c>
      <c r="C386" s="23" t="s">
        <v>8592</v>
      </c>
      <c r="D386" s="166" t="s">
        <v>8936</v>
      </c>
      <c r="E386" s="166" t="s">
        <v>431</v>
      </c>
      <c r="F386" s="169">
        <v>6</v>
      </c>
      <c r="G386" s="167" t="s">
        <v>8436</v>
      </c>
      <c r="H386" s="89">
        <v>125000000</v>
      </c>
      <c r="I386" s="89" t="str">
        <f>IF($H386&lt;='Abbrev Key'!$A$2,'Abbrev Key'!$B$2,IF($H386&lt;='Abbrev Key'!$A$3,'Abbrev Key'!$B$3,IF($H386&lt;='Abbrev Key'!$A$4,'Abbrev Key'!$B$4,IF($H386&lt;='Abbrev Key'!$A$5,'Abbrev Key'!$B$5,IF($H386&lt;='Abbrev Key'!$A$6,'Abbrev Key'!$B$6,IF($H386&gt;='Abbrev Key'!$A$7,'Abbrev Key'!$B$7,IF($H386='Abbrev Key'!$A$8,'Abbrev Key'!$B$8,"")))))))</f>
        <v>D</v>
      </c>
      <c r="J386" s="17" t="s">
        <v>274</v>
      </c>
      <c r="K386" s="23" t="s">
        <v>633</v>
      </c>
      <c r="L386" s="398">
        <v>107969.93</v>
      </c>
      <c r="M386" s="403">
        <f t="shared" si="20"/>
        <v>8.6375943999999994E-4</v>
      </c>
      <c r="N386" s="23" t="s">
        <v>9844</v>
      </c>
      <c r="O386" s="23"/>
      <c r="P386" s="167"/>
      <c r="Q386" s="392" t="str">
        <f t="shared" si="21"/>
        <v>11/03/2017</v>
      </c>
      <c r="R386" s="392">
        <f t="shared" si="22"/>
        <v>43041</v>
      </c>
      <c r="S386" s="392" t="str">
        <f>_xlfn.IFNA(VLOOKUP(B386,'[1]VLOOKUP NO DUPS'!$A$1:$C$456,2,FALSE),"")</f>
        <v>11/20/2017</v>
      </c>
      <c r="T386" s="168" t="str">
        <f>_xlfn.IFNA(VLOOKUP(B386,'[1]VLOOKUP NO DUPS'!$A$1:$C$456,3,FALSE),"")</f>
        <v>Holifield, Janich, Rachal &amp; Associates, PLLC; Levi &amp; Korsinsky, LLP</v>
      </c>
      <c r="U386" s="167"/>
      <c r="V386" s="167"/>
      <c r="W386" s="167"/>
    </row>
    <row r="387" spans="1:23" s="86" customFormat="1" ht="30" x14ac:dyDescent="0.25">
      <c r="A387" s="164" t="str">
        <f t="shared" si="23"/>
        <v/>
      </c>
      <c r="B387" s="23" t="s">
        <v>8911</v>
      </c>
      <c r="C387" s="23" t="s">
        <v>8594</v>
      </c>
      <c r="D387" s="166" t="s">
        <v>8937</v>
      </c>
      <c r="E387" s="166" t="s">
        <v>3869</v>
      </c>
      <c r="F387" s="169">
        <v>4</v>
      </c>
      <c r="G387" s="167" t="s">
        <v>8438</v>
      </c>
      <c r="H387" s="89">
        <v>190000000</v>
      </c>
      <c r="I387" s="89" t="str">
        <f>IF($H387&lt;='Abbrev Key'!$A$2,'Abbrev Key'!$B$2,IF($H387&lt;='Abbrev Key'!$A$3,'Abbrev Key'!$B$3,IF($H387&lt;='Abbrev Key'!$A$4,'Abbrev Key'!$B$4,IF($H387&lt;='Abbrev Key'!$A$5,'Abbrev Key'!$B$5,IF($H387&lt;='Abbrev Key'!$A$6,'Abbrev Key'!$B$6,IF($H387&gt;='Abbrev Key'!$A$7,'Abbrev Key'!$B$7,IF($H387='Abbrev Key'!$A$8,'Abbrev Key'!$B$8,"")))))))</f>
        <v>D</v>
      </c>
      <c r="J387" s="17" t="s">
        <v>9689</v>
      </c>
      <c r="K387" s="23" t="s">
        <v>633</v>
      </c>
      <c r="L387" s="398">
        <v>743372.48</v>
      </c>
      <c r="M387" s="403">
        <f t="shared" si="20"/>
        <v>3.9124867368421053E-3</v>
      </c>
      <c r="N387" s="23" t="s">
        <v>9842</v>
      </c>
      <c r="O387" s="23"/>
      <c r="P387" s="167"/>
      <c r="Q387" s="392" t="str">
        <f t="shared" si="21"/>
        <v>11/01/2017</v>
      </c>
      <c r="R387" s="392">
        <f t="shared" si="22"/>
        <v>43039</v>
      </c>
      <c r="S387" s="392" t="str">
        <f>_xlfn.IFNA(VLOOKUP(B387,'[1]VLOOKUP NO DUPS'!$A$1:$C$456,2,FALSE),"")</f>
        <v>11/21/2017</v>
      </c>
      <c r="T387" s="168" t="str">
        <f>_xlfn.IFNA(VLOOKUP(B387,'[1]VLOOKUP NO DUPS'!$A$1:$C$456,3,FALSE),"")</f>
        <v>Johnson Fistel, LLP; Robbins, Geller, Rudman &amp; Dowd, LLP</v>
      </c>
      <c r="U387" s="167"/>
      <c r="V387" s="167"/>
      <c r="W387" s="167"/>
    </row>
    <row r="388" spans="1:23" s="86" customFormat="1" ht="45" x14ac:dyDescent="0.25">
      <c r="A388" s="164" t="str">
        <f t="shared" si="23"/>
        <v/>
      </c>
      <c r="B388" s="23" t="s">
        <v>8796</v>
      </c>
      <c r="C388" s="23" t="s">
        <v>8473</v>
      </c>
      <c r="D388" s="166" t="s">
        <v>8631</v>
      </c>
      <c r="E388" s="166" t="s">
        <v>418</v>
      </c>
      <c r="F388" s="167">
        <v>2</v>
      </c>
      <c r="G388" s="167" t="s">
        <v>8263</v>
      </c>
      <c r="H388" s="89">
        <v>300000000</v>
      </c>
      <c r="I388" s="89" t="str">
        <f>IF($H388&lt;='Abbrev Key'!$A$2,'Abbrev Key'!$B$2,IF($H388&lt;='Abbrev Key'!$A$3,'Abbrev Key'!$B$3,IF($H388&lt;='Abbrev Key'!$A$4,'Abbrev Key'!$B$4,IF($H388&lt;='Abbrev Key'!$A$5,'Abbrev Key'!$B$5,IF($H388&lt;='Abbrev Key'!$A$6,'Abbrev Key'!$B$6,IF($H388&gt;='Abbrev Key'!$A$7,'Abbrev Key'!$B$7,IF($H388='Abbrev Key'!$A$8,'Abbrev Key'!$B$8,"")))))))</f>
        <v>E</v>
      </c>
      <c r="J388" s="17" t="s">
        <v>9679</v>
      </c>
      <c r="K388" s="17" t="s">
        <v>633</v>
      </c>
      <c r="L388" s="399">
        <v>43150.26</v>
      </c>
      <c r="M388" s="404">
        <f t="shared" si="20"/>
        <v>1.4383420000000001E-4</v>
      </c>
      <c r="N388" s="17" t="s">
        <v>9796</v>
      </c>
      <c r="O388" s="17"/>
      <c r="P388" s="167" t="s">
        <v>4287</v>
      </c>
      <c r="Q388" s="392" t="str">
        <f t="shared" si="21"/>
        <v>11/03/2017</v>
      </c>
      <c r="R388" s="392">
        <f t="shared" si="22"/>
        <v>43041</v>
      </c>
      <c r="S388" s="392" t="str">
        <f>_xlfn.IFNA(VLOOKUP(B388,'[1]VLOOKUP NO DUPS'!$A$1:$C$456,2,FALSE),"")</f>
        <v>11/22/2017</v>
      </c>
      <c r="T388" s="168" t="str">
        <f>_xlfn.IFNA(VLOOKUP(B388,'[1]VLOOKUP NO DUPS'!$A$1:$C$456,3,FALSE),"")</f>
        <v>Bronstein, Gewirtz &amp; Grossman, LLC; Pomerantz LLP</v>
      </c>
      <c r="U388" s="167"/>
      <c r="V388" s="167"/>
      <c r="W388" s="167"/>
    </row>
    <row r="389" spans="1:23" s="86" customFormat="1" ht="30" x14ac:dyDescent="0.25">
      <c r="A389" s="165" t="str">
        <f t="shared" si="23"/>
        <v>DUP</v>
      </c>
      <c r="B389" s="23" t="s">
        <v>3013</v>
      </c>
      <c r="C389" s="23" t="s">
        <v>10640</v>
      </c>
      <c r="D389" s="166" t="s">
        <v>8113</v>
      </c>
      <c r="E389" s="166" t="s">
        <v>409</v>
      </c>
      <c r="F389" s="167">
        <v>1</v>
      </c>
      <c r="G389" s="167" t="s">
        <v>8114</v>
      </c>
      <c r="H389" s="89">
        <v>111000000</v>
      </c>
      <c r="I389" s="89" t="str">
        <f>IF($H389&lt;='Abbrev Key'!$A$2,'Abbrev Key'!$B$2,IF($H389&lt;='Abbrev Key'!$A$3,'Abbrev Key'!$B$3,IF($H389&lt;='Abbrev Key'!$A$4,'Abbrev Key'!$B$4,IF($H389&lt;='Abbrev Key'!$A$5,'Abbrev Key'!$B$5,IF($H389&lt;='Abbrev Key'!$A$6,'Abbrev Key'!$B$6,IF($H389&gt;='Abbrev Key'!$A$7,'Abbrev Key'!$B$7,IF($H389='Abbrev Key'!$A$8,'Abbrev Key'!$B$8,"")))))))</f>
        <v>D</v>
      </c>
      <c r="J389" s="17" t="s">
        <v>9680</v>
      </c>
      <c r="K389" s="23" t="s">
        <v>633</v>
      </c>
      <c r="L389" s="398">
        <v>500</v>
      </c>
      <c r="M389" s="403">
        <f t="shared" si="20"/>
        <v>4.5045045045045047E-6</v>
      </c>
      <c r="N389" s="23" t="s">
        <v>10850</v>
      </c>
      <c r="O389" s="23"/>
      <c r="P389" s="167"/>
      <c r="Q389" s="392" t="str">
        <f t="shared" si="21"/>
        <v>05/25/2016</v>
      </c>
      <c r="R389" s="392">
        <f t="shared" si="22"/>
        <v>42514</v>
      </c>
      <c r="S389" s="392" t="s">
        <v>9137</v>
      </c>
      <c r="T389" s="168" t="s">
        <v>10911</v>
      </c>
      <c r="U389" s="167"/>
      <c r="V389" s="167"/>
      <c r="W389" s="92"/>
    </row>
    <row r="390" spans="1:23" s="86" customFormat="1" ht="30" x14ac:dyDescent="0.25">
      <c r="A390" s="164" t="str">
        <f t="shared" si="23"/>
        <v/>
      </c>
      <c r="B390" s="23" t="s">
        <v>8246</v>
      </c>
      <c r="C390" s="23" t="s">
        <v>8762</v>
      </c>
      <c r="D390" s="166" t="s">
        <v>8763</v>
      </c>
      <c r="E390" s="166" t="s">
        <v>418</v>
      </c>
      <c r="F390" s="167">
        <v>2</v>
      </c>
      <c r="G390" s="167" t="s">
        <v>8415</v>
      </c>
      <c r="H390" s="89">
        <v>43900000</v>
      </c>
      <c r="I390" s="89" t="str">
        <f>IF($H390&lt;='Abbrev Key'!$A$2,'Abbrev Key'!$B$2,IF($H390&lt;='Abbrev Key'!$A$3,'Abbrev Key'!$B$3,IF($H390&lt;='Abbrev Key'!$A$4,'Abbrev Key'!$B$4,IF($H390&lt;='Abbrev Key'!$A$5,'Abbrev Key'!$B$5,IF($H390&lt;='Abbrev Key'!$A$6,'Abbrev Key'!$B$6,IF($H390&gt;='Abbrev Key'!$A$7,'Abbrev Key'!$B$7,IF($H390='Abbrev Key'!$A$8,'Abbrev Key'!$B$8,"")))))))</f>
        <v>B</v>
      </c>
      <c r="J390" s="23" t="s">
        <v>11904</v>
      </c>
      <c r="K390" s="23" t="s">
        <v>646</v>
      </c>
      <c r="L390" s="398">
        <v>241753</v>
      </c>
      <c r="M390" s="403">
        <f t="shared" si="20"/>
        <v>5.506902050113895E-3</v>
      </c>
      <c r="N390" s="92" t="s">
        <v>79</v>
      </c>
      <c r="O390" s="92"/>
      <c r="P390" s="167" t="s">
        <v>4295</v>
      </c>
      <c r="Q390" s="392" t="str">
        <f t="shared" si="21"/>
        <v>11/22/2017</v>
      </c>
      <c r="R390" s="392">
        <f t="shared" si="22"/>
        <v>43060</v>
      </c>
      <c r="S390" s="392" t="s">
        <v>7403</v>
      </c>
      <c r="T390" s="168" t="s">
        <v>1598</v>
      </c>
      <c r="U390" s="167"/>
      <c r="V390" s="167"/>
      <c r="W390" s="167"/>
    </row>
    <row r="391" spans="1:23" s="86" customFormat="1" x14ac:dyDescent="0.25">
      <c r="A391" s="165" t="str">
        <f t="shared" si="23"/>
        <v/>
      </c>
      <c r="B391" s="23" t="s">
        <v>8853</v>
      </c>
      <c r="C391" s="23" t="s">
        <v>8535</v>
      </c>
      <c r="D391" s="166" t="s">
        <v>8693</v>
      </c>
      <c r="E391" s="166" t="s">
        <v>424</v>
      </c>
      <c r="F391" s="167">
        <v>3</v>
      </c>
      <c r="G391" s="167" t="s">
        <v>8350</v>
      </c>
      <c r="H391" s="89">
        <v>500000</v>
      </c>
      <c r="I391" s="89" t="str">
        <f>IF($H391&lt;='Abbrev Key'!$A$2,'Abbrev Key'!$B$2,IF($H391&lt;='Abbrev Key'!$A$3,'Abbrev Key'!$B$3,IF($H391&lt;='Abbrev Key'!$A$4,'Abbrev Key'!$B$4,IF($H391&lt;='Abbrev Key'!$A$5,'Abbrev Key'!$B$5,IF($H391&lt;='Abbrev Key'!$A$6,'Abbrev Key'!$B$6,IF($H391&gt;='Abbrev Key'!$A$7,'Abbrev Key'!$B$7,IF($H391='Abbrev Key'!$A$8,'Abbrev Key'!$B$8,"")))))))</f>
        <v>A</v>
      </c>
      <c r="J391" s="92" t="s">
        <v>4332</v>
      </c>
      <c r="K391" s="92" t="s">
        <v>4332</v>
      </c>
      <c r="L391" s="92" t="s">
        <v>4332</v>
      </c>
      <c r="M391" s="92" t="s">
        <v>4332</v>
      </c>
      <c r="N391" s="92" t="s">
        <v>4332</v>
      </c>
      <c r="O391" s="92"/>
      <c r="P391" s="167" t="s">
        <v>4287</v>
      </c>
      <c r="Q391" s="392" t="str">
        <f t="shared" si="21"/>
        <v>11/19/2017</v>
      </c>
      <c r="R391" s="392">
        <f t="shared" si="22"/>
        <v>43057</v>
      </c>
      <c r="S391" s="392" t="str">
        <f>_xlfn.IFNA(VLOOKUP(B391,'[1]VLOOKUP NO DUPS'!$A$1:$C$456,2,FALSE),"")</f>
        <v>11/29/2017</v>
      </c>
      <c r="T391" s="168" t="str">
        <f>_xlfn.IFNA(VLOOKUP(B391,'[1]VLOOKUP NO DUPS'!$A$1:$C$456,3,FALSE),"")</f>
        <v>The Rosen Law Firm, P.A.</v>
      </c>
      <c r="U391" s="167"/>
      <c r="V391" s="167"/>
      <c r="W391" s="167"/>
    </row>
    <row r="392" spans="1:23" s="86" customFormat="1" ht="45" x14ac:dyDescent="0.25">
      <c r="A392" s="164" t="str">
        <f t="shared" si="23"/>
        <v/>
      </c>
      <c r="B392" s="23" t="s">
        <v>6944</v>
      </c>
      <c r="C392" s="23" t="s">
        <v>7521</v>
      </c>
      <c r="D392" s="166" t="s">
        <v>8148</v>
      </c>
      <c r="E392" s="166" t="s">
        <v>437</v>
      </c>
      <c r="F392" s="167">
        <v>3</v>
      </c>
      <c r="G392" s="167" t="s">
        <v>8149</v>
      </c>
      <c r="H392" s="89">
        <v>580000000</v>
      </c>
      <c r="I392" s="89" t="str">
        <f>IF($H392&lt;='Abbrev Key'!$A$2,'Abbrev Key'!$B$2,IF($H392&lt;='Abbrev Key'!$A$3,'Abbrev Key'!$B$3,IF($H392&lt;='Abbrev Key'!$A$4,'Abbrev Key'!$B$4,IF($H392&lt;='Abbrev Key'!$A$5,'Abbrev Key'!$B$5,IF($H392&lt;='Abbrev Key'!$A$6,'Abbrev Key'!$B$6,IF($H392&gt;='Abbrev Key'!$A$7,'Abbrev Key'!$B$7,IF($H392='Abbrev Key'!$A$8,'Abbrev Key'!$B$8,"")))))))</f>
        <v>F</v>
      </c>
      <c r="J392" s="17" t="s">
        <v>11853</v>
      </c>
      <c r="K392" s="92" t="s">
        <v>640</v>
      </c>
      <c r="L392" s="398">
        <v>247607.96000000002</v>
      </c>
      <c r="M392" s="403">
        <f t="shared" ref="M392:M397" si="24">IFERROR((L392/H392),"DC")</f>
        <v>4.2691027586206899E-4</v>
      </c>
      <c r="N392" s="92" t="str">
        <f>VLOOKUP(B392,[3]Sheet!$B$2:$C$139,2,FALSE)</f>
        <v xml:space="preserve">Robbins, Geller, Rudman &amp; Dowd, LLP </v>
      </c>
      <c r="O392" s="92"/>
      <c r="P392" s="167" t="s">
        <v>4295</v>
      </c>
      <c r="Q392" s="392" t="str">
        <f t="shared" si="21"/>
        <v>11/09/2017</v>
      </c>
      <c r="R392" s="392">
        <f t="shared" si="22"/>
        <v>43047</v>
      </c>
      <c r="S392" s="392" t="str">
        <f>_xlfn.IFNA(VLOOKUP(B392,'[1]VLOOKUP NO DUPS'!$A$1:$C$456,2,FALSE),"")</f>
        <v>12/01/2017</v>
      </c>
      <c r="T392" s="168" t="str">
        <f>_xlfn.IFNA(VLOOKUP(B392,'[1]VLOOKUP NO DUPS'!$A$1:$C$456,3,FALSE),"")</f>
        <v>Glancy Prongay &amp; Murray, LLP; Holzer &amp; Holzer, LLC</v>
      </c>
      <c r="U392" s="167"/>
      <c r="V392" s="167"/>
      <c r="W392" s="92"/>
    </row>
    <row r="393" spans="1:23" s="86" customFormat="1" x14ac:dyDescent="0.25">
      <c r="A393" s="164" t="str">
        <f t="shared" si="23"/>
        <v>DUP</v>
      </c>
      <c r="B393" s="23" t="s">
        <v>3056</v>
      </c>
      <c r="C393" s="23" t="s">
        <v>10645</v>
      </c>
      <c r="D393" s="166" t="s">
        <v>8735</v>
      </c>
      <c r="E393" s="166" t="s">
        <v>457</v>
      </c>
      <c r="F393" s="167">
        <v>9</v>
      </c>
      <c r="G393" s="167" t="s">
        <v>8394</v>
      </c>
      <c r="H393" s="89">
        <v>240000000</v>
      </c>
      <c r="I393" s="89" t="str">
        <f>IF($H393&lt;='Abbrev Key'!$A$2,'Abbrev Key'!$B$2,IF($H393&lt;='Abbrev Key'!$A$3,'Abbrev Key'!$B$3,IF($H393&lt;='Abbrev Key'!$A$4,'Abbrev Key'!$B$4,IF($H393&lt;='Abbrev Key'!$A$5,'Abbrev Key'!$B$5,IF($H393&lt;='Abbrev Key'!$A$6,'Abbrev Key'!$B$6,IF($H393&gt;='Abbrev Key'!$A$7,'Abbrev Key'!$B$7,IF($H393='Abbrev Key'!$A$8,'Abbrev Key'!$B$8,"")))))))</f>
        <v>D</v>
      </c>
      <c r="J393" s="17" t="s">
        <v>9404</v>
      </c>
      <c r="K393" s="92" t="s">
        <v>637</v>
      </c>
      <c r="L393" s="398">
        <v>1456</v>
      </c>
      <c r="M393" s="403">
        <f t="shared" si="24"/>
        <v>6.0666666666666665E-6</v>
      </c>
      <c r="N393" s="92" t="str">
        <f>VLOOKUP(B393,[2]Sheet!$B$2:$C$570,2,FALSE)</f>
        <v xml:space="preserve">The Rosen Law Firm, P.A. </v>
      </c>
      <c r="O393" s="92"/>
      <c r="P393" s="167" t="s">
        <v>4287</v>
      </c>
      <c r="Q393" s="392" t="str">
        <f t="shared" si="21"/>
        <v>12/01/2017</v>
      </c>
      <c r="R393" s="392">
        <f t="shared" si="22"/>
        <v>43069</v>
      </c>
      <c r="S393" s="392" t="s">
        <v>9092</v>
      </c>
      <c r="T393" s="168" t="s">
        <v>554</v>
      </c>
      <c r="U393" s="167"/>
      <c r="V393" s="167"/>
      <c r="W393" s="167"/>
    </row>
    <row r="394" spans="1:23" s="86" customFormat="1" ht="45" x14ac:dyDescent="0.25">
      <c r="A394" s="164" t="str">
        <f t="shared" si="23"/>
        <v/>
      </c>
      <c r="B394" s="23" t="s">
        <v>8882</v>
      </c>
      <c r="C394" s="23" t="s">
        <v>8565</v>
      </c>
      <c r="D394" s="166" t="s">
        <v>8730</v>
      </c>
      <c r="E394" s="166" t="s">
        <v>446</v>
      </c>
      <c r="F394" s="167">
        <v>9</v>
      </c>
      <c r="G394" s="167" t="s">
        <v>8389</v>
      </c>
      <c r="H394" s="89">
        <v>165000000</v>
      </c>
      <c r="I394" s="89" t="str">
        <f>IF($H394&lt;='Abbrev Key'!$A$2,'Abbrev Key'!$B$2,IF($H394&lt;='Abbrev Key'!$A$3,'Abbrev Key'!$B$3,IF($H394&lt;='Abbrev Key'!$A$4,'Abbrev Key'!$B$4,IF($H394&lt;='Abbrev Key'!$A$5,'Abbrev Key'!$B$5,IF($H394&lt;='Abbrev Key'!$A$6,'Abbrev Key'!$B$6,IF($H394&gt;='Abbrev Key'!$A$7,'Abbrev Key'!$B$7,IF($H394='Abbrev Key'!$A$8,'Abbrev Key'!$B$8,"")))))))</f>
        <v>D</v>
      </c>
      <c r="J394" s="17" t="s">
        <v>39</v>
      </c>
      <c r="K394" s="23" t="s">
        <v>633</v>
      </c>
      <c r="L394" s="398">
        <v>1877083.73</v>
      </c>
      <c r="M394" s="403">
        <f t="shared" si="24"/>
        <v>1.1376265030303031E-2</v>
      </c>
      <c r="N394" s="23" t="s">
        <v>10813</v>
      </c>
      <c r="O394" s="23"/>
      <c r="P394" s="167"/>
      <c r="Q394" s="392" t="str">
        <f t="shared" si="21"/>
        <v>12/06/2017</v>
      </c>
      <c r="R394" s="392">
        <f t="shared" si="22"/>
        <v>43074</v>
      </c>
      <c r="S394" s="392" t="str">
        <f>_xlfn.IFNA(VLOOKUP(B394,'[1]VLOOKUP NO DUPS'!$A$1:$C$456,2,FALSE),"")</f>
        <v>12/07/2017</v>
      </c>
      <c r="T394" s="168" t="str">
        <f>_xlfn.IFNA(VLOOKUP(B394,'[1]VLOOKUP NO DUPS'!$A$1:$C$456,3,FALSE),"")</f>
        <v>Bronstein, Gewirtz &amp; Grossman, LLC; Glancy Prongay &amp; Murray, LLP; Kaplan Fox &amp; Kilsheimer LLP; Pomerantz LLP; Saxena White P.A.</v>
      </c>
      <c r="U394" s="167"/>
      <c r="V394" s="167"/>
      <c r="W394" s="167"/>
    </row>
    <row r="395" spans="1:23" s="86" customFormat="1" ht="60" x14ac:dyDescent="0.25">
      <c r="A395" s="165" t="str">
        <f t="shared" si="23"/>
        <v/>
      </c>
      <c r="B395" s="23" t="s">
        <v>8892</v>
      </c>
      <c r="C395" s="23" t="s">
        <v>8751</v>
      </c>
      <c r="D395" s="166" t="s">
        <v>8752</v>
      </c>
      <c r="E395" s="166" t="s">
        <v>418</v>
      </c>
      <c r="F395" s="167">
        <v>2</v>
      </c>
      <c r="G395" s="167" t="s">
        <v>8405</v>
      </c>
      <c r="H395" s="89">
        <v>625000000</v>
      </c>
      <c r="I395" s="89" t="str">
        <f>IF($H395&lt;='Abbrev Key'!$A$2,'Abbrev Key'!$B$2,IF($H395&lt;='Abbrev Key'!$A$3,'Abbrev Key'!$B$3,IF($H395&lt;='Abbrev Key'!$A$4,'Abbrev Key'!$B$4,IF($H395&lt;='Abbrev Key'!$A$5,'Abbrev Key'!$B$5,IF($H395&lt;='Abbrev Key'!$A$6,'Abbrev Key'!$B$6,IF($H395&gt;='Abbrev Key'!$A$7,'Abbrev Key'!$B$7,IF($H395='Abbrev Key'!$A$8,'Abbrev Key'!$B$8,"")))))))</f>
        <v>F</v>
      </c>
      <c r="J395" s="92" t="s">
        <v>11898</v>
      </c>
      <c r="K395" s="92" t="s">
        <v>646</v>
      </c>
      <c r="L395" s="398">
        <v>15981787.310000001</v>
      </c>
      <c r="M395" s="403">
        <f t="shared" si="24"/>
        <v>2.5570859696000002E-2</v>
      </c>
      <c r="N395" s="92" t="s">
        <v>9000</v>
      </c>
      <c r="O395" s="92"/>
      <c r="P395" s="167"/>
      <c r="Q395" s="392" t="str">
        <f t="shared" si="21"/>
        <v>12/12/2017</v>
      </c>
      <c r="R395" s="392">
        <f t="shared" si="22"/>
        <v>43080</v>
      </c>
      <c r="S395" s="392" t="str">
        <f>_xlfn.IFNA(VLOOKUP(B395,'[1]VLOOKUP NO DUPS'!$A$1:$C$456,2,FALSE),"")</f>
        <v>12/12/2017</v>
      </c>
      <c r="T395" s="168" t="str">
        <f>_xlfn.IFNA(VLOOKUP(B395,'[1]VLOOKUP NO DUPS'!$A$1:$C$456,3,FALSE),"")</f>
        <v>Bronstein, Gewirtz &amp; Grossman, LLC; Faruqi &amp; Faruqi, LLP; Holzer &amp; Holzer, LLC; Kaplan Fox &amp; Kilsheimer LLP; Pomerantz LLP; Robbins, Geller, Rudman &amp; Dowd, LLP</v>
      </c>
      <c r="U395" s="167"/>
      <c r="V395" s="167"/>
      <c r="W395" s="167"/>
    </row>
    <row r="396" spans="1:23" s="86" customFormat="1" ht="30" x14ac:dyDescent="0.25">
      <c r="A396" s="164" t="str">
        <f t="shared" si="23"/>
        <v/>
      </c>
      <c r="B396" s="23" t="s">
        <v>8802</v>
      </c>
      <c r="C396" s="23" t="s">
        <v>8479</v>
      </c>
      <c r="D396" s="166" t="s">
        <v>8635</v>
      </c>
      <c r="E396" s="166" t="s">
        <v>457</v>
      </c>
      <c r="F396" s="167">
        <v>9</v>
      </c>
      <c r="G396" s="167" t="s">
        <v>8271</v>
      </c>
      <c r="H396" s="89">
        <v>70000000</v>
      </c>
      <c r="I396" s="89" t="str">
        <f>IF($H396&lt;='Abbrev Key'!$A$2,'Abbrev Key'!$B$2,IF($H396&lt;='Abbrev Key'!$A$3,'Abbrev Key'!$B$3,IF($H396&lt;='Abbrev Key'!$A$4,'Abbrev Key'!$B$4,IF($H396&lt;='Abbrev Key'!$A$5,'Abbrev Key'!$B$5,IF($H396&lt;='Abbrev Key'!$A$6,'Abbrev Key'!$B$6,IF($H396&gt;='Abbrev Key'!$A$7,'Abbrev Key'!$B$7,IF($H396='Abbrev Key'!$A$8,'Abbrev Key'!$B$8,"")))))))</f>
        <v>C</v>
      </c>
      <c r="J396" s="17" t="s">
        <v>11783</v>
      </c>
      <c r="K396" s="92" t="s">
        <v>662</v>
      </c>
      <c r="L396" s="354">
        <v>741295</v>
      </c>
      <c r="M396" s="405">
        <f t="shared" si="24"/>
        <v>1.0589928571428571E-2</v>
      </c>
      <c r="N396" s="92" t="s">
        <v>8992</v>
      </c>
      <c r="O396" s="92"/>
      <c r="P396" s="167"/>
      <c r="Q396" s="392" t="str">
        <f t="shared" si="21"/>
        <v>11/09/2017</v>
      </c>
      <c r="R396" s="392">
        <f t="shared" si="22"/>
        <v>43047</v>
      </c>
      <c r="S396" s="392" t="str">
        <f>_xlfn.IFNA(VLOOKUP(B396,'[1]VLOOKUP NO DUPS'!$A$1:$C$456,2,FALSE),"")</f>
        <v>12/15/2017</v>
      </c>
      <c r="T396" s="168" t="str">
        <f>_xlfn.IFNA(VLOOKUP(B396,'[1]VLOOKUP NO DUPS'!$A$1:$C$456,3,FALSE),"")</f>
        <v>Bronstein, Gewirtz &amp; Grossman, LLC; Glancy Prongay &amp; Murray, LLP; Levi &amp; Korsinsky, LLP; Pomerantz LLP</v>
      </c>
      <c r="U396" s="167"/>
      <c r="V396" s="167"/>
      <c r="W396" s="167"/>
    </row>
    <row r="397" spans="1:23" s="86" customFormat="1" ht="30" x14ac:dyDescent="0.25">
      <c r="A397" s="164" t="str">
        <f t="shared" si="23"/>
        <v/>
      </c>
      <c r="B397" s="23" t="s">
        <v>8857</v>
      </c>
      <c r="C397" s="23" t="s">
        <v>8539</v>
      </c>
      <c r="D397" s="166" t="s">
        <v>8699</v>
      </c>
      <c r="E397" s="166" t="s">
        <v>1008</v>
      </c>
      <c r="F397" s="167">
        <v>2</v>
      </c>
      <c r="G397" s="167" t="s">
        <v>8356</v>
      </c>
      <c r="H397" s="89">
        <v>11000000</v>
      </c>
      <c r="I397" s="89" t="str">
        <f>IF($H397&lt;='Abbrev Key'!$A$2,'Abbrev Key'!$B$2,IF($H397&lt;='Abbrev Key'!$A$3,'Abbrev Key'!$B$3,IF($H397&lt;='Abbrev Key'!$A$4,'Abbrev Key'!$B$4,IF($H397&lt;='Abbrev Key'!$A$5,'Abbrev Key'!$B$5,IF($H397&lt;='Abbrev Key'!$A$6,'Abbrev Key'!$B$6,IF($H397&gt;='Abbrev Key'!$A$7,'Abbrev Key'!$B$7,IF($H397='Abbrev Key'!$A$8,'Abbrev Key'!$B$8,"")))))))</f>
        <v>A</v>
      </c>
      <c r="J397" s="17" t="s">
        <v>2932</v>
      </c>
      <c r="K397" s="23" t="s">
        <v>633</v>
      </c>
      <c r="L397" s="398">
        <v>30560.47</v>
      </c>
      <c r="M397" s="403">
        <f t="shared" si="24"/>
        <v>2.7782245454545454E-3</v>
      </c>
      <c r="N397" s="92" t="str">
        <f>VLOOKUP(B397,[3]Sheet!$B$2:$C$139,2,FALSE)</f>
        <v xml:space="preserve">Cohen Milstein Sellers &amp; Toll PLLC </v>
      </c>
      <c r="O397" s="92"/>
      <c r="P397" s="167"/>
      <c r="Q397" s="392" t="str">
        <f t="shared" si="21"/>
        <v>12/11/2017</v>
      </c>
      <c r="R397" s="392">
        <f t="shared" si="22"/>
        <v>43079</v>
      </c>
      <c r="S397" s="392" t="str">
        <f>_xlfn.IFNA(VLOOKUP(B397,'[1]VLOOKUP NO DUPS'!$A$1:$C$456,2,FALSE),"")</f>
        <v>12/15/2017</v>
      </c>
      <c r="T397" s="168" t="str">
        <f>_xlfn.IFNA(VLOOKUP(B397,'[1]VLOOKUP NO DUPS'!$A$1:$C$456,3,FALSE),"")</f>
        <v>Glancy Prongay &amp; Murray, LLP; Holzer &amp; Holzer, LLC; The Rosen Law Firm, P.A.</v>
      </c>
      <c r="U397" s="167"/>
      <c r="V397" s="167"/>
      <c r="W397" s="167"/>
    </row>
    <row r="398" spans="1:23" s="86" customFormat="1" x14ac:dyDescent="0.25">
      <c r="A398" s="165" t="str">
        <f t="shared" si="23"/>
        <v>DUP</v>
      </c>
      <c r="B398" s="23" t="s">
        <v>8886</v>
      </c>
      <c r="C398" s="23" t="s">
        <v>10651</v>
      </c>
      <c r="D398" s="166" t="s">
        <v>8738</v>
      </c>
      <c r="E398" s="166" t="s">
        <v>424</v>
      </c>
      <c r="F398" s="167">
        <v>3</v>
      </c>
      <c r="G398" s="167" t="s">
        <v>8397</v>
      </c>
      <c r="H398" s="89">
        <v>2000000000</v>
      </c>
      <c r="I398" s="89" t="str">
        <f>IF($H398&lt;='Abbrev Key'!$A$2,'Abbrev Key'!$B$2,IF($H398&lt;='Abbrev Key'!$A$3,'Abbrev Key'!$B$3,IF($H398&lt;='Abbrev Key'!$A$4,'Abbrev Key'!$B$4,IF($H398&lt;='Abbrev Key'!$A$5,'Abbrev Key'!$B$5,IF($H398&lt;='Abbrev Key'!$A$6,'Abbrev Key'!$B$6,IF($H398&gt;='Abbrev Key'!$A$7,'Abbrev Key'!$B$7,IF($H398='Abbrev Key'!$A$8,'Abbrev Key'!$B$8,"")))))))</f>
        <v>F</v>
      </c>
      <c r="J398" s="92" t="s">
        <v>4332</v>
      </c>
      <c r="K398" s="92" t="s">
        <v>4332</v>
      </c>
      <c r="L398" s="92" t="s">
        <v>4332</v>
      </c>
      <c r="M398" s="92" t="s">
        <v>4332</v>
      </c>
      <c r="N398" s="92" t="s">
        <v>4332</v>
      </c>
      <c r="O398" s="92"/>
      <c r="P398" s="167" t="s">
        <v>4287</v>
      </c>
      <c r="Q398" s="392" t="str">
        <f t="shared" si="21"/>
        <v>12/20/2017</v>
      </c>
      <c r="R398" s="392">
        <f t="shared" si="22"/>
        <v>43088</v>
      </c>
      <c r="S398" s="392" t="s">
        <v>9131</v>
      </c>
      <c r="T398" s="168" t="s">
        <v>682</v>
      </c>
      <c r="U398" s="167"/>
      <c r="V398" s="167"/>
      <c r="W398" s="167"/>
    </row>
    <row r="399" spans="1:23" s="86" customFormat="1" ht="105" x14ac:dyDescent="0.25">
      <c r="A399" s="165" t="str">
        <f t="shared" si="23"/>
        <v/>
      </c>
      <c r="B399" s="23" t="s">
        <v>8824</v>
      </c>
      <c r="C399" s="23" t="s">
        <v>8508</v>
      </c>
      <c r="D399" s="166" t="s">
        <v>8654</v>
      </c>
      <c r="E399" s="166" t="s">
        <v>418</v>
      </c>
      <c r="F399" s="167">
        <v>2</v>
      </c>
      <c r="G399" s="167" t="s">
        <v>8304</v>
      </c>
      <c r="H399" s="89">
        <v>450000000</v>
      </c>
      <c r="I399" s="89" t="str">
        <f>IF($H399&lt;='Abbrev Key'!$A$2,'Abbrev Key'!$B$2,IF($H399&lt;='Abbrev Key'!$A$3,'Abbrev Key'!$B$3,IF($H399&lt;='Abbrev Key'!$A$4,'Abbrev Key'!$B$4,IF($H399&lt;='Abbrev Key'!$A$5,'Abbrev Key'!$B$5,IF($H399&lt;='Abbrev Key'!$A$6,'Abbrev Key'!$B$6,IF($H399&gt;='Abbrev Key'!$A$7,'Abbrev Key'!$B$7,IF($H399='Abbrev Key'!$A$8,'Abbrev Key'!$B$8,"")))))))</f>
        <v>E</v>
      </c>
      <c r="J399" s="17" t="s">
        <v>11806</v>
      </c>
      <c r="K399" s="92" t="s">
        <v>640</v>
      </c>
      <c r="L399" s="398">
        <v>1282547</v>
      </c>
      <c r="M399" s="403">
        <f t="shared" ref="M399:M417" si="25">IFERROR((L399/H399),"DC")</f>
        <v>2.8501044444444444E-3</v>
      </c>
      <c r="N399" s="92" t="s">
        <v>8995</v>
      </c>
      <c r="O399" s="92"/>
      <c r="P399" s="167" t="s">
        <v>4287</v>
      </c>
      <c r="Q399" s="392" t="str">
        <f t="shared" si="21"/>
        <v>02/03/2016</v>
      </c>
      <c r="R399" s="392">
        <f t="shared" si="22"/>
        <v>42402</v>
      </c>
      <c r="S399" s="392" t="str">
        <f>_xlfn.IFNA(VLOOKUP(B399,'[1]VLOOKUP NO DUPS'!$A$1:$C$456,2,FALSE),"")</f>
        <v>12/22/2017</v>
      </c>
      <c r="T399" s="168" t="str">
        <f>_xlfn.IFNA(VLOOKUP(B399,'[1]VLOOKUP NO DUPS'!$A$1:$C$456,3,FALSE),"")</f>
        <v>Glancy Prongay &amp; Murray, LLP; Saxena White P.A.</v>
      </c>
      <c r="U399" s="167"/>
      <c r="V399" s="167"/>
      <c r="W399" s="167"/>
    </row>
    <row r="400" spans="1:23" s="86" customFormat="1" ht="30" x14ac:dyDescent="0.25">
      <c r="A400" s="165" t="str">
        <f t="shared" si="23"/>
        <v/>
      </c>
      <c r="B400" s="23" t="s">
        <v>8854</v>
      </c>
      <c r="C400" s="23" t="s">
        <v>8536</v>
      </c>
      <c r="D400" s="166" t="s">
        <v>8694</v>
      </c>
      <c r="E400" s="166" t="s">
        <v>418</v>
      </c>
      <c r="F400" s="167">
        <v>2</v>
      </c>
      <c r="G400" s="167" t="s">
        <v>8351</v>
      </c>
      <c r="H400" s="89" t="s">
        <v>4882</v>
      </c>
      <c r="I400" s="89" t="s">
        <v>6732</v>
      </c>
      <c r="J400" s="17" t="s">
        <v>9636</v>
      </c>
      <c r="K400" s="23" t="s">
        <v>637</v>
      </c>
      <c r="L400" s="398">
        <v>494</v>
      </c>
      <c r="M400" s="403" t="str">
        <f t="shared" si="25"/>
        <v>DC</v>
      </c>
      <c r="N400" s="23" t="s">
        <v>9828</v>
      </c>
      <c r="O400" s="23"/>
      <c r="P400" s="167"/>
      <c r="Q400" s="392" t="str">
        <f t="shared" si="21"/>
        <v>10/12/2017</v>
      </c>
      <c r="R400" s="392">
        <f t="shared" si="22"/>
        <v>43019</v>
      </c>
      <c r="S400" s="392" t="str">
        <f>_xlfn.IFNA(VLOOKUP(B400,'[1]VLOOKUP NO DUPS'!$A$1:$C$456,2,FALSE),"")</f>
        <v>12/26/2017</v>
      </c>
      <c r="T400" s="168" t="str">
        <f>_xlfn.IFNA(VLOOKUP(B400,'[1]VLOOKUP NO DUPS'!$A$1:$C$456,3,FALSE),"")</f>
        <v>U.S. Market Advisors Law Group PLLC; Wolf Popper LLP</v>
      </c>
      <c r="U400" s="167"/>
      <c r="V400" s="167"/>
      <c r="W400" s="167"/>
    </row>
    <row r="401" spans="1:23" s="86" customFormat="1" ht="30" x14ac:dyDescent="0.25">
      <c r="A401" s="164" t="str">
        <f t="shared" si="23"/>
        <v/>
      </c>
      <c r="B401" s="23" t="s">
        <v>8816</v>
      </c>
      <c r="C401" s="23" t="s">
        <v>8501</v>
      </c>
      <c r="D401" s="166" t="s">
        <v>8724</v>
      </c>
      <c r="E401" s="166" t="s">
        <v>450</v>
      </c>
      <c r="F401" s="169">
        <v>4</v>
      </c>
      <c r="G401" s="167" t="s">
        <v>8293</v>
      </c>
      <c r="H401" s="89">
        <v>40000000</v>
      </c>
      <c r="I401" s="89" t="str">
        <f>IF($H401&lt;='Abbrev Key'!$A$2,'Abbrev Key'!$B$2,IF($H401&lt;='Abbrev Key'!$A$3,'Abbrev Key'!$B$3,IF($H401&lt;='Abbrev Key'!$A$4,'Abbrev Key'!$B$4,IF($H401&lt;='Abbrev Key'!$A$5,'Abbrev Key'!$B$5,IF($H401&lt;='Abbrev Key'!$A$6,'Abbrev Key'!$B$6,IF($H401&gt;='Abbrev Key'!$A$7,'Abbrev Key'!$B$7,IF($H401='Abbrev Key'!$A$8,'Abbrev Key'!$B$8,"")))))))</f>
        <v>B</v>
      </c>
      <c r="J401" s="23" t="s">
        <v>9641</v>
      </c>
      <c r="K401" s="92" t="s">
        <v>637</v>
      </c>
      <c r="L401" s="398">
        <v>119116</v>
      </c>
      <c r="M401" s="403">
        <f t="shared" si="25"/>
        <v>2.9778999999999999E-3</v>
      </c>
      <c r="N401" s="23" t="s">
        <v>9829</v>
      </c>
      <c r="O401" s="23"/>
      <c r="P401" s="167"/>
      <c r="Q401" s="392" t="str">
        <f t="shared" si="21"/>
        <v>08/07/2017</v>
      </c>
      <c r="R401" s="392">
        <f t="shared" si="22"/>
        <v>42953</v>
      </c>
      <c r="S401" s="392" t="str">
        <f>_xlfn.IFNA(VLOOKUP(B401,'[1]VLOOKUP NO DUPS'!$A$1:$C$456,2,FALSE),"")</f>
        <v>12/28/2017</v>
      </c>
      <c r="T401" s="168" t="str">
        <f>_xlfn.IFNA(VLOOKUP(B401,'[1]VLOOKUP NO DUPS'!$A$1:$C$456,3,FALSE),"")</f>
        <v>The Rosen Law Firm, P.A.</v>
      </c>
      <c r="U401" s="167"/>
      <c r="V401" s="167"/>
      <c r="W401" s="167"/>
    </row>
    <row r="402" spans="1:23" s="86" customFormat="1" ht="45" x14ac:dyDescent="0.25">
      <c r="A402" s="164" t="str">
        <f t="shared" si="23"/>
        <v/>
      </c>
      <c r="B402" s="23" t="s">
        <v>8838</v>
      </c>
      <c r="C402" s="23" t="s">
        <v>8523</v>
      </c>
      <c r="D402" s="166" t="s">
        <v>8977</v>
      </c>
      <c r="E402" s="166" t="s">
        <v>418</v>
      </c>
      <c r="F402" s="167">
        <v>2</v>
      </c>
      <c r="G402" s="167" t="s">
        <v>8978</v>
      </c>
      <c r="H402" s="89">
        <v>25000000000</v>
      </c>
      <c r="I402" s="89" t="str">
        <f>IF($H402&lt;='Abbrev Key'!$A$2,'Abbrev Key'!$B$2,IF($H402&lt;='Abbrev Key'!$A$3,'Abbrev Key'!$B$3,IF($H402&lt;='Abbrev Key'!$A$4,'Abbrev Key'!$B$4,IF($H402&lt;='Abbrev Key'!$A$5,'Abbrev Key'!$B$5,IF($H402&lt;='Abbrev Key'!$A$6,'Abbrev Key'!$B$6,IF($H402&gt;='Abbrev Key'!$A$7,'Abbrev Key'!$B$7,IF($H402='Abbrev Key'!$A$8,'Abbrev Key'!$B$8,"")))))))</f>
        <v>F</v>
      </c>
      <c r="J402" s="23" t="s">
        <v>323</v>
      </c>
      <c r="K402" s="92" t="s">
        <v>633</v>
      </c>
      <c r="L402" s="398">
        <v>21233875</v>
      </c>
      <c r="M402" s="403">
        <f t="shared" si="25"/>
        <v>8.4935499999999999E-4</v>
      </c>
      <c r="N402" s="92" t="str">
        <f>VLOOKUP(B402,[3]Sheet!$B$2:$C$139,2,FALSE)</f>
        <v xml:space="preserve">Kessler Topaz  Meltzer &amp; Check, LLP </v>
      </c>
      <c r="O402" s="92"/>
      <c r="P402" s="167"/>
      <c r="Q402" s="392" t="str">
        <f t="shared" si="21"/>
        <v>01/23/2018</v>
      </c>
      <c r="R402" s="392">
        <f t="shared" si="22"/>
        <v>43122</v>
      </c>
      <c r="S402" s="392" t="s">
        <v>9105</v>
      </c>
      <c r="T402" s="168" t="s">
        <v>10926</v>
      </c>
      <c r="U402" s="167"/>
      <c r="V402" s="167"/>
      <c r="W402" s="167"/>
    </row>
    <row r="403" spans="1:23" s="86" customFormat="1" ht="30" x14ac:dyDescent="0.25">
      <c r="A403" s="165" t="str">
        <f t="shared" si="23"/>
        <v/>
      </c>
      <c r="B403" s="23" t="s">
        <v>8829</v>
      </c>
      <c r="C403" s="23" t="s">
        <v>8515</v>
      </c>
      <c r="D403" s="166" t="s">
        <v>8660</v>
      </c>
      <c r="E403" s="166" t="s">
        <v>457</v>
      </c>
      <c r="F403" s="167">
        <v>9</v>
      </c>
      <c r="G403" s="167" t="s">
        <v>8312</v>
      </c>
      <c r="H403" s="89">
        <v>10000000</v>
      </c>
      <c r="I403" s="89" t="str">
        <f>IF($H403&lt;='Abbrev Key'!$A$2,'Abbrev Key'!$B$2,IF($H403&lt;='Abbrev Key'!$A$3,'Abbrev Key'!$B$3,IF($H403&lt;='Abbrev Key'!$A$4,'Abbrev Key'!$B$4,IF($H403&lt;='Abbrev Key'!$A$5,'Abbrev Key'!$B$5,IF($H403&lt;='Abbrev Key'!$A$6,'Abbrev Key'!$B$6,IF($H403&gt;='Abbrev Key'!$A$7,'Abbrev Key'!$B$7,IF($H403='Abbrev Key'!$A$8,'Abbrev Key'!$B$8,"")))))))</f>
        <v>A</v>
      </c>
      <c r="J403" s="17" t="s">
        <v>11822</v>
      </c>
      <c r="K403" s="92" t="s">
        <v>646</v>
      </c>
      <c r="L403" s="398">
        <v>74150.759999999995</v>
      </c>
      <c r="M403" s="403">
        <f t="shared" si="25"/>
        <v>7.4150759999999996E-3</v>
      </c>
      <c r="N403" s="92" t="str">
        <f>VLOOKUP(B403,[3]Sheet!$B$2:$C$139,2,FALSE)</f>
        <v xml:space="preserve">Bragar Eagel &amp; Squire, PC </v>
      </c>
      <c r="O403" s="92"/>
      <c r="P403" s="167"/>
      <c r="Q403" s="392" t="str">
        <f t="shared" si="21"/>
        <v>12/27/2017</v>
      </c>
      <c r="R403" s="392">
        <f t="shared" si="22"/>
        <v>43095</v>
      </c>
      <c r="S403" s="392" t="str">
        <f>_xlfn.IFNA(VLOOKUP(B403,'[1]VLOOKUP NO DUPS'!$A$1:$C$456,2,FALSE),"")</f>
        <v>01/02/2018</v>
      </c>
      <c r="T403" s="168" t="str">
        <f>_xlfn.IFNA(VLOOKUP(B403,'[1]VLOOKUP NO DUPS'!$A$1:$C$456,3,FALSE),"")</f>
        <v>Bronstein, Gewirtz &amp; Grossman, LLC; Pomerantz LLP; The Rosen Law Firm, P.A.</v>
      </c>
      <c r="U403" s="167"/>
      <c r="V403" s="167"/>
      <c r="W403" s="167"/>
    </row>
    <row r="404" spans="1:23" s="86" customFormat="1" ht="30" x14ac:dyDescent="0.25">
      <c r="A404" s="165" t="str">
        <f t="shared" si="23"/>
        <v/>
      </c>
      <c r="B404" s="23" t="s">
        <v>8786</v>
      </c>
      <c r="C404" s="23" t="s">
        <v>8464</v>
      </c>
      <c r="D404" s="166" t="s">
        <v>8622</v>
      </c>
      <c r="E404" s="166" t="s">
        <v>592</v>
      </c>
      <c r="F404" s="167">
        <v>11</v>
      </c>
      <c r="G404" s="167" t="s">
        <v>8621</v>
      </c>
      <c r="H404" s="89">
        <v>1875000000</v>
      </c>
      <c r="I404" s="89" t="str">
        <f>IF($H404&lt;='Abbrev Key'!$A$2,'Abbrev Key'!$B$2,IF($H404&lt;='Abbrev Key'!$A$3,'Abbrev Key'!$B$3,IF($H404&lt;='Abbrev Key'!$A$4,'Abbrev Key'!$B$4,IF($H404&lt;='Abbrev Key'!$A$5,'Abbrev Key'!$B$5,IF($H404&lt;='Abbrev Key'!$A$6,'Abbrev Key'!$B$6,IF($H404&gt;='Abbrev Key'!$A$7,'Abbrev Key'!$B$7,IF($H404='Abbrev Key'!$A$8,'Abbrev Key'!$B$8,"")))))))</f>
        <v>F</v>
      </c>
      <c r="J404" s="23" t="s">
        <v>249</v>
      </c>
      <c r="K404" s="23" t="s">
        <v>633</v>
      </c>
      <c r="L404" s="398">
        <v>1894661.44</v>
      </c>
      <c r="M404" s="403">
        <f t="shared" si="25"/>
        <v>1.0104861013333333E-3</v>
      </c>
      <c r="N404" s="23" t="s">
        <v>10842</v>
      </c>
      <c r="O404" s="23"/>
      <c r="P404" s="167" t="s">
        <v>4287</v>
      </c>
      <c r="Q404" s="392" t="str">
        <f t="shared" si="21"/>
        <v>04/03/2017</v>
      </c>
      <c r="R404" s="392">
        <f t="shared" si="22"/>
        <v>42827</v>
      </c>
      <c r="S404" s="392" t="str">
        <f>_xlfn.IFNA(VLOOKUP(B404,'[1]VLOOKUP NO DUPS'!$A$1:$C$456,2,FALSE),"")</f>
        <v>01/03/2018</v>
      </c>
      <c r="T404" s="168" t="str">
        <f>_xlfn.IFNA(VLOOKUP(B404,'[1]VLOOKUP NO DUPS'!$A$1:$C$456,3,FALSE),"")</f>
        <v>Rosenthal, Monhait &amp; Goddess, P.A.</v>
      </c>
      <c r="U404" s="167"/>
      <c r="V404" s="167"/>
      <c r="W404" s="167"/>
    </row>
    <row r="405" spans="1:23" s="86" customFormat="1" ht="45" x14ac:dyDescent="0.25">
      <c r="A405" s="165" t="str">
        <f t="shared" si="23"/>
        <v>DUP</v>
      </c>
      <c r="B405" s="23" t="s">
        <v>61</v>
      </c>
      <c r="C405" s="23" t="s">
        <v>10537</v>
      </c>
      <c r="D405" s="166" t="s">
        <v>8680</v>
      </c>
      <c r="E405" s="166" t="s">
        <v>457</v>
      </c>
      <c r="F405" s="167">
        <v>9</v>
      </c>
      <c r="G405" s="167" t="s">
        <v>8332</v>
      </c>
      <c r="H405" s="89">
        <v>40000000</v>
      </c>
      <c r="I405" s="89" t="str">
        <f>IF($H405&lt;='Abbrev Key'!$A$2,'Abbrev Key'!$B$2,IF($H405&lt;='Abbrev Key'!$A$3,'Abbrev Key'!$B$3,IF($H405&lt;='Abbrev Key'!$A$4,'Abbrev Key'!$B$4,IF($H405&lt;='Abbrev Key'!$A$5,'Abbrev Key'!$B$5,IF($H405&lt;='Abbrev Key'!$A$6,'Abbrev Key'!$B$6,IF($H405&gt;='Abbrev Key'!$A$7,'Abbrev Key'!$B$7,IF($H405='Abbrev Key'!$A$8,'Abbrev Key'!$B$8,"")))))))</f>
        <v>B</v>
      </c>
      <c r="J405" s="17" t="s">
        <v>11846</v>
      </c>
      <c r="K405" s="92" t="s">
        <v>646</v>
      </c>
      <c r="L405" s="398">
        <v>1067421.96</v>
      </c>
      <c r="M405" s="403">
        <f t="shared" si="25"/>
        <v>2.6685548999999999E-2</v>
      </c>
      <c r="N405" s="23" t="s">
        <v>554</v>
      </c>
      <c r="O405" s="23"/>
      <c r="P405" s="167" t="s">
        <v>4287</v>
      </c>
      <c r="Q405" s="392" t="str">
        <f t="shared" si="21"/>
        <v>01/05/2018</v>
      </c>
      <c r="R405" s="392">
        <f t="shared" si="22"/>
        <v>43104</v>
      </c>
      <c r="S405" s="392" t="s">
        <v>9125</v>
      </c>
      <c r="T405" s="168" t="s">
        <v>10925</v>
      </c>
      <c r="U405" s="167"/>
      <c r="V405" s="167"/>
      <c r="W405" s="167"/>
    </row>
    <row r="406" spans="1:23" s="86" customFormat="1" x14ac:dyDescent="0.25">
      <c r="A406" s="165" t="str">
        <f t="shared" si="23"/>
        <v/>
      </c>
      <c r="B406" s="23" t="s">
        <v>8803</v>
      </c>
      <c r="C406" s="23" t="s">
        <v>8480</v>
      </c>
      <c r="D406" s="166" t="s">
        <v>8636</v>
      </c>
      <c r="E406" s="166" t="s">
        <v>457</v>
      </c>
      <c r="F406" s="167">
        <v>9</v>
      </c>
      <c r="G406" s="167" t="s">
        <v>8272</v>
      </c>
      <c r="H406" s="89">
        <v>7500000</v>
      </c>
      <c r="I406" s="89" t="str">
        <f>IF($H406&lt;='Abbrev Key'!$A$2,'Abbrev Key'!$B$2,IF($H406&lt;='Abbrev Key'!$A$3,'Abbrev Key'!$B$3,IF($H406&lt;='Abbrev Key'!$A$4,'Abbrev Key'!$B$4,IF($H406&lt;='Abbrev Key'!$A$5,'Abbrev Key'!$B$5,IF($H406&lt;='Abbrev Key'!$A$6,'Abbrev Key'!$B$6,IF($H406&gt;='Abbrev Key'!$A$7,'Abbrev Key'!$B$7,IF($H406='Abbrev Key'!$A$8,'Abbrev Key'!$B$8,"")))))))</f>
        <v>A</v>
      </c>
      <c r="J406" s="92" t="s">
        <v>9625</v>
      </c>
      <c r="K406" s="92" t="s">
        <v>637</v>
      </c>
      <c r="L406" s="398">
        <v>34736</v>
      </c>
      <c r="M406" s="403">
        <f t="shared" si="25"/>
        <v>4.6314666666666671E-3</v>
      </c>
      <c r="N406" s="92" t="str">
        <f>VLOOKUP(B406,[3]Sheet!$B$2:$C$139,2,FALSE)</f>
        <v xml:space="preserve">Levi &amp; Korsinsky, LLP </v>
      </c>
      <c r="O406" s="92"/>
      <c r="P406" s="167"/>
      <c r="Q406" s="392" t="str">
        <f t="shared" si="21"/>
        <v>01/08/2018</v>
      </c>
      <c r="R406" s="392">
        <f t="shared" si="22"/>
        <v>43107</v>
      </c>
      <c r="S406" s="392" t="str">
        <f>_xlfn.IFNA(VLOOKUP(B406,'[1]VLOOKUP NO DUPS'!$A$1:$C$456,2,FALSE),"")</f>
        <v>01/11/2018</v>
      </c>
      <c r="T406" s="168" t="str">
        <f>_xlfn.IFNA(VLOOKUP(B406,'[1]VLOOKUP NO DUPS'!$A$1:$C$456,3,FALSE),"")</f>
        <v>Bronstein, Gewirtz &amp; Grossman, LLC; Pomerantz LLP</v>
      </c>
      <c r="U406" s="167"/>
      <c r="V406" s="167"/>
      <c r="W406" s="167"/>
    </row>
    <row r="407" spans="1:23" s="86" customFormat="1" ht="45" x14ac:dyDescent="0.25">
      <c r="A407" s="11" t="str">
        <f t="shared" si="23"/>
        <v/>
      </c>
      <c r="B407" s="23" t="s">
        <v>8806</v>
      </c>
      <c r="C407" s="23" t="s">
        <v>8483</v>
      </c>
      <c r="D407" s="166" t="s">
        <v>8639</v>
      </c>
      <c r="E407" s="166" t="s">
        <v>1815</v>
      </c>
      <c r="F407" s="169">
        <v>5</v>
      </c>
      <c r="G407" s="167" t="s">
        <v>8275</v>
      </c>
      <c r="H407" s="89">
        <v>50000000</v>
      </c>
      <c r="I407" s="89" t="str">
        <f>IF($H407&lt;='Abbrev Key'!$A$2,'Abbrev Key'!$B$2,IF($H407&lt;='Abbrev Key'!$A$3,'Abbrev Key'!$B$3,IF($H407&lt;='Abbrev Key'!$A$4,'Abbrev Key'!$B$4,IF($H407&lt;='Abbrev Key'!$A$5,'Abbrev Key'!$B$5,IF($H407&lt;='Abbrev Key'!$A$6,'Abbrev Key'!$B$6,IF($H407&gt;='Abbrev Key'!$A$7,'Abbrev Key'!$B$7,IF($H407='Abbrev Key'!$A$8,'Abbrev Key'!$B$8,"")))))))</f>
        <v>B</v>
      </c>
      <c r="J407" s="17" t="s">
        <v>9624</v>
      </c>
      <c r="K407" s="23" t="s">
        <v>633</v>
      </c>
      <c r="L407" s="398">
        <v>181958.51</v>
      </c>
      <c r="M407" s="403">
        <f t="shared" si="25"/>
        <v>3.6391702000000002E-3</v>
      </c>
      <c r="N407" s="23" t="s">
        <v>10947</v>
      </c>
      <c r="O407" s="23"/>
      <c r="P407" s="167"/>
      <c r="Q407" s="392" t="str">
        <f t="shared" si="21"/>
        <v>01/08/2018</v>
      </c>
      <c r="R407" s="392">
        <f t="shared" si="22"/>
        <v>43107</v>
      </c>
      <c r="S407" s="392" t="str">
        <f>_xlfn.IFNA(VLOOKUP(B407,'[1]VLOOKUP NO DUPS'!$A$1:$C$456,2,FALSE),"")</f>
        <v>01/11/2018</v>
      </c>
      <c r="T407" s="168" t="str">
        <f>_xlfn.IFNA(VLOOKUP(B407,'[1]VLOOKUP NO DUPS'!$A$1:$C$456,3,FALSE),"")</f>
        <v>Block &amp; Leviton LLP; Kendall Law Group, LLP</v>
      </c>
      <c r="U407" s="167"/>
      <c r="V407" s="167"/>
      <c r="W407" s="167"/>
    </row>
    <row r="408" spans="1:23" s="86" customFormat="1" ht="45" x14ac:dyDescent="0.25">
      <c r="A408" s="11" t="str">
        <f t="shared" si="23"/>
        <v/>
      </c>
      <c r="B408" s="23" t="s">
        <v>8800</v>
      </c>
      <c r="C408" s="23" t="s">
        <v>8476</v>
      </c>
      <c r="D408" s="166" t="s">
        <v>8633</v>
      </c>
      <c r="E408" s="166" t="s">
        <v>418</v>
      </c>
      <c r="F408" s="167">
        <v>2</v>
      </c>
      <c r="G408" s="167" t="s">
        <v>8267</v>
      </c>
      <c r="H408" s="89">
        <v>585000000</v>
      </c>
      <c r="I408" s="89" t="str">
        <f>IF($H408&lt;='Abbrev Key'!$A$2,'Abbrev Key'!$B$2,IF($H408&lt;='Abbrev Key'!$A$3,'Abbrev Key'!$B$3,IF($H408&lt;='Abbrev Key'!$A$4,'Abbrev Key'!$B$4,IF($H408&lt;='Abbrev Key'!$A$5,'Abbrev Key'!$B$5,IF($H408&lt;='Abbrev Key'!$A$6,'Abbrev Key'!$B$6,IF($H408&gt;='Abbrev Key'!$A$7,'Abbrev Key'!$B$7,IF($H408='Abbrev Key'!$A$8,'Abbrev Key'!$B$8,"")))))))</f>
        <v>F</v>
      </c>
      <c r="J408" s="17" t="s">
        <v>195</v>
      </c>
      <c r="K408" s="92" t="s">
        <v>633</v>
      </c>
      <c r="L408" s="398">
        <v>203102.23</v>
      </c>
      <c r="M408" s="403">
        <f t="shared" si="25"/>
        <v>3.4718329914529918E-4</v>
      </c>
      <c r="N408" s="92" t="str">
        <f>VLOOKUP(B408,[3]Sheet!$B$2:$C$139,2,FALSE)</f>
        <v xml:space="preserve">Shepherd, Finkelman, Miller &amp; Shah, LLP </v>
      </c>
      <c r="O408" s="92"/>
      <c r="P408" s="167"/>
      <c r="Q408" s="392" t="str">
        <f t="shared" si="21"/>
        <v>08/01/2017</v>
      </c>
      <c r="R408" s="392">
        <f t="shared" si="22"/>
        <v>42947</v>
      </c>
      <c r="S408" s="392" t="str">
        <f>_xlfn.IFNA(VLOOKUP(B408,'[1]VLOOKUP NO DUPS'!$A$1:$C$456,2,FALSE),"")</f>
        <v>01/12/2018</v>
      </c>
      <c r="T408" s="168" t="str">
        <f>_xlfn.IFNA(VLOOKUP(B408,'[1]VLOOKUP NO DUPS'!$A$1:$C$456,3,FALSE),"")</f>
        <v>Bronstein, Gewirtz &amp; Grossman, LLC; Pomerantz LLP; Robbins, Geller, Rudman &amp; Dowd, LLP</v>
      </c>
      <c r="U408" s="167"/>
      <c r="V408" s="167"/>
      <c r="W408" s="167"/>
    </row>
    <row r="409" spans="1:23" s="86" customFormat="1" x14ac:dyDescent="0.25">
      <c r="A409" s="11" t="str">
        <f t="shared" si="23"/>
        <v/>
      </c>
      <c r="B409" s="23" t="s">
        <v>8790</v>
      </c>
      <c r="C409" s="23" t="s">
        <v>8467</v>
      </c>
      <c r="D409" s="166" t="s">
        <v>8626</v>
      </c>
      <c r="E409" s="166" t="s">
        <v>457</v>
      </c>
      <c r="F409" s="167">
        <v>9</v>
      </c>
      <c r="G409" s="167" t="s">
        <v>8257</v>
      </c>
      <c r="H409" s="89">
        <v>50000000</v>
      </c>
      <c r="I409" s="89" t="str">
        <f>IF($H409&lt;='Abbrev Key'!$A$2,'Abbrev Key'!$B$2,IF($H409&lt;='Abbrev Key'!$A$3,'Abbrev Key'!$B$3,IF($H409&lt;='Abbrev Key'!$A$4,'Abbrev Key'!$B$4,IF($H409&lt;='Abbrev Key'!$A$5,'Abbrev Key'!$B$5,IF($H409&lt;='Abbrev Key'!$A$6,'Abbrev Key'!$B$6,IF($H409&gt;='Abbrev Key'!$A$7,'Abbrev Key'!$B$7,IF($H409='Abbrev Key'!$A$8,'Abbrev Key'!$B$8,"")))))))</f>
        <v>B</v>
      </c>
      <c r="J409" s="17" t="s">
        <v>11777</v>
      </c>
      <c r="K409" s="92" t="s">
        <v>646</v>
      </c>
      <c r="L409" s="398">
        <v>177526.65</v>
      </c>
      <c r="M409" s="403">
        <f t="shared" si="25"/>
        <v>3.5505329999999998E-3</v>
      </c>
      <c r="N409" s="92" t="str">
        <f>VLOOKUP(B409,[3]Sheet!$B$2:$C$139,2,FALSE)</f>
        <v xml:space="preserve">The Rosen Law Firm, P.A. </v>
      </c>
      <c r="O409" s="92"/>
      <c r="P409" s="167"/>
      <c r="Q409" s="392" t="str">
        <f t="shared" si="21"/>
        <v>01/11/2018</v>
      </c>
      <c r="R409" s="392">
        <f t="shared" si="22"/>
        <v>43110</v>
      </c>
      <c r="S409" s="392" t="str">
        <f>_xlfn.IFNA(VLOOKUP(B409,'[1]VLOOKUP NO DUPS'!$A$1:$C$456,2,FALSE),"")</f>
        <v>01/16/2018</v>
      </c>
      <c r="T409" s="168" t="str">
        <f>_xlfn.IFNA(VLOOKUP(B409,'[1]VLOOKUP NO DUPS'!$A$1:$C$456,3,FALSE),"")</f>
        <v>Bronstein, Gewirtz &amp; Grossman, LLC; Pomerantz LLP</v>
      </c>
      <c r="U409" s="167"/>
      <c r="V409" s="167"/>
      <c r="W409" s="167"/>
    </row>
    <row r="410" spans="1:23" s="86" customFormat="1" ht="30" x14ac:dyDescent="0.25">
      <c r="A410" s="164" t="str">
        <f t="shared" si="23"/>
        <v/>
      </c>
      <c r="B410" s="23" t="s">
        <v>8906</v>
      </c>
      <c r="C410" s="23" t="s">
        <v>8932</v>
      </c>
      <c r="D410" s="166" t="s">
        <v>8933</v>
      </c>
      <c r="E410" s="166" t="s">
        <v>409</v>
      </c>
      <c r="F410" s="167">
        <v>1</v>
      </c>
      <c r="G410" s="167" t="s">
        <v>8432</v>
      </c>
      <c r="H410" s="89">
        <v>130000000</v>
      </c>
      <c r="I410" s="89" t="str">
        <f>IF($H410&lt;='Abbrev Key'!$A$2,'Abbrev Key'!$B$2,IF($H410&lt;='Abbrev Key'!$A$3,'Abbrev Key'!$B$3,IF($H410&lt;='Abbrev Key'!$A$4,'Abbrev Key'!$B$4,IF($H410&lt;='Abbrev Key'!$A$5,'Abbrev Key'!$B$5,IF($H410&lt;='Abbrev Key'!$A$6,'Abbrev Key'!$B$6,IF($H410&gt;='Abbrev Key'!$A$7,'Abbrev Key'!$B$7,IF($H410='Abbrev Key'!$A$8,'Abbrev Key'!$B$8,"")))))))</f>
        <v>D</v>
      </c>
      <c r="J410" s="23" t="s">
        <v>9606</v>
      </c>
      <c r="K410" s="23" t="s">
        <v>637</v>
      </c>
      <c r="L410" s="398">
        <v>280611.3</v>
      </c>
      <c r="M410" s="403">
        <f t="shared" si="25"/>
        <v>2.1585484615384612E-3</v>
      </c>
      <c r="N410" s="23" t="s">
        <v>10851</v>
      </c>
      <c r="O410" s="23"/>
      <c r="P410" s="167"/>
      <c r="Q410" s="392" t="str">
        <f t="shared" si="21"/>
        <v>01/12/2018</v>
      </c>
      <c r="R410" s="392">
        <f t="shared" si="22"/>
        <v>43111</v>
      </c>
      <c r="S410" s="392" t="s">
        <v>9123</v>
      </c>
      <c r="T410" s="168" t="s">
        <v>10901</v>
      </c>
      <c r="U410" s="167"/>
      <c r="V410" s="167"/>
      <c r="W410" s="167"/>
    </row>
    <row r="411" spans="1:23" s="86" customFormat="1" ht="30" x14ac:dyDescent="0.25">
      <c r="A411" s="165" t="str">
        <f t="shared" si="23"/>
        <v/>
      </c>
      <c r="B411" s="23" t="s">
        <v>8245</v>
      </c>
      <c r="C411" s="23" t="s">
        <v>8605</v>
      </c>
      <c r="D411" s="166" t="s">
        <v>8946</v>
      </c>
      <c r="E411" s="166" t="s">
        <v>418</v>
      </c>
      <c r="F411" s="167">
        <v>2</v>
      </c>
      <c r="G411" s="167" t="s">
        <v>8456</v>
      </c>
      <c r="H411" s="89">
        <v>120000000</v>
      </c>
      <c r="I411" s="89" t="str">
        <f>IF($H411&lt;='Abbrev Key'!$A$2,'Abbrev Key'!$B$2,IF($H411&lt;='Abbrev Key'!$A$3,'Abbrev Key'!$B$3,IF($H411&lt;='Abbrev Key'!$A$4,'Abbrev Key'!$B$4,IF($H411&lt;='Abbrev Key'!$A$5,'Abbrev Key'!$B$5,IF($H411&lt;='Abbrev Key'!$A$6,'Abbrev Key'!$B$6,IF($H411&gt;='Abbrev Key'!$A$7,'Abbrev Key'!$B$7,IF($H411='Abbrev Key'!$A$8,'Abbrev Key'!$B$8,"")))))))</f>
        <v>D</v>
      </c>
      <c r="J411" s="92" t="s">
        <v>11987</v>
      </c>
      <c r="K411" s="92" t="s">
        <v>646</v>
      </c>
      <c r="L411" s="398">
        <v>327690</v>
      </c>
      <c r="M411" s="403">
        <f t="shared" si="25"/>
        <v>2.7307500000000001E-3</v>
      </c>
      <c r="N411" s="92" t="str">
        <f>VLOOKUP(B411,[3]Sheet!$B$2:$C$139,2,FALSE)</f>
        <v xml:space="preserve">Pomerantz LLP </v>
      </c>
      <c r="O411" s="92"/>
      <c r="P411" s="167"/>
      <c r="Q411" s="392" t="str">
        <f t="shared" si="21"/>
        <v>01/11/2018</v>
      </c>
      <c r="R411" s="392">
        <f t="shared" si="22"/>
        <v>43110</v>
      </c>
      <c r="S411" s="392" t="str">
        <f>_xlfn.IFNA(VLOOKUP(B411,'[1]VLOOKUP NO DUPS'!$A$1:$C$456,2,FALSE),"")</f>
        <v>01/18/2018</v>
      </c>
      <c r="T411" s="168" t="str">
        <f>_xlfn.IFNA(VLOOKUP(B411,'[1]VLOOKUP NO DUPS'!$A$1:$C$456,3,FALSE),"")</f>
        <v>Bronstein, Gewirtz &amp; Grossman, LLC; Levi &amp; Korsinsky, LLP; Pomerantz LLP</v>
      </c>
      <c r="U411" s="167"/>
      <c r="V411" s="167"/>
      <c r="W411" s="167"/>
    </row>
    <row r="412" spans="1:23" s="86" customFormat="1" x14ac:dyDescent="0.25">
      <c r="A412" s="165" t="str">
        <f t="shared" si="23"/>
        <v/>
      </c>
      <c r="B412" s="23" t="s">
        <v>8926</v>
      </c>
      <c r="C412" s="23" t="s">
        <v>8606</v>
      </c>
      <c r="D412" s="166" t="s">
        <v>8947</v>
      </c>
      <c r="E412" s="166" t="s">
        <v>457</v>
      </c>
      <c r="F412" s="167">
        <v>9</v>
      </c>
      <c r="G412" s="167" t="s">
        <v>8457</v>
      </c>
      <c r="H412" s="89">
        <v>150000000</v>
      </c>
      <c r="I412" s="89" t="str">
        <f>IF($H412&lt;='Abbrev Key'!$A$2,'Abbrev Key'!$B$2,IF($H412&lt;='Abbrev Key'!$A$3,'Abbrev Key'!$B$3,IF($H412&lt;='Abbrev Key'!$A$4,'Abbrev Key'!$B$4,IF($H412&lt;='Abbrev Key'!$A$5,'Abbrev Key'!$B$5,IF($H412&lt;='Abbrev Key'!$A$6,'Abbrev Key'!$B$6,IF($H412&gt;='Abbrev Key'!$A$7,'Abbrev Key'!$B$7,IF($H412='Abbrev Key'!$A$8,'Abbrev Key'!$B$8,"")))))))</f>
        <v>D</v>
      </c>
      <c r="J412" s="92" t="s">
        <v>9609</v>
      </c>
      <c r="K412" s="92" t="s">
        <v>637</v>
      </c>
      <c r="L412" s="398">
        <v>93006.7</v>
      </c>
      <c r="M412" s="403">
        <f t="shared" si="25"/>
        <v>6.2004466666666668E-4</v>
      </c>
      <c r="N412" s="92" t="s">
        <v>9002</v>
      </c>
      <c r="O412" s="92"/>
      <c r="P412" s="167"/>
      <c r="Q412" s="392" t="str">
        <f t="shared" si="21"/>
        <v>05/09/2017</v>
      </c>
      <c r="R412" s="392">
        <f t="shared" si="22"/>
        <v>42863</v>
      </c>
      <c r="S412" s="392" t="str">
        <f>_xlfn.IFNA(VLOOKUP(B412,'[1]VLOOKUP NO DUPS'!$A$1:$C$456,2,FALSE),"")</f>
        <v>01/18/2018</v>
      </c>
      <c r="T412" s="168" t="str">
        <f>_xlfn.IFNA(VLOOKUP(B412,'[1]VLOOKUP NO DUPS'!$A$1:$C$456,3,FALSE),"")</f>
        <v>Glancy Prongay &amp; Murray, LLP; Holzer &amp; Holzer, LLC</v>
      </c>
      <c r="U412" s="167"/>
      <c r="V412" s="167"/>
      <c r="W412" s="167"/>
    </row>
    <row r="413" spans="1:23" s="86" customFormat="1" ht="30" x14ac:dyDescent="0.25">
      <c r="A413" s="165" t="str">
        <f t="shared" si="23"/>
        <v/>
      </c>
      <c r="B413" s="23" t="s">
        <v>8792</v>
      </c>
      <c r="C413" s="23" t="s">
        <v>8469</v>
      </c>
      <c r="D413" s="166" t="s">
        <v>8628</v>
      </c>
      <c r="E413" s="166" t="s">
        <v>457</v>
      </c>
      <c r="F413" s="167">
        <v>9</v>
      </c>
      <c r="G413" s="167" t="s">
        <v>8259</v>
      </c>
      <c r="H413" s="89">
        <v>10000000</v>
      </c>
      <c r="I413" s="89" t="str">
        <f>IF($H413&lt;='Abbrev Key'!$A$2,'Abbrev Key'!$B$2,IF($H413&lt;='Abbrev Key'!$A$3,'Abbrev Key'!$B$3,IF($H413&lt;='Abbrev Key'!$A$4,'Abbrev Key'!$B$4,IF($H413&lt;='Abbrev Key'!$A$5,'Abbrev Key'!$B$5,IF($H413&lt;='Abbrev Key'!$A$6,'Abbrev Key'!$B$6,IF($H413&gt;='Abbrev Key'!$A$7,'Abbrev Key'!$B$7,IF($H413='Abbrev Key'!$A$8,'Abbrev Key'!$B$8,"")))))))</f>
        <v>A</v>
      </c>
      <c r="J413" s="17" t="s">
        <v>9592</v>
      </c>
      <c r="K413" s="23" t="s">
        <v>637</v>
      </c>
      <c r="L413" s="398">
        <v>80197</v>
      </c>
      <c r="M413" s="403">
        <f t="shared" si="25"/>
        <v>8.0196999999999994E-3</v>
      </c>
      <c r="N413" s="92" t="str">
        <f>VLOOKUP(B413,[3]Sheet!$B$2:$C$139,2,FALSE)</f>
        <v xml:space="preserve">Pomerantz LLP </v>
      </c>
      <c r="O413" s="92"/>
      <c r="P413" s="167"/>
      <c r="Q413" s="392" t="str">
        <f t="shared" si="21"/>
        <v>01/16/2018</v>
      </c>
      <c r="R413" s="392">
        <f t="shared" si="22"/>
        <v>43115</v>
      </c>
      <c r="S413" s="392" t="str">
        <f>_xlfn.IFNA(VLOOKUP(B413,'[1]VLOOKUP NO DUPS'!$A$1:$C$456,2,FALSE),"")</f>
        <v>01/19/2018</v>
      </c>
      <c r="T413" s="168" t="str">
        <f>_xlfn.IFNA(VLOOKUP(B413,'[1]VLOOKUP NO DUPS'!$A$1:$C$456,3,FALSE),"")</f>
        <v>Bronstein, Gewirtz &amp; Grossman, LLC; Levi &amp; Korsinsky, LLP; Pomerantz LLP; The Rosen Law Firm, P.A.</v>
      </c>
      <c r="U413" s="167"/>
      <c r="V413" s="167"/>
      <c r="W413" s="167"/>
    </row>
    <row r="414" spans="1:23" s="86" customFormat="1" ht="30" x14ac:dyDescent="0.25">
      <c r="A414" s="165" t="str">
        <f t="shared" si="23"/>
        <v/>
      </c>
      <c r="B414" s="23" t="s">
        <v>8849</v>
      </c>
      <c r="C414" s="23" t="s">
        <v>8689</v>
      </c>
      <c r="D414" s="166" t="s">
        <v>10938</v>
      </c>
      <c r="E414" s="166" t="s">
        <v>446</v>
      </c>
      <c r="F414" s="167">
        <v>9</v>
      </c>
      <c r="G414" s="167" t="s">
        <v>8342</v>
      </c>
      <c r="H414" s="89">
        <v>1360000000</v>
      </c>
      <c r="I414" s="89" t="str">
        <f>IF($H414&lt;='Abbrev Key'!$A$2,'Abbrev Key'!$B$2,IF($H414&lt;='Abbrev Key'!$A$3,'Abbrev Key'!$B$3,IF($H414&lt;='Abbrev Key'!$A$4,'Abbrev Key'!$B$4,IF($H414&lt;='Abbrev Key'!$A$5,'Abbrev Key'!$B$5,IF($H414&lt;='Abbrev Key'!$A$6,'Abbrev Key'!$B$6,IF($H414&gt;='Abbrev Key'!$A$7,'Abbrev Key'!$B$7,IF($H414='Abbrev Key'!$A$8,'Abbrev Key'!$B$8,"")))))))</f>
        <v>F</v>
      </c>
      <c r="J414" s="17" t="s">
        <v>233</v>
      </c>
      <c r="K414" s="92" t="s">
        <v>633</v>
      </c>
      <c r="L414" s="354">
        <v>67658</v>
      </c>
      <c r="M414" s="405">
        <f t="shared" si="25"/>
        <v>4.9748529411764704E-5</v>
      </c>
      <c r="N414" s="92" t="str">
        <f>VLOOKUP(B414,[3]Sheet!$B$2:$C$139,2,FALSE)</f>
        <v xml:space="preserve">Bernstein Litowitz Berger &amp; Grossmann LLP </v>
      </c>
      <c r="O414" s="92"/>
      <c r="P414" s="167" t="s">
        <v>4287</v>
      </c>
      <c r="Q414" s="392" t="str">
        <f t="shared" si="21"/>
        <v>01/04/2018</v>
      </c>
      <c r="R414" s="392">
        <f t="shared" si="22"/>
        <v>43103</v>
      </c>
      <c r="S414" s="392">
        <v>43123</v>
      </c>
      <c r="T414" s="168" t="s">
        <v>79</v>
      </c>
      <c r="U414" s="167"/>
      <c r="V414" s="167"/>
      <c r="W414" s="167"/>
    </row>
    <row r="415" spans="1:23" s="86" customFormat="1" ht="30" x14ac:dyDescent="0.25">
      <c r="A415" s="165" t="str">
        <f t="shared" si="23"/>
        <v/>
      </c>
      <c r="B415" s="23" t="s">
        <v>8807</v>
      </c>
      <c r="C415" s="23" t="s">
        <v>8484</v>
      </c>
      <c r="D415" s="166" t="s">
        <v>10412</v>
      </c>
      <c r="E415" s="166" t="s">
        <v>418</v>
      </c>
      <c r="F415" s="167">
        <v>9</v>
      </c>
      <c r="G415" s="167" t="s">
        <v>8276</v>
      </c>
      <c r="H415" s="89" t="s">
        <v>4882</v>
      </c>
      <c r="I415" s="89" t="s">
        <v>6732</v>
      </c>
      <c r="J415" s="23" t="s">
        <v>9585</v>
      </c>
      <c r="K415" s="23" t="s">
        <v>637</v>
      </c>
      <c r="L415" s="398">
        <v>121564</v>
      </c>
      <c r="M415" s="403" t="str">
        <f t="shared" si="25"/>
        <v>DC</v>
      </c>
      <c r="N415" s="23" t="s">
        <v>1204</v>
      </c>
      <c r="O415" s="23"/>
      <c r="P415" s="167"/>
      <c r="Q415" s="392" t="str">
        <f t="shared" si="21"/>
        <v>01/25/2018</v>
      </c>
      <c r="R415" s="392">
        <f t="shared" si="22"/>
        <v>43124</v>
      </c>
      <c r="S415" s="392" t="str">
        <f>_xlfn.IFNA(VLOOKUP(B415,'[1]VLOOKUP NO DUPS'!$A$1:$C$456,2,FALSE),"")</f>
        <v>01/27/2018</v>
      </c>
      <c r="T415" s="168" t="str">
        <f>_xlfn.IFNA(VLOOKUP(B415,'[1]VLOOKUP NO DUPS'!$A$1:$C$456,3,FALSE),"")</f>
        <v>The Rosen Law Firm, P.A.</v>
      </c>
      <c r="U415" s="167"/>
      <c r="V415" s="167"/>
      <c r="W415" s="167"/>
    </row>
    <row r="416" spans="1:23" s="86" customFormat="1" ht="45" x14ac:dyDescent="0.25">
      <c r="A416" s="165" t="str">
        <f t="shared" si="23"/>
        <v/>
      </c>
      <c r="B416" s="23" t="s">
        <v>8867</v>
      </c>
      <c r="C416" s="23" t="s">
        <v>8547</v>
      </c>
      <c r="D416" s="166" t="s">
        <v>8710</v>
      </c>
      <c r="E416" s="166" t="s">
        <v>1008</v>
      </c>
      <c r="F416" s="167">
        <v>2</v>
      </c>
      <c r="G416" s="167" t="s">
        <v>8368</v>
      </c>
      <c r="H416" s="89">
        <v>3100000000</v>
      </c>
      <c r="I416" s="89" t="str">
        <f>IF($H416&lt;='Abbrev Key'!$A$2,'Abbrev Key'!$B$2,IF($H416&lt;='Abbrev Key'!$A$3,'Abbrev Key'!$B$3,IF($H416&lt;='Abbrev Key'!$A$4,'Abbrev Key'!$B$4,IF($H416&lt;='Abbrev Key'!$A$5,'Abbrev Key'!$B$5,IF($H416&lt;='Abbrev Key'!$A$6,'Abbrev Key'!$B$6,IF($H416&gt;='Abbrev Key'!$A$7,'Abbrev Key'!$B$7,IF($H416='Abbrev Key'!$A$8,'Abbrev Key'!$B$8,"")))))))</f>
        <v>F</v>
      </c>
      <c r="J416" s="92" t="s">
        <v>11952</v>
      </c>
      <c r="K416" s="92" t="s">
        <v>640</v>
      </c>
      <c r="L416" s="398">
        <f>9099753.67+1659520.47</f>
        <v>10759274.140000001</v>
      </c>
      <c r="M416" s="403">
        <f t="shared" si="25"/>
        <v>3.4707335935483872E-3</v>
      </c>
      <c r="N416" s="92" t="s">
        <v>11068</v>
      </c>
      <c r="O416" s="92" t="s">
        <v>11197</v>
      </c>
      <c r="P416" s="167"/>
      <c r="Q416" s="392" t="str">
        <f t="shared" si="21"/>
        <v>01/29/2018</v>
      </c>
      <c r="R416" s="392">
        <f t="shared" si="22"/>
        <v>43128</v>
      </c>
      <c r="S416" s="392" t="str">
        <f>_xlfn.IFNA(VLOOKUP(B416,'[1]VLOOKUP NO DUPS'!$A$1:$C$456,2,FALSE),"")</f>
        <v>02/05/2018</v>
      </c>
      <c r="T416" s="168" t="str">
        <f>_xlfn.IFNA(VLOOKUP(B416,'[1]VLOOKUP NO DUPS'!$A$1:$C$456,3,FALSE),"")</f>
        <v>The Rosen Law Firm, P.A.</v>
      </c>
      <c r="U416" s="167"/>
      <c r="V416" s="167"/>
      <c r="W416" s="167"/>
    </row>
    <row r="417" spans="1:23" s="86" customFormat="1" ht="30" x14ac:dyDescent="0.25">
      <c r="A417" s="165" t="str">
        <f t="shared" si="23"/>
        <v/>
      </c>
      <c r="B417" s="23" t="s">
        <v>8789</v>
      </c>
      <c r="C417" s="23" t="s">
        <v>8466</v>
      </c>
      <c r="D417" s="166" t="s">
        <v>8625</v>
      </c>
      <c r="E417" s="166" t="s">
        <v>437</v>
      </c>
      <c r="F417" s="167">
        <v>3</v>
      </c>
      <c r="G417" s="167" t="s">
        <v>8256</v>
      </c>
      <c r="H417" s="89">
        <v>1100000000</v>
      </c>
      <c r="I417" s="89" t="str">
        <f>IF($H417&lt;='Abbrev Key'!$A$2,'Abbrev Key'!$B$2,IF($H417&lt;='Abbrev Key'!$A$3,'Abbrev Key'!$B$3,IF($H417&lt;='Abbrev Key'!$A$4,'Abbrev Key'!$B$4,IF($H417&lt;='Abbrev Key'!$A$5,'Abbrev Key'!$B$5,IF($H417&lt;='Abbrev Key'!$A$6,'Abbrev Key'!$B$6,IF($H417&gt;='Abbrev Key'!$A$7,'Abbrev Key'!$B$7,IF($H417='Abbrev Key'!$A$8,'Abbrev Key'!$B$8,"")))))))</f>
        <v>F</v>
      </c>
      <c r="J417" s="17" t="s">
        <v>249</v>
      </c>
      <c r="K417" s="17" t="s">
        <v>633</v>
      </c>
      <c r="L417" s="399">
        <v>2183026.4900000002</v>
      </c>
      <c r="M417" s="404">
        <f t="shared" si="25"/>
        <v>1.9845695363636365E-3</v>
      </c>
      <c r="N417" s="17" t="s">
        <v>10843</v>
      </c>
      <c r="O417" s="17"/>
      <c r="P417" s="167" t="s">
        <v>4287</v>
      </c>
      <c r="Q417" s="392" t="str">
        <f t="shared" si="21"/>
        <v>08/15/2017</v>
      </c>
      <c r="R417" s="392">
        <f t="shared" si="22"/>
        <v>42961</v>
      </c>
      <c r="S417" s="392" t="str">
        <f>_xlfn.IFNA(VLOOKUP(B417,'[1]VLOOKUP NO DUPS'!$A$1:$C$456,2,FALSE),"")</f>
        <v>02/06/2018</v>
      </c>
      <c r="T417" s="168" t="str">
        <f>_xlfn.IFNA(VLOOKUP(B417,'[1]VLOOKUP NO DUPS'!$A$1:$C$456,3,FALSE),"")</f>
        <v>The Rosen Law Firm, P.A.</v>
      </c>
      <c r="U417" s="167"/>
      <c r="V417" s="167"/>
      <c r="W417" s="167"/>
    </row>
    <row r="418" spans="1:23" s="86" customFormat="1" ht="60" x14ac:dyDescent="0.25">
      <c r="A418" s="165" t="str">
        <f t="shared" si="23"/>
        <v/>
      </c>
      <c r="B418" s="23" t="s">
        <v>8810</v>
      </c>
      <c r="C418" s="23" t="s">
        <v>8489</v>
      </c>
      <c r="D418" s="166" t="s">
        <v>8643</v>
      </c>
      <c r="E418" s="166" t="s">
        <v>8612</v>
      </c>
      <c r="F418" s="169">
        <v>5</v>
      </c>
      <c r="G418" s="167" t="s">
        <v>8282</v>
      </c>
      <c r="H418" s="89">
        <v>35000000</v>
      </c>
      <c r="I418" s="89" t="str">
        <f>IF($H418&lt;='Abbrev Key'!$A$2,'Abbrev Key'!$B$2,IF($H418&lt;='Abbrev Key'!$A$3,'Abbrev Key'!$B$3,IF($H418&lt;='Abbrev Key'!$A$4,'Abbrev Key'!$B$4,IF($H418&lt;='Abbrev Key'!$A$5,'Abbrev Key'!$B$5,IF($H418&lt;='Abbrev Key'!$A$6,'Abbrev Key'!$B$6,IF($H418&gt;='Abbrev Key'!$A$7,'Abbrev Key'!$B$7,IF($H418='Abbrev Key'!$A$8,'Abbrev Key'!$B$8,"")))))))</f>
        <v>B</v>
      </c>
      <c r="J418" s="92" t="s">
        <v>4332</v>
      </c>
      <c r="K418" s="92" t="s">
        <v>4332</v>
      </c>
      <c r="L418" s="92" t="s">
        <v>4332</v>
      </c>
      <c r="M418" s="92" t="s">
        <v>4332</v>
      </c>
      <c r="N418" s="92" t="s">
        <v>4332</v>
      </c>
      <c r="O418" s="92"/>
      <c r="P418" s="167" t="s">
        <v>4287</v>
      </c>
      <c r="Q418" s="392" t="str">
        <f t="shared" si="21"/>
        <v>01/30/2018</v>
      </c>
      <c r="R418" s="392">
        <f t="shared" si="22"/>
        <v>43129</v>
      </c>
      <c r="S418" s="392" t="str">
        <f>_xlfn.IFNA(VLOOKUP(B418,'[1]VLOOKUP NO DUPS'!$A$1:$C$456,2,FALSE),"")</f>
        <v>02/06/2018</v>
      </c>
      <c r="T418" s="168" t="str">
        <f>_xlfn.IFNA(VLOOKUP(B418,'[1]VLOOKUP NO DUPS'!$A$1:$C$456,3,FALSE),"")</f>
        <v>Bronstein, Gewirtz &amp; Grossman, LLC; Johnson Fistel, LLP; McDowell Hetherington, LLP; Pomerantz LLP; Robbins, Geller, Rudman &amp; Dowd, LLP; The Briscoe Law Firm, PLLC</v>
      </c>
      <c r="U418" s="167"/>
      <c r="V418" s="167"/>
      <c r="W418" s="167"/>
    </row>
    <row r="419" spans="1:23" s="86" customFormat="1" ht="45" x14ac:dyDescent="0.25">
      <c r="A419" s="165" t="str">
        <f t="shared" si="23"/>
        <v/>
      </c>
      <c r="B419" s="23" t="s">
        <v>8776</v>
      </c>
      <c r="C419" s="23" t="s">
        <v>8587</v>
      </c>
      <c r="D419" s="166" t="s">
        <v>8929</v>
      </c>
      <c r="E419" s="166" t="s">
        <v>1008</v>
      </c>
      <c r="F419" s="167">
        <v>2</v>
      </c>
      <c r="G419" s="167" t="s">
        <v>8429</v>
      </c>
      <c r="H419" s="89">
        <v>70000000</v>
      </c>
      <c r="I419" s="89" t="str">
        <f>IF($H419&lt;='Abbrev Key'!$A$2,'Abbrev Key'!$B$2,IF($H419&lt;='Abbrev Key'!$A$3,'Abbrev Key'!$B$3,IF($H419&lt;='Abbrev Key'!$A$4,'Abbrev Key'!$B$4,IF($H419&lt;='Abbrev Key'!$A$5,'Abbrev Key'!$B$5,IF($H419&lt;='Abbrev Key'!$A$6,'Abbrev Key'!$B$6,IF($H419&gt;='Abbrev Key'!$A$7,'Abbrev Key'!$B$7,IF($H419='Abbrev Key'!$A$8,'Abbrev Key'!$B$8,"")))))))</f>
        <v>C</v>
      </c>
      <c r="J419" s="92" t="s">
        <v>11969</v>
      </c>
      <c r="K419" s="92" t="s">
        <v>662</v>
      </c>
      <c r="L419" s="398">
        <f>314163.75+475449.04</f>
        <v>789612.79</v>
      </c>
      <c r="M419" s="403">
        <f t="shared" ref="M419:M425" si="26">IFERROR((L419/H419),"DC")</f>
        <v>1.1280182714285715E-2</v>
      </c>
      <c r="N419" s="92" t="s">
        <v>9001</v>
      </c>
      <c r="O419" s="92" t="s">
        <v>11197</v>
      </c>
      <c r="P419" s="167"/>
      <c r="Q419" s="392" t="str">
        <f t="shared" si="21"/>
        <v>11/14/2017</v>
      </c>
      <c r="R419" s="392">
        <f t="shared" si="22"/>
        <v>43052</v>
      </c>
      <c r="S419" s="392" t="str">
        <f>_xlfn.IFNA(VLOOKUP(B419,'[1]VLOOKUP NO DUPS'!$A$1:$C$456,2,FALSE),"")</f>
        <v>02/08/2018</v>
      </c>
      <c r="T419" s="168" t="str">
        <f>_xlfn.IFNA(VLOOKUP(B419,'[1]VLOOKUP NO DUPS'!$A$1:$C$456,3,FALSE),"")</f>
        <v>Faruqi &amp; Faruqi, LLP; WeissLaw, LLP</v>
      </c>
      <c r="U419" s="167"/>
      <c r="V419" s="167"/>
      <c r="W419" s="167"/>
    </row>
    <row r="420" spans="1:23" s="86" customFormat="1" ht="60" x14ac:dyDescent="0.25">
      <c r="A420" s="165" t="str">
        <f t="shared" si="23"/>
        <v/>
      </c>
      <c r="B420" s="23" t="s">
        <v>8852</v>
      </c>
      <c r="C420" s="23" t="s">
        <v>8534</v>
      </c>
      <c r="D420" s="166" t="s">
        <v>8692</v>
      </c>
      <c r="E420" s="166" t="s">
        <v>424</v>
      </c>
      <c r="F420" s="167">
        <v>3</v>
      </c>
      <c r="G420" s="167" t="s">
        <v>8349</v>
      </c>
      <c r="H420" s="89">
        <v>2400000000</v>
      </c>
      <c r="I420" s="89" t="str">
        <f>IF($H420&lt;='Abbrev Key'!$A$2,'Abbrev Key'!$B$2,IF($H420&lt;='Abbrev Key'!$A$3,'Abbrev Key'!$B$3,IF($H420&lt;='Abbrev Key'!$A$4,'Abbrev Key'!$B$4,IF($H420&lt;='Abbrev Key'!$A$5,'Abbrev Key'!$B$5,IF($H420&lt;='Abbrev Key'!$A$6,'Abbrev Key'!$B$6,IF($H420&gt;='Abbrev Key'!$A$7,'Abbrev Key'!$B$7,IF($H420='Abbrev Key'!$A$8,'Abbrev Key'!$B$8,"")))))))</f>
        <v>F</v>
      </c>
      <c r="J420" s="17" t="s">
        <v>9576</v>
      </c>
      <c r="K420" s="92" t="s">
        <v>633</v>
      </c>
      <c r="L420" s="398">
        <v>477414.5</v>
      </c>
      <c r="M420" s="403">
        <f t="shared" si="26"/>
        <v>1.9892270833333334E-4</v>
      </c>
      <c r="N420" s="23" t="s">
        <v>1988</v>
      </c>
      <c r="O420" s="23"/>
      <c r="P420" s="167" t="s">
        <v>4287</v>
      </c>
      <c r="Q420" s="392" t="str">
        <f t="shared" si="21"/>
        <v>02/07/2018</v>
      </c>
      <c r="R420" s="392">
        <f t="shared" si="22"/>
        <v>43137</v>
      </c>
      <c r="S420" s="392" t="str">
        <f>_xlfn.IFNA(VLOOKUP(B420,'[1]VLOOKUP NO DUPS'!$A$1:$C$456,2,FALSE),"")</f>
        <v>02/08/2018</v>
      </c>
      <c r="T420" s="168" t="str">
        <f>_xlfn.IFNA(VLOOKUP(B420,'[1]VLOOKUP NO DUPS'!$A$1:$C$456,3,FALSE),"")</f>
        <v>Ben Crump Law PLLC; The Rosen Law Firm, P.A.</v>
      </c>
      <c r="U420" s="167"/>
      <c r="V420" s="167"/>
      <c r="W420" s="167"/>
    </row>
    <row r="421" spans="1:23" s="86" customFormat="1" ht="45" x14ac:dyDescent="0.25">
      <c r="A421" s="165" t="str">
        <f t="shared" si="23"/>
        <v/>
      </c>
      <c r="B421" s="23" t="s">
        <v>8780</v>
      </c>
      <c r="C421" s="23" t="s">
        <v>8584</v>
      </c>
      <c r="D421" s="166" t="s">
        <v>8771</v>
      </c>
      <c r="E421" s="166" t="s">
        <v>457</v>
      </c>
      <c r="F421" s="167">
        <v>9</v>
      </c>
      <c r="G421" s="167" t="s">
        <v>8425</v>
      </c>
      <c r="H421" s="89">
        <v>115000000</v>
      </c>
      <c r="I421" s="89" t="str">
        <f>IF($H421&lt;='Abbrev Key'!$A$2,'Abbrev Key'!$B$2,IF($H421&lt;='Abbrev Key'!$A$3,'Abbrev Key'!$B$3,IF($H421&lt;='Abbrev Key'!$A$4,'Abbrev Key'!$B$4,IF($H421&lt;='Abbrev Key'!$A$5,'Abbrev Key'!$B$5,IF($H421&lt;='Abbrev Key'!$A$6,'Abbrev Key'!$B$6,IF($H421&gt;='Abbrev Key'!$A$7,'Abbrev Key'!$B$7,IF($H421='Abbrev Key'!$A$8,'Abbrev Key'!$B$8,"")))))))</f>
        <v>D</v>
      </c>
      <c r="J421" s="17" t="s">
        <v>189</v>
      </c>
      <c r="K421" s="92" t="s">
        <v>633</v>
      </c>
      <c r="L421" s="398">
        <v>180622.34</v>
      </c>
      <c r="M421" s="403">
        <f t="shared" si="26"/>
        <v>1.5706290434782607E-3</v>
      </c>
      <c r="N421" s="92" t="str">
        <f>VLOOKUP(B421,[3]Sheet!$B$2:$C$139,2,FALSE)</f>
        <v xml:space="preserve">Robbins, Geller, Rudman &amp; Dowd, LLP </v>
      </c>
      <c r="O421" s="92"/>
      <c r="P421" s="167"/>
      <c r="Q421" s="392" t="str">
        <f t="shared" si="21"/>
        <v>01/30/2018</v>
      </c>
      <c r="R421" s="392">
        <f t="shared" si="22"/>
        <v>43129</v>
      </c>
      <c r="S421" s="392" t="str">
        <f>_xlfn.IFNA(VLOOKUP(B421,'[1]VLOOKUP NO DUPS'!$A$1:$C$456,2,FALSE),"")</f>
        <v>02/08/2018</v>
      </c>
      <c r="T421" s="168" t="str">
        <f>_xlfn.IFNA(VLOOKUP(B421,'[1]VLOOKUP NO DUPS'!$A$1:$C$456,3,FALSE),"")</f>
        <v>Bronstein, Gewirtz &amp; Grossman, LLC; Lieff Cabraser Heimann &amp; Bernstein, LLP; Pomerantz LLP; Saxena White P.A.</v>
      </c>
      <c r="U421" s="167"/>
      <c r="V421" s="167"/>
      <c r="W421" s="167"/>
    </row>
    <row r="422" spans="1:23" s="86" customFormat="1" ht="60" x14ac:dyDescent="0.25">
      <c r="A422" s="164" t="str">
        <f t="shared" si="23"/>
        <v/>
      </c>
      <c r="B422" s="23" t="s">
        <v>8859</v>
      </c>
      <c r="C422" s="23" t="s">
        <v>8701</v>
      </c>
      <c r="D422" s="166" t="s">
        <v>8702</v>
      </c>
      <c r="E422" s="166" t="s">
        <v>465</v>
      </c>
      <c r="F422" s="169">
        <v>7</v>
      </c>
      <c r="G422" s="167" t="s">
        <v>8358</v>
      </c>
      <c r="H422" s="89">
        <v>570000000</v>
      </c>
      <c r="I422" s="89" t="str">
        <f>IF($H422&lt;='Abbrev Key'!$A$2,'Abbrev Key'!$B$2,IF($H422&lt;='Abbrev Key'!$A$3,'Abbrev Key'!$B$3,IF($H422&lt;='Abbrev Key'!$A$4,'Abbrev Key'!$B$4,IF($H422&lt;='Abbrev Key'!$A$5,'Abbrev Key'!$B$5,IF($H422&lt;='Abbrev Key'!$A$6,'Abbrev Key'!$B$6,IF($H422&gt;='Abbrev Key'!$A$7,'Abbrev Key'!$B$7,IF($H422='Abbrev Key'!$A$8,'Abbrev Key'!$B$8,"")))))))</f>
        <v>F</v>
      </c>
      <c r="J422" s="92" t="s">
        <v>11949</v>
      </c>
      <c r="K422" s="92" t="s">
        <v>662</v>
      </c>
      <c r="L422" s="398">
        <f>6923381.51+1700284.92</f>
        <v>8623666.4299999997</v>
      </c>
      <c r="M422" s="403">
        <f t="shared" si="26"/>
        <v>1.5129239350877193E-2</v>
      </c>
      <c r="N422" s="92" t="s">
        <v>5247</v>
      </c>
      <c r="O422" s="92" t="s">
        <v>11197</v>
      </c>
      <c r="P422" s="167" t="s">
        <v>4295</v>
      </c>
      <c r="Q422" s="392" t="str">
        <f t="shared" si="21"/>
        <v>02/07/2018</v>
      </c>
      <c r="R422" s="392">
        <f t="shared" si="22"/>
        <v>43137</v>
      </c>
      <c r="S422" s="392" t="s">
        <v>9116</v>
      </c>
      <c r="T422" s="168" t="s">
        <v>10919</v>
      </c>
      <c r="U422" s="167"/>
      <c r="V422" s="167"/>
      <c r="W422" s="167"/>
    </row>
    <row r="423" spans="1:23" s="86" customFormat="1" ht="45" x14ac:dyDescent="0.25">
      <c r="A423" s="165" t="str">
        <f t="shared" si="23"/>
        <v/>
      </c>
      <c r="B423" s="23" t="s">
        <v>8812</v>
      </c>
      <c r="C423" s="23" t="s">
        <v>8493</v>
      </c>
      <c r="D423" s="166" t="s">
        <v>10411</v>
      </c>
      <c r="E423" s="166" t="s">
        <v>418</v>
      </c>
      <c r="F423" s="167">
        <v>9</v>
      </c>
      <c r="G423" s="167" t="s">
        <v>8286</v>
      </c>
      <c r="H423" s="89">
        <v>10000000000</v>
      </c>
      <c r="I423" s="89" t="str">
        <f>IF($H423&lt;='Abbrev Key'!$A$2,'Abbrev Key'!$B$2,IF($H423&lt;='Abbrev Key'!$A$3,'Abbrev Key'!$B$3,IF($H423&lt;='Abbrev Key'!$A$4,'Abbrev Key'!$B$4,IF($H423&lt;='Abbrev Key'!$A$5,'Abbrev Key'!$B$5,IF($H423&lt;='Abbrev Key'!$A$6,'Abbrev Key'!$B$6,IF($H423&gt;='Abbrev Key'!$A$7,'Abbrev Key'!$B$7,IF($H423='Abbrev Key'!$A$8,'Abbrev Key'!$B$8,"")))))))</f>
        <v>F</v>
      </c>
      <c r="J423" s="17" t="s">
        <v>11792</v>
      </c>
      <c r="K423" s="92" t="s">
        <v>640</v>
      </c>
      <c r="L423" s="398">
        <v>3040692.48</v>
      </c>
      <c r="M423" s="403">
        <f t="shared" si="26"/>
        <v>3.04069248E-4</v>
      </c>
      <c r="N423" s="92" t="str">
        <f>VLOOKUP(B423,[3]Sheet!$B$2:$C$139,2,FALSE)</f>
        <v xml:space="preserve">Bernstein Litowitz Berger &amp; Grossmann LLP </v>
      </c>
      <c r="O423" s="92"/>
      <c r="P423" s="167"/>
      <c r="Q423" s="392" t="str">
        <f t="shared" si="21"/>
        <v>10/09/2016</v>
      </c>
      <c r="R423" s="392">
        <f t="shared" si="22"/>
        <v>42651</v>
      </c>
      <c r="S423" s="392" t="str">
        <f>_xlfn.IFNA(VLOOKUP(B423,'[1]VLOOKUP NO DUPS'!$A$1:$C$456,2,FALSE),"")</f>
        <v>02/09/2018</v>
      </c>
      <c r="T423" s="168" t="str">
        <f>_xlfn.IFNA(VLOOKUP(B423,'[1]VLOOKUP NO DUPS'!$A$1:$C$456,3,FALSE),"")</f>
        <v>Glancy Prongay &amp; Murray, LLP; Law Offices of Howard G. Smith</v>
      </c>
      <c r="U423" s="167"/>
      <c r="V423" s="167"/>
      <c r="W423" s="167"/>
    </row>
    <row r="424" spans="1:23" s="86" customFormat="1" ht="30" x14ac:dyDescent="0.25">
      <c r="A424" s="165" t="str">
        <f t="shared" si="23"/>
        <v/>
      </c>
      <c r="B424" s="23" t="s">
        <v>8877</v>
      </c>
      <c r="C424" s="23" t="s">
        <v>8558</v>
      </c>
      <c r="D424" s="166" t="s">
        <v>8724</v>
      </c>
      <c r="E424" s="166" t="s">
        <v>414</v>
      </c>
      <c r="F424" s="169">
        <v>5</v>
      </c>
      <c r="G424" s="167" t="s">
        <v>8382</v>
      </c>
      <c r="H424" s="89">
        <v>55000000</v>
      </c>
      <c r="I424" s="89" t="str">
        <f>IF($H424&lt;='Abbrev Key'!$A$2,'Abbrev Key'!$B$2,IF($H424&lt;='Abbrev Key'!$A$3,'Abbrev Key'!$B$3,IF($H424&lt;='Abbrev Key'!$A$4,'Abbrev Key'!$B$4,IF($H424&lt;='Abbrev Key'!$A$5,'Abbrev Key'!$B$5,IF($H424&lt;='Abbrev Key'!$A$6,'Abbrev Key'!$B$6,IF($H424&gt;='Abbrev Key'!$A$7,'Abbrev Key'!$B$7,IF($H424='Abbrev Key'!$A$8,'Abbrev Key'!$B$8,"")))))))</f>
        <v>C</v>
      </c>
      <c r="J424" s="17" t="s">
        <v>9532</v>
      </c>
      <c r="K424" s="23" t="s">
        <v>637</v>
      </c>
      <c r="L424" s="398">
        <v>537288.82999999996</v>
      </c>
      <c r="M424" s="403">
        <f t="shared" si="26"/>
        <v>9.7688878181818178E-3</v>
      </c>
      <c r="N424" s="23" t="s">
        <v>9805</v>
      </c>
      <c r="O424" s="23"/>
      <c r="P424" s="167"/>
      <c r="Q424" s="392" t="str">
        <f t="shared" si="21"/>
        <v>02/06/2018</v>
      </c>
      <c r="R424" s="392">
        <f t="shared" si="22"/>
        <v>43136</v>
      </c>
      <c r="S424" s="392" t="str">
        <f>_xlfn.IFNA(VLOOKUP(B424,'[1]VLOOKUP NO DUPS'!$A$1:$C$456,2,FALSE),"")</f>
        <v>02/10/2018</v>
      </c>
      <c r="T424" s="168" t="str">
        <f>_xlfn.IFNA(VLOOKUP(B424,'[1]VLOOKUP NO DUPS'!$A$1:$C$456,3,FALSE),"")</f>
        <v>Steckler Gresham Cochran; The Rosen Law Firm, P.A.</v>
      </c>
      <c r="U424" s="167"/>
      <c r="V424" s="167"/>
      <c r="W424" s="167"/>
    </row>
    <row r="425" spans="1:23" s="86" customFormat="1" ht="30" x14ac:dyDescent="0.25">
      <c r="A425" s="164" t="str">
        <f t="shared" si="23"/>
        <v/>
      </c>
      <c r="B425" s="23" t="s">
        <v>8891</v>
      </c>
      <c r="C425" s="23" t="s">
        <v>8571</v>
      </c>
      <c r="D425" s="166" t="s">
        <v>8750</v>
      </c>
      <c r="E425" s="166" t="s">
        <v>457</v>
      </c>
      <c r="F425" s="167">
        <v>9</v>
      </c>
      <c r="G425" s="167" t="s">
        <v>8404</v>
      </c>
      <c r="H425" s="89">
        <v>40000000</v>
      </c>
      <c r="I425" s="89" t="str">
        <f>IF($H425&lt;='Abbrev Key'!$A$2,'Abbrev Key'!$B$2,IF($H425&lt;='Abbrev Key'!$A$3,'Abbrev Key'!$B$3,IF($H425&lt;='Abbrev Key'!$A$4,'Abbrev Key'!$B$4,IF($H425&lt;='Abbrev Key'!$A$5,'Abbrev Key'!$B$5,IF($H425&lt;='Abbrev Key'!$A$6,'Abbrev Key'!$B$6,IF($H425&gt;='Abbrev Key'!$A$7,'Abbrev Key'!$B$7,IF($H425='Abbrev Key'!$A$8,'Abbrev Key'!$B$8,"")))))))</f>
        <v>B</v>
      </c>
      <c r="J425" s="17" t="s">
        <v>9526</v>
      </c>
      <c r="K425" s="92" t="s">
        <v>633</v>
      </c>
      <c r="L425" s="398">
        <v>152455.85</v>
      </c>
      <c r="M425" s="403">
        <f t="shared" si="26"/>
        <v>3.8113962500000002E-3</v>
      </c>
      <c r="N425" s="23" t="s">
        <v>9802</v>
      </c>
      <c r="O425" s="23"/>
      <c r="P425" s="167"/>
      <c r="Q425" s="392" t="str">
        <f t="shared" si="21"/>
        <v>02/07/2018</v>
      </c>
      <c r="R425" s="392">
        <f t="shared" si="22"/>
        <v>43137</v>
      </c>
      <c r="S425" s="392" t="str">
        <f>_xlfn.IFNA(VLOOKUP(B425,'[1]VLOOKUP NO DUPS'!$A$1:$C$456,2,FALSE),"")</f>
        <v>02/13/2018</v>
      </c>
      <c r="T425" s="168" t="str">
        <f>_xlfn.IFNA(VLOOKUP(B425,'[1]VLOOKUP NO DUPS'!$A$1:$C$456,3,FALSE),"")</f>
        <v>Block &amp; Leviton LLP; Glancy Prongay &amp; Murray, LLP</v>
      </c>
      <c r="U425" s="167"/>
      <c r="V425" s="167"/>
      <c r="W425" s="167"/>
    </row>
    <row r="426" spans="1:23" s="86" customFormat="1" x14ac:dyDescent="0.25">
      <c r="A426" s="165" t="str">
        <f t="shared" si="23"/>
        <v>DUP</v>
      </c>
      <c r="B426" s="23" t="s">
        <v>296</v>
      </c>
      <c r="C426" s="23" t="s">
        <v>10779</v>
      </c>
      <c r="D426" s="166" t="s">
        <v>8934</v>
      </c>
      <c r="E426" s="166" t="s">
        <v>418</v>
      </c>
      <c r="F426" s="167">
        <v>2</v>
      </c>
      <c r="G426" s="167" t="s">
        <v>8433</v>
      </c>
      <c r="H426" s="89">
        <v>131000000</v>
      </c>
      <c r="I426" s="89" t="str">
        <f>IF($H426&lt;='Abbrev Key'!$A$2,'Abbrev Key'!$B$2,IF($H426&lt;='Abbrev Key'!$A$3,'Abbrev Key'!$B$3,IF($H426&lt;='Abbrev Key'!$A$4,'Abbrev Key'!$B$4,IF($H426&lt;='Abbrev Key'!$A$5,'Abbrev Key'!$B$5,IF($H426&lt;='Abbrev Key'!$A$6,'Abbrev Key'!$B$6,IF($H426&gt;='Abbrev Key'!$A$7,'Abbrev Key'!$B$7,IF($H426='Abbrev Key'!$A$8,'Abbrev Key'!$B$8,"")))))))</f>
        <v>D</v>
      </c>
      <c r="J426" s="92" t="s">
        <v>4332</v>
      </c>
      <c r="K426" s="92" t="s">
        <v>4332</v>
      </c>
      <c r="L426" s="92" t="s">
        <v>4332</v>
      </c>
      <c r="M426" s="92" t="s">
        <v>4332</v>
      </c>
      <c r="N426" s="92" t="s">
        <v>4332</v>
      </c>
      <c r="O426" s="92"/>
      <c r="P426" s="167" t="s">
        <v>4287</v>
      </c>
      <c r="Q426" s="392" t="str">
        <f t="shared" si="21"/>
        <v>02/13/2018</v>
      </c>
      <c r="R426" s="392">
        <f t="shared" si="22"/>
        <v>43143</v>
      </c>
      <c r="S426" s="392" t="s">
        <v>9114</v>
      </c>
      <c r="T426" s="168" t="s">
        <v>2410</v>
      </c>
      <c r="U426" s="167"/>
      <c r="V426" s="167"/>
      <c r="W426" s="167"/>
    </row>
    <row r="427" spans="1:23" s="86" customFormat="1" ht="60" x14ac:dyDescent="0.25">
      <c r="A427" s="165" t="str">
        <f t="shared" si="23"/>
        <v/>
      </c>
      <c r="B427" s="23" t="s">
        <v>8244</v>
      </c>
      <c r="C427" s="23" t="s">
        <v>8559</v>
      </c>
      <c r="D427" s="166" t="s">
        <v>8725</v>
      </c>
      <c r="E427" s="166" t="s">
        <v>557</v>
      </c>
      <c r="F427" s="167">
        <v>9</v>
      </c>
      <c r="G427" s="167" t="s">
        <v>8383</v>
      </c>
      <c r="H427" s="89">
        <v>17000000</v>
      </c>
      <c r="I427" s="89" t="str">
        <f>IF($H427&lt;='Abbrev Key'!$A$2,'Abbrev Key'!$B$2,IF($H427&lt;='Abbrev Key'!$A$3,'Abbrev Key'!$B$3,IF($H427&lt;='Abbrev Key'!$A$4,'Abbrev Key'!$B$4,IF($H427&lt;='Abbrev Key'!$A$5,'Abbrev Key'!$B$5,IF($H427&lt;='Abbrev Key'!$A$6,'Abbrev Key'!$B$6,IF($H427&gt;='Abbrev Key'!$A$7,'Abbrev Key'!$B$7,IF($H427='Abbrev Key'!$A$8,'Abbrev Key'!$B$8,"")))))))</f>
        <v>A</v>
      </c>
      <c r="J427" s="92" t="s">
        <v>1993</v>
      </c>
      <c r="K427" s="92" t="s">
        <v>633</v>
      </c>
      <c r="L427" s="398">
        <v>83828.59</v>
      </c>
      <c r="M427" s="403">
        <f>IFERROR((L427/H427),"DC")</f>
        <v>4.9310935294117645E-3</v>
      </c>
      <c r="N427" s="92" t="str">
        <f>VLOOKUP(B427,[3]Sheet!$B$2:$C$139,2,FALSE)</f>
        <v xml:space="preserve">Robbins, Geller, Rudman &amp; Dowd, LLP </v>
      </c>
      <c r="O427" s="92"/>
      <c r="P427" s="167"/>
      <c r="Q427" s="392" t="str">
        <f t="shared" si="21"/>
        <v>01/23/2018</v>
      </c>
      <c r="R427" s="392">
        <f t="shared" si="22"/>
        <v>43122</v>
      </c>
      <c r="S427" s="392" t="str">
        <f>_xlfn.IFNA(VLOOKUP(B427,'[1]VLOOKUP NO DUPS'!$A$1:$C$456,2,FALSE),"")</f>
        <v>02/14/2018</v>
      </c>
      <c r="T427" s="168" t="str">
        <f>_xlfn.IFNA(VLOOKUP(B427,'[1]VLOOKUP NO DUPS'!$A$1:$C$456,3,FALSE),"")</f>
        <v>Glancy Prongay &amp; Murray, LLP; Pomerantz LLP</v>
      </c>
      <c r="U427" s="167"/>
      <c r="V427" s="167"/>
      <c r="W427" s="167"/>
    </row>
    <row r="428" spans="1:23" s="86" customFormat="1" ht="30" x14ac:dyDescent="0.25">
      <c r="A428" s="165" t="str">
        <f t="shared" si="23"/>
        <v/>
      </c>
      <c r="B428" s="23" t="s">
        <v>8878</v>
      </c>
      <c r="C428" s="23" t="s">
        <v>8561</v>
      </c>
      <c r="D428" s="166" t="s">
        <v>8726</v>
      </c>
      <c r="E428" s="166" t="s">
        <v>418</v>
      </c>
      <c r="F428" s="167">
        <v>2</v>
      </c>
      <c r="G428" s="167" t="s">
        <v>8384</v>
      </c>
      <c r="H428" s="89">
        <v>35000000</v>
      </c>
      <c r="I428" s="89" t="str">
        <f>IF($H428&lt;='Abbrev Key'!$A$2,'Abbrev Key'!$B$2,IF($H428&lt;='Abbrev Key'!$A$3,'Abbrev Key'!$B$3,IF($H428&lt;='Abbrev Key'!$A$4,'Abbrev Key'!$B$4,IF($H428&lt;='Abbrev Key'!$A$5,'Abbrev Key'!$B$5,IF($H428&lt;='Abbrev Key'!$A$6,'Abbrev Key'!$B$6,IF($H428&gt;='Abbrev Key'!$A$7,'Abbrev Key'!$B$7,IF($H428='Abbrev Key'!$A$8,'Abbrev Key'!$B$8,"")))))))</f>
        <v>B</v>
      </c>
      <c r="J428" s="17" t="s">
        <v>11885</v>
      </c>
      <c r="K428" s="92" t="s">
        <v>662</v>
      </c>
      <c r="L428" s="398">
        <v>868058.58000000007</v>
      </c>
      <c r="M428" s="403">
        <f>IFERROR((L428/H428),"DC")</f>
        <v>2.4801673714285717E-2</v>
      </c>
      <c r="N428" s="92" t="str">
        <f>VLOOKUP(B428,[3]Sheet!$B$2:$C$139,2,FALSE)</f>
        <v xml:space="preserve">Faruqi &amp; Faruqi, LLP </v>
      </c>
      <c r="O428" s="92"/>
      <c r="P428" s="167"/>
      <c r="Q428" s="392" t="str">
        <f t="shared" si="21"/>
        <v>01/04/2018</v>
      </c>
      <c r="R428" s="392">
        <f t="shared" si="22"/>
        <v>43103</v>
      </c>
      <c r="S428" s="392" t="str">
        <f>_xlfn.IFNA(VLOOKUP(B428,'[1]VLOOKUP NO DUPS'!$A$1:$C$456,2,FALSE),"")</f>
        <v>02/14/2018</v>
      </c>
      <c r="T428" s="168" t="str">
        <f>_xlfn.IFNA(VLOOKUP(B428,'[1]VLOOKUP NO DUPS'!$A$1:$C$456,3,FALSE),"")</f>
        <v>Levi &amp; Korsinsky, LLP</v>
      </c>
      <c r="U428" s="167"/>
      <c r="V428" s="167"/>
      <c r="W428" s="167"/>
    </row>
    <row r="429" spans="1:23" s="86" customFormat="1" ht="30" x14ac:dyDescent="0.25">
      <c r="A429" s="165" t="str">
        <f t="shared" si="23"/>
        <v>DUP</v>
      </c>
      <c r="B429" s="23" t="s">
        <v>289</v>
      </c>
      <c r="C429" s="23" t="s">
        <v>10721</v>
      </c>
      <c r="D429" s="166" t="s">
        <v>9003</v>
      </c>
      <c r="E429" s="166" t="s">
        <v>457</v>
      </c>
      <c r="F429" s="167">
        <v>9</v>
      </c>
      <c r="G429" s="167" t="s">
        <v>9004</v>
      </c>
      <c r="H429" s="89">
        <v>550000000</v>
      </c>
      <c r="I429" s="89" t="str">
        <f>IF($H429&lt;='Abbrev Key'!$A$2,'Abbrev Key'!$B$2,IF($H429&lt;='Abbrev Key'!$A$3,'Abbrev Key'!$B$3,IF($H429&lt;='Abbrev Key'!$A$4,'Abbrev Key'!$B$4,IF($H429&lt;='Abbrev Key'!$A$5,'Abbrev Key'!$B$5,IF($H429&lt;='Abbrev Key'!$A$6,'Abbrev Key'!$B$6,IF($H429&gt;='Abbrev Key'!$A$7,'Abbrev Key'!$B$7,IF($H429='Abbrev Key'!$A$8,'Abbrev Key'!$B$8,"")))))))</f>
        <v>F</v>
      </c>
      <c r="J429" s="17" t="s">
        <v>9248</v>
      </c>
      <c r="K429" s="92" t="s">
        <v>633</v>
      </c>
      <c r="L429" s="398">
        <v>166176.01</v>
      </c>
      <c r="M429" s="403">
        <f>IFERROR((L429/H429),"DC")</f>
        <v>3.0213820000000004E-4</v>
      </c>
      <c r="N429" s="92" t="str">
        <f>VLOOKUP(B429,[3]Sheet!$B$2:$C$139,2,FALSE)</f>
        <v xml:space="preserve">Robbins, Geller, Rudman &amp; Dowd, LLP </v>
      </c>
      <c r="O429" s="92"/>
      <c r="P429" s="167"/>
      <c r="Q429" s="392" t="str">
        <f t="shared" si="21"/>
        <v>08/03/2017</v>
      </c>
      <c r="R429" s="392">
        <f t="shared" si="22"/>
        <v>42949</v>
      </c>
      <c r="S429" s="392" t="s">
        <v>9112</v>
      </c>
      <c r="T429" s="168" t="s">
        <v>561</v>
      </c>
      <c r="U429" s="167"/>
      <c r="V429" s="167"/>
      <c r="W429" s="167"/>
    </row>
    <row r="430" spans="1:23" s="86" customFormat="1" ht="30" x14ac:dyDescent="0.25">
      <c r="A430" s="164" t="str">
        <f t="shared" si="23"/>
        <v/>
      </c>
      <c r="B430" s="23" t="s">
        <v>8898</v>
      </c>
      <c r="C430" s="23" t="s">
        <v>8576</v>
      </c>
      <c r="D430" s="166" t="s">
        <v>8760</v>
      </c>
      <c r="E430" s="166" t="s">
        <v>424</v>
      </c>
      <c r="F430" s="167">
        <v>3</v>
      </c>
      <c r="G430" s="167" t="s">
        <v>8412</v>
      </c>
      <c r="H430" s="89">
        <v>45000000</v>
      </c>
      <c r="I430" s="89" t="str">
        <f>IF($H430&lt;='Abbrev Key'!$A$2,'Abbrev Key'!$B$2,IF($H430&lt;='Abbrev Key'!$A$3,'Abbrev Key'!$B$3,IF($H430&lt;='Abbrev Key'!$A$4,'Abbrev Key'!$B$4,IF($H430&lt;='Abbrev Key'!$A$5,'Abbrev Key'!$B$5,IF($H430&lt;='Abbrev Key'!$A$6,'Abbrev Key'!$B$6,IF($H430&gt;='Abbrev Key'!$A$7,'Abbrev Key'!$B$7,IF($H430='Abbrev Key'!$A$8,'Abbrev Key'!$B$8,"")))))))</f>
        <v>B</v>
      </c>
      <c r="J430" s="17" t="s">
        <v>9508</v>
      </c>
      <c r="K430" s="23" t="s">
        <v>637</v>
      </c>
      <c r="L430" s="398">
        <v>463231.95</v>
      </c>
      <c r="M430" s="403">
        <f>IFERROR((L430/H430),"DC")</f>
        <v>1.0294043333333334E-2</v>
      </c>
      <c r="N430" s="23" t="s">
        <v>9781</v>
      </c>
      <c r="O430" s="23"/>
      <c r="P430" s="167" t="s">
        <v>4287</v>
      </c>
      <c r="Q430" s="392" t="str">
        <f t="shared" si="21"/>
        <v>02/15/2018</v>
      </c>
      <c r="R430" s="392">
        <f t="shared" si="22"/>
        <v>43145</v>
      </c>
      <c r="S430" s="392" t="str">
        <f>_xlfn.IFNA(VLOOKUP(B430,'[1]VLOOKUP NO DUPS'!$A$1:$C$456,2,FALSE),"")</f>
        <v>02/17/2018</v>
      </c>
      <c r="T430" s="168" t="str">
        <f>_xlfn.IFNA(VLOOKUP(B430,'[1]VLOOKUP NO DUPS'!$A$1:$C$456,3,FALSE),"")</f>
        <v>Levi &amp; Korsinsky, LLP; The Rosen Law Firm, P.A.</v>
      </c>
      <c r="U430" s="167"/>
      <c r="V430" s="167"/>
      <c r="W430" s="167"/>
    </row>
    <row r="431" spans="1:23" s="86" customFormat="1" x14ac:dyDescent="0.25">
      <c r="A431" s="165" t="str">
        <f t="shared" si="23"/>
        <v/>
      </c>
      <c r="B431" s="23" t="s">
        <v>8924</v>
      </c>
      <c r="C431" s="23" t="s">
        <v>8603</v>
      </c>
      <c r="D431" s="166" t="s">
        <v>8945</v>
      </c>
      <c r="E431" s="166" t="s">
        <v>3449</v>
      </c>
      <c r="F431" s="167">
        <v>9</v>
      </c>
      <c r="G431" s="167" t="s">
        <v>8454</v>
      </c>
      <c r="H431" s="89">
        <v>450000000</v>
      </c>
      <c r="I431" s="89" t="str">
        <f>IF($H431&lt;='Abbrev Key'!$A$2,'Abbrev Key'!$B$2,IF($H431&lt;='Abbrev Key'!$A$3,'Abbrev Key'!$B$3,IF($H431&lt;='Abbrev Key'!$A$4,'Abbrev Key'!$B$4,IF($H431&lt;='Abbrev Key'!$A$5,'Abbrev Key'!$B$5,IF($H431&lt;='Abbrev Key'!$A$6,'Abbrev Key'!$B$6,IF($H431&gt;='Abbrev Key'!$A$7,'Abbrev Key'!$B$7,IF($H431='Abbrev Key'!$A$8,'Abbrev Key'!$B$8,"")))))))</f>
        <v>E</v>
      </c>
      <c r="J431" s="92" t="s">
        <v>4332</v>
      </c>
      <c r="K431" s="92" t="s">
        <v>4332</v>
      </c>
      <c r="L431" s="92" t="s">
        <v>4332</v>
      </c>
      <c r="M431" s="92" t="s">
        <v>4332</v>
      </c>
      <c r="N431" s="92" t="s">
        <v>4332</v>
      </c>
      <c r="O431" s="92"/>
      <c r="P431" s="167" t="s">
        <v>4287</v>
      </c>
      <c r="Q431" s="392" t="str">
        <f t="shared" si="21"/>
        <v>01/25/2018</v>
      </c>
      <c r="R431" s="392">
        <f t="shared" si="22"/>
        <v>43124</v>
      </c>
      <c r="S431" s="392" t="str">
        <f>_xlfn.IFNA(VLOOKUP(B431,'[1]VLOOKUP NO DUPS'!$A$1:$C$456,2,FALSE),"")</f>
        <v>02/20/2018</v>
      </c>
      <c r="T431" s="168" t="str">
        <f>_xlfn.IFNA(VLOOKUP(B431,'[1]VLOOKUP NO DUPS'!$A$1:$C$456,3,FALSE),"")</f>
        <v>Pomerantz LLP</v>
      </c>
      <c r="U431" s="167"/>
      <c r="V431" s="167"/>
      <c r="W431" s="167"/>
    </row>
    <row r="432" spans="1:23" s="86" customFormat="1" ht="60" x14ac:dyDescent="0.25">
      <c r="A432" s="165" t="str">
        <f t="shared" si="23"/>
        <v/>
      </c>
      <c r="B432" s="23" t="s">
        <v>8914</v>
      </c>
      <c r="C432" s="23" t="s">
        <v>8939</v>
      </c>
      <c r="D432" s="166" t="s">
        <v>8940</v>
      </c>
      <c r="E432" s="166" t="s">
        <v>418</v>
      </c>
      <c r="F432" s="167">
        <v>2</v>
      </c>
      <c r="G432" s="167" t="s">
        <v>8443</v>
      </c>
      <c r="H432" s="89">
        <v>70000000</v>
      </c>
      <c r="I432" s="89" t="str">
        <f>IF($H432&lt;='Abbrev Key'!$A$2,'Abbrev Key'!$B$2,IF($H432&lt;='Abbrev Key'!$A$3,'Abbrev Key'!$B$3,IF($H432&lt;='Abbrev Key'!$A$4,'Abbrev Key'!$B$4,IF($H432&lt;='Abbrev Key'!$A$5,'Abbrev Key'!$B$5,IF($H432&lt;='Abbrev Key'!$A$6,'Abbrev Key'!$B$6,IF($H432&gt;='Abbrev Key'!$A$7,'Abbrev Key'!$B$7,IF($H432='Abbrev Key'!$A$8,'Abbrev Key'!$B$8,"")))))))</f>
        <v>C</v>
      </c>
      <c r="J432" s="23" t="s">
        <v>9497</v>
      </c>
      <c r="K432" s="23" t="s">
        <v>637</v>
      </c>
      <c r="L432" s="398">
        <v>298</v>
      </c>
      <c r="M432" s="403">
        <f>IFERROR((L432/H432),"DC")</f>
        <v>4.2571428571428574E-6</v>
      </c>
      <c r="N432" s="23" t="s">
        <v>1204</v>
      </c>
      <c r="O432" s="23"/>
      <c r="P432" s="167" t="s">
        <v>4287</v>
      </c>
      <c r="Q432" s="392" t="str">
        <f t="shared" si="21"/>
        <v>02/20/2018</v>
      </c>
      <c r="R432" s="392">
        <f t="shared" si="22"/>
        <v>43150</v>
      </c>
      <c r="S432" s="392" t="s">
        <v>9110</v>
      </c>
      <c r="T432" s="168" t="s">
        <v>10895</v>
      </c>
      <c r="U432" s="167"/>
      <c r="V432" s="167"/>
      <c r="W432" s="167"/>
    </row>
    <row r="433" spans="1:23" s="86" customFormat="1" x14ac:dyDescent="0.25">
      <c r="A433" s="165" t="str">
        <f t="shared" si="23"/>
        <v/>
      </c>
      <c r="B433" s="23" t="s">
        <v>8870</v>
      </c>
      <c r="C433" s="23" t="s">
        <v>8551</v>
      </c>
      <c r="D433" s="166" t="s">
        <v>8713</v>
      </c>
      <c r="E433" s="166" t="s">
        <v>592</v>
      </c>
      <c r="F433" s="167">
        <v>11</v>
      </c>
      <c r="G433" s="167" t="s">
        <v>8372</v>
      </c>
      <c r="H433" s="89">
        <v>300000000</v>
      </c>
      <c r="I433" s="89" t="str">
        <f>IF($H433&lt;='Abbrev Key'!$A$2,'Abbrev Key'!$B$2,IF($H433&lt;='Abbrev Key'!$A$3,'Abbrev Key'!$B$3,IF($H433&lt;='Abbrev Key'!$A$4,'Abbrev Key'!$B$4,IF($H433&lt;='Abbrev Key'!$A$5,'Abbrev Key'!$B$5,IF($H433&lt;='Abbrev Key'!$A$6,'Abbrev Key'!$B$6,IF($H433&gt;='Abbrev Key'!$A$7,'Abbrev Key'!$B$7,IF($H433='Abbrev Key'!$A$8,'Abbrev Key'!$B$8,"")))))))</f>
        <v>E</v>
      </c>
      <c r="J433" s="92" t="s">
        <v>4332</v>
      </c>
      <c r="K433" s="92" t="s">
        <v>4332</v>
      </c>
      <c r="L433" s="92" t="s">
        <v>4332</v>
      </c>
      <c r="M433" s="92" t="s">
        <v>4332</v>
      </c>
      <c r="N433" s="92" t="s">
        <v>4332</v>
      </c>
      <c r="O433" s="92"/>
      <c r="P433" s="167" t="s">
        <v>4287</v>
      </c>
      <c r="Q433" s="392" t="str">
        <f t="shared" si="21"/>
        <v>02/21/2018</v>
      </c>
      <c r="R433" s="392">
        <f t="shared" si="22"/>
        <v>43151</v>
      </c>
      <c r="S433" s="392" t="str">
        <f>_xlfn.IFNA(VLOOKUP(B433,'[1]VLOOKUP NO DUPS'!$A$1:$C$456,2,FALSE),"")</f>
        <v>02/23/2018</v>
      </c>
      <c r="T433" s="168" t="str">
        <f>_xlfn.IFNA(VLOOKUP(B433,'[1]VLOOKUP NO DUPS'!$A$1:$C$456,3,FALSE),"")</f>
        <v>Block &amp; Leviton LLP; Holzer &amp; Holzer, LLC</v>
      </c>
      <c r="U433" s="167"/>
      <c r="V433" s="167"/>
      <c r="W433" s="167"/>
    </row>
    <row r="434" spans="1:23" s="86" customFormat="1" ht="30" x14ac:dyDescent="0.25">
      <c r="A434" s="165" t="str">
        <f t="shared" si="23"/>
        <v/>
      </c>
      <c r="B434" s="23" t="s">
        <v>8855</v>
      </c>
      <c r="C434" s="23" t="s">
        <v>8537</v>
      </c>
      <c r="D434" s="166" t="s">
        <v>8695</v>
      </c>
      <c r="E434" s="166" t="s">
        <v>8612</v>
      </c>
      <c r="F434" s="169">
        <v>5</v>
      </c>
      <c r="G434" s="167" t="s">
        <v>8352</v>
      </c>
      <c r="H434" s="89">
        <v>70000000</v>
      </c>
      <c r="I434" s="89" t="str">
        <f>IF($H434&lt;='Abbrev Key'!$A$2,'Abbrev Key'!$B$2,IF($H434&lt;='Abbrev Key'!$A$3,'Abbrev Key'!$B$3,IF($H434&lt;='Abbrev Key'!$A$4,'Abbrev Key'!$B$4,IF($H434&lt;='Abbrev Key'!$A$5,'Abbrev Key'!$B$5,IF($H434&lt;='Abbrev Key'!$A$6,'Abbrev Key'!$B$6,IF($H434&gt;='Abbrev Key'!$A$7,'Abbrev Key'!$B$7,IF($H434='Abbrev Key'!$A$8,'Abbrev Key'!$B$8,"")))))))</f>
        <v>C</v>
      </c>
      <c r="J434" s="17" t="s">
        <v>9488</v>
      </c>
      <c r="K434" s="23" t="s">
        <v>637</v>
      </c>
      <c r="L434" s="398">
        <v>5049.1099999999997</v>
      </c>
      <c r="M434" s="403">
        <f>IFERROR((L434/H434),"DC")</f>
        <v>7.2130142857142852E-5</v>
      </c>
      <c r="N434" s="23" t="s">
        <v>7269</v>
      </c>
      <c r="O434" s="23"/>
      <c r="P434" s="167"/>
      <c r="Q434" s="392" t="str">
        <f t="shared" si="21"/>
        <v>02/21/2018</v>
      </c>
      <c r="R434" s="392">
        <f t="shared" si="22"/>
        <v>43151</v>
      </c>
      <c r="S434" s="392" t="str">
        <f>_xlfn.IFNA(VLOOKUP(B434,'[1]VLOOKUP NO DUPS'!$A$1:$C$456,2,FALSE),"")</f>
        <v>02/26/2018</v>
      </c>
      <c r="T434" s="168" t="str">
        <f>_xlfn.IFNA(VLOOKUP(B434,'[1]VLOOKUP NO DUPS'!$A$1:$C$456,3,FALSE),"")</f>
        <v>Steckler Gresham Cochran; The Rosen Law Firm, P.A.</v>
      </c>
      <c r="U434" s="167"/>
      <c r="V434" s="167"/>
      <c r="W434" s="167"/>
    </row>
    <row r="435" spans="1:23" s="86" customFormat="1" ht="30" x14ac:dyDescent="0.25">
      <c r="A435" s="165" t="str">
        <f t="shared" si="23"/>
        <v/>
      </c>
      <c r="B435" s="23" t="s">
        <v>8915</v>
      </c>
      <c r="C435" s="23" t="s">
        <v>8596</v>
      </c>
      <c r="D435" s="166" t="s">
        <v>8941</v>
      </c>
      <c r="E435" s="166" t="s">
        <v>465</v>
      </c>
      <c r="F435" s="169">
        <v>7</v>
      </c>
      <c r="G435" s="167" t="s">
        <v>8444</v>
      </c>
      <c r="H435" s="89">
        <v>600000000</v>
      </c>
      <c r="I435" s="89" t="str">
        <f>IF($H435&lt;='Abbrev Key'!$A$2,'Abbrev Key'!$B$2,IF($H435&lt;='Abbrev Key'!$A$3,'Abbrev Key'!$B$3,IF($H435&lt;='Abbrev Key'!$A$4,'Abbrev Key'!$B$4,IF($H435&lt;='Abbrev Key'!$A$5,'Abbrev Key'!$B$5,IF($H435&lt;='Abbrev Key'!$A$6,'Abbrev Key'!$B$6,IF($H435&gt;='Abbrev Key'!$A$7,'Abbrev Key'!$B$7,IF($H435='Abbrev Key'!$A$8,'Abbrev Key'!$B$8,"")))))))</f>
        <v>F</v>
      </c>
      <c r="J435" s="23" t="s">
        <v>11977</v>
      </c>
      <c r="K435" s="23" t="s">
        <v>646</v>
      </c>
      <c r="L435" s="398">
        <v>222748.44</v>
      </c>
      <c r="M435" s="403">
        <f>IFERROR((L435/H435),"DC")</f>
        <v>3.7124739999999998E-4</v>
      </c>
      <c r="N435" s="23" t="s">
        <v>9794</v>
      </c>
      <c r="O435" s="23"/>
      <c r="P435" s="167"/>
      <c r="Q435" s="392" t="str">
        <f t="shared" si="21"/>
        <v>02/23/2018</v>
      </c>
      <c r="R435" s="392">
        <f t="shared" si="22"/>
        <v>43153</v>
      </c>
      <c r="S435" s="392" t="str">
        <f>_xlfn.IFNA(VLOOKUP(B435,'[1]VLOOKUP NO DUPS'!$A$1:$C$456,2,FALSE),"")</f>
        <v>03/02/2018</v>
      </c>
      <c r="T435" s="168" t="str">
        <f>_xlfn.IFNA(VLOOKUP(B435,'[1]VLOOKUP NO DUPS'!$A$1:$C$456,3,FALSE),"")</f>
        <v>Bronstein, Gewirtz &amp; Grossman, LLC; Pomerantz LLP</v>
      </c>
      <c r="U435" s="167"/>
      <c r="V435" s="167"/>
      <c r="W435" s="167"/>
    </row>
    <row r="436" spans="1:23" s="86" customFormat="1" x14ac:dyDescent="0.25">
      <c r="A436" s="165" t="str">
        <f t="shared" si="23"/>
        <v/>
      </c>
      <c r="B436" s="23" t="s">
        <v>8805</v>
      </c>
      <c r="C436" s="23" t="s">
        <v>8482</v>
      </c>
      <c r="D436" s="166" t="s">
        <v>8638</v>
      </c>
      <c r="E436" s="166" t="s">
        <v>465</v>
      </c>
      <c r="F436" s="169">
        <v>7</v>
      </c>
      <c r="G436" s="167" t="s">
        <v>8274</v>
      </c>
      <c r="H436" s="89">
        <v>36000000</v>
      </c>
      <c r="I436" s="89" t="str">
        <f>IF($H436&lt;='Abbrev Key'!$A$2,'Abbrev Key'!$B$2,IF($H436&lt;='Abbrev Key'!$A$3,'Abbrev Key'!$B$3,IF($H436&lt;='Abbrev Key'!$A$4,'Abbrev Key'!$B$4,IF($H436&lt;='Abbrev Key'!$A$5,'Abbrev Key'!$B$5,IF($H436&lt;='Abbrev Key'!$A$6,'Abbrev Key'!$B$6,IF($H436&gt;='Abbrev Key'!$A$7,'Abbrev Key'!$B$7,IF($H436='Abbrev Key'!$A$8,'Abbrev Key'!$B$8,"")))))))</f>
        <v>B</v>
      </c>
      <c r="J436" s="92" t="s">
        <v>4332</v>
      </c>
      <c r="K436" s="92" t="s">
        <v>4332</v>
      </c>
      <c r="L436" s="92" t="s">
        <v>4332</v>
      </c>
      <c r="M436" s="92" t="s">
        <v>4332</v>
      </c>
      <c r="N436" s="92" t="s">
        <v>4332</v>
      </c>
      <c r="O436" s="92"/>
      <c r="P436" s="167" t="s">
        <v>4287</v>
      </c>
      <c r="Q436" s="392" t="str">
        <f t="shared" si="21"/>
        <v>03/02/2018</v>
      </c>
      <c r="R436" s="392">
        <f t="shared" si="22"/>
        <v>43160</v>
      </c>
      <c r="S436" s="392" t="str">
        <f>_xlfn.IFNA(VLOOKUP(B436,'[1]VLOOKUP NO DUPS'!$A$1:$C$456,2,FALSE),"")</f>
        <v>03/05/2018</v>
      </c>
      <c r="T436" s="168" t="str">
        <f>_xlfn.IFNA(VLOOKUP(B436,'[1]VLOOKUP NO DUPS'!$A$1:$C$456,3,FALSE),"")</f>
        <v>Glancy Prongay &amp; Murray, LLP; Lawrence Kamin, LLC</v>
      </c>
      <c r="U436" s="167"/>
      <c r="V436" s="167"/>
      <c r="W436" s="167"/>
    </row>
    <row r="437" spans="1:23" s="86" customFormat="1" x14ac:dyDescent="0.25">
      <c r="A437" s="165" t="str">
        <f t="shared" si="23"/>
        <v/>
      </c>
      <c r="B437" s="23" t="s">
        <v>8809</v>
      </c>
      <c r="C437" s="23" t="s">
        <v>8486</v>
      </c>
      <c r="D437" s="166" t="s">
        <v>8642</v>
      </c>
      <c r="E437" s="166" t="s">
        <v>418</v>
      </c>
      <c r="F437" s="167">
        <v>2</v>
      </c>
      <c r="G437" s="167" t="s">
        <v>8279</v>
      </c>
      <c r="H437" s="89">
        <v>70000000</v>
      </c>
      <c r="I437" s="89" t="str">
        <f>IF($H437&lt;='Abbrev Key'!$A$2,'Abbrev Key'!$B$2,IF($H437&lt;='Abbrev Key'!$A$3,'Abbrev Key'!$B$3,IF($H437&lt;='Abbrev Key'!$A$4,'Abbrev Key'!$B$4,IF($H437&lt;='Abbrev Key'!$A$5,'Abbrev Key'!$B$5,IF($H437&lt;='Abbrev Key'!$A$6,'Abbrev Key'!$B$6,IF($H437&gt;='Abbrev Key'!$A$7,'Abbrev Key'!$B$7,IF($H437='Abbrev Key'!$A$8,'Abbrev Key'!$B$8,"")))))))</f>
        <v>C</v>
      </c>
      <c r="J437" s="92" t="s">
        <v>4332</v>
      </c>
      <c r="K437" s="92" t="s">
        <v>4332</v>
      </c>
      <c r="L437" s="92" t="s">
        <v>4332</v>
      </c>
      <c r="M437" s="92" t="s">
        <v>4332</v>
      </c>
      <c r="N437" s="92" t="s">
        <v>4332</v>
      </c>
      <c r="O437" s="92"/>
      <c r="P437" s="167" t="s">
        <v>4287</v>
      </c>
      <c r="Q437" s="392" t="str">
        <f t="shared" si="21"/>
        <v>12/22/2017</v>
      </c>
      <c r="R437" s="392">
        <f t="shared" si="22"/>
        <v>43090</v>
      </c>
      <c r="S437" s="392" t="str">
        <f>_xlfn.IFNA(VLOOKUP(B437,'[1]VLOOKUP NO DUPS'!$A$1:$C$456,2,FALSE),"")</f>
        <v>03/05/2018</v>
      </c>
      <c r="T437" s="168" t="str">
        <f>_xlfn.IFNA(VLOOKUP(B437,'[1]VLOOKUP NO DUPS'!$A$1:$C$456,3,FALSE),"")</f>
        <v>Kalberer LLP</v>
      </c>
      <c r="U437" s="167"/>
      <c r="V437" s="167"/>
      <c r="W437" s="167"/>
    </row>
    <row r="438" spans="1:23" s="86" customFormat="1" ht="30" x14ac:dyDescent="0.25">
      <c r="A438" s="165" t="str">
        <f t="shared" si="23"/>
        <v/>
      </c>
      <c r="B438" s="23" t="s">
        <v>8243</v>
      </c>
      <c r="C438" s="23" t="s">
        <v>8682</v>
      </c>
      <c r="D438" s="166" t="s">
        <v>8683</v>
      </c>
      <c r="E438" s="166" t="s">
        <v>418</v>
      </c>
      <c r="F438" s="167">
        <v>2</v>
      </c>
      <c r="G438" s="167" t="s">
        <v>8334</v>
      </c>
      <c r="H438" s="89">
        <v>135000000</v>
      </c>
      <c r="I438" s="89" t="str">
        <f>IF($H438&lt;='Abbrev Key'!$A$2,'Abbrev Key'!$B$2,IF($H438&lt;='Abbrev Key'!$A$3,'Abbrev Key'!$B$3,IF($H438&lt;='Abbrev Key'!$A$4,'Abbrev Key'!$B$4,IF($H438&lt;='Abbrev Key'!$A$5,'Abbrev Key'!$B$5,IF($H438&lt;='Abbrev Key'!$A$6,'Abbrev Key'!$B$6,IF($H438&gt;='Abbrev Key'!$A$7,'Abbrev Key'!$B$7,IF($H438='Abbrev Key'!$A$8,'Abbrev Key'!$B$8,"")))))))</f>
        <v>D</v>
      </c>
      <c r="J438" s="23" t="s">
        <v>9472</v>
      </c>
      <c r="K438" s="23" t="s">
        <v>633</v>
      </c>
      <c r="L438" s="398">
        <v>968239.56</v>
      </c>
      <c r="M438" s="403">
        <f>IFERROR((L438/H438),"DC")</f>
        <v>7.1721448888888897E-3</v>
      </c>
      <c r="N438" s="23" t="s">
        <v>7</v>
      </c>
      <c r="O438" s="23"/>
      <c r="P438" s="167" t="s">
        <v>4287</v>
      </c>
      <c r="Q438" s="392" t="str">
        <f t="shared" si="21"/>
        <v>01/25/2018</v>
      </c>
      <c r="R438" s="392">
        <f t="shared" si="22"/>
        <v>43124</v>
      </c>
      <c r="S438" s="392" t="s">
        <v>9104</v>
      </c>
      <c r="T438" s="168" t="s">
        <v>79</v>
      </c>
      <c r="U438" s="167"/>
      <c r="V438" s="167"/>
      <c r="W438" s="167"/>
    </row>
    <row r="439" spans="1:23" s="86" customFormat="1" ht="30" x14ac:dyDescent="0.25">
      <c r="A439" s="164" t="str">
        <f t="shared" si="23"/>
        <v/>
      </c>
      <c r="B439" s="23" t="s">
        <v>8783</v>
      </c>
      <c r="C439" s="23" t="s">
        <v>8461</v>
      </c>
      <c r="D439" s="166" t="s">
        <v>8618</v>
      </c>
      <c r="E439" s="166" t="s">
        <v>431</v>
      </c>
      <c r="F439" s="169">
        <v>6</v>
      </c>
      <c r="G439" s="167" t="s">
        <v>8250</v>
      </c>
      <c r="H439" s="89">
        <v>540000000</v>
      </c>
      <c r="I439" s="89" t="str">
        <f>IF($H439&lt;='Abbrev Key'!$A$2,'Abbrev Key'!$B$2,IF($H439&lt;='Abbrev Key'!$A$3,'Abbrev Key'!$B$3,IF($H439&lt;='Abbrev Key'!$A$4,'Abbrev Key'!$B$4,IF($H439&lt;='Abbrev Key'!$A$5,'Abbrev Key'!$B$5,IF($H439&lt;='Abbrev Key'!$A$6,'Abbrev Key'!$B$6,IF($H439&gt;='Abbrev Key'!$A$7,'Abbrev Key'!$B$7,IF($H439='Abbrev Key'!$A$8,'Abbrev Key'!$B$8,"")))))))</f>
        <v>F</v>
      </c>
      <c r="J439" s="92" t="s">
        <v>4332</v>
      </c>
      <c r="K439" s="92" t="s">
        <v>4332</v>
      </c>
      <c r="L439" s="92" t="s">
        <v>4332</v>
      </c>
      <c r="M439" s="92" t="s">
        <v>4332</v>
      </c>
      <c r="N439" s="92" t="s">
        <v>4332</v>
      </c>
      <c r="O439" s="92"/>
      <c r="P439" s="167" t="s">
        <v>4287</v>
      </c>
      <c r="Q439" s="392" t="str">
        <f t="shared" ref="Q439:Q502" si="27">RIGHT(G439,10)</f>
        <v>10/24/2017</v>
      </c>
      <c r="R439" s="392">
        <f t="shared" ref="R439:R502" si="28">Q439-1</f>
        <v>43031</v>
      </c>
      <c r="S439" s="392" t="s">
        <v>9102</v>
      </c>
      <c r="T439" s="168" t="s">
        <v>10907</v>
      </c>
      <c r="U439" s="167"/>
      <c r="V439" s="167"/>
      <c r="W439" s="167"/>
    </row>
    <row r="440" spans="1:23" s="86" customFormat="1" ht="45" x14ac:dyDescent="0.25">
      <c r="A440" s="165" t="str">
        <f t="shared" si="23"/>
        <v/>
      </c>
      <c r="B440" s="23" t="s">
        <v>8845</v>
      </c>
      <c r="C440" s="23" t="s">
        <v>8527</v>
      </c>
      <c r="D440" s="166" t="s">
        <v>8686</v>
      </c>
      <c r="E440" s="166" t="s">
        <v>1008</v>
      </c>
      <c r="F440" s="167">
        <v>2</v>
      </c>
      <c r="G440" s="167" t="s">
        <v>8337</v>
      </c>
      <c r="H440" s="89">
        <v>585000000</v>
      </c>
      <c r="I440" s="89" t="str">
        <f>IF($H440&lt;='Abbrev Key'!$A$2,'Abbrev Key'!$B$2,IF($H440&lt;='Abbrev Key'!$A$3,'Abbrev Key'!$B$3,IF($H440&lt;='Abbrev Key'!$A$4,'Abbrev Key'!$B$4,IF($H440&lt;='Abbrev Key'!$A$5,'Abbrev Key'!$B$5,IF($H440&lt;='Abbrev Key'!$A$6,'Abbrev Key'!$B$6,IF($H440&gt;='Abbrev Key'!$A$7,'Abbrev Key'!$B$7,IF($H440='Abbrev Key'!$A$8,'Abbrev Key'!$B$8,"")))))))</f>
        <v>F</v>
      </c>
      <c r="J440" s="92" t="s">
        <v>9467</v>
      </c>
      <c r="K440" s="92" t="s">
        <v>633</v>
      </c>
      <c r="L440" s="398">
        <v>132993.70000000001</v>
      </c>
      <c r="M440" s="403">
        <f t="shared" ref="M440:M462" si="29">IFERROR((L440/H440),"DC")</f>
        <v>2.2733965811965815E-4</v>
      </c>
      <c r="N440" s="92" t="str">
        <f>VLOOKUP(B440,[3]Sheet!$B$2:$C$139,2,FALSE)</f>
        <v xml:space="preserve">Bernstein Litowitz Berger &amp; Grossmann LLP </v>
      </c>
      <c r="O440" s="92"/>
      <c r="P440" s="167"/>
      <c r="Q440" s="392" t="str">
        <f t="shared" si="27"/>
        <v>02/12/2018</v>
      </c>
      <c r="R440" s="392">
        <f t="shared" si="28"/>
        <v>43142</v>
      </c>
      <c r="S440" s="392" t="str">
        <f>_xlfn.IFNA(VLOOKUP(B440,'[1]VLOOKUP NO DUPS'!$A$1:$C$456,2,FALSE),"")</f>
        <v>03/07/2018</v>
      </c>
      <c r="T440" s="168" t="str">
        <f>_xlfn.IFNA(VLOOKUP(B440,'[1]VLOOKUP NO DUPS'!$A$1:$C$456,3,FALSE),"")</f>
        <v>The Rosen Law Firm, P.A.</v>
      </c>
      <c r="U440" s="167"/>
      <c r="V440" s="167"/>
      <c r="W440" s="167"/>
    </row>
    <row r="441" spans="1:23" s="86" customFormat="1" ht="30" x14ac:dyDescent="0.25">
      <c r="A441" s="165" t="str">
        <f t="shared" si="23"/>
        <v/>
      </c>
      <c r="B441" s="23" t="s">
        <v>8795</v>
      </c>
      <c r="C441" s="23" t="s">
        <v>8472</v>
      </c>
      <c r="D441" s="166" t="s">
        <v>8630</v>
      </c>
      <c r="E441" s="166" t="s">
        <v>465</v>
      </c>
      <c r="F441" s="169">
        <v>7</v>
      </c>
      <c r="G441" s="167" t="s">
        <v>8262</v>
      </c>
      <c r="H441" s="89">
        <v>985000000</v>
      </c>
      <c r="I441" s="89" t="str">
        <f>IF($H441&lt;='Abbrev Key'!$A$2,'Abbrev Key'!$B$2,IF($H441&lt;='Abbrev Key'!$A$3,'Abbrev Key'!$B$3,IF($H441&lt;='Abbrev Key'!$A$4,'Abbrev Key'!$B$4,IF($H441&lt;='Abbrev Key'!$A$5,'Abbrev Key'!$B$5,IF($H441&lt;='Abbrev Key'!$A$6,'Abbrev Key'!$B$6,IF($H441&gt;='Abbrev Key'!$A$7,'Abbrev Key'!$B$7,IF($H441='Abbrev Key'!$A$8,'Abbrev Key'!$B$8,"")))))))</f>
        <v>F</v>
      </c>
      <c r="J441" s="23" t="s">
        <v>11770</v>
      </c>
      <c r="K441" s="23" t="s">
        <v>640</v>
      </c>
      <c r="L441" s="398" t="s">
        <v>10798</v>
      </c>
      <c r="M441" s="403" t="str">
        <f t="shared" si="29"/>
        <v>DC</v>
      </c>
      <c r="N441" s="23" t="s">
        <v>9791</v>
      </c>
      <c r="O441" s="23"/>
      <c r="P441" s="167"/>
      <c r="Q441" s="392" t="str">
        <f t="shared" si="27"/>
        <v>02/26/2018</v>
      </c>
      <c r="R441" s="392">
        <f t="shared" si="28"/>
        <v>43156</v>
      </c>
      <c r="S441" s="392" t="str">
        <f>_xlfn.IFNA(VLOOKUP(B441,'[1]VLOOKUP NO DUPS'!$A$1:$C$456,2,FALSE),"")</f>
        <v>03/08/2018</v>
      </c>
      <c r="T441" s="168" t="str">
        <f>_xlfn.IFNA(VLOOKUP(B441,'[1]VLOOKUP NO DUPS'!$A$1:$C$456,3,FALSE),"")</f>
        <v>Heffner Hurst, LLP; The Rosen Law Firm, P.A.</v>
      </c>
      <c r="U441" s="167"/>
      <c r="V441" s="167"/>
      <c r="W441" s="167"/>
    </row>
    <row r="442" spans="1:23" s="86" customFormat="1" ht="30" x14ac:dyDescent="0.25">
      <c r="A442" s="165" t="str">
        <f t="shared" si="23"/>
        <v/>
      </c>
      <c r="B442" s="23" t="s">
        <v>8835</v>
      </c>
      <c r="C442" s="23" t="s">
        <v>8521</v>
      </c>
      <c r="D442" s="166" t="s">
        <v>8672</v>
      </c>
      <c r="E442" s="166" t="s">
        <v>1008</v>
      </c>
      <c r="F442" s="167">
        <v>2</v>
      </c>
      <c r="G442" s="167" t="s">
        <v>8322</v>
      </c>
      <c r="H442" s="89">
        <v>2000000000</v>
      </c>
      <c r="I442" s="89" t="str">
        <f>IF($H442&lt;='Abbrev Key'!$A$2,'Abbrev Key'!$B$2,IF($H442&lt;='Abbrev Key'!$A$3,'Abbrev Key'!$B$3,IF($H442&lt;='Abbrev Key'!$A$4,'Abbrev Key'!$B$4,IF($H442&lt;='Abbrev Key'!$A$5,'Abbrev Key'!$B$5,IF($H442&lt;='Abbrev Key'!$A$6,'Abbrev Key'!$B$6,IF($H442&gt;='Abbrev Key'!$A$7,'Abbrev Key'!$B$7,IF($H442='Abbrev Key'!$A$8,'Abbrev Key'!$B$8,"")))))))</f>
        <v>F</v>
      </c>
      <c r="J442" s="23" t="s">
        <v>9460</v>
      </c>
      <c r="K442" s="92" t="s">
        <v>633</v>
      </c>
      <c r="L442" s="398">
        <v>2034806.6</v>
      </c>
      <c r="M442" s="403">
        <f t="shared" si="29"/>
        <v>1.0174032999999999E-3</v>
      </c>
      <c r="N442" s="92" t="str">
        <f>VLOOKUP(B442,[3]Sheet!$B$2:$C$139,2,FALSE)</f>
        <v xml:space="preserve">Robbins, Geller, Rudman &amp; Dowd, LLP </v>
      </c>
      <c r="O442" s="92"/>
      <c r="P442" s="167"/>
      <c r="Q442" s="392" t="str">
        <f t="shared" si="27"/>
        <v>08/17/2017</v>
      </c>
      <c r="R442" s="392">
        <f t="shared" si="28"/>
        <v>42963</v>
      </c>
      <c r="S442" s="392" t="str">
        <f>_xlfn.IFNA(VLOOKUP(B442,'[1]VLOOKUP NO DUPS'!$A$1:$C$456,2,FALSE),"")</f>
        <v>03/09/2018</v>
      </c>
      <c r="T442" s="168" t="str">
        <f>_xlfn.IFNA(VLOOKUP(B442,'[1]VLOOKUP NO DUPS'!$A$1:$C$456,3,FALSE),"")</f>
        <v>Robbins, Geller, Rudman &amp; Dowd, LLP; VanOverbeke Michaud &amp; Timmony, P.C.</v>
      </c>
      <c r="U442" s="167"/>
      <c r="V442" s="167"/>
      <c r="W442" s="167"/>
    </row>
    <row r="443" spans="1:23" s="86" customFormat="1" ht="90" x14ac:dyDescent="0.25">
      <c r="A443" s="165" t="str">
        <f t="shared" si="23"/>
        <v/>
      </c>
      <c r="B443" s="23" t="s">
        <v>9026</v>
      </c>
      <c r="C443" s="23" t="s">
        <v>8944</v>
      </c>
      <c r="D443" s="166" t="s">
        <v>8672</v>
      </c>
      <c r="E443" s="166" t="s">
        <v>457</v>
      </c>
      <c r="F443" s="167">
        <v>9</v>
      </c>
      <c r="G443" s="167" t="s">
        <v>8452</v>
      </c>
      <c r="H443" s="89">
        <v>340000000</v>
      </c>
      <c r="I443" s="89" t="str">
        <f>IF($H443&lt;='Abbrev Key'!$A$2,'Abbrev Key'!$B$2,IF($H443&lt;='Abbrev Key'!$A$3,'Abbrev Key'!$B$3,IF($H443&lt;='Abbrev Key'!$A$4,'Abbrev Key'!$B$4,IF($H443&lt;='Abbrev Key'!$A$5,'Abbrev Key'!$B$5,IF($H443&lt;='Abbrev Key'!$A$6,'Abbrev Key'!$B$6,IF($H443&gt;='Abbrev Key'!$A$7,'Abbrev Key'!$B$7,IF($H443='Abbrev Key'!$A$8,'Abbrev Key'!$B$8,"")))))))</f>
        <v>E</v>
      </c>
      <c r="J443" s="23" t="s">
        <v>11983</v>
      </c>
      <c r="K443" s="23" t="s">
        <v>640</v>
      </c>
      <c r="L443" s="398">
        <v>2439819</v>
      </c>
      <c r="M443" s="403">
        <f t="shared" si="29"/>
        <v>7.1759382352941173E-3</v>
      </c>
      <c r="N443" s="23" t="s">
        <v>4634</v>
      </c>
      <c r="O443" s="23"/>
      <c r="P443" s="167" t="s">
        <v>4287</v>
      </c>
      <c r="Q443" s="392" t="str">
        <f t="shared" si="27"/>
        <v>03/01/2018</v>
      </c>
      <c r="R443" s="392">
        <f t="shared" si="28"/>
        <v>43159</v>
      </c>
      <c r="S443" s="392" t="str">
        <f>_xlfn.IFNA(VLOOKUP(B443,'[1]VLOOKUP NO DUPS'!$A$1:$C$456,2,FALSE),"")</f>
        <v>03/09/2018</v>
      </c>
      <c r="T443" s="168" t="str">
        <f>_xlfn.IFNA(VLOOKUP(B443,'[1]VLOOKUP NO DUPS'!$A$1:$C$456,3,FALSE),"")</f>
        <v>Barrack  Rodos &amp; Bacine</v>
      </c>
      <c r="U443" s="167"/>
      <c r="V443" s="167"/>
      <c r="W443" s="167"/>
    </row>
    <row r="444" spans="1:23" s="86" customFormat="1" ht="30" x14ac:dyDescent="0.25">
      <c r="A444" s="165" t="str">
        <f t="shared" si="23"/>
        <v/>
      </c>
      <c r="B444" s="23" t="s">
        <v>8811</v>
      </c>
      <c r="C444" s="23" t="s">
        <v>8492</v>
      </c>
      <c r="D444" s="166" t="s">
        <v>8644</v>
      </c>
      <c r="E444" s="166" t="s">
        <v>418</v>
      </c>
      <c r="F444" s="167">
        <v>2</v>
      </c>
      <c r="G444" s="167" t="s">
        <v>8285</v>
      </c>
      <c r="H444" s="89">
        <v>540000000</v>
      </c>
      <c r="I444" s="89" t="str">
        <f>IF($H444&lt;='Abbrev Key'!$A$2,'Abbrev Key'!$B$2,IF($H444&lt;='Abbrev Key'!$A$3,'Abbrev Key'!$B$3,IF($H444&lt;='Abbrev Key'!$A$4,'Abbrev Key'!$B$4,IF($H444&lt;='Abbrev Key'!$A$5,'Abbrev Key'!$B$5,IF($H444&lt;='Abbrev Key'!$A$6,'Abbrev Key'!$B$6,IF($H444&gt;='Abbrev Key'!$A$7,'Abbrev Key'!$B$7,IF($H444='Abbrev Key'!$A$8,'Abbrev Key'!$B$8,"")))))))</f>
        <v>F</v>
      </c>
      <c r="J444" s="17" t="s">
        <v>118</v>
      </c>
      <c r="K444" s="92" t="s">
        <v>633</v>
      </c>
      <c r="L444" s="398">
        <v>749857.61</v>
      </c>
      <c r="M444" s="403">
        <f t="shared" si="29"/>
        <v>1.3886252037037037E-3</v>
      </c>
      <c r="N444" s="92" t="str">
        <f>VLOOKUP(B444,[3]Sheet!$B$2:$C$139,2,FALSE)</f>
        <v xml:space="preserve">Robbins, Geller, Rudman &amp; Dowd, LLP </v>
      </c>
      <c r="O444" s="92"/>
      <c r="P444" s="167"/>
      <c r="Q444" s="392" t="str">
        <f t="shared" si="27"/>
        <v>03/02/2018</v>
      </c>
      <c r="R444" s="392">
        <f t="shared" si="28"/>
        <v>43160</v>
      </c>
      <c r="S444" s="392" t="str">
        <f>_xlfn.IFNA(VLOOKUP(B444,'[1]VLOOKUP NO DUPS'!$A$1:$C$456,2,FALSE),"")</f>
        <v>03/12/2018</v>
      </c>
      <c r="T444" s="168" t="str">
        <f>_xlfn.IFNA(VLOOKUP(B444,'[1]VLOOKUP NO DUPS'!$A$1:$C$456,3,FALSE),"")</f>
        <v>Pomerantz LLP</v>
      </c>
      <c r="U444" s="167"/>
      <c r="V444" s="167"/>
      <c r="W444" s="167"/>
    </row>
    <row r="445" spans="1:23" s="86" customFormat="1" ht="60" x14ac:dyDescent="0.25">
      <c r="A445" s="165" t="str">
        <f t="shared" si="23"/>
        <v/>
      </c>
      <c r="B445" s="23" t="s">
        <v>8994</v>
      </c>
      <c r="C445" s="23" t="s">
        <v>8655</v>
      </c>
      <c r="D445" s="166" t="s">
        <v>8656</v>
      </c>
      <c r="E445" s="166" t="s">
        <v>418</v>
      </c>
      <c r="F445" s="167">
        <v>2</v>
      </c>
      <c r="G445" s="167" t="s">
        <v>8303</v>
      </c>
      <c r="H445" s="89">
        <v>1800000000</v>
      </c>
      <c r="I445" s="89" t="str">
        <f>IF($H445&lt;='Abbrev Key'!$A$2,'Abbrev Key'!$B$2,IF($H445&lt;='Abbrev Key'!$A$3,'Abbrev Key'!$B$3,IF($H445&lt;='Abbrev Key'!$A$4,'Abbrev Key'!$B$4,IF($H445&lt;='Abbrev Key'!$A$5,'Abbrev Key'!$B$5,IF($H445&lt;='Abbrev Key'!$A$6,'Abbrev Key'!$B$6,IF($H445&gt;='Abbrev Key'!$A$7,'Abbrev Key'!$B$7,IF($H445='Abbrev Key'!$A$8,'Abbrev Key'!$B$8,"")))))))</f>
        <v>F</v>
      </c>
      <c r="J445" s="23" t="s">
        <v>11986</v>
      </c>
      <c r="K445" s="23" t="s">
        <v>662</v>
      </c>
      <c r="L445" s="398">
        <v>14383668.050000001</v>
      </c>
      <c r="M445" s="403">
        <f t="shared" si="29"/>
        <v>7.9909266944444453E-3</v>
      </c>
      <c r="N445" s="23" t="s">
        <v>9787</v>
      </c>
      <c r="O445" s="23"/>
      <c r="P445" s="167" t="s">
        <v>4287</v>
      </c>
      <c r="Q445" s="392" t="str">
        <f t="shared" si="27"/>
        <v>02/05/2018</v>
      </c>
      <c r="R445" s="392">
        <f t="shared" si="28"/>
        <v>43135</v>
      </c>
      <c r="S445" s="392" t="s">
        <v>9098</v>
      </c>
      <c r="T445" s="168" t="s">
        <v>10931</v>
      </c>
      <c r="U445" s="167"/>
      <c r="V445" s="167"/>
      <c r="W445" s="167"/>
    </row>
    <row r="446" spans="1:23" s="86" customFormat="1" ht="45" x14ac:dyDescent="0.25">
      <c r="A446" s="165" t="str">
        <f t="shared" si="23"/>
        <v/>
      </c>
      <c r="B446" s="23" t="s">
        <v>8819</v>
      </c>
      <c r="C446" s="23" t="s">
        <v>8504</v>
      </c>
      <c r="D446" s="166" t="s">
        <v>8647</v>
      </c>
      <c r="E446" s="166" t="s">
        <v>418</v>
      </c>
      <c r="F446" s="167">
        <v>2</v>
      </c>
      <c r="G446" s="167" t="s">
        <v>8298</v>
      </c>
      <c r="H446" s="89">
        <v>150000000</v>
      </c>
      <c r="I446" s="89" t="str">
        <f>IF($H446&lt;='Abbrev Key'!$A$2,'Abbrev Key'!$B$2,IF($H446&lt;='Abbrev Key'!$A$3,'Abbrev Key'!$B$3,IF($H446&lt;='Abbrev Key'!$A$4,'Abbrev Key'!$B$4,IF($H446&lt;='Abbrev Key'!$A$5,'Abbrev Key'!$B$5,IF($H446&lt;='Abbrev Key'!$A$6,'Abbrev Key'!$B$6,IF($H446&gt;='Abbrev Key'!$A$7,'Abbrev Key'!$B$7,IF($H446='Abbrev Key'!$A$8,'Abbrev Key'!$B$8,"")))))))</f>
        <v>D</v>
      </c>
      <c r="J446" s="92" t="s">
        <v>11935</v>
      </c>
      <c r="K446" s="92" t="s">
        <v>662</v>
      </c>
      <c r="L446" s="398">
        <f>621311+206154.01</f>
        <v>827465.01</v>
      </c>
      <c r="M446" s="403">
        <f t="shared" si="29"/>
        <v>5.5164334000000004E-3</v>
      </c>
      <c r="N446" s="92" t="s">
        <v>8993</v>
      </c>
      <c r="O446" s="92" t="s">
        <v>11197</v>
      </c>
      <c r="P446" s="167"/>
      <c r="Q446" s="392" t="str">
        <f t="shared" si="27"/>
        <v>03/13/2018</v>
      </c>
      <c r="R446" s="392">
        <f t="shared" si="28"/>
        <v>43171</v>
      </c>
      <c r="S446" s="392" t="str">
        <f>_xlfn.IFNA(VLOOKUP(B446,'[1]VLOOKUP NO DUPS'!$A$1:$C$456,2,FALSE),"")</f>
        <v>03/16/2018</v>
      </c>
      <c r="T446" s="168" t="str">
        <f>_xlfn.IFNA(VLOOKUP(B446,'[1]VLOOKUP NO DUPS'!$A$1:$C$456,3,FALSE),"")</f>
        <v>Bronstein, Gewirtz &amp; Grossman, LLC; Pomerantz LLP</v>
      </c>
      <c r="U446" s="167"/>
      <c r="V446" s="167"/>
      <c r="W446" s="167"/>
    </row>
    <row r="447" spans="1:23" s="86" customFormat="1" x14ac:dyDescent="0.25">
      <c r="A447" s="165" t="str">
        <f t="shared" si="23"/>
        <v/>
      </c>
      <c r="B447" s="23" t="s">
        <v>8899</v>
      </c>
      <c r="C447" s="23" t="s">
        <v>8577</v>
      </c>
      <c r="D447" s="166" t="s">
        <v>8764</v>
      </c>
      <c r="E447" s="166" t="s">
        <v>418</v>
      </c>
      <c r="F447" s="167">
        <v>2</v>
      </c>
      <c r="G447" s="167" t="s">
        <v>8416</v>
      </c>
      <c r="H447" s="89">
        <v>65000000</v>
      </c>
      <c r="I447" s="89" t="str">
        <f>IF($H447&lt;='Abbrev Key'!$A$2,'Abbrev Key'!$B$2,IF($H447&lt;='Abbrev Key'!$A$3,'Abbrev Key'!$B$3,IF($H447&lt;='Abbrev Key'!$A$4,'Abbrev Key'!$B$4,IF($H447&lt;='Abbrev Key'!$A$5,'Abbrev Key'!$B$5,IF($H447&lt;='Abbrev Key'!$A$6,'Abbrev Key'!$B$6,IF($H447&gt;='Abbrev Key'!$A$7,'Abbrev Key'!$B$7,IF($H447='Abbrev Key'!$A$8,'Abbrev Key'!$B$8,"")))))))</f>
        <v>C</v>
      </c>
      <c r="J447" s="17" t="s">
        <v>9427</v>
      </c>
      <c r="K447" s="92" t="s">
        <v>637</v>
      </c>
      <c r="L447" s="354">
        <v>6500</v>
      </c>
      <c r="M447" s="405">
        <f t="shared" si="29"/>
        <v>1E-4</v>
      </c>
      <c r="N447" s="92" t="str">
        <f>VLOOKUP(B447,[3]Sheet!$B$2:$C$139,2,FALSE)</f>
        <v xml:space="preserve">Labaton Sucharow LLP </v>
      </c>
      <c r="O447" s="92"/>
      <c r="P447" s="167"/>
      <c r="Q447" s="392" t="str">
        <f t="shared" si="27"/>
        <v>11/18/2015</v>
      </c>
      <c r="R447" s="392">
        <f t="shared" si="28"/>
        <v>42325</v>
      </c>
      <c r="S447" s="392" t="str">
        <f>_xlfn.IFNA(VLOOKUP(B447,'[1]VLOOKUP NO DUPS'!$A$1:$C$456,2,FALSE),"")</f>
        <v>03/19/2018</v>
      </c>
      <c r="T447" s="168" t="str">
        <f>_xlfn.IFNA(VLOOKUP(B447,'[1]VLOOKUP NO DUPS'!$A$1:$C$456,3,FALSE),"")</f>
        <v>Levi &amp; Korsinsky, LLP</v>
      </c>
      <c r="U447" s="167"/>
      <c r="V447" s="167"/>
      <c r="W447" s="167"/>
    </row>
    <row r="448" spans="1:23" s="86" customFormat="1" ht="60" x14ac:dyDescent="0.25">
      <c r="A448" s="165" t="str">
        <f t="shared" si="23"/>
        <v>DUP</v>
      </c>
      <c r="B448" s="23" t="s">
        <v>1819</v>
      </c>
      <c r="C448" s="23" t="s">
        <v>10532</v>
      </c>
      <c r="D448" s="166" t="s">
        <v>8664</v>
      </c>
      <c r="E448" s="166" t="s">
        <v>457</v>
      </c>
      <c r="F448" s="167">
        <v>9</v>
      </c>
      <c r="G448" s="167" t="s">
        <v>8665</v>
      </c>
      <c r="H448" s="89">
        <v>12000000000</v>
      </c>
      <c r="I448" s="89" t="str">
        <f>IF($H448&lt;='Abbrev Key'!$A$2,'Abbrev Key'!$B$2,IF($H448&lt;='Abbrev Key'!$A$3,'Abbrev Key'!$B$3,IF($H448&lt;='Abbrev Key'!$A$4,'Abbrev Key'!$B$4,IF($H448&lt;='Abbrev Key'!$A$5,'Abbrev Key'!$B$5,IF($H448&lt;='Abbrev Key'!$A$6,'Abbrev Key'!$B$6,IF($H448&gt;='Abbrev Key'!$A$7,'Abbrev Key'!$B$7,IF($H448='Abbrev Key'!$A$8,'Abbrev Key'!$B$8,"")))))))</f>
        <v>F</v>
      </c>
      <c r="J448" s="92" t="s">
        <v>11938</v>
      </c>
      <c r="K448" s="92" t="s">
        <v>640</v>
      </c>
      <c r="L448" s="398">
        <f>621751.95+1548943</f>
        <v>2170694.9500000002</v>
      </c>
      <c r="M448" s="403">
        <f t="shared" si="29"/>
        <v>1.8089124583333334E-4</v>
      </c>
      <c r="N448" s="92" t="s">
        <v>8997</v>
      </c>
      <c r="O448" s="92" t="s">
        <v>11197</v>
      </c>
      <c r="P448" s="167" t="s">
        <v>4287</v>
      </c>
      <c r="Q448" s="392" t="str">
        <f t="shared" si="27"/>
        <v>07/25/2018</v>
      </c>
      <c r="R448" s="392">
        <f t="shared" si="28"/>
        <v>43305</v>
      </c>
      <c r="S448" s="392" t="s">
        <v>9096</v>
      </c>
      <c r="T448" s="168" t="s">
        <v>10928</v>
      </c>
      <c r="U448" s="167"/>
      <c r="V448" s="167"/>
      <c r="W448" s="167"/>
    </row>
    <row r="449" spans="1:23" s="86" customFormat="1" x14ac:dyDescent="0.25">
      <c r="A449" s="165" t="str">
        <f t="shared" si="23"/>
        <v/>
      </c>
      <c r="B449" s="23" t="s">
        <v>8781</v>
      </c>
      <c r="C449" s="23" t="s">
        <v>8247</v>
      </c>
      <c r="D449" s="166" t="s">
        <v>8613</v>
      </c>
      <c r="E449" s="166" t="s">
        <v>457</v>
      </c>
      <c r="F449" s="167">
        <v>9</v>
      </c>
      <c r="G449" s="167" t="s">
        <v>8248</v>
      </c>
      <c r="H449" s="89">
        <v>45000000</v>
      </c>
      <c r="I449" s="89" t="str">
        <f>IF($H449&lt;='Abbrev Key'!$A$2,'Abbrev Key'!$B$2,IF($H449&lt;='Abbrev Key'!$A$3,'Abbrev Key'!$B$3,IF($H449&lt;='Abbrev Key'!$A$4,'Abbrev Key'!$B$4,IF($H449&lt;='Abbrev Key'!$A$5,'Abbrev Key'!$B$5,IF($H449&lt;='Abbrev Key'!$A$6,'Abbrev Key'!$B$6,IF($H449&gt;='Abbrev Key'!$A$7,'Abbrev Key'!$B$7,IF($H449='Abbrev Key'!$A$8,'Abbrev Key'!$B$8,"")))))))</f>
        <v>B</v>
      </c>
      <c r="J449" s="17" t="s">
        <v>11765</v>
      </c>
      <c r="K449" s="17" t="s">
        <v>646</v>
      </c>
      <c r="L449" s="399">
        <v>2614.77</v>
      </c>
      <c r="M449" s="404">
        <f t="shared" si="29"/>
        <v>5.8106000000000002E-5</v>
      </c>
      <c r="N449" s="17" t="s">
        <v>9756</v>
      </c>
      <c r="O449" s="17"/>
      <c r="P449" s="167"/>
      <c r="Q449" s="392" t="str">
        <f t="shared" si="27"/>
        <v>01/30/2018</v>
      </c>
      <c r="R449" s="392">
        <f t="shared" si="28"/>
        <v>43129</v>
      </c>
      <c r="S449" s="392" t="str">
        <f>_xlfn.IFNA(VLOOKUP(B449,'[1]VLOOKUP NO DUPS'!$A$1:$C$456,2,FALSE),"")</f>
        <v>03/22/2018</v>
      </c>
      <c r="T449" s="168" t="str">
        <f>_xlfn.IFNA(VLOOKUP(B449,'[1]VLOOKUP NO DUPS'!$A$1:$C$456,3,FALSE),"")</f>
        <v>The Rosen Law Firm, P.A.</v>
      </c>
      <c r="U449" s="167"/>
      <c r="V449" s="167"/>
      <c r="W449" s="167"/>
    </row>
    <row r="450" spans="1:23" s="86" customFormat="1" ht="75" x14ac:dyDescent="0.25">
      <c r="A450" s="165" t="str">
        <f t="shared" ref="A450:A513" si="30">IF(COUNTIF(B:B,B450)&gt;=2,"DUP","")</f>
        <v/>
      </c>
      <c r="B450" s="23" t="s">
        <v>8884</v>
      </c>
      <c r="C450" s="23" t="s">
        <v>8567</v>
      </c>
      <c r="D450" s="166" t="s">
        <v>8734</v>
      </c>
      <c r="E450" s="166" t="s">
        <v>491</v>
      </c>
      <c r="F450" s="169">
        <v>8</v>
      </c>
      <c r="G450" s="167" t="s">
        <v>8393</v>
      </c>
      <c r="H450" s="89">
        <v>575000000</v>
      </c>
      <c r="I450" s="89" t="str">
        <f>IF($H450&lt;='Abbrev Key'!$A$2,'Abbrev Key'!$B$2,IF($H450&lt;='Abbrev Key'!$A$3,'Abbrev Key'!$B$3,IF($H450&lt;='Abbrev Key'!$A$4,'Abbrev Key'!$B$4,IF($H450&lt;='Abbrev Key'!$A$5,'Abbrev Key'!$B$5,IF($H450&lt;='Abbrev Key'!$A$6,'Abbrev Key'!$B$6,IF($H450&gt;='Abbrev Key'!$A$7,'Abbrev Key'!$B$7,IF($H450='Abbrev Key'!$A$8,'Abbrev Key'!$B$8,"")))))))</f>
        <v>F</v>
      </c>
      <c r="J450" s="92" t="s">
        <v>11960</v>
      </c>
      <c r="K450" s="92" t="s">
        <v>640</v>
      </c>
      <c r="L450" s="398">
        <f>980253.32+1052742</f>
        <v>2032995.3199999998</v>
      </c>
      <c r="M450" s="403">
        <f t="shared" si="29"/>
        <v>3.5356440347826083E-3</v>
      </c>
      <c r="N450" s="92" t="s">
        <v>8998</v>
      </c>
      <c r="O450" s="92" t="s">
        <v>11197</v>
      </c>
      <c r="P450" s="167"/>
      <c r="Q450" s="392" t="str">
        <f t="shared" si="27"/>
        <v>02/28/2018</v>
      </c>
      <c r="R450" s="392">
        <f t="shared" si="28"/>
        <v>43158</v>
      </c>
      <c r="S450" s="392" t="str">
        <f>_xlfn.IFNA(VLOOKUP(B450,'[1]VLOOKUP NO DUPS'!$A$1:$C$456,2,FALSE),"")</f>
        <v>03/28/2018</v>
      </c>
      <c r="T450" s="168" t="str">
        <f>_xlfn.IFNA(VLOOKUP(B450,'[1]VLOOKUP NO DUPS'!$A$1:$C$456,3,FALSE),"")</f>
        <v>Robins Kaplan LLP; Saxena White P.A.</v>
      </c>
      <c r="U450" s="167"/>
      <c r="V450" s="167"/>
      <c r="W450" s="167"/>
    </row>
    <row r="451" spans="1:23" s="86" customFormat="1" ht="60" x14ac:dyDescent="0.25">
      <c r="A451" s="164" t="str">
        <f t="shared" si="30"/>
        <v/>
      </c>
      <c r="B451" s="23" t="s">
        <v>8818</v>
      </c>
      <c r="C451" s="23" t="s">
        <v>8503</v>
      </c>
      <c r="D451" s="166" t="s">
        <v>8614</v>
      </c>
      <c r="E451" s="166" t="s">
        <v>424</v>
      </c>
      <c r="F451" s="167">
        <v>3</v>
      </c>
      <c r="G451" s="167" t="s">
        <v>8297</v>
      </c>
      <c r="H451" s="89">
        <v>20000000000</v>
      </c>
      <c r="I451" s="89" t="str">
        <f>IF($H451&lt;='Abbrev Key'!$A$2,'Abbrev Key'!$B$2,IF($H451&lt;='Abbrev Key'!$A$3,'Abbrev Key'!$B$3,IF($H451&lt;='Abbrev Key'!$A$4,'Abbrev Key'!$B$4,IF($H451&lt;='Abbrev Key'!$A$5,'Abbrev Key'!$B$5,IF($H451&lt;='Abbrev Key'!$A$6,'Abbrev Key'!$B$6,IF($H451&gt;='Abbrev Key'!$A$7,'Abbrev Key'!$B$7,IF($H451='Abbrev Key'!$A$8,'Abbrev Key'!$B$8,"")))))))</f>
        <v>F</v>
      </c>
      <c r="J451" s="17" t="s">
        <v>26</v>
      </c>
      <c r="K451" s="23" t="s">
        <v>633</v>
      </c>
      <c r="L451" s="398">
        <v>25072826.199999999</v>
      </c>
      <c r="M451" s="403">
        <f t="shared" si="29"/>
        <v>1.2536413100000001E-3</v>
      </c>
      <c r="N451" s="23" t="s">
        <v>10949</v>
      </c>
      <c r="O451" s="23"/>
      <c r="P451" s="167"/>
      <c r="Q451" s="392" t="str">
        <f t="shared" si="27"/>
        <v>02/27/2018</v>
      </c>
      <c r="R451" s="392">
        <f t="shared" si="28"/>
        <v>43157</v>
      </c>
      <c r="S451" s="392" t="str">
        <f>_xlfn.IFNA(VLOOKUP(B451,'[1]VLOOKUP NO DUPS'!$A$1:$C$456,2,FALSE),"")</f>
        <v>03/29/2018</v>
      </c>
      <c r="T451" s="168" t="str">
        <f>_xlfn.IFNA(VLOOKUP(B451,'[1]VLOOKUP NO DUPS'!$A$1:$C$456,3,FALSE),"")</f>
        <v>Carella, Byrne, Cecchi, Olstein, Brody &amp; Agnello P.C.; Kessler Topaz  Meltzer &amp; Check, LLP; Robbins, Geller, Rudman &amp; Dowd, LLP; Seeger Weiss LLP; VanOverbeke Michaud &amp; Timmony, P.C.</v>
      </c>
      <c r="U451" s="167"/>
      <c r="V451" s="167"/>
      <c r="W451" s="167"/>
    </row>
    <row r="452" spans="1:23" s="86" customFormat="1" ht="45" x14ac:dyDescent="0.25">
      <c r="A452" s="165" t="str">
        <f t="shared" si="30"/>
        <v/>
      </c>
      <c r="B452" s="23" t="s">
        <v>8242</v>
      </c>
      <c r="C452" s="23" t="s">
        <v>8731</v>
      </c>
      <c r="D452" s="166" t="s">
        <v>8729</v>
      </c>
      <c r="E452" s="166" t="s">
        <v>536</v>
      </c>
      <c r="F452" s="169">
        <v>10</v>
      </c>
      <c r="G452" s="167" t="s">
        <v>8391</v>
      </c>
      <c r="H452" s="89">
        <v>170000000</v>
      </c>
      <c r="I452" s="89" t="str">
        <f>IF($H452&lt;='Abbrev Key'!$A$2,'Abbrev Key'!$B$2,IF($H452&lt;='Abbrev Key'!$A$3,'Abbrev Key'!$B$3,IF($H452&lt;='Abbrev Key'!$A$4,'Abbrev Key'!$B$4,IF($H452&lt;='Abbrev Key'!$A$5,'Abbrev Key'!$B$5,IF($H452&lt;='Abbrev Key'!$A$6,'Abbrev Key'!$B$6,IF($H452&gt;='Abbrev Key'!$A$7,'Abbrev Key'!$B$7,IF($H452='Abbrev Key'!$A$8,'Abbrev Key'!$B$8,"")))))))</f>
        <v>D</v>
      </c>
      <c r="J452" s="23" t="s">
        <v>9411</v>
      </c>
      <c r="K452" s="23" t="s">
        <v>637</v>
      </c>
      <c r="L452" s="398">
        <v>1512107</v>
      </c>
      <c r="M452" s="403">
        <f t="shared" si="29"/>
        <v>8.8947470588235291E-3</v>
      </c>
      <c r="N452" s="23" t="s">
        <v>9777</v>
      </c>
      <c r="O452" s="23"/>
      <c r="P452" s="167" t="s">
        <v>4295</v>
      </c>
      <c r="Q452" s="392" t="str">
        <f t="shared" si="27"/>
        <v>03/26/2018</v>
      </c>
      <c r="R452" s="392">
        <f t="shared" si="28"/>
        <v>43184</v>
      </c>
      <c r="S452" s="392" t="s">
        <v>9095</v>
      </c>
      <c r="T452" s="168" t="s">
        <v>10909</v>
      </c>
      <c r="U452" s="167"/>
      <c r="V452" s="167"/>
      <c r="W452" s="167"/>
    </row>
    <row r="453" spans="1:23" s="86" customFormat="1" ht="30" x14ac:dyDescent="0.25">
      <c r="A453" s="165" t="str">
        <f t="shared" si="30"/>
        <v/>
      </c>
      <c r="B453" s="23" t="s">
        <v>8912</v>
      </c>
      <c r="C453" s="23" t="b">
        <v>1</v>
      </c>
      <c r="D453" s="166" t="s">
        <v>8938</v>
      </c>
      <c r="E453" s="166" t="s">
        <v>446</v>
      </c>
      <c r="F453" s="167">
        <v>9</v>
      </c>
      <c r="G453" s="167" t="s">
        <v>8440</v>
      </c>
      <c r="H453" s="89">
        <v>60000000</v>
      </c>
      <c r="I453" s="89" t="str">
        <f>IF($H453&lt;='Abbrev Key'!$A$2,'Abbrev Key'!$B$2,IF($H453&lt;='Abbrev Key'!$A$3,'Abbrev Key'!$B$3,IF($H453&lt;='Abbrev Key'!$A$4,'Abbrev Key'!$B$4,IF($H453&lt;='Abbrev Key'!$A$5,'Abbrev Key'!$B$5,IF($H453&lt;='Abbrev Key'!$A$6,'Abbrev Key'!$B$6,IF($H453&gt;='Abbrev Key'!$A$7,'Abbrev Key'!$B$7,IF($H453='Abbrev Key'!$A$8,'Abbrev Key'!$B$8,"")))))))</f>
        <v>C</v>
      </c>
      <c r="J453" s="23" t="s">
        <v>280</v>
      </c>
      <c r="K453" s="23" t="s">
        <v>633</v>
      </c>
      <c r="L453" s="398">
        <v>274057</v>
      </c>
      <c r="M453" s="403">
        <f t="shared" si="29"/>
        <v>4.5676166666666664E-3</v>
      </c>
      <c r="N453" s="23" t="s">
        <v>9773</v>
      </c>
      <c r="O453" s="23"/>
      <c r="P453" s="167"/>
      <c r="Q453" s="392" t="str">
        <f t="shared" si="27"/>
        <v>11/06/2017</v>
      </c>
      <c r="R453" s="392">
        <f t="shared" si="28"/>
        <v>43044</v>
      </c>
      <c r="S453" s="392" t="str">
        <f>_xlfn.IFNA(VLOOKUP(B453,'[1]VLOOKUP NO DUPS'!$A$1:$C$456,2,FALSE),"")</f>
        <v>03/30/2018</v>
      </c>
      <c r="T453" s="168" t="str">
        <f>_xlfn.IFNA(VLOOKUP(B453,'[1]VLOOKUP NO DUPS'!$A$1:$C$456,3,FALSE),"")</f>
        <v>Kaplan Fox &amp; Kilsheimer LLP</v>
      </c>
      <c r="U453" s="167"/>
      <c r="V453" s="167"/>
      <c r="W453" s="167"/>
    </row>
    <row r="454" spans="1:23" s="86" customFormat="1" x14ac:dyDescent="0.25">
      <c r="A454" s="336" t="str">
        <f t="shared" si="30"/>
        <v>DUP</v>
      </c>
      <c r="B454" s="289" t="s">
        <v>8241</v>
      </c>
      <c r="C454" s="289" t="s">
        <v>11361</v>
      </c>
      <c r="D454" s="367" t="s">
        <v>8704</v>
      </c>
      <c r="E454" s="367" t="s">
        <v>418</v>
      </c>
      <c r="F454" s="246">
        <v>2</v>
      </c>
      <c r="G454" s="246" t="s">
        <v>8360</v>
      </c>
      <c r="H454" s="287">
        <v>365000000</v>
      </c>
      <c r="I454" s="287" t="str">
        <f>IF($H454&lt;='Abbrev Key'!$A$2,'Abbrev Key'!$B$2,IF($H454&lt;='Abbrev Key'!$A$3,'Abbrev Key'!$B$3,IF($H454&lt;='Abbrev Key'!$A$4,'Abbrev Key'!$B$4,IF($H454&lt;='Abbrev Key'!$A$5,'Abbrev Key'!$B$5,IF($H454&lt;='Abbrev Key'!$A$6,'Abbrev Key'!$B$6,IF($H454&gt;='Abbrev Key'!$A$7,'Abbrev Key'!$B$7,IF($H454='Abbrev Key'!$A$8,'Abbrev Key'!$B$8,"")))))))</f>
        <v>E</v>
      </c>
      <c r="J454" s="17" t="s">
        <v>9392</v>
      </c>
      <c r="K454" s="289" t="s">
        <v>637</v>
      </c>
      <c r="L454" s="400">
        <v>1483463.41</v>
      </c>
      <c r="M454" s="407">
        <f t="shared" si="29"/>
        <v>4.0642833150684931E-3</v>
      </c>
      <c r="N454" s="289" t="s">
        <v>63</v>
      </c>
      <c r="O454" s="289"/>
      <c r="P454" s="246" t="s">
        <v>4287</v>
      </c>
      <c r="Q454" s="393" t="str">
        <f t="shared" si="27"/>
        <v>04/06/2018</v>
      </c>
      <c r="R454" s="393">
        <f t="shared" si="28"/>
        <v>43195</v>
      </c>
      <c r="S454" s="393">
        <v>43193</v>
      </c>
      <c r="T454" s="368" t="str">
        <f>_xlfn.IFNA(VLOOKUP(B454,'[1]VLOOKUP NO DUPS'!$A$1:$C$456,3,FALSE),"")</f>
        <v>Glancy Prongay &amp; Murray, LLP</v>
      </c>
      <c r="U454" s="167"/>
      <c r="V454" s="167"/>
      <c r="W454" s="167"/>
    </row>
    <row r="455" spans="1:23" s="86" customFormat="1" x14ac:dyDescent="0.25">
      <c r="A455" s="165" t="str">
        <f t="shared" si="30"/>
        <v/>
      </c>
      <c r="B455" s="23" t="s">
        <v>8777</v>
      </c>
      <c r="C455" s="23" t="s">
        <v>8586</v>
      </c>
      <c r="D455" s="166" t="s">
        <v>8775</v>
      </c>
      <c r="E455" s="166" t="s">
        <v>418</v>
      </c>
      <c r="F455" s="167">
        <v>2</v>
      </c>
      <c r="G455" s="167" t="s">
        <v>8428</v>
      </c>
      <c r="H455" s="89">
        <v>35000000</v>
      </c>
      <c r="I455" s="89" t="str">
        <f>IF($H455&lt;='Abbrev Key'!$A$2,'Abbrev Key'!$B$2,IF($H455&lt;='Abbrev Key'!$A$3,'Abbrev Key'!$B$3,IF($H455&lt;='Abbrev Key'!$A$4,'Abbrev Key'!$B$4,IF($H455&lt;='Abbrev Key'!$A$5,'Abbrev Key'!$B$5,IF($H455&lt;='Abbrev Key'!$A$6,'Abbrev Key'!$B$6,IF($H455&gt;='Abbrev Key'!$A$7,'Abbrev Key'!$B$7,IF($H455='Abbrev Key'!$A$8,'Abbrev Key'!$B$8,"")))))))</f>
        <v>B</v>
      </c>
      <c r="J455" s="92" t="s">
        <v>9400</v>
      </c>
      <c r="K455" s="92" t="s">
        <v>637</v>
      </c>
      <c r="L455" s="398">
        <v>1659445</v>
      </c>
      <c r="M455" s="403">
        <f t="shared" si="29"/>
        <v>4.7412714285714287E-2</v>
      </c>
      <c r="N455" s="92" t="str">
        <f>VLOOKUP(B455,[3]Sheet!$B$2:$C$139,2,FALSE)</f>
        <v xml:space="preserve">Bragar Eagel &amp; Squire, PC </v>
      </c>
      <c r="O455" s="92" t="s">
        <v>11197</v>
      </c>
      <c r="P455" s="167"/>
      <c r="Q455" s="392" t="str">
        <f t="shared" si="27"/>
        <v>03/15/2018</v>
      </c>
      <c r="R455" s="392">
        <f t="shared" si="28"/>
        <v>43173</v>
      </c>
      <c r="S455" s="392" t="str">
        <f>_xlfn.IFNA(VLOOKUP(B455,'[1]VLOOKUP NO DUPS'!$A$1:$C$456,2,FALSE),"")</f>
        <v>04/04/2018</v>
      </c>
      <c r="T455" s="168" t="str">
        <f>_xlfn.IFNA(VLOOKUP(B455,'[1]VLOOKUP NO DUPS'!$A$1:$C$456,3,FALSE),"")</f>
        <v>Bronstein, Gewirtz &amp; Grossman, LLC; Pomerantz LLP</v>
      </c>
      <c r="U455" s="167"/>
      <c r="V455" s="167"/>
      <c r="W455" s="167"/>
    </row>
    <row r="456" spans="1:23" s="86" customFormat="1" ht="30" x14ac:dyDescent="0.25">
      <c r="A456" s="165" t="str">
        <f t="shared" si="30"/>
        <v/>
      </c>
      <c r="B456" s="23" t="s">
        <v>8850</v>
      </c>
      <c r="C456" s="23" t="s">
        <v>8690</v>
      </c>
      <c r="D456" s="166" t="s">
        <v>8691</v>
      </c>
      <c r="E456" s="166" t="s">
        <v>446</v>
      </c>
      <c r="F456" s="167">
        <v>9</v>
      </c>
      <c r="G456" s="167" t="s">
        <v>8346</v>
      </c>
      <c r="H456" s="89">
        <v>3700000</v>
      </c>
      <c r="I456" s="89" t="str">
        <f>IF($H456&lt;='Abbrev Key'!$A$2,'Abbrev Key'!$B$2,IF($H456&lt;='Abbrev Key'!$A$3,'Abbrev Key'!$B$3,IF($H456&lt;='Abbrev Key'!$A$4,'Abbrev Key'!$B$4,IF($H456&lt;='Abbrev Key'!$A$5,'Abbrev Key'!$B$5,IF($H456&lt;='Abbrev Key'!$A$6,'Abbrev Key'!$B$6,IF($H456&gt;='Abbrev Key'!$A$7,'Abbrev Key'!$B$7,IF($H456='Abbrev Key'!$A$8,'Abbrev Key'!$B$8,"")))))))</f>
        <v>A</v>
      </c>
      <c r="J456" s="23" t="s">
        <v>11858</v>
      </c>
      <c r="K456" s="23" t="s">
        <v>646</v>
      </c>
      <c r="L456" s="398">
        <v>202768.99</v>
      </c>
      <c r="M456" s="403">
        <f t="shared" si="29"/>
        <v>5.4802429729729728E-2</v>
      </c>
      <c r="N456" s="23" t="s">
        <v>9771</v>
      </c>
      <c r="O456" s="23"/>
      <c r="P456" s="167" t="s">
        <v>4287</v>
      </c>
      <c r="Q456" s="392" t="str">
        <f t="shared" si="27"/>
        <v>04/03/2018</v>
      </c>
      <c r="R456" s="392">
        <f t="shared" si="28"/>
        <v>43192</v>
      </c>
      <c r="S456" s="392" t="s">
        <v>9090</v>
      </c>
      <c r="T456" s="168" t="s">
        <v>682</v>
      </c>
      <c r="U456" s="167"/>
      <c r="V456" s="167"/>
      <c r="W456" s="167"/>
    </row>
    <row r="457" spans="1:23" s="86" customFormat="1" ht="45" x14ac:dyDescent="0.25">
      <c r="A457" s="164" t="str">
        <f t="shared" si="30"/>
        <v/>
      </c>
      <c r="B457" s="23" t="s">
        <v>8815</v>
      </c>
      <c r="C457" s="23" t="s">
        <v>8499</v>
      </c>
      <c r="D457" s="166" t="s">
        <v>8645</v>
      </c>
      <c r="E457" s="166" t="s">
        <v>424</v>
      </c>
      <c r="F457" s="167">
        <v>3</v>
      </c>
      <c r="G457" s="167" t="s">
        <v>8291</v>
      </c>
      <c r="H457" s="89">
        <v>8000000</v>
      </c>
      <c r="I457" s="89" t="str">
        <f>IF($H457&lt;='Abbrev Key'!$A$2,'Abbrev Key'!$B$2,IF($H457&lt;='Abbrev Key'!$A$3,'Abbrev Key'!$B$3,IF($H457&lt;='Abbrev Key'!$A$4,'Abbrev Key'!$B$4,IF($H457&lt;='Abbrev Key'!$A$5,'Abbrev Key'!$B$5,IF($H457&lt;='Abbrev Key'!$A$6,'Abbrev Key'!$B$6,IF($H457&gt;='Abbrev Key'!$A$7,'Abbrev Key'!$B$7,IF($H457='Abbrev Key'!$A$8,'Abbrev Key'!$B$8,"")))))))</f>
        <v>A</v>
      </c>
      <c r="J457" s="17" t="s">
        <v>9401</v>
      </c>
      <c r="K457" s="92" t="s">
        <v>637</v>
      </c>
      <c r="L457" s="398">
        <v>75750</v>
      </c>
      <c r="M457" s="403">
        <f t="shared" si="29"/>
        <v>9.4687499999999997E-3</v>
      </c>
      <c r="N457" s="92" t="str">
        <f>VLOOKUP(B457,[3]Sheet!$B$2:$C$139,2,FALSE)</f>
        <v xml:space="preserve">The Rosen Law Firm, P.A. </v>
      </c>
      <c r="O457" s="92"/>
      <c r="P457" s="167"/>
      <c r="Q457" s="392" t="str">
        <f t="shared" si="27"/>
        <v>04/02/2018</v>
      </c>
      <c r="R457" s="392">
        <f t="shared" si="28"/>
        <v>43191</v>
      </c>
      <c r="S457" s="392" t="str">
        <f>_xlfn.IFNA(VLOOKUP(B457,'[1]VLOOKUP NO DUPS'!$A$1:$C$456,2,FALSE),"")</f>
        <v>04/05/2018</v>
      </c>
      <c r="T457" s="168" t="str">
        <f>_xlfn.IFNA(VLOOKUP(B457,'[1]VLOOKUP NO DUPS'!$A$1:$C$456,3,FALSE),"")</f>
        <v>Bronstein, Gewirtz &amp; Grossman, LLC; Lite Depalma Greenberg, LLC; Pomerantz LLP; The Rosen Law Firm, P.A.</v>
      </c>
      <c r="U457" s="167"/>
      <c r="V457" s="167"/>
      <c r="W457" s="167"/>
    </row>
    <row r="458" spans="1:23" s="86" customFormat="1" ht="30" x14ac:dyDescent="0.25">
      <c r="A458" s="164" t="str">
        <f t="shared" si="30"/>
        <v/>
      </c>
      <c r="B458" s="23" t="s">
        <v>8905</v>
      </c>
      <c r="C458" s="23" t="s">
        <v>8589</v>
      </c>
      <c r="D458" s="166" t="s">
        <v>8931</v>
      </c>
      <c r="E458" s="166" t="s">
        <v>418</v>
      </c>
      <c r="F458" s="167">
        <v>2</v>
      </c>
      <c r="G458" s="167" t="s">
        <v>8431</v>
      </c>
      <c r="H458" s="89">
        <v>25000000000</v>
      </c>
      <c r="I458" s="89" t="str">
        <f>IF($H458&lt;='Abbrev Key'!$A$2,'Abbrev Key'!$B$2,IF($H458&lt;='Abbrev Key'!$A$3,'Abbrev Key'!$B$3,IF($H458&lt;='Abbrev Key'!$A$4,'Abbrev Key'!$B$4,IF($H458&lt;='Abbrev Key'!$A$5,'Abbrev Key'!$B$5,IF($H458&lt;='Abbrev Key'!$A$6,'Abbrev Key'!$B$6,IF($H458&gt;='Abbrev Key'!$A$7,'Abbrev Key'!$B$7,IF($H458='Abbrev Key'!$A$8,'Abbrev Key'!$B$8,"")))))))</f>
        <v>F</v>
      </c>
      <c r="J458" s="17" t="s">
        <v>3402</v>
      </c>
      <c r="K458" s="23" t="s">
        <v>633</v>
      </c>
      <c r="L458" s="398">
        <v>695854.38</v>
      </c>
      <c r="M458" s="403">
        <f t="shared" si="29"/>
        <v>2.78341752E-5</v>
      </c>
      <c r="N458" s="92" t="str">
        <f>VLOOKUP(B458,[3]Sheet!$B$2:$C$139,2,FALSE)</f>
        <v xml:space="preserve">Robbins, Geller, Rudman &amp; Dowd, LLP </v>
      </c>
      <c r="O458" s="92"/>
      <c r="P458" s="167"/>
      <c r="Q458" s="392" t="str">
        <f t="shared" si="27"/>
        <v>07/17/2017</v>
      </c>
      <c r="R458" s="392">
        <f t="shared" si="28"/>
        <v>42932</v>
      </c>
      <c r="S458" s="392" t="str">
        <f>_xlfn.IFNA(VLOOKUP(B458,'[1]VLOOKUP NO DUPS'!$A$1:$C$456,2,FALSE),"")</f>
        <v>04/05/2018</v>
      </c>
      <c r="T458" s="168" t="str">
        <f>_xlfn.IFNA(VLOOKUP(B458,'[1]VLOOKUP NO DUPS'!$A$1:$C$456,3,FALSE),"")</f>
        <v>Labaton Sucharow LLP</v>
      </c>
      <c r="U458" s="167"/>
      <c r="V458" s="167"/>
      <c r="W458" s="167"/>
    </row>
    <row r="459" spans="1:23" s="86" customFormat="1" ht="30" x14ac:dyDescent="0.25">
      <c r="A459" s="165" t="str">
        <f t="shared" si="30"/>
        <v/>
      </c>
      <c r="B459" s="23" t="s">
        <v>8650</v>
      </c>
      <c r="C459" s="23" t="s">
        <v>8651</v>
      </c>
      <c r="D459" s="166" t="s">
        <v>8652</v>
      </c>
      <c r="E459" s="166" t="s">
        <v>446</v>
      </c>
      <c r="F459" s="167">
        <v>9</v>
      </c>
      <c r="G459" s="167" t="s">
        <v>8653</v>
      </c>
      <c r="H459" s="89">
        <v>620000000</v>
      </c>
      <c r="I459" s="89" t="str">
        <f>IF($H459&lt;='Abbrev Key'!$A$2,'Abbrev Key'!$B$2,IF($H459&lt;='Abbrev Key'!$A$3,'Abbrev Key'!$B$3,IF($H459&lt;='Abbrev Key'!$A$4,'Abbrev Key'!$B$4,IF($H459&lt;='Abbrev Key'!$A$5,'Abbrev Key'!$B$5,IF($H459&lt;='Abbrev Key'!$A$6,'Abbrev Key'!$B$6,IF($H459&gt;='Abbrev Key'!$A$7,'Abbrev Key'!$B$7,IF($H459='Abbrev Key'!$A$8,'Abbrev Key'!$B$8,"")))))))</f>
        <v>F</v>
      </c>
      <c r="J459" s="17" t="s">
        <v>1782</v>
      </c>
      <c r="K459" s="92" t="s">
        <v>633</v>
      </c>
      <c r="L459" s="398">
        <v>1415364.75</v>
      </c>
      <c r="M459" s="403">
        <f t="shared" si="29"/>
        <v>2.282846370967742E-3</v>
      </c>
      <c r="N459" s="92" t="str">
        <f>VLOOKUP(B459,[3]Sheet!$B$2:$C$139,2,FALSE)</f>
        <v xml:space="preserve">Robbins, Geller, Rudman &amp; Dowd, LLP </v>
      </c>
      <c r="O459" s="92"/>
      <c r="P459" s="167"/>
      <c r="Q459" s="392" t="str">
        <f t="shared" si="27"/>
        <v>03/01/2018</v>
      </c>
      <c r="R459" s="392">
        <f t="shared" si="28"/>
        <v>43159</v>
      </c>
      <c r="S459" s="392" t="str">
        <f>_xlfn.IFNA(VLOOKUP(B459,'[1]VLOOKUP NO DUPS'!$A$1:$C$456,2,FALSE),"")</f>
        <v>04/06/2018</v>
      </c>
      <c r="T459" s="168" t="str">
        <f>_xlfn.IFNA(VLOOKUP(B459,'[1]VLOOKUP NO DUPS'!$A$1:$C$456,3,FALSE),"")</f>
        <v>Glancy Prongay &amp; Murray, LLP; Pomerantz LLP; Scott &amp; Scott,  LLP; The Rosen Law Firm, P.A.</v>
      </c>
      <c r="U459" s="167"/>
      <c r="V459" s="167"/>
      <c r="W459" s="167"/>
    </row>
    <row r="460" spans="1:23" s="86" customFormat="1" ht="30" x14ac:dyDescent="0.25">
      <c r="A460" s="165" t="str">
        <f t="shared" si="30"/>
        <v/>
      </c>
      <c r="B460" s="23" t="s">
        <v>8858</v>
      </c>
      <c r="C460" s="23" t="s">
        <v>8540</v>
      </c>
      <c r="D460" s="166" t="s">
        <v>8700</v>
      </c>
      <c r="E460" s="166" t="s">
        <v>446</v>
      </c>
      <c r="F460" s="167">
        <v>9</v>
      </c>
      <c r="G460" s="167" t="s">
        <v>8357</v>
      </c>
      <c r="H460" s="89">
        <v>200000000</v>
      </c>
      <c r="I460" s="89" t="str">
        <f>IF($H460&lt;='Abbrev Key'!$A$2,'Abbrev Key'!$B$2,IF($H460&lt;='Abbrev Key'!$A$3,'Abbrev Key'!$B$3,IF($H460&lt;='Abbrev Key'!$A$4,'Abbrev Key'!$B$4,IF($H460&lt;='Abbrev Key'!$A$5,'Abbrev Key'!$B$5,IF($H460&lt;='Abbrev Key'!$A$6,'Abbrev Key'!$B$6,IF($H460&gt;='Abbrev Key'!$A$7,'Abbrev Key'!$B$7,IF($H460='Abbrev Key'!$A$8,'Abbrev Key'!$B$8,"")))))))</f>
        <v>D</v>
      </c>
      <c r="J460" s="92" t="s">
        <v>11950</v>
      </c>
      <c r="K460" s="92" t="s">
        <v>646</v>
      </c>
      <c r="L460" s="398">
        <f>50.86+76.48</f>
        <v>127.34</v>
      </c>
      <c r="M460" s="403">
        <f t="shared" si="29"/>
        <v>6.3669999999999998E-7</v>
      </c>
      <c r="N460" s="92" t="s">
        <v>8999</v>
      </c>
      <c r="O460" s="92" t="s">
        <v>11197</v>
      </c>
      <c r="P460" s="167"/>
      <c r="Q460" s="392" t="str">
        <f t="shared" si="27"/>
        <v>03/30/2018</v>
      </c>
      <c r="R460" s="392">
        <f t="shared" si="28"/>
        <v>43188</v>
      </c>
      <c r="S460" s="392" t="str">
        <f>_xlfn.IFNA(VLOOKUP(B460,'[1]VLOOKUP NO DUPS'!$A$1:$C$456,2,FALSE),"")</f>
        <v>04/18/2018</v>
      </c>
      <c r="T460" s="168" t="str">
        <f>_xlfn.IFNA(VLOOKUP(B460,'[1]VLOOKUP NO DUPS'!$A$1:$C$456,3,FALSE),"")</f>
        <v>Glancy Prongay &amp; Murray, LLP; Holzer &amp; Holzer, LLC</v>
      </c>
      <c r="U460" s="167"/>
      <c r="V460" s="167"/>
      <c r="W460" s="167"/>
    </row>
    <row r="461" spans="1:23" s="86" customFormat="1" ht="30" x14ac:dyDescent="0.25">
      <c r="A461" s="165" t="str">
        <f t="shared" si="30"/>
        <v/>
      </c>
      <c r="B461" s="23" t="s">
        <v>9019</v>
      </c>
      <c r="C461" s="23" t="s">
        <v>8716</v>
      </c>
      <c r="D461" s="166" t="s">
        <v>8717</v>
      </c>
      <c r="E461" s="166" t="s">
        <v>536</v>
      </c>
      <c r="F461" s="169">
        <v>10</v>
      </c>
      <c r="G461" s="167" t="s">
        <v>8375</v>
      </c>
      <c r="H461" s="89">
        <v>160000000</v>
      </c>
      <c r="I461" s="89" t="str">
        <f>IF($H461&lt;='Abbrev Key'!$A$2,'Abbrev Key'!$B$2,IF($H461&lt;='Abbrev Key'!$A$3,'Abbrev Key'!$B$3,IF($H461&lt;='Abbrev Key'!$A$4,'Abbrev Key'!$B$4,IF($H461&lt;='Abbrev Key'!$A$5,'Abbrev Key'!$B$5,IF($H461&lt;='Abbrev Key'!$A$6,'Abbrev Key'!$B$6,IF($H461&gt;='Abbrev Key'!$A$7,'Abbrev Key'!$B$7,IF($H461='Abbrev Key'!$A$8,'Abbrev Key'!$B$8,"")))))))</f>
        <v>D</v>
      </c>
      <c r="J461" s="17" t="s">
        <v>11874</v>
      </c>
      <c r="K461" s="92" t="s">
        <v>646</v>
      </c>
      <c r="L461" s="354">
        <v>17457.89</v>
      </c>
      <c r="M461" s="405">
        <f t="shared" si="29"/>
        <v>1.091118125E-4</v>
      </c>
      <c r="N461" s="23" t="s">
        <v>9768</v>
      </c>
      <c r="O461" s="23"/>
      <c r="P461" s="167" t="s">
        <v>4287</v>
      </c>
      <c r="Q461" s="392" t="str">
        <f t="shared" si="27"/>
        <v>03/12/2018</v>
      </c>
      <c r="R461" s="392">
        <f t="shared" si="28"/>
        <v>43170</v>
      </c>
      <c r="S461" s="392" t="str">
        <f>_xlfn.IFNA(VLOOKUP(B461,'[1]VLOOKUP NO DUPS'!$A$1:$C$456,2,FALSE),"")</f>
        <v>04/20/2018</v>
      </c>
      <c r="T461" s="168" t="str">
        <f>_xlfn.IFNA(VLOOKUP(B461,'[1]VLOOKUP NO DUPS'!$A$1:$C$456,3,FALSE),"")</f>
        <v>Peters Scofield; Pomerantz LLP</v>
      </c>
      <c r="U461" s="167"/>
      <c r="V461" s="167"/>
      <c r="W461" s="167"/>
    </row>
    <row r="462" spans="1:23" s="86" customFormat="1" ht="30" x14ac:dyDescent="0.25">
      <c r="A462" s="165" t="str">
        <f t="shared" si="30"/>
        <v/>
      </c>
      <c r="B462" s="23" t="s">
        <v>8828</v>
      </c>
      <c r="C462" s="23" t="s">
        <v>8514</v>
      </c>
      <c r="D462" s="166" t="s">
        <v>8659</v>
      </c>
      <c r="E462" s="166" t="s">
        <v>424</v>
      </c>
      <c r="F462" s="167">
        <v>3</v>
      </c>
      <c r="G462" s="167" t="s">
        <v>8311</v>
      </c>
      <c r="H462" s="89">
        <v>50000000</v>
      </c>
      <c r="I462" s="89" t="str">
        <f>IF($H462&lt;='Abbrev Key'!$A$2,'Abbrev Key'!$B$2,IF($H462&lt;='Abbrev Key'!$A$3,'Abbrev Key'!$B$3,IF($H462&lt;='Abbrev Key'!$A$4,'Abbrev Key'!$B$4,IF($H462&lt;='Abbrev Key'!$A$5,'Abbrev Key'!$B$5,IF($H462&lt;='Abbrev Key'!$A$6,'Abbrev Key'!$B$6,IF($H462&gt;='Abbrev Key'!$A$7,'Abbrev Key'!$B$7,IF($H462='Abbrev Key'!$A$8,'Abbrev Key'!$B$8,"")))))))</f>
        <v>B</v>
      </c>
      <c r="J462" s="17" t="s">
        <v>11818</v>
      </c>
      <c r="K462" s="92" t="s">
        <v>646</v>
      </c>
      <c r="L462" s="398">
        <v>177957.1</v>
      </c>
      <c r="M462" s="403">
        <f t="shared" si="29"/>
        <v>3.5591419999999999E-3</v>
      </c>
      <c r="N462" s="17" t="s">
        <v>687</v>
      </c>
      <c r="O462" s="92"/>
      <c r="P462" s="167" t="s">
        <v>4287</v>
      </c>
      <c r="Q462" s="392" t="str">
        <f t="shared" si="27"/>
        <v>03/27/2018</v>
      </c>
      <c r="R462" s="392">
        <f t="shared" si="28"/>
        <v>43185</v>
      </c>
      <c r="S462" s="392" t="str">
        <f>_xlfn.IFNA(VLOOKUP(B462,'[1]VLOOKUP NO DUPS'!$A$1:$C$456,2,FALSE),"")</f>
        <v>04/23/2018</v>
      </c>
      <c r="T462" s="168" t="str">
        <f>_xlfn.IFNA(VLOOKUP(B462,'[1]VLOOKUP NO DUPS'!$A$1:$C$456,3,FALSE),"")</f>
        <v>Carella, Byrne, Cecchi, Olstein, Brody &amp; Agnello P.C.; Glancy Prongay &amp; Murray, LLP</v>
      </c>
      <c r="U462" s="167"/>
      <c r="V462" s="167"/>
      <c r="W462" s="167"/>
    </row>
    <row r="463" spans="1:23" s="86" customFormat="1" x14ac:dyDescent="0.25">
      <c r="A463" s="165" t="str">
        <f t="shared" si="30"/>
        <v/>
      </c>
      <c r="B463" s="23" t="s">
        <v>8862</v>
      </c>
      <c r="C463" s="23" t="s">
        <v>8542</v>
      </c>
      <c r="D463" s="166" t="s">
        <v>8706</v>
      </c>
      <c r="E463" s="166" t="s">
        <v>418</v>
      </c>
      <c r="F463" s="167">
        <v>2</v>
      </c>
      <c r="G463" s="167" t="s">
        <v>8362</v>
      </c>
      <c r="H463" s="89">
        <v>1600000000</v>
      </c>
      <c r="I463" s="89" t="str">
        <f>IF($H463&lt;='Abbrev Key'!$A$2,'Abbrev Key'!$B$2,IF($H463&lt;='Abbrev Key'!$A$3,'Abbrev Key'!$B$3,IF($H463&lt;='Abbrev Key'!$A$4,'Abbrev Key'!$B$4,IF($H463&lt;='Abbrev Key'!$A$5,'Abbrev Key'!$B$5,IF($H463&lt;='Abbrev Key'!$A$6,'Abbrev Key'!$B$6,IF($H463&gt;='Abbrev Key'!$A$7,'Abbrev Key'!$B$7,IF($H463='Abbrev Key'!$A$8,'Abbrev Key'!$B$8,"")))))))</f>
        <v>F</v>
      </c>
      <c r="J463" s="92" t="s">
        <v>4332</v>
      </c>
      <c r="K463" s="92" t="s">
        <v>4332</v>
      </c>
      <c r="L463" s="92" t="s">
        <v>4332</v>
      </c>
      <c r="M463" s="92" t="s">
        <v>4332</v>
      </c>
      <c r="N463" s="92" t="s">
        <v>4332</v>
      </c>
      <c r="O463" s="92"/>
      <c r="P463" s="167" t="s">
        <v>4287</v>
      </c>
      <c r="Q463" s="392" t="str">
        <f t="shared" si="27"/>
        <v>02/21/2018</v>
      </c>
      <c r="R463" s="392">
        <f t="shared" si="28"/>
        <v>43151</v>
      </c>
      <c r="S463" s="392" t="str">
        <f>_xlfn.IFNA(VLOOKUP(B463,'[1]VLOOKUP NO DUPS'!$A$1:$C$456,2,FALSE),"")</f>
        <v>04/23/2018</v>
      </c>
      <c r="T463" s="168" t="str">
        <f>_xlfn.IFNA(VLOOKUP(B463,'[1]VLOOKUP NO DUPS'!$A$1:$C$456,3,FALSE),"")</f>
        <v>Bernstein Litowitz Berger &amp; Grossmann LLP</v>
      </c>
      <c r="U463" s="167"/>
      <c r="V463" s="167"/>
      <c r="W463" s="167"/>
    </row>
    <row r="464" spans="1:23" s="86" customFormat="1" x14ac:dyDescent="0.25">
      <c r="A464" s="165" t="str">
        <f t="shared" si="30"/>
        <v/>
      </c>
      <c r="B464" s="23" t="s">
        <v>8784</v>
      </c>
      <c r="C464" s="23" t="s">
        <v>8462</v>
      </c>
      <c r="D464" s="166" t="s">
        <v>8619</v>
      </c>
      <c r="E464" s="166" t="s">
        <v>1008</v>
      </c>
      <c r="F464" s="167">
        <v>2</v>
      </c>
      <c r="G464" s="167" t="s">
        <v>8252</v>
      </c>
      <c r="H464" s="89">
        <v>80000000</v>
      </c>
      <c r="I464" s="89" t="str">
        <f>IF($H464&lt;='Abbrev Key'!$A$2,'Abbrev Key'!$B$2,IF($H464&lt;='Abbrev Key'!$A$3,'Abbrev Key'!$B$3,IF($H464&lt;='Abbrev Key'!$A$4,'Abbrev Key'!$B$4,IF($H464&lt;='Abbrev Key'!$A$5,'Abbrev Key'!$B$5,IF($H464&lt;='Abbrev Key'!$A$6,'Abbrev Key'!$B$6,IF($H464&gt;='Abbrev Key'!$A$7,'Abbrev Key'!$B$7,IF($H464='Abbrev Key'!$A$8,'Abbrev Key'!$B$8,"")))))))</f>
        <v>C</v>
      </c>
      <c r="J464" s="17" t="s">
        <v>9365</v>
      </c>
      <c r="K464" s="17" t="s">
        <v>637</v>
      </c>
      <c r="L464" s="399">
        <v>246200</v>
      </c>
      <c r="M464" s="404">
        <f t="shared" ref="M464:M478" si="31">IFERROR((L464/H464),"DC")</f>
        <v>3.0774999999999999E-3</v>
      </c>
      <c r="N464" s="17" t="s">
        <v>682</v>
      </c>
      <c r="O464" s="17"/>
      <c r="P464" s="167"/>
      <c r="Q464" s="392" t="str">
        <f t="shared" si="27"/>
        <v>04/18/2018</v>
      </c>
      <c r="R464" s="392">
        <f t="shared" si="28"/>
        <v>43207</v>
      </c>
      <c r="S464" s="392" t="str">
        <f>_xlfn.IFNA(VLOOKUP(B464,'[1]VLOOKUP NO DUPS'!$A$1:$C$456,2,FALSE),"")</f>
        <v>04/24/2018</v>
      </c>
      <c r="T464" s="168" t="str">
        <f>_xlfn.IFNA(VLOOKUP(B464,'[1]VLOOKUP NO DUPS'!$A$1:$C$456,3,FALSE),"")</f>
        <v>Levi &amp; Korsinsky, LLP</v>
      </c>
      <c r="U464" s="167"/>
      <c r="V464" s="167"/>
      <c r="W464" s="167"/>
    </row>
    <row r="465" spans="1:23" s="86" customFormat="1" x14ac:dyDescent="0.25">
      <c r="A465" s="165" t="str">
        <f t="shared" si="30"/>
        <v/>
      </c>
      <c r="B465" s="23" t="s">
        <v>8797</v>
      </c>
      <c r="C465" s="23" t="s">
        <v>8474</v>
      </c>
      <c r="D465" s="166" t="s">
        <v>8632</v>
      </c>
      <c r="E465" s="166" t="s">
        <v>3449</v>
      </c>
      <c r="F465" s="167">
        <v>9</v>
      </c>
      <c r="G465" s="167" t="s">
        <v>8264</v>
      </c>
      <c r="H465" s="89">
        <v>75000000</v>
      </c>
      <c r="I465" s="89" t="str">
        <f>IF($H465&lt;='Abbrev Key'!$A$2,'Abbrev Key'!$B$2,IF($H465&lt;='Abbrev Key'!$A$3,'Abbrev Key'!$B$3,IF($H465&lt;='Abbrev Key'!$A$4,'Abbrev Key'!$B$4,IF($H465&lt;='Abbrev Key'!$A$5,'Abbrev Key'!$B$5,IF($H465&lt;='Abbrev Key'!$A$6,'Abbrev Key'!$B$6,IF($H465&gt;='Abbrev Key'!$A$7,'Abbrev Key'!$B$7,IF($H465='Abbrev Key'!$A$8,'Abbrev Key'!$B$8,"")))))))</f>
        <v>C</v>
      </c>
      <c r="J465" s="17" t="s">
        <v>9357</v>
      </c>
      <c r="K465" s="92" t="s">
        <v>637</v>
      </c>
      <c r="L465" s="398">
        <v>25980.75</v>
      </c>
      <c r="M465" s="403">
        <f t="shared" si="31"/>
        <v>3.4641000000000001E-4</v>
      </c>
      <c r="N465" s="92" t="str">
        <f>VLOOKUP(B465,[3]Sheet!$B$2:$C$139,2,FALSE)</f>
        <v xml:space="preserve">The Rosen Law Firm, P.A. </v>
      </c>
      <c r="O465" s="92"/>
      <c r="P465" s="167"/>
      <c r="Q465" s="392" t="str">
        <f t="shared" si="27"/>
        <v>04/13/2018</v>
      </c>
      <c r="R465" s="392">
        <f t="shared" si="28"/>
        <v>43202</v>
      </c>
      <c r="S465" s="392" t="str">
        <f>_xlfn.IFNA(VLOOKUP(B465,'[1]VLOOKUP NO DUPS'!$A$1:$C$456,2,FALSE),"")</f>
        <v>04/24/2018</v>
      </c>
      <c r="T465" s="168" t="str">
        <f>_xlfn.IFNA(VLOOKUP(B465,'[1]VLOOKUP NO DUPS'!$A$1:$C$456,3,FALSE),"")</f>
        <v>The Rosen Law Firm, P.A.</v>
      </c>
      <c r="U465" s="167"/>
      <c r="V465" s="167"/>
      <c r="W465" s="167"/>
    </row>
    <row r="466" spans="1:23" s="86" customFormat="1" x14ac:dyDescent="0.25">
      <c r="A466" s="165" t="str">
        <f t="shared" si="30"/>
        <v/>
      </c>
      <c r="B466" s="23" t="s">
        <v>8842</v>
      </c>
      <c r="C466" s="23" t="s">
        <v>8525</v>
      </c>
      <c r="D466" s="166" t="s">
        <v>8681</v>
      </c>
      <c r="E466" s="166" t="s">
        <v>418</v>
      </c>
      <c r="F466" s="167">
        <v>2</v>
      </c>
      <c r="G466" s="167" t="s">
        <v>8333</v>
      </c>
      <c r="H466" s="89">
        <v>15000000</v>
      </c>
      <c r="I466" s="89" t="str">
        <f>IF($H466&lt;='Abbrev Key'!$A$2,'Abbrev Key'!$B$2,IF($H466&lt;='Abbrev Key'!$A$3,'Abbrev Key'!$B$3,IF($H466&lt;='Abbrev Key'!$A$4,'Abbrev Key'!$B$4,IF($H466&lt;='Abbrev Key'!$A$5,'Abbrev Key'!$B$5,IF($H466&lt;='Abbrev Key'!$A$6,'Abbrev Key'!$B$6,IF($H466&gt;='Abbrev Key'!$A$7,'Abbrev Key'!$B$7,IF($H466='Abbrev Key'!$A$8,'Abbrev Key'!$B$8,"")))))))</f>
        <v>A</v>
      </c>
      <c r="J466" s="17" t="s">
        <v>9372</v>
      </c>
      <c r="K466" s="23" t="s">
        <v>637</v>
      </c>
      <c r="L466" s="398">
        <v>1012170.91</v>
      </c>
      <c r="M466" s="403">
        <f t="shared" si="31"/>
        <v>6.7478060666666673E-2</v>
      </c>
      <c r="N466" s="92" t="str">
        <f>VLOOKUP(B466,[3]Sheet!$B$2:$C$139,2,FALSE)</f>
        <v xml:space="preserve">Bragar Eagel &amp; Squire, PC </v>
      </c>
      <c r="O466" s="92"/>
      <c r="P466" s="167"/>
      <c r="Q466" s="392" t="str">
        <f t="shared" si="27"/>
        <v>04/20/2018</v>
      </c>
      <c r="R466" s="392">
        <f t="shared" si="28"/>
        <v>43209</v>
      </c>
      <c r="S466" s="392" t="str">
        <f>_xlfn.IFNA(VLOOKUP(B466,'[1]VLOOKUP NO DUPS'!$A$1:$C$456,2,FALSE),"")</f>
        <v>04/25/2018</v>
      </c>
      <c r="T466" s="168" t="str">
        <f>_xlfn.IFNA(VLOOKUP(B466,'[1]VLOOKUP NO DUPS'!$A$1:$C$456,3,FALSE),"")</f>
        <v>Gainey McKenna &amp; Egleston; Pomerantz LLP</v>
      </c>
      <c r="U466" s="167"/>
      <c r="V466" s="167"/>
      <c r="W466" s="167"/>
    </row>
    <row r="467" spans="1:23" s="86" customFormat="1" ht="30" x14ac:dyDescent="0.25">
      <c r="A467" s="164" t="str">
        <f t="shared" si="30"/>
        <v/>
      </c>
      <c r="B467" s="23" t="s">
        <v>8871</v>
      </c>
      <c r="C467" s="23" t="s">
        <v>8552</v>
      </c>
      <c r="D467" s="166" t="s">
        <v>8714</v>
      </c>
      <c r="E467" s="166" t="s">
        <v>446</v>
      </c>
      <c r="F467" s="167">
        <v>9</v>
      </c>
      <c r="G467" s="167" t="s">
        <v>8373</v>
      </c>
      <c r="H467" s="89">
        <v>55000000</v>
      </c>
      <c r="I467" s="89" t="str">
        <f>IF($H467&lt;='Abbrev Key'!$A$2,'Abbrev Key'!$B$2,IF($H467&lt;='Abbrev Key'!$A$3,'Abbrev Key'!$B$3,IF($H467&lt;='Abbrev Key'!$A$4,'Abbrev Key'!$B$4,IF($H467&lt;='Abbrev Key'!$A$5,'Abbrev Key'!$B$5,IF($H467&lt;='Abbrev Key'!$A$6,'Abbrev Key'!$B$6,IF($H467&gt;='Abbrev Key'!$A$7,'Abbrev Key'!$B$7,IF($H467='Abbrev Key'!$A$8,'Abbrev Key'!$B$8,"")))))))</f>
        <v>C</v>
      </c>
      <c r="J467" s="17" t="s">
        <v>9344</v>
      </c>
      <c r="K467" s="23" t="s">
        <v>633</v>
      </c>
      <c r="L467" s="398">
        <v>105857.13</v>
      </c>
      <c r="M467" s="403">
        <f t="shared" si="31"/>
        <v>1.9246750909090911E-3</v>
      </c>
      <c r="N467" s="23" t="s">
        <v>1600</v>
      </c>
      <c r="O467" s="23"/>
      <c r="P467" s="167"/>
      <c r="Q467" s="392" t="str">
        <f t="shared" si="27"/>
        <v>08/02/2017</v>
      </c>
      <c r="R467" s="392">
        <f t="shared" si="28"/>
        <v>42948</v>
      </c>
      <c r="S467" s="392" t="str">
        <f>_xlfn.IFNA(VLOOKUP(B467,'[1]VLOOKUP NO DUPS'!$A$1:$C$456,2,FALSE),"")</f>
        <v>04/27/2018</v>
      </c>
      <c r="T467" s="168" t="str">
        <f>_xlfn.IFNA(VLOOKUP(B467,'[1]VLOOKUP NO DUPS'!$A$1:$C$456,3,FALSE),"")</f>
        <v>Glancy Prongay &amp; Murray, LLP; Labaton Sucharow LLP</v>
      </c>
      <c r="U467" s="167"/>
      <c r="V467" s="167"/>
      <c r="W467" s="167"/>
    </row>
    <row r="468" spans="1:23" s="86" customFormat="1" x14ac:dyDescent="0.25">
      <c r="A468" s="165" t="str">
        <f t="shared" si="30"/>
        <v/>
      </c>
      <c r="B468" s="23" t="s">
        <v>8893</v>
      </c>
      <c r="C468" s="23" t="s">
        <v>8572</v>
      </c>
      <c r="D468" s="166" t="s">
        <v>8753</v>
      </c>
      <c r="E468" s="166" t="s">
        <v>457</v>
      </c>
      <c r="F468" s="167">
        <v>9</v>
      </c>
      <c r="G468" s="167" t="s">
        <v>8406</v>
      </c>
      <c r="H468" s="89">
        <v>20000000</v>
      </c>
      <c r="I468" s="89" t="str">
        <f>IF($H468&lt;='Abbrev Key'!$A$2,'Abbrev Key'!$B$2,IF($H468&lt;='Abbrev Key'!$A$3,'Abbrev Key'!$B$3,IF($H468&lt;='Abbrev Key'!$A$4,'Abbrev Key'!$B$4,IF($H468&lt;='Abbrev Key'!$A$5,'Abbrev Key'!$B$5,IF($H468&lt;='Abbrev Key'!$A$6,'Abbrev Key'!$B$6,IF($H468&gt;='Abbrev Key'!$A$7,'Abbrev Key'!$B$7,IF($H468='Abbrev Key'!$A$8,'Abbrev Key'!$B$8,"")))))))</f>
        <v>A</v>
      </c>
      <c r="J468" s="17" t="s">
        <v>9345</v>
      </c>
      <c r="K468" s="92" t="s">
        <v>637</v>
      </c>
      <c r="L468" s="398">
        <v>4331.45</v>
      </c>
      <c r="M468" s="403">
        <f t="shared" si="31"/>
        <v>2.1657249999999998E-4</v>
      </c>
      <c r="N468" s="92" t="str">
        <f>VLOOKUP(B468,[3]Sheet!$B$2:$C$139,2,FALSE)</f>
        <v xml:space="preserve">The Rosen Law Firm, P.A. </v>
      </c>
      <c r="O468" s="92"/>
      <c r="P468" s="167"/>
      <c r="Q468" s="392" t="str">
        <f t="shared" si="27"/>
        <v>04/10/2018</v>
      </c>
      <c r="R468" s="392">
        <f t="shared" si="28"/>
        <v>43199</v>
      </c>
      <c r="S468" s="392" t="str">
        <f>_xlfn.IFNA(VLOOKUP(B468,'[1]VLOOKUP NO DUPS'!$A$1:$C$456,2,FALSE),"")</f>
        <v>04/27/2018</v>
      </c>
      <c r="T468" s="168" t="str">
        <f>_xlfn.IFNA(VLOOKUP(B468,'[1]VLOOKUP NO DUPS'!$A$1:$C$456,3,FALSE),"")</f>
        <v>The Rosen Law Firm, P.A.</v>
      </c>
      <c r="U468" s="167"/>
      <c r="V468" s="167"/>
      <c r="W468" s="167"/>
    </row>
    <row r="469" spans="1:23" s="86" customFormat="1" ht="30" x14ac:dyDescent="0.25">
      <c r="A469" s="165" t="str">
        <f t="shared" si="30"/>
        <v>DUP</v>
      </c>
      <c r="B469" s="23" t="s">
        <v>74</v>
      </c>
      <c r="C469" s="23" t="s">
        <v>10605</v>
      </c>
      <c r="D469" s="166" t="s">
        <v>8698</v>
      </c>
      <c r="E469" s="166" t="s">
        <v>457</v>
      </c>
      <c r="F469" s="167">
        <v>9</v>
      </c>
      <c r="G469" s="167" t="s">
        <v>8355</v>
      </c>
      <c r="H469" s="89">
        <v>150000000</v>
      </c>
      <c r="I469" s="89" t="str">
        <f>IF($H469&lt;='Abbrev Key'!$A$2,'Abbrev Key'!$B$2,IF($H469&lt;='Abbrev Key'!$A$3,'Abbrev Key'!$B$3,IF($H469&lt;='Abbrev Key'!$A$4,'Abbrev Key'!$B$4,IF($H469&lt;='Abbrev Key'!$A$5,'Abbrev Key'!$B$5,IF($H469&lt;='Abbrev Key'!$A$6,'Abbrev Key'!$B$6,IF($H469&gt;='Abbrev Key'!$A$7,'Abbrev Key'!$B$7,IF($H469='Abbrev Key'!$A$8,'Abbrev Key'!$B$8,"")))))))</f>
        <v>D</v>
      </c>
      <c r="J469" s="17" t="s">
        <v>11862</v>
      </c>
      <c r="K469" s="17" t="s">
        <v>646</v>
      </c>
      <c r="L469" s="399">
        <v>332572</v>
      </c>
      <c r="M469" s="404">
        <f t="shared" si="31"/>
        <v>2.2171466666666669E-3</v>
      </c>
      <c r="N469" s="17" t="s">
        <v>1204</v>
      </c>
      <c r="O469" s="17"/>
      <c r="P469" s="167" t="s">
        <v>4287</v>
      </c>
      <c r="Q469" s="392" t="str">
        <f t="shared" si="27"/>
        <v>04/25/2018</v>
      </c>
      <c r="R469" s="392">
        <f t="shared" si="28"/>
        <v>43214</v>
      </c>
      <c r="S469" s="392" t="s">
        <v>9078</v>
      </c>
      <c r="T469" s="168" t="s">
        <v>682</v>
      </c>
      <c r="U469" s="167"/>
      <c r="V469" s="167"/>
      <c r="W469" s="167"/>
    </row>
    <row r="470" spans="1:23" s="86" customFormat="1" ht="30" x14ac:dyDescent="0.25">
      <c r="A470" s="165" t="str">
        <f t="shared" si="30"/>
        <v>DUP</v>
      </c>
      <c r="B470" s="23" t="s">
        <v>1786</v>
      </c>
      <c r="C470" s="23" t="s">
        <v>10530</v>
      </c>
      <c r="D470" s="166" t="s">
        <v>8662</v>
      </c>
      <c r="E470" s="166" t="s">
        <v>8609</v>
      </c>
      <c r="F470" s="167">
        <v>6</v>
      </c>
      <c r="G470" s="167" t="s">
        <v>8314</v>
      </c>
      <c r="H470" s="89">
        <v>300000000</v>
      </c>
      <c r="I470" s="89" t="str">
        <f>IF($H470&lt;='Abbrev Key'!$A$2,'Abbrev Key'!$B$2,IF($H470&lt;='Abbrev Key'!$A$3,'Abbrev Key'!$B$3,IF($H470&lt;='Abbrev Key'!$A$4,'Abbrev Key'!$B$4,IF($H470&lt;='Abbrev Key'!$A$5,'Abbrev Key'!$B$5,IF($H470&lt;='Abbrev Key'!$A$6,'Abbrev Key'!$B$6,IF($H470&gt;='Abbrev Key'!$A$7,'Abbrev Key'!$B$7,IF($H470='Abbrev Key'!$A$8,'Abbrev Key'!$B$8,"")))))))</f>
        <v>E</v>
      </c>
      <c r="J470" s="17" t="s">
        <v>11827</v>
      </c>
      <c r="K470" s="92" t="s">
        <v>646</v>
      </c>
      <c r="L470" s="354">
        <v>631642</v>
      </c>
      <c r="M470" s="405">
        <f t="shared" si="31"/>
        <v>2.1054733333333332E-3</v>
      </c>
      <c r="N470" s="92" t="str">
        <f>VLOOKUP(B470,[3]Sheet!$B$2:$C$139,2,FALSE)</f>
        <v xml:space="preserve">Pomerantz LLP </v>
      </c>
      <c r="O470" s="92"/>
      <c r="P470" s="167" t="s">
        <v>4287</v>
      </c>
      <c r="Q470" s="392" t="str">
        <f t="shared" si="27"/>
        <v>05/01/2018</v>
      </c>
      <c r="R470" s="392">
        <f t="shared" si="28"/>
        <v>43220</v>
      </c>
      <c r="S470" s="392" t="s">
        <v>9076</v>
      </c>
      <c r="T470" s="168" t="s">
        <v>1598</v>
      </c>
      <c r="U470" s="167"/>
      <c r="V470" s="167"/>
      <c r="W470" s="167"/>
    </row>
    <row r="471" spans="1:23" s="86" customFormat="1" ht="30" x14ac:dyDescent="0.25">
      <c r="A471" s="165" t="str">
        <f t="shared" si="30"/>
        <v/>
      </c>
      <c r="B471" s="23" t="s">
        <v>8832</v>
      </c>
      <c r="C471" s="23" t="s">
        <v>8518</v>
      </c>
      <c r="D471" s="166" t="s">
        <v>8669</v>
      </c>
      <c r="E471" s="166" t="s">
        <v>457</v>
      </c>
      <c r="F471" s="167">
        <v>9</v>
      </c>
      <c r="G471" s="167" t="s">
        <v>8319</v>
      </c>
      <c r="H471" s="89">
        <v>950000000</v>
      </c>
      <c r="I471" s="89" t="str">
        <f>IF($H471&lt;='Abbrev Key'!$A$2,'Abbrev Key'!$B$2,IF($H471&lt;='Abbrev Key'!$A$3,'Abbrev Key'!$B$3,IF($H471&lt;='Abbrev Key'!$A$4,'Abbrev Key'!$B$4,IF($H471&lt;='Abbrev Key'!$A$5,'Abbrev Key'!$B$5,IF($H471&lt;='Abbrev Key'!$A$6,'Abbrev Key'!$B$6,IF($H471&gt;='Abbrev Key'!$A$7,'Abbrev Key'!$B$7,IF($H471='Abbrev Key'!$A$8,'Abbrev Key'!$B$8,"")))))))</f>
        <v>F</v>
      </c>
      <c r="J471" s="17" t="s">
        <v>9333</v>
      </c>
      <c r="K471" s="92" t="s">
        <v>633</v>
      </c>
      <c r="L471" s="398">
        <v>134713.29</v>
      </c>
      <c r="M471" s="403">
        <f t="shared" si="31"/>
        <v>1.4180346315789474E-4</v>
      </c>
      <c r="N471" s="23" t="s">
        <v>9762</v>
      </c>
      <c r="O471" s="23"/>
      <c r="P471" s="167" t="s">
        <v>4287</v>
      </c>
      <c r="Q471" s="392" t="str">
        <f t="shared" si="27"/>
        <v>04/26/2018</v>
      </c>
      <c r="R471" s="392">
        <f t="shared" si="28"/>
        <v>43215</v>
      </c>
      <c r="S471" s="392" t="str">
        <f>_xlfn.IFNA(VLOOKUP(B471,'[1]VLOOKUP NO DUPS'!$A$1:$C$456,2,FALSE),"")</f>
        <v>05/08/2018</v>
      </c>
      <c r="T471" s="168" t="str">
        <f>_xlfn.IFNA(VLOOKUP(B471,'[1]VLOOKUP NO DUPS'!$A$1:$C$456,3,FALSE),"")</f>
        <v>Glancy Prongay &amp; Murray, LLP; Law Offices of Howard G. Smith</v>
      </c>
      <c r="U471" s="167"/>
      <c r="V471" s="167"/>
      <c r="W471" s="167"/>
    </row>
    <row r="472" spans="1:23" s="86" customFormat="1" x14ac:dyDescent="0.25">
      <c r="A472" s="165" t="str">
        <f t="shared" si="30"/>
        <v/>
      </c>
      <c r="B472" s="23" t="s">
        <v>8848</v>
      </c>
      <c r="C472" s="23" t="s">
        <v>8530</v>
      </c>
      <c r="D472" s="166" t="s">
        <v>8688</v>
      </c>
      <c r="E472" s="166" t="s">
        <v>446</v>
      </c>
      <c r="F472" s="167">
        <v>9</v>
      </c>
      <c r="G472" s="167" t="s">
        <v>8341</v>
      </c>
      <c r="H472" s="89">
        <v>16000000</v>
      </c>
      <c r="I472" s="89" t="str">
        <f>IF($H472&lt;='Abbrev Key'!$A$2,'Abbrev Key'!$B$2,IF($H472&lt;='Abbrev Key'!$A$3,'Abbrev Key'!$B$3,IF($H472&lt;='Abbrev Key'!$A$4,'Abbrev Key'!$B$4,IF($H472&lt;='Abbrev Key'!$A$5,'Abbrev Key'!$B$5,IF($H472&lt;='Abbrev Key'!$A$6,'Abbrev Key'!$B$6,IF($H472&gt;='Abbrev Key'!$A$7,'Abbrev Key'!$B$7,IF($H472='Abbrev Key'!$A$8,'Abbrev Key'!$B$8,"")))))))</f>
        <v>A</v>
      </c>
      <c r="J472" s="17" t="s">
        <v>9334</v>
      </c>
      <c r="K472" s="92" t="s">
        <v>637</v>
      </c>
      <c r="L472" s="398">
        <v>1944</v>
      </c>
      <c r="M472" s="403">
        <f t="shared" si="31"/>
        <v>1.215E-4</v>
      </c>
      <c r="N472" s="92" t="str">
        <f>VLOOKUP(B472,[3]Sheet!$B$2:$C$139,2,FALSE)</f>
        <v xml:space="preserve">The Rosen Law Firm, P.A. </v>
      </c>
      <c r="O472" s="92"/>
      <c r="P472" s="167"/>
      <c r="Q472" s="392" t="str">
        <f t="shared" si="27"/>
        <v>05/07/2018</v>
      </c>
      <c r="R472" s="392">
        <f t="shared" si="28"/>
        <v>43226</v>
      </c>
      <c r="S472" s="392" t="str">
        <f>_xlfn.IFNA(VLOOKUP(B472,'[1]VLOOKUP NO DUPS'!$A$1:$C$456,2,FALSE),"")</f>
        <v>05/10/2018</v>
      </c>
      <c r="T472" s="168" t="str">
        <f>_xlfn.IFNA(VLOOKUP(B472,'[1]VLOOKUP NO DUPS'!$A$1:$C$456,3,FALSE),"")</f>
        <v>The Rosen Law Firm, P.A.</v>
      </c>
      <c r="U472" s="167"/>
      <c r="V472" s="167"/>
      <c r="W472" s="167"/>
    </row>
    <row r="473" spans="1:23" s="86" customFormat="1" ht="30" x14ac:dyDescent="0.25">
      <c r="A473" s="165" t="str">
        <f t="shared" si="30"/>
        <v/>
      </c>
      <c r="B473" s="23" t="s">
        <v>8856</v>
      </c>
      <c r="C473" s="23" t="s">
        <v>8538</v>
      </c>
      <c r="D473" s="166" t="s">
        <v>8696</v>
      </c>
      <c r="E473" s="166" t="s">
        <v>446</v>
      </c>
      <c r="F473" s="167">
        <v>9</v>
      </c>
      <c r="G473" s="167" t="s">
        <v>8353</v>
      </c>
      <c r="H473" s="89">
        <v>40000000</v>
      </c>
      <c r="I473" s="89" t="str">
        <f>IF($H473&lt;='Abbrev Key'!$A$2,'Abbrev Key'!$B$2,IF($H473&lt;='Abbrev Key'!$A$3,'Abbrev Key'!$B$3,IF($H473&lt;='Abbrev Key'!$A$4,'Abbrev Key'!$B$4,IF($H473&lt;='Abbrev Key'!$A$5,'Abbrev Key'!$B$5,IF($H473&lt;='Abbrev Key'!$A$6,'Abbrev Key'!$B$6,IF($H473&gt;='Abbrev Key'!$A$7,'Abbrev Key'!$B$7,IF($H473='Abbrev Key'!$A$8,'Abbrev Key'!$B$8,"")))))))</f>
        <v>B</v>
      </c>
      <c r="J473" s="92" t="s">
        <v>11946</v>
      </c>
      <c r="K473" s="92" t="s">
        <v>646</v>
      </c>
      <c r="L473" s="398">
        <f>225.36+215.46</f>
        <v>440.82000000000005</v>
      </c>
      <c r="M473" s="403">
        <f t="shared" si="31"/>
        <v>1.1020500000000001E-5</v>
      </c>
      <c r="N473" s="92" t="s">
        <v>8984</v>
      </c>
      <c r="O473" s="92" t="s">
        <v>11197</v>
      </c>
      <c r="P473" s="167"/>
      <c r="Q473" s="392" t="str">
        <f t="shared" si="27"/>
        <v>05/10/2018</v>
      </c>
      <c r="R473" s="392">
        <f t="shared" si="28"/>
        <v>43229</v>
      </c>
      <c r="S473" s="392" t="str">
        <f>_xlfn.IFNA(VLOOKUP(B473,'[1]VLOOKUP NO DUPS'!$A$1:$C$456,2,FALSE),"")</f>
        <v>05/11/2018</v>
      </c>
      <c r="T473" s="168" t="str">
        <f>_xlfn.IFNA(VLOOKUP(B473,'[1]VLOOKUP NO DUPS'!$A$1:$C$456,3,FALSE),"")</f>
        <v>The Rosen Law Firm, P.A.</v>
      </c>
      <c r="U473" s="167"/>
      <c r="V473" s="167"/>
      <c r="W473" s="167"/>
    </row>
    <row r="474" spans="1:23" s="86" customFormat="1" ht="30" x14ac:dyDescent="0.25">
      <c r="A474" s="165" t="str">
        <f t="shared" si="30"/>
        <v/>
      </c>
      <c r="B474" s="23" t="s">
        <v>8778</v>
      </c>
      <c r="C474" s="23" t="s">
        <v>8585</v>
      </c>
      <c r="D474" s="166" t="s">
        <v>8774</v>
      </c>
      <c r="E474" s="166" t="s">
        <v>457</v>
      </c>
      <c r="F474" s="167">
        <v>9</v>
      </c>
      <c r="G474" s="167" t="s">
        <v>8427</v>
      </c>
      <c r="H474" s="89">
        <v>3500000000</v>
      </c>
      <c r="I474" s="89" t="str">
        <f>IF($H474&lt;='Abbrev Key'!$A$2,'Abbrev Key'!$B$2,IF($H474&lt;='Abbrev Key'!$A$3,'Abbrev Key'!$B$3,IF($H474&lt;='Abbrev Key'!$A$4,'Abbrev Key'!$B$4,IF($H474&lt;='Abbrev Key'!$A$5,'Abbrev Key'!$B$5,IF($H474&lt;='Abbrev Key'!$A$6,'Abbrev Key'!$B$6,IF($H474&gt;='Abbrev Key'!$A$7,'Abbrev Key'!$B$7,IF($H474='Abbrev Key'!$A$8,'Abbrev Key'!$B$8,"")))))))</f>
        <v>F</v>
      </c>
      <c r="J474" s="17" t="s">
        <v>6831</v>
      </c>
      <c r="K474" s="23" t="s">
        <v>633</v>
      </c>
      <c r="L474" s="398">
        <v>6108444.5599999996</v>
      </c>
      <c r="M474" s="403">
        <f t="shared" si="31"/>
        <v>1.7452698742857142E-3</v>
      </c>
      <c r="N474" s="92" t="str">
        <f>VLOOKUP(B474,[3]Sheet!$B$2:$C$139,2,FALSE)</f>
        <v xml:space="preserve">Bernstein Litowitz Berger &amp; Grossmann LLP </v>
      </c>
      <c r="O474" s="92"/>
      <c r="P474" s="167"/>
      <c r="Q474" s="392" t="str">
        <f t="shared" si="27"/>
        <v>05/10/2018</v>
      </c>
      <c r="R474" s="392">
        <f t="shared" si="28"/>
        <v>43229</v>
      </c>
      <c r="S474" s="392" t="str">
        <f>_xlfn.IFNA(VLOOKUP(B474,'[1]VLOOKUP NO DUPS'!$A$1:$C$456,2,FALSE),"")</f>
        <v>05/17/2018</v>
      </c>
      <c r="T474" s="168" t="str">
        <f>_xlfn.IFNA(VLOOKUP(B474,'[1]VLOOKUP NO DUPS'!$A$1:$C$456,3,FALSE),"")</f>
        <v>Bronstein, Gewirtz &amp; Grossman, LLC; Pomerantz LLP; The Rosen Law Firm, P.A.</v>
      </c>
      <c r="U474" s="167"/>
      <c r="V474" s="167"/>
      <c r="W474" s="167"/>
    </row>
    <row r="475" spans="1:23" s="86" customFormat="1" x14ac:dyDescent="0.25">
      <c r="A475" s="165" t="str">
        <f t="shared" si="30"/>
        <v/>
      </c>
      <c r="B475" s="23" t="s">
        <v>8889</v>
      </c>
      <c r="C475" s="23" t="s">
        <v>8570</v>
      </c>
      <c r="D475" s="166" t="s">
        <v>8743</v>
      </c>
      <c r="E475" s="166" t="s">
        <v>446</v>
      </c>
      <c r="F475" s="167">
        <v>9</v>
      </c>
      <c r="G475" s="167" t="s">
        <v>8400</v>
      </c>
      <c r="H475" s="89">
        <v>570000000</v>
      </c>
      <c r="I475" s="89" t="str">
        <f>IF($H475&lt;='Abbrev Key'!$A$2,'Abbrev Key'!$B$2,IF($H475&lt;='Abbrev Key'!$A$3,'Abbrev Key'!$B$3,IF($H475&lt;='Abbrev Key'!$A$4,'Abbrev Key'!$B$4,IF($H475&lt;='Abbrev Key'!$A$5,'Abbrev Key'!$B$5,IF($H475&lt;='Abbrev Key'!$A$6,'Abbrev Key'!$B$6,IF($H475&gt;='Abbrev Key'!$A$7,'Abbrev Key'!$B$7,IF($H475='Abbrev Key'!$A$8,'Abbrev Key'!$B$8,"")))))))</f>
        <v>F</v>
      </c>
      <c r="J475" s="17" t="s">
        <v>9325</v>
      </c>
      <c r="K475" s="23" t="s">
        <v>637</v>
      </c>
      <c r="L475" s="398">
        <v>4059.63</v>
      </c>
      <c r="M475" s="403">
        <f t="shared" si="31"/>
        <v>7.1221578947368426E-6</v>
      </c>
      <c r="N475" s="92" t="str">
        <f>VLOOKUP(B475,[3]Sheet!$B$2:$C$139,2,FALSE)</f>
        <v xml:space="preserve">Glancy Prongay &amp; Murray, LLP </v>
      </c>
      <c r="O475" s="92"/>
      <c r="P475" s="167"/>
      <c r="Q475" s="392" t="str">
        <f t="shared" si="27"/>
        <v>05/10/2018</v>
      </c>
      <c r="R475" s="392">
        <f t="shared" si="28"/>
        <v>43229</v>
      </c>
      <c r="S475" s="392" t="str">
        <f>_xlfn.IFNA(VLOOKUP(B475,'[1]VLOOKUP NO DUPS'!$A$1:$C$456,2,FALSE),"")</f>
        <v>05/20/2018</v>
      </c>
      <c r="T475" s="168" t="str">
        <f>_xlfn.IFNA(VLOOKUP(B475,'[1]VLOOKUP NO DUPS'!$A$1:$C$456,3,FALSE),"")</f>
        <v>The Rosen Law Firm, P.A.</v>
      </c>
      <c r="U475" s="167"/>
      <c r="V475" s="167"/>
      <c r="W475" s="167"/>
    </row>
    <row r="476" spans="1:23" s="86" customFormat="1" ht="30" x14ac:dyDescent="0.25">
      <c r="A476" s="165" t="str">
        <f t="shared" si="30"/>
        <v/>
      </c>
      <c r="B476" s="23" t="s">
        <v>8788</v>
      </c>
      <c r="C476" s="23" t="s">
        <v>8623</v>
      </c>
      <c r="D476" s="166" t="s">
        <v>8624</v>
      </c>
      <c r="E476" s="166" t="s">
        <v>603</v>
      </c>
      <c r="F476" s="167">
        <v>11</v>
      </c>
      <c r="G476" s="167" t="s">
        <v>8255</v>
      </c>
      <c r="H476" s="89">
        <v>840000000</v>
      </c>
      <c r="I476" s="89" t="str">
        <f>IF($H476&lt;='Abbrev Key'!$A$2,'Abbrev Key'!$B$2,IF($H476&lt;='Abbrev Key'!$A$3,'Abbrev Key'!$B$3,IF($H476&lt;='Abbrev Key'!$A$4,'Abbrev Key'!$B$4,IF($H476&lt;='Abbrev Key'!$A$5,'Abbrev Key'!$B$5,IF($H476&lt;='Abbrev Key'!$A$6,'Abbrev Key'!$B$6,IF($H476&gt;='Abbrev Key'!$A$7,'Abbrev Key'!$B$7,IF($H476='Abbrev Key'!$A$8,'Abbrev Key'!$B$8,"")))))))</f>
        <v>F</v>
      </c>
      <c r="J476" s="17" t="s">
        <v>9318</v>
      </c>
      <c r="K476" s="17" t="s">
        <v>637</v>
      </c>
      <c r="L476" s="399">
        <v>139148.5</v>
      </c>
      <c r="M476" s="404">
        <f t="shared" si="31"/>
        <v>1.6565297619047618E-4</v>
      </c>
      <c r="N476" s="17" t="s">
        <v>3828</v>
      </c>
      <c r="O476" s="17"/>
      <c r="P476" s="167" t="s">
        <v>4287</v>
      </c>
      <c r="Q476" s="392" t="str">
        <f t="shared" si="27"/>
        <v>05/21/2018</v>
      </c>
      <c r="R476" s="392">
        <f t="shared" si="28"/>
        <v>43240</v>
      </c>
      <c r="S476" s="392" t="str">
        <f>_xlfn.IFNA(VLOOKUP(B476,'[1]VLOOKUP NO DUPS'!$A$1:$C$456,2,FALSE),"")</f>
        <v>05/21/2018</v>
      </c>
      <c r="T476" s="168" t="str">
        <f>_xlfn.IFNA(VLOOKUP(B476,'[1]VLOOKUP NO DUPS'!$A$1:$C$456,3,FALSE),"")</f>
        <v>Hedin Hall LLP; Pomerantz LLP</v>
      </c>
      <c r="U476" s="167"/>
      <c r="V476" s="167"/>
      <c r="W476" s="167"/>
    </row>
    <row r="477" spans="1:23" s="86" customFormat="1" ht="30" x14ac:dyDescent="0.25">
      <c r="A477" s="165" t="str">
        <f t="shared" si="30"/>
        <v/>
      </c>
      <c r="B477" s="23" t="s">
        <v>8868</v>
      </c>
      <c r="C477" s="23" t="s">
        <v>8711</v>
      </c>
      <c r="D477" s="166" t="s">
        <v>8712</v>
      </c>
      <c r="E477" s="166" t="s">
        <v>418</v>
      </c>
      <c r="F477" s="167">
        <v>2</v>
      </c>
      <c r="G477" s="167" t="s">
        <v>8370</v>
      </c>
      <c r="H477" s="89">
        <v>4950000000</v>
      </c>
      <c r="I477" s="89" t="str">
        <f>IF($H477&lt;='Abbrev Key'!$A$2,'Abbrev Key'!$B$2,IF($H477&lt;='Abbrev Key'!$A$3,'Abbrev Key'!$B$3,IF($H477&lt;='Abbrev Key'!$A$4,'Abbrev Key'!$B$4,IF($H477&lt;='Abbrev Key'!$A$5,'Abbrev Key'!$B$5,IF($H477&lt;='Abbrev Key'!$A$6,'Abbrev Key'!$B$6,IF($H477&gt;='Abbrev Key'!$A$7,'Abbrev Key'!$B$7,IF($H477='Abbrev Key'!$A$8,'Abbrev Key'!$B$8,"")))))))</f>
        <v>F</v>
      </c>
      <c r="J477" s="23" t="s">
        <v>210</v>
      </c>
      <c r="K477" s="23" t="s">
        <v>633</v>
      </c>
      <c r="L477" s="398" t="s">
        <v>10798</v>
      </c>
      <c r="M477" s="403" t="str">
        <f t="shared" si="31"/>
        <v>DC</v>
      </c>
      <c r="N477" s="23" t="s">
        <v>1</v>
      </c>
      <c r="O477" s="23"/>
      <c r="P477" s="167" t="s">
        <v>4287</v>
      </c>
      <c r="Q477" s="392" t="str">
        <f t="shared" si="27"/>
        <v>05/23/2018</v>
      </c>
      <c r="R477" s="392">
        <f t="shared" si="28"/>
        <v>43242</v>
      </c>
      <c r="S477" s="392" t="str">
        <f>_xlfn.IFNA(VLOOKUP(B477,'[1]VLOOKUP NO DUPS'!$A$1:$C$456,2,FALSE),"")</f>
        <v>05/23/2018</v>
      </c>
      <c r="T477" s="168" t="str">
        <f>_xlfn.IFNA(VLOOKUP(B477,'[1]VLOOKUP NO DUPS'!$A$1:$C$456,3,FALSE),"")</f>
        <v>The Rosen Law Firm, P.A.</v>
      </c>
      <c r="U477" s="167"/>
      <c r="V477" s="167"/>
      <c r="W477" s="167"/>
    </row>
    <row r="478" spans="1:23" s="86" customFormat="1" ht="75" x14ac:dyDescent="0.25">
      <c r="A478" s="11" t="str">
        <f t="shared" si="30"/>
        <v/>
      </c>
      <c r="B478" s="23" t="s">
        <v>8834</v>
      </c>
      <c r="C478" s="23" t="s">
        <v>8520</v>
      </c>
      <c r="D478" s="166" t="s">
        <v>8671</v>
      </c>
      <c r="E478" s="166" t="s">
        <v>1815</v>
      </c>
      <c r="F478" s="169">
        <v>5</v>
      </c>
      <c r="G478" s="167" t="s">
        <v>8321</v>
      </c>
      <c r="H478" s="89">
        <v>950000000</v>
      </c>
      <c r="I478" s="89" t="str">
        <f>IF($H478&lt;='Abbrev Key'!$A$2,'Abbrev Key'!$B$2,IF($H478&lt;='Abbrev Key'!$A$3,'Abbrev Key'!$B$3,IF($H478&lt;='Abbrev Key'!$A$4,'Abbrev Key'!$B$4,IF($H478&lt;='Abbrev Key'!$A$5,'Abbrev Key'!$B$5,IF($H478&lt;='Abbrev Key'!$A$6,'Abbrev Key'!$B$6,IF($H478&gt;='Abbrev Key'!$A$7,'Abbrev Key'!$B$7,IF($H478='Abbrev Key'!$A$8,'Abbrev Key'!$B$8,"")))))))</f>
        <v>F</v>
      </c>
      <c r="J478" s="92" t="s">
        <v>11940</v>
      </c>
      <c r="K478" s="92" t="s">
        <v>640</v>
      </c>
      <c r="L478" s="398">
        <f>122643+214183.14</f>
        <v>336826.14</v>
      </c>
      <c r="M478" s="403">
        <f t="shared" si="31"/>
        <v>3.5455383157894738E-4</v>
      </c>
      <c r="N478" s="92" t="s">
        <v>11744</v>
      </c>
      <c r="O478" s="92" t="s">
        <v>11197</v>
      </c>
      <c r="P478" s="167" t="s">
        <v>4287</v>
      </c>
      <c r="Q478" s="392" t="str">
        <f t="shared" si="27"/>
        <v>05/03/2018</v>
      </c>
      <c r="R478" s="392">
        <f t="shared" si="28"/>
        <v>43222</v>
      </c>
      <c r="S478" s="392" t="str">
        <f>_xlfn.IFNA(VLOOKUP(B478,'[1]VLOOKUP NO DUPS'!$A$1:$C$456,2,FALSE),"")</f>
        <v>05/25/2018</v>
      </c>
      <c r="T478" s="168" t="str">
        <f>_xlfn.IFNA(VLOOKUP(B478,'[1]VLOOKUP NO DUPS'!$A$1:$C$456,3,FALSE),"")</f>
        <v>Brian Lauten, P.C.; Levi &amp; Korsinsky, LLP</v>
      </c>
      <c r="U478" s="167"/>
      <c r="V478" s="167"/>
      <c r="W478" s="167"/>
    </row>
    <row r="479" spans="1:23" s="86" customFormat="1" x14ac:dyDescent="0.25">
      <c r="A479" s="165" t="str">
        <f t="shared" si="30"/>
        <v/>
      </c>
      <c r="B479" s="23" t="s">
        <v>8895</v>
      </c>
      <c r="C479" s="23" t="s">
        <v>8574</v>
      </c>
      <c r="D479" s="166" t="s">
        <v>8755</v>
      </c>
      <c r="E479" s="166" t="s">
        <v>542</v>
      </c>
      <c r="F479" s="169">
        <v>3</v>
      </c>
      <c r="G479" s="167" t="s">
        <v>8408</v>
      </c>
      <c r="H479" s="89">
        <v>35000000</v>
      </c>
      <c r="I479" s="89" t="str">
        <f>IF($H479&lt;='Abbrev Key'!$A$2,'Abbrev Key'!$B$2,IF($H479&lt;='Abbrev Key'!$A$3,'Abbrev Key'!$B$3,IF($H479&lt;='Abbrev Key'!$A$4,'Abbrev Key'!$B$4,IF($H479&lt;='Abbrev Key'!$A$5,'Abbrev Key'!$B$5,IF($H479&lt;='Abbrev Key'!$A$6,'Abbrev Key'!$B$6,IF($H479&gt;='Abbrev Key'!$A$7,'Abbrev Key'!$B$7,IF($H479='Abbrev Key'!$A$8,'Abbrev Key'!$B$8,"")))))))</f>
        <v>B</v>
      </c>
      <c r="J479" s="92" t="s">
        <v>4332</v>
      </c>
      <c r="K479" s="92" t="s">
        <v>4332</v>
      </c>
      <c r="L479" s="92" t="s">
        <v>4332</v>
      </c>
      <c r="M479" s="92" t="s">
        <v>4332</v>
      </c>
      <c r="N479" s="92" t="s">
        <v>4332</v>
      </c>
      <c r="O479" s="92"/>
      <c r="P479" s="167" t="s">
        <v>4287</v>
      </c>
      <c r="Q479" s="392" t="str">
        <f t="shared" si="27"/>
        <v>05/23/2018</v>
      </c>
      <c r="R479" s="392">
        <f t="shared" si="28"/>
        <v>43242</v>
      </c>
      <c r="S479" s="392" t="str">
        <f>_xlfn.IFNA(VLOOKUP(B479,'[1]VLOOKUP NO DUPS'!$A$1:$C$456,2,FALSE),"")</f>
        <v>05/31/2018</v>
      </c>
      <c r="T479" s="168" t="str">
        <f>_xlfn.IFNA(VLOOKUP(B479,'[1]VLOOKUP NO DUPS'!$A$1:$C$456,3,FALSE),"")</f>
        <v>Kaskela Law LLC; Pomerantz LLP</v>
      </c>
      <c r="U479" s="167"/>
      <c r="V479" s="167"/>
      <c r="W479" s="167"/>
    </row>
    <row r="480" spans="1:23" s="86" customFormat="1" x14ac:dyDescent="0.25">
      <c r="A480" s="165" t="str">
        <f t="shared" si="30"/>
        <v/>
      </c>
      <c r="B480" s="23" t="s">
        <v>8836</v>
      </c>
      <c r="C480" s="23" t="s">
        <v>8673</v>
      </c>
      <c r="D480" s="166" t="s">
        <v>8674</v>
      </c>
      <c r="E480" s="166" t="s">
        <v>480</v>
      </c>
      <c r="F480" s="169">
        <v>9</v>
      </c>
      <c r="G480" s="167" t="s">
        <v>8324</v>
      </c>
      <c r="H480" s="89">
        <v>47000000</v>
      </c>
      <c r="I480" s="89" t="str">
        <f>IF($H480&lt;='Abbrev Key'!$A$2,'Abbrev Key'!$B$2,IF($H480&lt;='Abbrev Key'!$A$3,'Abbrev Key'!$B$3,IF($H480&lt;='Abbrev Key'!$A$4,'Abbrev Key'!$B$4,IF($H480&lt;='Abbrev Key'!$A$5,'Abbrev Key'!$B$5,IF($H480&lt;='Abbrev Key'!$A$6,'Abbrev Key'!$B$6,IF($H480&gt;='Abbrev Key'!$A$7,'Abbrev Key'!$B$7,IF($H480='Abbrev Key'!$A$8,'Abbrev Key'!$B$8,"")))))))</f>
        <v>B</v>
      </c>
      <c r="J480" s="92" t="s">
        <v>4332</v>
      </c>
      <c r="K480" s="92" t="s">
        <v>4332</v>
      </c>
      <c r="L480" s="92" t="s">
        <v>4332</v>
      </c>
      <c r="M480" s="92" t="s">
        <v>4332</v>
      </c>
      <c r="N480" s="92" t="s">
        <v>4332</v>
      </c>
      <c r="O480" s="92"/>
      <c r="P480" s="167" t="s">
        <v>4287</v>
      </c>
      <c r="Q480" s="392" t="str">
        <f t="shared" si="27"/>
        <v>06/04/2018</v>
      </c>
      <c r="R480" s="392">
        <f t="shared" si="28"/>
        <v>43254</v>
      </c>
      <c r="S480" s="392" t="s">
        <v>9051</v>
      </c>
      <c r="T480" s="168" t="s">
        <v>10927</v>
      </c>
      <c r="U480" s="167"/>
      <c r="V480" s="167"/>
      <c r="W480" s="167"/>
    </row>
    <row r="481" spans="1:23" s="370" customFormat="1" ht="30" x14ac:dyDescent="0.25">
      <c r="A481" s="165" t="str">
        <f t="shared" si="30"/>
        <v/>
      </c>
      <c r="B481" s="23" t="s">
        <v>8861</v>
      </c>
      <c r="C481" s="23" t="s">
        <v>8705</v>
      </c>
      <c r="D481" s="166" t="s">
        <v>11067</v>
      </c>
      <c r="E481" s="166" t="s">
        <v>557</v>
      </c>
      <c r="F481" s="167">
        <v>9</v>
      </c>
      <c r="G481" s="167" t="s">
        <v>8361</v>
      </c>
      <c r="H481" s="89">
        <v>6000000</v>
      </c>
      <c r="I481" s="89" t="str">
        <f>IF($H481&lt;='Abbrev Key'!$A$2,'Abbrev Key'!$B$2,IF($H481&lt;='Abbrev Key'!$A$3,'Abbrev Key'!$B$3,IF($H481&lt;='Abbrev Key'!$A$4,'Abbrev Key'!$B$4,IF($H481&lt;='Abbrev Key'!$A$5,'Abbrev Key'!$B$5,IF($H481&lt;='Abbrev Key'!$A$6,'Abbrev Key'!$B$6,IF($H481&gt;='Abbrev Key'!$A$7,'Abbrev Key'!$B$7,IF($H481='Abbrev Key'!$A$8,'Abbrev Key'!$B$8,"")))))))</f>
        <v>A</v>
      </c>
      <c r="J481" s="17" t="s">
        <v>11869</v>
      </c>
      <c r="K481" s="23" t="s">
        <v>662</v>
      </c>
      <c r="L481" s="398">
        <v>170480.24</v>
      </c>
      <c r="M481" s="403">
        <f>IFERROR((L481/H481),"DC")</f>
        <v>2.8413373333333332E-2</v>
      </c>
      <c r="N481" s="23" t="s">
        <v>597</v>
      </c>
      <c r="O481" s="23"/>
      <c r="P481" s="167" t="s">
        <v>4295</v>
      </c>
      <c r="Q481" s="392" t="str">
        <f t="shared" si="27"/>
        <v>05/18/2018</v>
      </c>
      <c r="R481" s="392">
        <f t="shared" si="28"/>
        <v>43237</v>
      </c>
      <c r="S481" s="392" t="s">
        <v>9051</v>
      </c>
      <c r="T481" s="168" t="s">
        <v>10918</v>
      </c>
      <c r="U481" s="167"/>
      <c r="V481" s="167"/>
      <c r="W481" s="167"/>
    </row>
    <row r="482" spans="1:23" s="86" customFormat="1" x14ac:dyDescent="0.25">
      <c r="A482" s="165" t="str">
        <f t="shared" si="30"/>
        <v/>
      </c>
      <c r="B482" s="23" t="s">
        <v>8791</v>
      </c>
      <c r="C482" s="23" t="s">
        <v>8468</v>
      </c>
      <c r="D482" s="166" t="s">
        <v>8627</v>
      </c>
      <c r="E482" s="166" t="s">
        <v>418</v>
      </c>
      <c r="F482" s="167">
        <v>2</v>
      </c>
      <c r="G482" s="167" t="s">
        <v>8258</v>
      </c>
      <c r="H482" s="89" t="s">
        <v>4882</v>
      </c>
      <c r="I482" s="89" t="s">
        <v>6732</v>
      </c>
      <c r="J482" s="17" t="s">
        <v>378</v>
      </c>
      <c r="K482" s="17" t="s">
        <v>633</v>
      </c>
      <c r="L482" s="399">
        <v>3636175</v>
      </c>
      <c r="M482" s="404" t="str">
        <f>IFERROR((L482/H482),"DC")</f>
        <v>DC</v>
      </c>
      <c r="N482" s="17" t="s">
        <v>6882</v>
      </c>
      <c r="O482" s="17"/>
      <c r="P482" s="167" t="s">
        <v>4287</v>
      </c>
      <c r="Q482" s="392" t="str">
        <f t="shared" si="27"/>
        <v>06/04/2018</v>
      </c>
      <c r="R482" s="392">
        <f t="shared" si="28"/>
        <v>43254</v>
      </c>
      <c r="S482" s="392" t="str">
        <f>_xlfn.IFNA(VLOOKUP(B482,'[1]VLOOKUP NO DUPS'!$A$1:$C$456,2,FALSE),"")</f>
        <v>06/05/2018</v>
      </c>
      <c r="T482" s="168" t="str">
        <f>_xlfn.IFNA(VLOOKUP(B482,'[1]VLOOKUP NO DUPS'!$A$1:$C$456,3,FALSE),"")</f>
        <v>Levi &amp; Korsinsky, LLP; Pomerantz LLP</v>
      </c>
      <c r="U482" s="167"/>
      <c r="V482" s="167"/>
      <c r="W482" s="167"/>
    </row>
    <row r="483" spans="1:23" s="86" customFormat="1" ht="30" x14ac:dyDescent="0.25">
      <c r="A483" s="165" t="str">
        <f t="shared" si="30"/>
        <v/>
      </c>
      <c r="B483" s="23" t="s">
        <v>8822</v>
      </c>
      <c r="C483" s="23" t="s">
        <v>8506</v>
      </c>
      <c r="D483" s="166" t="s">
        <v>8649</v>
      </c>
      <c r="E483" s="166" t="s">
        <v>424</v>
      </c>
      <c r="F483" s="167">
        <v>3</v>
      </c>
      <c r="G483" s="167" t="s">
        <v>8301</v>
      </c>
      <c r="H483" s="89">
        <v>2000000</v>
      </c>
      <c r="I483" s="89" t="str">
        <f>IF($H483&lt;='Abbrev Key'!$A$2,'Abbrev Key'!$B$2,IF($H483&lt;='Abbrev Key'!$A$3,'Abbrev Key'!$B$3,IF($H483&lt;='Abbrev Key'!$A$4,'Abbrev Key'!$B$4,IF($H483&lt;='Abbrev Key'!$A$5,'Abbrev Key'!$B$5,IF($H483&lt;='Abbrev Key'!$A$6,'Abbrev Key'!$B$6,IF($H483&gt;='Abbrev Key'!$A$7,'Abbrev Key'!$B$7,IF($H483='Abbrev Key'!$A$8,'Abbrev Key'!$B$8,"")))))))</f>
        <v>A</v>
      </c>
      <c r="J483" s="17" t="s">
        <v>11794</v>
      </c>
      <c r="K483" s="23" t="s">
        <v>646</v>
      </c>
      <c r="L483" s="398">
        <v>16023.009999999998</v>
      </c>
      <c r="M483" s="403">
        <f>IFERROR((L483/H483),"DC")</f>
        <v>8.0115049999999986E-3</v>
      </c>
      <c r="N483" s="23" t="s">
        <v>2174</v>
      </c>
      <c r="O483" s="23"/>
      <c r="P483" s="167"/>
      <c r="Q483" s="392" t="str">
        <f t="shared" si="27"/>
        <v>04/13/2018</v>
      </c>
      <c r="R483" s="392">
        <f t="shared" si="28"/>
        <v>43202</v>
      </c>
      <c r="S483" s="392" t="str">
        <f>_xlfn.IFNA(VLOOKUP(B483,'[1]VLOOKUP NO DUPS'!$A$1:$C$456,2,FALSE),"")</f>
        <v>06/05/2018</v>
      </c>
      <c r="T483" s="168" t="str">
        <f>_xlfn.IFNA(VLOOKUP(B483,'[1]VLOOKUP NO DUPS'!$A$1:$C$456,3,FALSE),"")</f>
        <v>The Rosen Law Firm, P.A.</v>
      </c>
      <c r="U483" s="167"/>
      <c r="V483" s="167"/>
      <c r="W483" s="167"/>
    </row>
    <row r="484" spans="1:23" s="86" customFormat="1" x14ac:dyDescent="0.25">
      <c r="A484" s="165" t="str">
        <f t="shared" si="30"/>
        <v>DUP</v>
      </c>
      <c r="B484" s="23" t="s">
        <v>98</v>
      </c>
      <c r="C484" s="23" t="s">
        <v>10763</v>
      </c>
      <c r="D484" s="166" t="s">
        <v>8658</v>
      </c>
      <c r="E484" s="166" t="s">
        <v>418</v>
      </c>
      <c r="F484" s="167">
        <v>2</v>
      </c>
      <c r="G484" s="167" t="s">
        <v>8308</v>
      </c>
      <c r="H484" s="89">
        <v>135000000</v>
      </c>
      <c r="I484" s="89" t="str">
        <f>IF($H484&lt;='Abbrev Key'!$A$2,'Abbrev Key'!$B$2,IF($H484&lt;='Abbrev Key'!$A$3,'Abbrev Key'!$B$3,IF($H484&lt;='Abbrev Key'!$A$4,'Abbrev Key'!$B$4,IF($H484&lt;='Abbrev Key'!$A$5,'Abbrev Key'!$B$5,IF($H484&lt;='Abbrev Key'!$A$6,'Abbrev Key'!$B$6,IF($H484&gt;='Abbrev Key'!$A$7,'Abbrev Key'!$B$7,IF($H484='Abbrev Key'!$A$8,'Abbrev Key'!$B$8,"")))))))</f>
        <v>D</v>
      </c>
      <c r="J484" s="17" t="s">
        <v>9295</v>
      </c>
      <c r="K484" s="92" t="s">
        <v>637</v>
      </c>
      <c r="L484" s="399">
        <v>549804.07999999996</v>
      </c>
      <c r="M484" s="404">
        <f>IFERROR((L484/H484),"DC")</f>
        <v>4.0726228148148143E-3</v>
      </c>
      <c r="N484" s="17" t="s">
        <v>682</v>
      </c>
      <c r="O484" s="17"/>
      <c r="P484" s="167" t="s">
        <v>4287</v>
      </c>
      <c r="Q484" s="392" t="str">
        <f t="shared" si="27"/>
        <v>05/30/2018</v>
      </c>
      <c r="R484" s="392">
        <f t="shared" si="28"/>
        <v>43249</v>
      </c>
      <c r="S484" s="392" t="s">
        <v>9063</v>
      </c>
      <c r="T484" s="168" t="s">
        <v>79</v>
      </c>
      <c r="U484" s="167"/>
      <c r="V484" s="167"/>
      <c r="W484" s="167"/>
    </row>
    <row r="485" spans="1:23" s="86" customFormat="1" ht="30" x14ac:dyDescent="0.25">
      <c r="A485" s="165" t="str">
        <f t="shared" si="30"/>
        <v>DUP</v>
      </c>
      <c r="B485" s="23" t="s">
        <v>246</v>
      </c>
      <c r="C485" s="23" t="s">
        <v>10661</v>
      </c>
      <c r="D485" s="166" t="s">
        <v>8748</v>
      </c>
      <c r="E485" s="166" t="s">
        <v>557</v>
      </c>
      <c r="F485" s="167">
        <v>9</v>
      </c>
      <c r="G485" s="167" t="s">
        <v>8403</v>
      </c>
      <c r="H485" s="89">
        <v>950000000</v>
      </c>
      <c r="I485" s="89" t="str">
        <f>IF($H485&lt;='Abbrev Key'!$A$2,'Abbrev Key'!$B$2,IF($H485&lt;='Abbrev Key'!$A$3,'Abbrev Key'!$B$3,IF($H485&lt;='Abbrev Key'!$A$4,'Abbrev Key'!$B$4,IF($H485&lt;='Abbrev Key'!$A$5,'Abbrev Key'!$B$5,IF($H485&lt;='Abbrev Key'!$A$6,'Abbrev Key'!$B$6,IF($H485&gt;='Abbrev Key'!$A$7,'Abbrev Key'!$B$7,IF($H485='Abbrev Key'!$A$8,'Abbrev Key'!$B$8,"")))))))</f>
        <v>F</v>
      </c>
      <c r="J485" s="92" t="s">
        <v>4332</v>
      </c>
      <c r="K485" s="92" t="s">
        <v>4332</v>
      </c>
      <c r="L485" s="92" t="s">
        <v>4332</v>
      </c>
      <c r="M485" s="92" t="s">
        <v>4332</v>
      </c>
      <c r="N485" s="92" t="s">
        <v>4332</v>
      </c>
      <c r="O485" s="92"/>
      <c r="P485" s="167" t="s">
        <v>4287</v>
      </c>
      <c r="Q485" s="392" t="str">
        <f t="shared" si="27"/>
        <v>03/12/2018</v>
      </c>
      <c r="R485" s="392">
        <f t="shared" si="28"/>
        <v>43170</v>
      </c>
      <c r="S485" s="392" t="s">
        <v>9061</v>
      </c>
      <c r="T485" s="168" t="s">
        <v>10904</v>
      </c>
      <c r="U485" s="167"/>
      <c r="V485" s="167"/>
      <c r="W485" s="167"/>
    </row>
    <row r="486" spans="1:23" s="86" customFormat="1" ht="45" x14ac:dyDescent="0.25">
      <c r="A486" s="165" t="str">
        <f t="shared" si="30"/>
        <v/>
      </c>
      <c r="B486" s="23" t="s">
        <v>8897</v>
      </c>
      <c r="C486" s="23" t="s">
        <v>8758</v>
      </c>
      <c r="D486" s="166" t="s">
        <v>8759</v>
      </c>
      <c r="E486" s="166" t="s">
        <v>446</v>
      </c>
      <c r="F486" s="167">
        <v>9</v>
      </c>
      <c r="G486" s="167" t="s">
        <v>8411</v>
      </c>
      <c r="H486" s="89">
        <v>40000000</v>
      </c>
      <c r="I486" s="89" t="str">
        <f>IF($H486&lt;='Abbrev Key'!$A$2,'Abbrev Key'!$B$2,IF($H486&lt;='Abbrev Key'!$A$3,'Abbrev Key'!$B$3,IF($H486&lt;='Abbrev Key'!$A$4,'Abbrev Key'!$B$4,IF($H486&lt;='Abbrev Key'!$A$5,'Abbrev Key'!$B$5,IF($H486&lt;='Abbrev Key'!$A$6,'Abbrev Key'!$B$6,IF($H486&gt;='Abbrev Key'!$A$7,'Abbrev Key'!$B$7,IF($H486='Abbrev Key'!$A$8,'Abbrev Key'!$B$8,"")))))))</f>
        <v>B</v>
      </c>
      <c r="J486" s="17" t="s">
        <v>839</v>
      </c>
      <c r="K486" s="23" t="s">
        <v>633</v>
      </c>
      <c r="L486" s="398">
        <v>694174.71999999997</v>
      </c>
      <c r="M486" s="403">
        <f>IFERROR((L486/H486),"DC")</f>
        <v>1.7354367999999998E-2</v>
      </c>
      <c r="N486" s="23" t="s">
        <v>9750</v>
      </c>
      <c r="O486" s="23"/>
      <c r="P486" s="167"/>
      <c r="Q486" s="392" t="str">
        <f t="shared" si="27"/>
        <v>06/08/2018</v>
      </c>
      <c r="R486" s="392">
        <f t="shared" si="28"/>
        <v>43258</v>
      </c>
      <c r="S486" s="392" t="str">
        <f>_xlfn.IFNA(VLOOKUP(B486,'[1]VLOOKUP NO DUPS'!$A$1:$C$456,2,FALSE),"")</f>
        <v>06/08/2018</v>
      </c>
      <c r="T486" s="168" t="str">
        <f>_xlfn.IFNA(VLOOKUP(B486,'[1]VLOOKUP NO DUPS'!$A$1:$C$456,3,FALSE),"")</f>
        <v>Bronstein, Gewirtz &amp; Grossman, LLC; Glancy Prongay &amp; Murray, LLP; Law Offices of Howard G. Smith; Pomerantz LLP; The Rosen Law Firm, P.A.</v>
      </c>
      <c r="U486" s="167"/>
      <c r="V486" s="167"/>
      <c r="W486" s="167"/>
    </row>
    <row r="487" spans="1:23" s="86" customFormat="1" x14ac:dyDescent="0.25">
      <c r="A487" s="165" t="str">
        <f t="shared" si="30"/>
        <v/>
      </c>
      <c r="B487" s="23" t="s">
        <v>8881</v>
      </c>
      <c r="C487" s="23" t="s">
        <v>8564</v>
      </c>
      <c r="D487" s="166" t="s">
        <v>8729</v>
      </c>
      <c r="E487" s="166" t="s">
        <v>3449</v>
      </c>
      <c r="F487" s="167">
        <v>9</v>
      </c>
      <c r="G487" s="167" t="s">
        <v>8388</v>
      </c>
      <c r="H487" s="89">
        <v>80000000</v>
      </c>
      <c r="I487" s="89" t="str">
        <f>IF($H487&lt;='Abbrev Key'!$A$2,'Abbrev Key'!$B$2,IF($H487&lt;='Abbrev Key'!$A$3,'Abbrev Key'!$B$3,IF($H487&lt;='Abbrev Key'!$A$4,'Abbrev Key'!$B$4,IF($H487&lt;='Abbrev Key'!$A$5,'Abbrev Key'!$B$5,IF($H487&lt;='Abbrev Key'!$A$6,'Abbrev Key'!$B$6,IF($H487&gt;='Abbrev Key'!$A$7,'Abbrev Key'!$B$7,IF($H487='Abbrev Key'!$A$8,'Abbrev Key'!$B$8,"")))))))</f>
        <v>C</v>
      </c>
      <c r="J487" s="92" t="s">
        <v>4332</v>
      </c>
      <c r="K487" s="92" t="s">
        <v>4332</v>
      </c>
      <c r="L487" s="92" t="s">
        <v>4332</v>
      </c>
      <c r="M487" s="92" t="s">
        <v>4332</v>
      </c>
      <c r="N487" s="92" t="s">
        <v>4332</v>
      </c>
      <c r="O487" s="92"/>
      <c r="P487" s="167" t="s">
        <v>4287</v>
      </c>
      <c r="Q487" s="392" t="str">
        <f t="shared" si="27"/>
        <v>05/15/2018</v>
      </c>
      <c r="R487" s="392">
        <f t="shared" si="28"/>
        <v>43234</v>
      </c>
      <c r="S487" s="392" t="str">
        <f>_xlfn.IFNA(VLOOKUP(B487,'[1]VLOOKUP NO DUPS'!$A$1:$C$456,2,FALSE),"")</f>
        <v>06/11/2018</v>
      </c>
      <c r="T487" s="168" t="str">
        <f>_xlfn.IFNA(VLOOKUP(B487,'[1]VLOOKUP NO DUPS'!$A$1:$C$456,3,FALSE),"")</f>
        <v>Bernstein Liebhard LLP; Leverty &amp; Associates Law CHTD</v>
      </c>
      <c r="U487" s="167"/>
      <c r="V487" s="167"/>
      <c r="W487" s="167"/>
    </row>
    <row r="488" spans="1:23" s="86" customFormat="1" ht="30" x14ac:dyDescent="0.25">
      <c r="A488" s="165" t="str">
        <f t="shared" si="30"/>
        <v/>
      </c>
      <c r="B488" s="23" t="s">
        <v>8779</v>
      </c>
      <c r="C488" s="23" t="s">
        <v>8772</v>
      </c>
      <c r="D488" s="166" t="s">
        <v>8773</v>
      </c>
      <c r="E488" s="166" t="s">
        <v>3449</v>
      </c>
      <c r="F488" s="167">
        <v>9</v>
      </c>
      <c r="G488" s="167" t="s">
        <v>8426</v>
      </c>
      <c r="H488" s="89">
        <v>76000000</v>
      </c>
      <c r="I488" s="89" t="str">
        <f>IF($H488&lt;='Abbrev Key'!$A$2,'Abbrev Key'!$B$2,IF($H488&lt;='Abbrev Key'!$A$3,'Abbrev Key'!$B$3,IF($H488&lt;='Abbrev Key'!$A$4,'Abbrev Key'!$B$4,IF($H488&lt;='Abbrev Key'!$A$5,'Abbrev Key'!$B$5,IF($H488&lt;='Abbrev Key'!$A$6,'Abbrev Key'!$B$6,IF($H488&gt;='Abbrev Key'!$A$7,'Abbrev Key'!$B$7,IF($H488='Abbrev Key'!$A$8,'Abbrev Key'!$B$8,"")))))))</f>
        <v>C</v>
      </c>
      <c r="J488" s="17" t="s">
        <v>9268</v>
      </c>
      <c r="K488" s="23" t="s">
        <v>637</v>
      </c>
      <c r="L488" s="398">
        <v>190140</v>
      </c>
      <c r="M488" s="403">
        <f t="shared" ref="M488:M495" si="32">IFERROR((L488/H488),"DC")</f>
        <v>2.5018421052631578E-3</v>
      </c>
      <c r="N488" s="23" t="s">
        <v>9742</v>
      </c>
      <c r="O488" s="23"/>
      <c r="P488" s="167"/>
      <c r="Q488" s="392" t="str">
        <f t="shared" si="27"/>
        <v>06/11/2018</v>
      </c>
      <c r="R488" s="392">
        <f t="shared" si="28"/>
        <v>43261</v>
      </c>
      <c r="S488" s="392" t="str">
        <f>_xlfn.IFNA(VLOOKUP(B488,'[1]VLOOKUP NO DUPS'!$A$1:$C$456,2,FALSE),"")</f>
        <v>06/11/2018</v>
      </c>
      <c r="T488" s="168" t="str">
        <f>_xlfn.IFNA(VLOOKUP(B488,'[1]VLOOKUP NO DUPS'!$A$1:$C$456,3,FALSE),"")</f>
        <v>The Rosen Law Firm, P.A.</v>
      </c>
      <c r="U488" s="167"/>
      <c r="V488" s="167"/>
      <c r="W488" s="167"/>
    </row>
    <row r="489" spans="1:23" s="86" customFormat="1" ht="30" x14ac:dyDescent="0.25">
      <c r="A489" s="165" t="str">
        <f t="shared" si="30"/>
        <v/>
      </c>
      <c r="B489" s="23" t="s">
        <v>8885</v>
      </c>
      <c r="C489" s="23" t="s">
        <v>8568</v>
      </c>
      <c r="D489" s="166" t="s">
        <v>8736</v>
      </c>
      <c r="E489" s="166" t="s">
        <v>457</v>
      </c>
      <c r="F489" s="167">
        <v>9</v>
      </c>
      <c r="G489" s="167" t="s">
        <v>8395</v>
      </c>
      <c r="H489" s="89">
        <v>10000000000</v>
      </c>
      <c r="I489" s="89" t="str">
        <f>IF($H489&lt;='Abbrev Key'!$A$2,'Abbrev Key'!$B$2,IF($H489&lt;='Abbrev Key'!$A$3,'Abbrev Key'!$B$3,IF($H489&lt;='Abbrev Key'!$A$4,'Abbrev Key'!$B$4,IF($H489&lt;='Abbrev Key'!$A$5,'Abbrev Key'!$B$5,IF($H489&lt;='Abbrev Key'!$A$6,'Abbrev Key'!$B$6,IF($H489&gt;='Abbrev Key'!$A$7,'Abbrev Key'!$B$7,IF($H489='Abbrev Key'!$A$8,'Abbrev Key'!$B$8,"")))))))</f>
        <v>F</v>
      </c>
      <c r="J489" s="17" t="s">
        <v>9258</v>
      </c>
      <c r="K489" s="23" t="s">
        <v>633</v>
      </c>
      <c r="L489" s="398">
        <v>3921415.95</v>
      </c>
      <c r="M489" s="403">
        <f t="shared" si="32"/>
        <v>3.9214159499999999E-4</v>
      </c>
      <c r="N489" s="23" t="s">
        <v>9739</v>
      </c>
      <c r="O489" s="23"/>
      <c r="P489" s="167"/>
      <c r="Q489" s="392" t="str">
        <f t="shared" si="27"/>
        <v>06/08/2018</v>
      </c>
      <c r="R489" s="392">
        <f t="shared" si="28"/>
        <v>43258</v>
      </c>
      <c r="S489" s="392" t="str">
        <f>_xlfn.IFNA(VLOOKUP(B489,'[1]VLOOKUP NO DUPS'!$A$1:$C$456,2,FALSE),"")</f>
        <v>06/12/2018</v>
      </c>
      <c r="T489" s="168" t="str">
        <f>_xlfn.IFNA(VLOOKUP(B489,'[1]VLOOKUP NO DUPS'!$A$1:$C$456,3,FALSE),"")</f>
        <v>Levi &amp; Korsinsky, LLP; Pomerantz LLP</v>
      </c>
      <c r="U489" s="167"/>
      <c r="V489" s="167"/>
      <c r="W489" s="167"/>
    </row>
    <row r="490" spans="1:23" s="86" customFormat="1" ht="45" x14ac:dyDescent="0.25">
      <c r="A490" s="165" t="str">
        <f t="shared" si="30"/>
        <v/>
      </c>
      <c r="B490" s="23" t="s">
        <v>8794</v>
      </c>
      <c r="C490" s="23" t="s">
        <v>8471</v>
      </c>
      <c r="D490" s="166" t="s">
        <v>8951</v>
      </c>
      <c r="E490" s="166" t="s">
        <v>424</v>
      </c>
      <c r="F490" s="167">
        <v>3</v>
      </c>
      <c r="G490" s="167" t="s">
        <v>8261</v>
      </c>
      <c r="H490" s="89" t="s">
        <v>4882</v>
      </c>
      <c r="I490" s="89" t="s">
        <v>6732</v>
      </c>
      <c r="J490" s="92" t="s">
        <v>9267</v>
      </c>
      <c r="K490" s="14" t="s">
        <v>637</v>
      </c>
      <c r="L490" s="399">
        <v>105642.15</v>
      </c>
      <c r="M490" s="404" t="str">
        <f t="shared" si="32"/>
        <v>DC</v>
      </c>
      <c r="N490" s="92" t="s">
        <v>682</v>
      </c>
      <c r="O490" s="92"/>
      <c r="P490" s="167" t="s">
        <v>4287</v>
      </c>
      <c r="Q490" s="392" t="str">
        <f t="shared" si="27"/>
        <v>06/05/2018</v>
      </c>
      <c r="R490" s="392">
        <f t="shared" si="28"/>
        <v>43255</v>
      </c>
      <c r="S490" s="392" t="str">
        <f>_xlfn.IFNA(VLOOKUP(B490,'[1]VLOOKUP NO DUPS'!$A$1:$C$456,2,FALSE),"")</f>
        <v>06/13/2018</v>
      </c>
      <c r="T490" s="168" t="str">
        <f>_xlfn.IFNA(VLOOKUP(B490,'[1]VLOOKUP NO DUPS'!$A$1:$C$456,3,FALSE),"")</f>
        <v>Bronstein, Gewirtz &amp; Grossman, LLC; Lite Depalma Greenberg, LLC; Pomerantz LLP; The Rosen Law Firm, P.A.</v>
      </c>
      <c r="U490" s="167"/>
      <c r="V490" s="167"/>
      <c r="W490" s="167"/>
    </row>
    <row r="491" spans="1:23" s="86" customFormat="1" ht="75" x14ac:dyDescent="0.25">
      <c r="A491" s="165" t="str">
        <f t="shared" si="30"/>
        <v/>
      </c>
      <c r="B491" s="23" t="s">
        <v>8916</v>
      </c>
      <c r="C491" s="23" t="s">
        <v>8597</v>
      </c>
      <c r="D491" s="166" t="s">
        <v>8942</v>
      </c>
      <c r="E491" s="166" t="s">
        <v>515</v>
      </c>
      <c r="F491" s="169">
        <v>6</v>
      </c>
      <c r="G491" s="167" t="s">
        <v>8445</v>
      </c>
      <c r="H491" s="89">
        <v>515000000</v>
      </c>
      <c r="I491" s="89" t="str">
        <f>IF($H491&lt;='Abbrev Key'!$A$2,'Abbrev Key'!$B$2,IF($H491&lt;='Abbrev Key'!$A$3,'Abbrev Key'!$B$3,IF($H491&lt;='Abbrev Key'!$A$4,'Abbrev Key'!$B$4,IF($H491&lt;='Abbrev Key'!$A$5,'Abbrev Key'!$B$5,IF($H491&lt;='Abbrev Key'!$A$6,'Abbrev Key'!$B$6,IF($H491&gt;='Abbrev Key'!$A$7,'Abbrev Key'!$B$7,IF($H491='Abbrev Key'!$A$8,'Abbrev Key'!$B$8,"")))))))</f>
        <v>F</v>
      </c>
      <c r="J491" s="17" t="s">
        <v>6968</v>
      </c>
      <c r="K491" s="23" t="s">
        <v>633</v>
      </c>
      <c r="L491" s="398">
        <v>38588.03</v>
      </c>
      <c r="M491" s="403">
        <f t="shared" si="32"/>
        <v>7.492821359223301E-5</v>
      </c>
      <c r="N491" s="23" t="s">
        <v>1640</v>
      </c>
      <c r="O491" s="23"/>
      <c r="P491" s="167" t="s">
        <v>4287</v>
      </c>
      <c r="Q491" s="392" t="str">
        <f t="shared" si="27"/>
        <v>05/02/2018</v>
      </c>
      <c r="R491" s="392">
        <f t="shared" si="28"/>
        <v>43221</v>
      </c>
      <c r="S491" s="392" t="str">
        <f>_xlfn.IFNA(VLOOKUP(B491,'[1]VLOOKUP NO DUPS'!$A$1:$C$456,2,FALSE),"")</f>
        <v>06/13/2018</v>
      </c>
      <c r="T491" s="168" t="str">
        <f>_xlfn.IFNA(VLOOKUP(B491,'[1]VLOOKUP NO DUPS'!$A$1:$C$456,3,FALSE),"")</f>
        <v>Bramlett Law Offices; Branstetter, Stranch &amp; Jennings, PLLC; Glancy Prongay &amp; Murray, LLP; Law Offices of Howard G. Smith; Pomerantz LLP; Robbins, Geller, Rudman &amp; Dowd, LLP; VanOverbeke Michaud &amp; Timmony, P.C.</v>
      </c>
      <c r="U491" s="167"/>
      <c r="V491" s="167"/>
      <c r="W491" s="167"/>
    </row>
    <row r="492" spans="1:23" s="86" customFormat="1" ht="30" x14ac:dyDescent="0.25">
      <c r="A492" s="165" t="str">
        <f t="shared" si="30"/>
        <v/>
      </c>
      <c r="B492" s="23" t="s">
        <v>8904</v>
      </c>
      <c r="C492" s="23" t="s">
        <v>8588</v>
      </c>
      <c r="D492" s="166" t="s">
        <v>8930</v>
      </c>
      <c r="E492" s="166" t="s">
        <v>418</v>
      </c>
      <c r="F492" s="167">
        <v>2</v>
      </c>
      <c r="G492" s="167" t="s">
        <v>8430</v>
      </c>
      <c r="H492" s="89">
        <v>75000000</v>
      </c>
      <c r="I492" s="89" t="str">
        <f>IF($H492&lt;='Abbrev Key'!$A$2,'Abbrev Key'!$B$2,IF($H492&lt;='Abbrev Key'!$A$3,'Abbrev Key'!$B$3,IF($H492&lt;='Abbrev Key'!$A$4,'Abbrev Key'!$B$4,IF($H492&lt;='Abbrev Key'!$A$5,'Abbrev Key'!$B$5,IF($H492&lt;='Abbrev Key'!$A$6,'Abbrev Key'!$B$6,IF($H492&gt;='Abbrev Key'!$A$7,'Abbrev Key'!$B$7,IF($H492='Abbrev Key'!$A$8,'Abbrev Key'!$B$8,"")))))))</f>
        <v>C</v>
      </c>
      <c r="J492" s="17" t="s">
        <v>11917</v>
      </c>
      <c r="K492" s="23" t="s">
        <v>662</v>
      </c>
      <c r="L492" s="398">
        <v>14202.82</v>
      </c>
      <c r="M492" s="403">
        <f t="shared" si="32"/>
        <v>1.8937093333333332E-4</v>
      </c>
      <c r="N492" s="92" t="str">
        <f>VLOOKUP(B492,[3]Sheet!$B$2:$C$139,2,FALSE)</f>
        <v xml:space="preserve">Glancy Prongay &amp; Murray, LLP </v>
      </c>
      <c r="O492" s="92"/>
      <c r="P492" s="167"/>
      <c r="Q492" s="392" t="str">
        <f t="shared" si="27"/>
        <v>06/13/2018</v>
      </c>
      <c r="R492" s="392">
        <f t="shared" si="28"/>
        <v>43263</v>
      </c>
      <c r="S492" s="392" t="str">
        <f>_xlfn.IFNA(VLOOKUP(B492,'[1]VLOOKUP NO DUPS'!$A$1:$C$456,2,FALSE),"")</f>
        <v>06/18/2018</v>
      </c>
      <c r="T492" s="168" t="str">
        <f>_xlfn.IFNA(VLOOKUP(B492,'[1]VLOOKUP NO DUPS'!$A$1:$C$456,3,FALSE),"")</f>
        <v>Glancy Prongay &amp; Murray, LLP; Pomerantz LLP</v>
      </c>
      <c r="U492" s="167"/>
      <c r="V492" s="167"/>
      <c r="W492" s="167"/>
    </row>
    <row r="493" spans="1:23" s="86" customFormat="1" ht="30" x14ac:dyDescent="0.25">
      <c r="A493" s="164" t="str">
        <f t="shared" si="30"/>
        <v/>
      </c>
      <c r="B493" s="23" t="s">
        <v>8833</v>
      </c>
      <c r="C493" s="23" t="s">
        <v>8519</v>
      </c>
      <c r="D493" s="166" t="s">
        <v>8670</v>
      </c>
      <c r="E493" s="166" t="s">
        <v>418</v>
      </c>
      <c r="F493" s="167">
        <v>2</v>
      </c>
      <c r="G493" s="167" t="s">
        <v>8320</v>
      </c>
      <c r="H493" s="89">
        <v>20000000</v>
      </c>
      <c r="I493" s="89" t="str">
        <f>IF($H493&lt;='Abbrev Key'!$A$2,'Abbrev Key'!$B$2,IF($H493&lt;='Abbrev Key'!$A$3,'Abbrev Key'!$B$3,IF($H493&lt;='Abbrev Key'!$A$4,'Abbrev Key'!$B$4,IF($H493&lt;='Abbrev Key'!$A$5,'Abbrev Key'!$B$5,IF($H493&lt;='Abbrev Key'!$A$6,'Abbrev Key'!$B$6,IF($H493&gt;='Abbrev Key'!$A$7,'Abbrev Key'!$B$7,IF($H493='Abbrev Key'!$A$8,'Abbrev Key'!$B$8,"")))))))</f>
        <v>A</v>
      </c>
      <c r="J493" s="17" t="s">
        <v>9246</v>
      </c>
      <c r="K493" s="23" t="s">
        <v>637</v>
      </c>
      <c r="L493" s="398">
        <v>81191</v>
      </c>
      <c r="M493" s="403">
        <f t="shared" si="32"/>
        <v>4.0595500000000003E-3</v>
      </c>
      <c r="N493" s="23" t="s">
        <v>1204</v>
      </c>
      <c r="O493" s="23"/>
      <c r="P493" s="167" t="s">
        <v>4287</v>
      </c>
      <c r="Q493" s="392" t="str">
        <f t="shared" si="27"/>
        <v>06/12/2018</v>
      </c>
      <c r="R493" s="392">
        <f t="shared" si="28"/>
        <v>43262</v>
      </c>
      <c r="S493" s="392" t="str">
        <f>_xlfn.IFNA(VLOOKUP(B493,'[1]VLOOKUP NO DUPS'!$A$1:$C$456,2,FALSE),"")</f>
        <v>06/19/2018</v>
      </c>
      <c r="T493" s="168" t="str">
        <f>_xlfn.IFNA(VLOOKUP(B493,'[1]VLOOKUP NO DUPS'!$A$1:$C$456,3,FALSE),"")</f>
        <v>Bronstein, Gewirtz &amp; Grossman, LLC; Pomerantz LLP</v>
      </c>
      <c r="U493" s="167"/>
      <c r="V493" s="167"/>
      <c r="W493" s="167"/>
    </row>
    <row r="494" spans="1:23" s="86" customFormat="1" ht="30" x14ac:dyDescent="0.25">
      <c r="A494" s="165" t="str">
        <f t="shared" si="30"/>
        <v/>
      </c>
      <c r="B494" s="23" t="s">
        <v>8896</v>
      </c>
      <c r="C494" s="23" t="s">
        <v>8756</v>
      </c>
      <c r="D494" s="166" t="s">
        <v>8757</v>
      </c>
      <c r="E494" s="166" t="s">
        <v>457</v>
      </c>
      <c r="F494" s="167">
        <v>9</v>
      </c>
      <c r="G494" s="167" t="s">
        <v>8410</v>
      </c>
      <c r="H494" s="89">
        <v>20000000</v>
      </c>
      <c r="I494" s="89" t="str">
        <f>IF($H494&lt;='Abbrev Key'!$A$2,'Abbrev Key'!$B$2,IF($H494&lt;='Abbrev Key'!$A$3,'Abbrev Key'!$B$3,IF($H494&lt;='Abbrev Key'!$A$4,'Abbrev Key'!$B$4,IF($H494&lt;='Abbrev Key'!$A$5,'Abbrev Key'!$B$5,IF($H494&lt;='Abbrev Key'!$A$6,'Abbrev Key'!$B$6,IF($H494&gt;='Abbrev Key'!$A$7,'Abbrev Key'!$B$7,IF($H494='Abbrev Key'!$A$8,'Abbrev Key'!$B$8,"")))))))</f>
        <v>A</v>
      </c>
      <c r="J494" s="17" t="s">
        <v>9236</v>
      </c>
      <c r="K494" s="23" t="s">
        <v>637</v>
      </c>
      <c r="L494" s="354">
        <v>161530</v>
      </c>
      <c r="M494" s="405">
        <f t="shared" si="32"/>
        <v>8.0765000000000003E-3</v>
      </c>
      <c r="N494" s="92" t="s">
        <v>63</v>
      </c>
      <c r="O494" s="92"/>
      <c r="P494" s="167" t="s">
        <v>4287</v>
      </c>
      <c r="Q494" s="392" t="str">
        <f t="shared" si="27"/>
        <v>06/21/2018</v>
      </c>
      <c r="R494" s="392">
        <f t="shared" si="28"/>
        <v>43271</v>
      </c>
      <c r="S494" s="392" t="str">
        <f>_xlfn.IFNA(VLOOKUP(B494,'[1]VLOOKUP NO DUPS'!$A$1:$C$456,2,FALSE),"")</f>
        <v>06/21/2018</v>
      </c>
      <c r="T494" s="168" t="str">
        <f>_xlfn.IFNA(VLOOKUP(B494,'[1]VLOOKUP NO DUPS'!$A$1:$C$456,3,FALSE),"")</f>
        <v>Bronstein, Gewirtz &amp; Grossman, LLC; Levi &amp; Korsinsky, LLP; Pomerantz LLP</v>
      </c>
      <c r="U494" s="167"/>
      <c r="V494" s="167"/>
      <c r="W494" s="167"/>
    </row>
    <row r="495" spans="1:23" s="86" customFormat="1" ht="60" x14ac:dyDescent="0.25">
      <c r="A495" s="165" t="str">
        <f t="shared" si="30"/>
        <v/>
      </c>
      <c r="B495" s="23" t="s">
        <v>8874</v>
      </c>
      <c r="C495" s="23" t="s">
        <v>8554</v>
      </c>
      <c r="D495" s="166" t="s">
        <v>8720</v>
      </c>
      <c r="E495" s="166" t="s">
        <v>424</v>
      </c>
      <c r="F495" s="167">
        <v>3</v>
      </c>
      <c r="G495" s="167" t="s">
        <v>8379</v>
      </c>
      <c r="H495" s="89">
        <v>4700000000</v>
      </c>
      <c r="I495" s="89" t="str">
        <f>IF($H495&lt;='Abbrev Key'!$A$2,'Abbrev Key'!$B$2,IF($H495&lt;='Abbrev Key'!$A$3,'Abbrev Key'!$B$3,IF($H495&lt;='Abbrev Key'!$A$4,'Abbrev Key'!$B$4,IF($H495&lt;='Abbrev Key'!$A$5,'Abbrev Key'!$B$5,IF($H495&lt;='Abbrev Key'!$A$6,'Abbrev Key'!$B$6,IF($H495&gt;='Abbrev Key'!$A$7,'Abbrev Key'!$B$7,IF($H495='Abbrev Key'!$A$8,'Abbrev Key'!$B$8,"")))))))</f>
        <v>F</v>
      </c>
      <c r="J495" s="92" t="s">
        <v>9247</v>
      </c>
      <c r="K495" s="92" t="s">
        <v>633</v>
      </c>
      <c r="L495" s="398">
        <v>11041802</v>
      </c>
      <c r="M495" s="403">
        <f t="shared" si="32"/>
        <v>2.349319574468085E-3</v>
      </c>
      <c r="N495" s="92" t="str">
        <f>VLOOKUP(B495,[3]Sheet!$B$2:$C$139,2,FALSE)</f>
        <v xml:space="preserve">Barrack  Rodos &amp; Bacine </v>
      </c>
      <c r="O495" s="92"/>
      <c r="P495" s="167"/>
      <c r="Q495" s="392" t="str">
        <f t="shared" si="27"/>
        <v>01/24/2018</v>
      </c>
      <c r="R495" s="392">
        <f t="shared" si="28"/>
        <v>43123</v>
      </c>
      <c r="S495" s="392" t="str">
        <f>_xlfn.IFNA(VLOOKUP(B495,'[1]VLOOKUP NO DUPS'!$A$1:$C$456,2,FALSE),"")</f>
        <v>06/21/2018</v>
      </c>
      <c r="T495" s="168" t="str">
        <f>_xlfn.IFNA(VLOOKUP(B495,'[1]VLOOKUP NO DUPS'!$A$1:$C$456,3,FALSE),"")</f>
        <v>Bronstein, Gewirtz &amp; Grossman, LLC; Carella, Byrne, Cecchi, Olstein, Brody &amp; Agnello P.C.; Lite Depalma Greenberg, LLC; Pomerantz LLP; Robbins, Geller, Rudman &amp; Dowd, LLP</v>
      </c>
      <c r="U495" s="167"/>
      <c r="V495" s="167"/>
      <c r="W495" s="167"/>
    </row>
    <row r="496" spans="1:23" s="86" customFormat="1" ht="30" x14ac:dyDescent="0.25">
      <c r="A496" s="165" t="str">
        <f t="shared" si="30"/>
        <v/>
      </c>
      <c r="B496" s="23" t="s">
        <v>8888</v>
      </c>
      <c r="C496" s="23" t="s">
        <v>8741</v>
      </c>
      <c r="D496" s="166" t="s">
        <v>8742</v>
      </c>
      <c r="E496" s="166" t="s">
        <v>536</v>
      </c>
      <c r="F496" s="169">
        <v>10</v>
      </c>
      <c r="G496" s="167" t="s">
        <v>8399</v>
      </c>
      <c r="H496" s="89">
        <v>35000000</v>
      </c>
      <c r="I496" s="89" t="str">
        <f>IF($H496&lt;='Abbrev Key'!$A$2,'Abbrev Key'!$B$2,IF($H496&lt;='Abbrev Key'!$A$3,'Abbrev Key'!$B$3,IF($H496&lt;='Abbrev Key'!$A$4,'Abbrev Key'!$B$4,IF($H496&lt;='Abbrev Key'!$A$5,'Abbrev Key'!$B$5,IF($H496&lt;='Abbrev Key'!$A$6,'Abbrev Key'!$B$6,IF($H496&gt;='Abbrev Key'!$A$7,'Abbrev Key'!$B$7,IF($H496='Abbrev Key'!$A$8,'Abbrev Key'!$B$8,"")))))))</f>
        <v>B</v>
      </c>
      <c r="J496" s="92" t="s">
        <v>4332</v>
      </c>
      <c r="K496" s="92" t="s">
        <v>4332</v>
      </c>
      <c r="L496" s="92" t="s">
        <v>4332</v>
      </c>
      <c r="M496" s="92" t="s">
        <v>4332</v>
      </c>
      <c r="N496" s="92" t="s">
        <v>4332</v>
      </c>
      <c r="O496" s="92"/>
      <c r="P496" s="167" t="s">
        <v>4287</v>
      </c>
      <c r="Q496" s="392" t="str">
        <f t="shared" si="27"/>
        <v>06/22/2018</v>
      </c>
      <c r="R496" s="392">
        <f t="shared" si="28"/>
        <v>43272</v>
      </c>
      <c r="S496" s="392" t="s">
        <v>9052</v>
      </c>
      <c r="T496" s="168" t="s">
        <v>10906</v>
      </c>
      <c r="U496" s="167"/>
      <c r="V496" s="167"/>
      <c r="W496" s="167"/>
    </row>
    <row r="497" spans="1:23" s="86" customFormat="1" ht="30" x14ac:dyDescent="0.25">
      <c r="A497" s="165" t="str">
        <f t="shared" si="30"/>
        <v/>
      </c>
      <c r="B497" s="23" t="s">
        <v>8841</v>
      </c>
      <c r="C497" s="23" t="s">
        <v>8678</v>
      </c>
      <c r="D497" s="166" t="s">
        <v>8679</v>
      </c>
      <c r="E497" s="166" t="s">
        <v>465</v>
      </c>
      <c r="F497" s="169">
        <v>7</v>
      </c>
      <c r="G497" s="167" t="s">
        <v>8331</v>
      </c>
      <c r="H497" s="89">
        <v>90000000</v>
      </c>
      <c r="I497" s="89" t="str">
        <f>IF($H497&lt;='Abbrev Key'!$A$2,'Abbrev Key'!$B$2,IF($H497&lt;='Abbrev Key'!$A$3,'Abbrev Key'!$B$3,IF($H497&lt;='Abbrev Key'!$A$4,'Abbrev Key'!$B$4,IF($H497&lt;='Abbrev Key'!$A$5,'Abbrev Key'!$B$5,IF($H497&lt;='Abbrev Key'!$A$6,'Abbrev Key'!$B$6,IF($H497&gt;='Abbrev Key'!$A$7,'Abbrev Key'!$B$7,IF($H497='Abbrev Key'!$A$8,'Abbrev Key'!$B$8,"")))))))</f>
        <v>C</v>
      </c>
      <c r="J497" s="92" t="s">
        <v>11939</v>
      </c>
      <c r="K497" s="92" t="s">
        <v>646</v>
      </c>
      <c r="L497" s="398">
        <f>91421.46+83243.77</f>
        <v>174665.23</v>
      </c>
      <c r="M497" s="403">
        <f>IFERROR((L497/H497),"DC")</f>
        <v>1.940724777777778E-3</v>
      </c>
      <c r="N497" s="92" t="s">
        <v>10999</v>
      </c>
      <c r="O497" s="92" t="s">
        <v>11197</v>
      </c>
      <c r="P497" s="167" t="s">
        <v>4287</v>
      </c>
      <c r="Q497" s="392" t="str">
        <f t="shared" si="27"/>
        <v>05/07/2018</v>
      </c>
      <c r="R497" s="392">
        <f t="shared" si="28"/>
        <v>43226</v>
      </c>
      <c r="S497" s="392" t="s">
        <v>9053</v>
      </c>
      <c r="T497" s="168" t="s">
        <v>2827</v>
      </c>
      <c r="U497" s="167"/>
      <c r="V497" s="167"/>
      <c r="W497" s="167"/>
    </row>
    <row r="498" spans="1:23" s="86" customFormat="1" x14ac:dyDescent="0.25">
      <c r="A498" s="165" t="str">
        <f t="shared" si="30"/>
        <v/>
      </c>
      <c r="B498" s="23" t="s">
        <v>8900</v>
      </c>
      <c r="C498" s="23" t="s">
        <v>8578</v>
      </c>
      <c r="D498" s="166" t="s">
        <v>8765</v>
      </c>
      <c r="E498" s="166" t="s">
        <v>1008</v>
      </c>
      <c r="F498" s="167">
        <v>2</v>
      </c>
      <c r="G498" s="167" t="s">
        <v>8417</v>
      </c>
      <c r="H498" s="89">
        <v>55000000</v>
      </c>
      <c r="I498" s="89" t="str">
        <f>IF($H498&lt;='Abbrev Key'!$A$2,'Abbrev Key'!$B$2,IF($H498&lt;='Abbrev Key'!$A$3,'Abbrev Key'!$B$3,IF($H498&lt;='Abbrev Key'!$A$4,'Abbrev Key'!$B$4,IF($H498&lt;='Abbrev Key'!$A$5,'Abbrev Key'!$B$5,IF($H498&lt;='Abbrev Key'!$A$6,'Abbrev Key'!$B$6,IF($H498&gt;='Abbrev Key'!$A$7,'Abbrev Key'!$B$7,IF($H498='Abbrev Key'!$A$8,'Abbrev Key'!$B$8,"")))))))</f>
        <v>C</v>
      </c>
      <c r="J498" s="92" t="s">
        <v>4332</v>
      </c>
      <c r="K498" s="92" t="s">
        <v>4332</v>
      </c>
      <c r="L498" s="92" t="s">
        <v>4332</v>
      </c>
      <c r="M498" s="92" t="s">
        <v>4332</v>
      </c>
      <c r="N498" s="92" t="s">
        <v>4332</v>
      </c>
      <c r="O498" s="92"/>
      <c r="P498" s="167" t="s">
        <v>4287</v>
      </c>
      <c r="Q498" s="392" t="str">
        <f t="shared" si="27"/>
        <v>06/26/2018</v>
      </c>
      <c r="R498" s="392">
        <f t="shared" si="28"/>
        <v>43276</v>
      </c>
      <c r="S498" s="392" t="str">
        <f>_xlfn.IFNA(VLOOKUP(B498,'[1]VLOOKUP NO DUPS'!$A$1:$C$456,2,FALSE),"")</f>
        <v>06/27/2018</v>
      </c>
      <c r="T498" s="168" t="str">
        <f>_xlfn.IFNA(VLOOKUP(B498,'[1]VLOOKUP NO DUPS'!$A$1:$C$456,3,FALSE),"")</f>
        <v>The Rosen Law Firm, P.A.</v>
      </c>
      <c r="U498" s="167"/>
      <c r="V498" s="167"/>
      <c r="W498" s="167"/>
    </row>
    <row r="499" spans="1:23" s="86" customFormat="1" x14ac:dyDescent="0.25">
      <c r="A499" s="165" t="str">
        <f t="shared" si="30"/>
        <v/>
      </c>
      <c r="B499" s="23" t="s">
        <v>8840</v>
      </c>
      <c r="C499" s="23" t="s">
        <v>10940</v>
      </c>
      <c r="D499" s="166" t="s">
        <v>8677</v>
      </c>
      <c r="E499" s="166" t="s">
        <v>424</v>
      </c>
      <c r="F499" s="167">
        <v>3</v>
      </c>
      <c r="G499" s="167" t="s">
        <v>8330</v>
      </c>
      <c r="H499" s="89">
        <v>45000000</v>
      </c>
      <c r="I499" s="89" t="str">
        <f>IF($H499&lt;='Abbrev Key'!$A$2,'Abbrev Key'!$B$2,IF($H499&lt;='Abbrev Key'!$A$3,'Abbrev Key'!$B$3,IF($H499&lt;='Abbrev Key'!$A$4,'Abbrev Key'!$B$4,IF($H499&lt;='Abbrev Key'!$A$5,'Abbrev Key'!$B$5,IF($H499&lt;='Abbrev Key'!$A$6,'Abbrev Key'!$B$6,IF($H499&gt;='Abbrev Key'!$A$7,'Abbrev Key'!$B$7,IF($H499='Abbrev Key'!$A$8,'Abbrev Key'!$B$8,"")))))))</f>
        <v>B</v>
      </c>
      <c r="J499" s="17" t="s">
        <v>9212</v>
      </c>
      <c r="K499" s="92" t="s">
        <v>637</v>
      </c>
      <c r="L499" s="398">
        <v>11930.91</v>
      </c>
      <c r="M499" s="403">
        <f>IFERROR((L499/H499),"DC")</f>
        <v>2.6513133333333331E-4</v>
      </c>
      <c r="N499" s="17" t="s">
        <v>63</v>
      </c>
      <c r="O499" s="92"/>
      <c r="P499" s="167" t="s">
        <v>4287</v>
      </c>
      <c r="Q499" s="392" t="str">
        <f t="shared" si="27"/>
        <v>07/02/2018</v>
      </c>
      <c r="R499" s="392">
        <f t="shared" si="28"/>
        <v>43282</v>
      </c>
      <c r="S499" s="392" t="str">
        <f>_xlfn.IFNA(VLOOKUP(B499,'[1]VLOOKUP NO DUPS'!$A$1:$C$456,2,FALSE),"")</f>
        <v>07/09/2018</v>
      </c>
      <c r="T499" s="168" t="str">
        <f>_xlfn.IFNA(VLOOKUP(B499,'[1]VLOOKUP NO DUPS'!$A$1:$C$456,3,FALSE),"")</f>
        <v>The Rosen Law Firm, P.A.</v>
      </c>
      <c r="U499" s="167"/>
      <c r="V499" s="167"/>
      <c r="W499" s="167"/>
    </row>
    <row r="500" spans="1:23" s="86" customFormat="1" ht="30" x14ac:dyDescent="0.25">
      <c r="A500" s="165" t="str">
        <f t="shared" si="30"/>
        <v/>
      </c>
      <c r="B500" s="23" t="s">
        <v>8864</v>
      </c>
      <c r="C500" s="23" t="s">
        <v>8544</v>
      </c>
      <c r="D500" s="166" t="s">
        <v>8707</v>
      </c>
      <c r="E500" s="166" t="s">
        <v>603</v>
      </c>
      <c r="F500" s="167">
        <v>11</v>
      </c>
      <c r="G500" s="167" t="s">
        <v>8365</v>
      </c>
      <c r="H500" s="89">
        <v>950000000</v>
      </c>
      <c r="I500" s="89" t="str">
        <f>IF($H500&lt;='Abbrev Key'!$A$2,'Abbrev Key'!$B$2,IF($H500&lt;='Abbrev Key'!$A$3,'Abbrev Key'!$B$3,IF($H500&lt;='Abbrev Key'!$A$4,'Abbrev Key'!$B$4,IF($H500&lt;='Abbrev Key'!$A$5,'Abbrev Key'!$B$5,IF($H500&lt;='Abbrev Key'!$A$6,'Abbrev Key'!$B$6,IF($H500&gt;='Abbrev Key'!$A$7,'Abbrev Key'!$B$7,IF($H500='Abbrev Key'!$A$8,'Abbrev Key'!$B$8,"")))))))</f>
        <v>F</v>
      </c>
      <c r="J500" s="92" t="s">
        <v>4332</v>
      </c>
      <c r="K500" s="92" t="s">
        <v>4332</v>
      </c>
      <c r="L500" s="92" t="s">
        <v>4332</v>
      </c>
      <c r="M500" s="92" t="s">
        <v>4332</v>
      </c>
      <c r="N500" s="92" t="s">
        <v>4332</v>
      </c>
      <c r="O500" s="92"/>
      <c r="P500" s="167" t="s">
        <v>4287</v>
      </c>
      <c r="Q500" s="392" t="str">
        <f t="shared" si="27"/>
        <v>07/27/2017</v>
      </c>
      <c r="R500" s="392">
        <f t="shared" si="28"/>
        <v>42942</v>
      </c>
      <c r="S500" s="392" t="str">
        <f>_xlfn.IFNA(VLOOKUP(B500,'[1]VLOOKUP NO DUPS'!$A$1:$C$456,2,FALSE),"")</f>
        <v>07/10/2018</v>
      </c>
      <c r="T500" s="168" t="str">
        <f>_xlfn.IFNA(VLOOKUP(B500,'[1]VLOOKUP NO DUPS'!$A$1:$C$456,3,FALSE),"")</f>
        <v>Bernstein Litowitz Berger &amp; Grossmann LLP; Klausner, Kaufman, Jensen &amp; Levinson</v>
      </c>
      <c r="U500" s="167"/>
      <c r="V500" s="167"/>
      <c r="W500" s="167"/>
    </row>
    <row r="501" spans="1:23" s="86" customFormat="1" ht="30" x14ac:dyDescent="0.25">
      <c r="A501" s="165" t="str">
        <f t="shared" si="30"/>
        <v/>
      </c>
      <c r="B501" s="23" t="s">
        <v>8865</v>
      </c>
      <c r="C501" s="23" t="s">
        <v>8545</v>
      </c>
      <c r="D501" s="166" t="s">
        <v>8708</v>
      </c>
      <c r="E501" s="166" t="s">
        <v>409</v>
      </c>
      <c r="F501" s="167">
        <v>1</v>
      </c>
      <c r="G501" s="167" t="s">
        <v>8366</v>
      </c>
      <c r="H501" s="89">
        <v>130000000</v>
      </c>
      <c r="I501" s="89" t="str">
        <f>IF($H501&lt;='Abbrev Key'!$A$2,'Abbrev Key'!$B$2,IF($H501&lt;='Abbrev Key'!$A$3,'Abbrev Key'!$B$3,IF($H501&lt;='Abbrev Key'!$A$4,'Abbrev Key'!$B$4,IF($H501&lt;='Abbrev Key'!$A$5,'Abbrev Key'!$B$5,IF($H501&lt;='Abbrev Key'!$A$6,'Abbrev Key'!$B$6,IF($H501&gt;='Abbrev Key'!$A$7,'Abbrev Key'!$B$7,IF($H501='Abbrev Key'!$A$8,'Abbrev Key'!$B$8,"")))))))</f>
        <v>D</v>
      </c>
      <c r="J501" s="17" t="s">
        <v>2121</v>
      </c>
      <c r="K501" s="23" t="s">
        <v>633</v>
      </c>
      <c r="L501" s="398">
        <v>28878.98</v>
      </c>
      <c r="M501" s="403">
        <f>IFERROR((L501/H501),"DC")</f>
        <v>2.22146E-4</v>
      </c>
      <c r="N501" s="92" t="str">
        <f>VLOOKUP(B501,[3]Sheet!$B$2:$C$139,2,FALSE)</f>
        <v xml:space="preserve">Levi &amp; Korsinsky, LLP </v>
      </c>
      <c r="O501" s="92"/>
      <c r="P501" s="167"/>
      <c r="Q501" s="392" t="str">
        <f t="shared" si="27"/>
        <v>04/24/2018</v>
      </c>
      <c r="R501" s="392">
        <f t="shared" si="28"/>
        <v>43213</v>
      </c>
      <c r="S501" s="392" t="str">
        <f>_xlfn.IFNA(VLOOKUP(B501,'[1]VLOOKUP NO DUPS'!$A$1:$C$456,2,FALSE),"")</f>
        <v>07/10/2018</v>
      </c>
      <c r="T501" s="168" t="str">
        <f>_xlfn.IFNA(VLOOKUP(B501,'[1]VLOOKUP NO DUPS'!$A$1:$C$456,3,FALSE),"")</f>
        <v>Levi &amp; Korsinsky, LLP</v>
      </c>
      <c r="U501" s="167"/>
      <c r="V501" s="167"/>
      <c r="W501" s="167"/>
    </row>
    <row r="502" spans="1:23" s="86" customFormat="1" x14ac:dyDescent="0.25">
      <c r="A502" s="165" t="str">
        <f t="shared" si="30"/>
        <v/>
      </c>
      <c r="B502" s="23" t="s">
        <v>8890</v>
      </c>
      <c r="C502" s="23" t="s">
        <v>8746</v>
      </c>
      <c r="D502" s="166" t="s">
        <v>8747</v>
      </c>
      <c r="E502" s="166" t="s">
        <v>457</v>
      </c>
      <c r="F502" s="167">
        <v>9</v>
      </c>
      <c r="G502" s="167" t="s">
        <v>8402</v>
      </c>
      <c r="H502" s="89">
        <v>875000000</v>
      </c>
      <c r="I502" s="89" t="str">
        <f>IF($H502&lt;='Abbrev Key'!$A$2,'Abbrev Key'!$B$2,IF($H502&lt;='Abbrev Key'!$A$3,'Abbrev Key'!$B$3,IF($H502&lt;='Abbrev Key'!$A$4,'Abbrev Key'!$B$4,IF($H502&lt;='Abbrev Key'!$A$5,'Abbrev Key'!$B$5,IF($H502&lt;='Abbrev Key'!$A$6,'Abbrev Key'!$B$6,IF($H502&gt;='Abbrev Key'!$A$7,'Abbrev Key'!$B$7,IF($H502='Abbrev Key'!$A$8,'Abbrev Key'!$B$8,"")))))))</f>
        <v>F</v>
      </c>
      <c r="J502" s="17" t="s">
        <v>11894</v>
      </c>
      <c r="K502" s="17" t="s">
        <v>662</v>
      </c>
      <c r="L502" s="399">
        <v>2021926.3199999998</v>
      </c>
      <c r="M502" s="404">
        <f>IFERROR((L502/H502),"DC")</f>
        <v>2.3107729371428568E-3</v>
      </c>
      <c r="N502" s="17" t="s">
        <v>9722</v>
      </c>
      <c r="O502" s="17"/>
      <c r="P502" s="167"/>
      <c r="Q502" s="392" t="str">
        <f t="shared" si="27"/>
        <v>04/20/2018</v>
      </c>
      <c r="R502" s="392">
        <f t="shared" si="28"/>
        <v>43209</v>
      </c>
      <c r="S502" s="392" t="s">
        <v>9041</v>
      </c>
      <c r="T502" s="168" t="s">
        <v>56</v>
      </c>
      <c r="U502" s="167"/>
      <c r="V502" s="167"/>
      <c r="W502" s="167"/>
    </row>
    <row r="503" spans="1:23" s="86" customFormat="1" ht="30" x14ac:dyDescent="0.25">
      <c r="A503" s="165" t="str">
        <f t="shared" si="30"/>
        <v>DUP</v>
      </c>
      <c r="B503" s="23" t="s">
        <v>2768</v>
      </c>
      <c r="C503" s="23" t="s">
        <v>10775</v>
      </c>
      <c r="D503" s="166" t="s">
        <v>8718</v>
      </c>
      <c r="E503" s="166" t="s">
        <v>603</v>
      </c>
      <c r="F503" s="167">
        <v>11</v>
      </c>
      <c r="G503" s="167" t="s">
        <v>8377</v>
      </c>
      <c r="H503" s="89">
        <v>30000000</v>
      </c>
      <c r="I503" s="89" t="str">
        <f>IF($H503&lt;='Abbrev Key'!$A$2,'Abbrev Key'!$B$2,IF($H503&lt;='Abbrev Key'!$A$3,'Abbrev Key'!$B$3,IF($H503&lt;='Abbrev Key'!$A$4,'Abbrev Key'!$B$4,IF($H503&lt;='Abbrev Key'!$A$5,'Abbrev Key'!$B$5,IF($H503&lt;='Abbrev Key'!$A$6,'Abbrev Key'!$B$6,IF($H503&gt;='Abbrev Key'!$A$7,'Abbrev Key'!$B$7,IF($H503='Abbrev Key'!$A$8,'Abbrev Key'!$B$8,"")))))))</f>
        <v>B</v>
      </c>
      <c r="J503" s="17" t="s">
        <v>9196</v>
      </c>
      <c r="K503" s="23" t="s">
        <v>637</v>
      </c>
      <c r="L503" s="398">
        <v>597436</v>
      </c>
      <c r="M503" s="403">
        <f>IFERROR((L503/H503),"DC")</f>
        <v>1.9914533333333335E-2</v>
      </c>
      <c r="N503" s="23" t="s">
        <v>9723</v>
      </c>
      <c r="O503" s="23"/>
      <c r="P503" s="167"/>
      <c r="Q503" s="392" t="str">
        <f t="shared" ref="Q503:Q566" si="33">RIGHT(G503,10)</f>
        <v>07/03/2018</v>
      </c>
      <c r="R503" s="392">
        <f t="shared" ref="R503:R566" si="34">Q503-1</f>
        <v>43283</v>
      </c>
      <c r="S503" s="392" t="s">
        <v>9042</v>
      </c>
      <c r="T503" s="168" t="s">
        <v>79</v>
      </c>
      <c r="U503" s="167"/>
      <c r="V503" s="167"/>
      <c r="W503" s="167"/>
    </row>
    <row r="504" spans="1:23" s="86" customFormat="1" x14ac:dyDescent="0.25">
      <c r="A504" s="164" t="str">
        <f t="shared" si="30"/>
        <v/>
      </c>
      <c r="B504" s="23" t="s">
        <v>8240</v>
      </c>
      <c r="C504" s="23" t="s">
        <v>8615</v>
      </c>
      <c r="D504" s="166" t="s">
        <v>8616</v>
      </c>
      <c r="E504" s="166" t="s">
        <v>557</v>
      </c>
      <c r="F504" s="167">
        <v>9</v>
      </c>
      <c r="G504" s="167" t="s">
        <v>8251</v>
      </c>
      <c r="H504" s="89">
        <v>950000000</v>
      </c>
      <c r="I504" s="89" t="str">
        <f>IF($H504&lt;='Abbrev Key'!$A$2,'Abbrev Key'!$B$2,IF($H504&lt;='Abbrev Key'!$A$3,'Abbrev Key'!$B$3,IF($H504&lt;='Abbrev Key'!$A$4,'Abbrev Key'!$B$4,IF($H504&lt;='Abbrev Key'!$A$5,'Abbrev Key'!$B$5,IF($H504&lt;='Abbrev Key'!$A$6,'Abbrev Key'!$B$6,IF($H504&gt;='Abbrev Key'!$A$7,'Abbrev Key'!$B$7,IF($H504='Abbrev Key'!$A$8,'Abbrev Key'!$B$8,"")))))))</f>
        <v>F</v>
      </c>
      <c r="J504" s="92" t="s">
        <v>4332</v>
      </c>
      <c r="K504" s="92" t="s">
        <v>4332</v>
      </c>
      <c r="L504" s="92" t="s">
        <v>4332</v>
      </c>
      <c r="M504" s="92" t="s">
        <v>4332</v>
      </c>
      <c r="N504" s="92" t="s">
        <v>4332</v>
      </c>
      <c r="O504" s="92"/>
      <c r="P504" s="167"/>
      <c r="Q504" s="392" t="str">
        <f t="shared" si="33"/>
        <v>07/09/2018</v>
      </c>
      <c r="R504" s="392">
        <f t="shared" si="34"/>
        <v>43289</v>
      </c>
      <c r="S504" s="392" t="s">
        <v>9043</v>
      </c>
      <c r="T504" s="168" t="s">
        <v>597</v>
      </c>
      <c r="U504" s="167"/>
      <c r="V504" s="167"/>
      <c r="W504" s="167"/>
    </row>
    <row r="505" spans="1:23" s="86" customFormat="1" ht="30" x14ac:dyDescent="0.25">
      <c r="A505" s="165" t="str">
        <f t="shared" si="30"/>
        <v/>
      </c>
      <c r="B505" s="23" t="s">
        <v>8922</v>
      </c>
      <c r="C505" s="23" t="s">
        <v>8602</v>
      </c>
      <c r="D505" s="166" t="s">
        <v>8943</v>
      </c>
      <c r="E505" s="166" t="s">
        <v>418</v>
      </c>
      <c r="F505" s="167">
        <v>2</v>
      </c>
      <c r="G505" s="167" t="s">
        <v>8451</v>
      </c>
      <c r="H505" s="89">
        <v>18000000</v>
      </c>
      <c r="I505" s="89" t="str">
        <f>IF($H505&lt;='Abbrev Key'!$A$2,'Abbrev Key'!$B$2,IF($H505&lt;='Abbrev Key'!$A$3,'Abbrev Key'!$B$3,IF($H505&lt;='Abbrev Key'!$A$4,'Abbrev Key'!$B$4,IF($H505&lt;='Abbrev Key'!$A$5,'Abbrev Key'!$B$5,IF($H505&lt;='Abbrev Key'!$A$6,'Abbrev Key'!$B$6,IF($H505&gt;='Abbrev Key'!$A$7,'Abbrev Key'!$B$7,IF($H505='Abbrev Key'!$A$8,'Abbrev Key'!$B$8,"")))))))</f>
        <v>A</v>
      </c>
      <c r="J505" s="23" t="s">
        <v>9192</v>
      </c>
      <c r="K505" s="23" t="s">
        <v>637</v>
      </c>
      <c r="L505" s="398">
        <v>120905</v>
      </c>
      <c r="M505" s="403">
        <f>IFERROR((L505/H505),"DC")</f>
        <v>6.7169444444444447E-3</v>
      </c>
      <c r="N505" s="23" t="s">
        <v>2345</v>
      </c>
      <c r="O505" s="23"/>
      <c r="P505" s="167" t="s">
        <v>4287</v>
      </c>
      <c r="Q505" s="392" t="str">
        <f t="shared" si="33"/>
        <v>03/20/2018</v>
      </c>
      <c r="R505" s="392">
        <f t="shared" si="34"/>
        <v>43178</v>
      </c>
      <c r="S505" s="392" t="str">
        <f>_xlfn.IFNA(VLOOKUP(B505,'[1]VLOOKUP NO DUPS'!$A$1:$C$456,2,FALSE),"")</f>
        <v>07/24/2018</v>
      </c>
      <c r="T505" s="168" t="str">
        <f>_xlfn.IFNA(VLOOKUP(B505,'[1]VLOOKUP NO DUPS'!$A$1:$C$456,3,FALSE),"")</f>
        <v>Bronstein, Gewirtz &amp; Grossman, LLC; Glancy Prongay &amp; Murray, LLP; Pomerantz LLP</v>
      </c>
      <c r="U505" s="167"/>
      <c r="V505" s="167"/>
      <c r="W505" s="167"/>
    </row>
    <row r="506" spans="1:23" s="86" customFormat="1" ht="30" x14ac:dyDescent="0.25">
      <c r="A506" s="165" t="str">
        <f t="shared" si="30"/>
        <v>DUP</v>
      </c>
      <c r="B506" s="23" t="s">
        <v>3351</v>
      </c>
      <c r="C506" s="23" t="s">
        <v>10680</v>
      </c>
      <c r="D506" s="166" t="s">
        <v>8761</v>
      </c>
      <c r="E506" s="166" t="s">
        <v>1008</v>
      </c>
      <c r="F506" s="167">
        <v>2</v>
      </c>
      <c r="G506" s="167" t="s">
        <v>8413</v>
      </c>
      <c r="H506" s="89">
        <v>10000000</v>
      </c>
      <c r="I506" s="89" t="str">
        <f>IF($H506&lt;='Abbrev Key'!$A$2,'Abbrev Key'!$B$2,IF($H506&lt;='Abbrev Key'!$A$3,'Abbrev Key'!$B$3,IF($H506&lt;='Abbrev Key'!$A$4,'Abbrev Key'!$B$4,IF($H506&lt;='Abbrev Key'!$A$5,'Abbrev Key'!$B$5,IF($H506&lt;='Abbrev Key'!$A$6,'Abbrev Key'!$B$6,IF($H506&gt;='Abbrev Key'!$A$7,'Abbrev Key'!$B$7,IF($H506='Abbrev Key'!$A$8,'Abbrev Key'!$B$8,"")))))))</f>
        <v>A</v>
      </c>
      <c r="J506" s="92" t="s">
        <v>11963</v>
      </c>
      <c r="K506" s="92" t="s">
        <v>662</v>
      </c>
      <c r="L506" s="398">
        <f>25965+27283.87</f>
        <v>53248.869999999995</v>
      </c>
      <c r="M506" s="403">
        <f>IFERROR((L506/H506),"DC")</f>
        <v>5.3248869999999995E-3</v>
      </c>
      <c r="N506" s="92" t="s">
        <v>885</v>
      </c>
      <c r="O506" s="92" t="s">
        <v>11197</v>
      </c>
      <c r="P506" s="167"/>
      <c r="Q506" s="392" t="str">
        <f t="shared" si="33"/>
        <v>06/26/2018</v>
      </c>
      <c r="R506" s="392">
        <f t="shared" si="34"/>
        <v>43276</v>
      </c>
      <c r="S506" s="392" t="s">
        <v>9038</v>
      </c>
      <c r="T506" s="168" t="s">
        <v>10903</v>
      </c>
      <c r="U506" s="167"/>
      <c r="V506" s="167"/>
      <c r="W506" s="167"/>
    </row>
    <row r="507" spans="1:23" s="86" customFormat="1" ht="30" x14ac:dyDescent="0.25">
      <c r="A507" s="165" t="str">
        <f t="shared" si="30"/>
        <v/>
      </c>
      <c r="B507" s="23" t="s">
        <v>8837</v>
      </c>
      <c r="C507" s="23" t="s">
        <v>8522</v>
      </c>
      <c r="D507" s="166" t="s">
        <v>8675</v>
      </c>
      <c r="E507" s="166" t="s">
        <v>414</v>
      </c>
      <c r="F507" s="169">
        <v>5</v>
      </c>
      <c r="G507" s="167" t="s">
        <v>8325</v>
      </c>
      <c r="H507" s="89">
        <v>300000000</v>
      </c>
      <c r="I507" s="89" t="str">
        <f>IF($H507&lt;='Abbrev Key'!$A$2,'Abbrev Key'!$B$2,IF($H507&lt;='Abbrev Key'!$A$3,'Abbrev Key'!$B$3,IF($H507&lt;='Abbrev Key'!$A$4,'Abbrev Key'!$B$4,IF($H507&lt;='Abbrev Key'!$A$5,'Abbrev Key'!$B$5,IF($H507&lt;='Abbrev Key'!$A$6,'Abbrev Key'!$B$6,IF($H507&gt;='Abbrev Key'!$A$7,'Abbrev Key'!$B$7,IF($H507='Abbrev Key'!$A$8,'Abbrev Key'!$B$8,"")))))))</f>
        <v>E</v>
      </c>
      <c r="J507" s="23" t="s">
        <v>10990</v>
      </c>
      <c r="K507" s="92" t="s">
        <v>637</v>
      </c>
      <c r="L507" s="398">
        <v>188361.48</v>
      </c>
      <c r="M507" s="403">
        <f>IFERROR((L507/H507),"DC")</f>
        <v>6.2787159999999999E-4</v>
      </c>
      <c r="N507" s="92" t="s">
        <v>7269</v>
      </c>
      <c r="O507" s="92"/>
      <c r="P507" s="167"/>
      <c r="Q507" s="392" t="str">
        <f t="shared" si="33"/>
        <v>07/31/2018</v>
      </c>
      <c r="R507" s="392">
        <f t="shared" si="34"/>
        <v>43311</v>
      </c>
      <c r="S507" s="392" t="str">
        <f>_xlfn.IFNA(VLOOKUP(B507,'[1]VLOOKUP NO DUPS'!$A$1:$C$456,2,FALSE),"")</f>
        <v>08/02/2018</v>
      </c>
      <c r="T507" s="168" t="str">
        <f>_xlfn.IFNA(VLOOKUP(B507,'[1]VLOOKUP NO DUPS'!$A$1:$C$456,3,FALSE),"")</f>
        <v>Steckler Gresham Cochran; The Rosen Law Firm, P.A.</v>
      </c>
      <c r="U507" s="167"/>
      <c r="V507" s="167"/>
      <c r="W507" s="167"/>
    </row>
    <row r="508" spans="1:23" s="86" customFormat="1" ht="45" x14ac:dyDescent="0.25">
      <c r="A508" s="165" t="str">
        <f t="shared" si="30"/>
        <v/>
      </c>
      <c r="B508" s="23" t="s">
        <v>8844</v>
      </c>
      <c r="C508" s="23" t="s">
        <v>8684</v>
      </c>
      <c r="D508" s="166" t="s">
        <v>8685</v>
      </c>
      <c r="E508" s="166" t="s">
        <v>418</v>
      </c>
      <c r="F508" s="167">
        <v>2</v>
      </c>
      <c r="G508" s="167" t="s">
        <v>8336</v>
      </c>
      <c r="H508" s="89">
        <v>25000000</v>
      </c>
      <c r="I508" s="89" t="str">
        <f>IF($H508&lt;='Abbrev Key'!$A$2,'Abbrev Key'!$B$2,IF($H508&lt;='Abbrev Key'!$A$3,'Abbrev Key'!$B$3,IF($H508&lt;='Abbrev Key'!$A$4,'Abbrev Key'!$B$4,IF($H508&lt;='Abbrev Key'!$A$5,'Abbrev Key'!$B$5,IF($H508&lt;='Abbrev Key'!$A$6,'Abbrev Key'!$B$6,IF($H508&gt;='Abbrev Key'!$A$7,'Abbrev Key'!$B$7,IF($H508='Abbrev Key'!$A$8,'Abbrev Key'!$B$8,"")))))))</f>
        <v>A</v>
      </c>
      <c r="J508" s="23" t="s">
        <v>11850</v>
      </c>
      <c r="K508" s="92" t="s">
        <v>646</v>
      </c>
      <c r="L508" s="398">
        <v>2565525.73</v>
      </c>
      <c r="M508" s="403">
        <f>IFERROR((L508/H508),"DC")</f>
        <v>0.10262102920000001</v>
      </c>
      <c r="N508" s="92" t="s">
        <v>63</v>
      </c>
      <c r="O508" s="92"/>
      <c r="P508" s="167" t="s">
        <v>4287</v>
      </c>
      <c r="Q508" s="392" t="str">
        <f t="shared" si="33"/>
        <v>07/26/2018</v>
      </c>
      <c r="R508" s="392">
        <f t="shared" si="34"/>
        <v>43306</v>
      </c>
      <c r="S508" s="392" t="s">
        <v>10889</v>
      </c>
      <c r="T508" s="168" t="s">
        <v>10923</v>
      </c>
      <c r="U508" s="167"/>
      <c r="V508" s="167"/>
      <c r="W508" s="167"/>
    </row>
    <row r="509" spans="1:23" s="86" customFormat="1" x14ac:dyDescent="0.25">
      <c r="A509" s="165" t="str">
        <f t="shared" si="30"/>
        <v/>
      </c>
      <c r="B509" s="23" t="s">
        <v>8875</v>
      </c>
      <c r="C509" s="23" t="s">
        <v>8556</v>
      </c>
      <c r="D509" s="166" t="s">
        <v>8721</v>
      </c>
      <c r="E509" s="166" t="s">
        <v>418</v>
      </c>
      <c r="F509" s="167">
        <v>2</v>
      </c>
      <c r="G509" s="167" t="s">
        <v>8381</v>
      </c>
      <c r="H509" s="89">
        <v>1275000000</v>
      </c>
      <c r="I509" s="89" t="str">
        <f>IF($H509&lt;='Abbrev Key'!$A$2,'Abbrev Key'!$B$2,IF($H509&lt;='Abbrev Key'!$A$3,'Abbrev Key'!$B$3,IF($H509&lt;='Abbrev Key'!$A$4,'Abbrev Key'!$B$4,IF($H509&lt;='Abbrev Key'!$A$5,'Abbrev Key'!$B$5,IF($H509&lt;='Abbrev Key'!$A$6,'Abbrev Key'!$B$6,IF($H509&gt;='Abbrev Key'!$A$7,'Abbrev Key'!$B$7,IF($H509='Abbrev Key'!$A$8,'Abbrev Key'!$B$8,"")))))))</f>
        <v>F</v>
      </c>
      <c r="J509" s="92" t="s">
        <v>4332</v>
      </c>
      <c r="K509" s="92" t="s">
        <v>4332</v>
      </c>
      <c r="L509" s="92" t="s">
        <v>4332</v>
      </c>
      <c r="M509" s="92" t="s">
        <v>4332</v>
      </c>
      <c r="N509" s="92" t="s">
        <v>4332</v>
      </c>
      <c r="O509" s="92"/>
      <c r="P509" s="167" t="s">
        <v>4287</v>
      </c>
      <c r="Q509" s="392" t="str">
        <f t="shared" si="33"/>
        <v>07/25/2018</v>
      </c>
      <c r="R509" s="392">
        <f t="shared" si="34"/>
        <v>43305</v>
      </c>
      <c r="S509" s="392" t="str">
        <f>_xlfn.IFNA(VLOOKUP(B509,'[1]VLOOKUP NO DUPS'!$A$1:$C$456,2,FALSE),"")</f>
        <v>08/08/2018</v>
      </c>
      <c r="T509" s="168" t="str">
        <f>_xlfn.IFNA(VLOOKUP(B509,'[1]VLOOKUP NO DUPS'!$A$1:$C$456,3,FALSE),"")</f>
        <v>Robbins, Geller, Rudman &amp; Dowd, LLP</v>
      </c>
      <c r="U509" s="167"/>
      <c r="V509" s="167"/>
      <c r="W509" s="167"/>
    </row>
    <row r="510" spans="1:23" s="86" customFormat="1" ht="45" x14ac:dyDescent="0.25">
      <c r="A510" s="164" t="str">
        <f t="shared" si="30"/>
        <v/>
      </c>
      <c r="B510" s="23" t="s">
        <v>8901</v>
      </c>
      <c r="C510" s="23" t="s">
        <v>8580</v>
      </c>
      <c r="D510" s="166" t="s">
        <v>8767</v>
      </c>
      <c r="E510" s="166" t="s">
        <v>817</v>
      </c>
      <c r="F510" s="169">
        <v>4</v>
      </c>
      <c r="G510" s="167" t="s">
        <v>8420</v>
      </c>
      <c r="H510" s="89">
        <v>200000000</v>
      </c>
      <c r="I510" s="89" t="str">
        <f>IF($H510&lt;='Abbrev Key'!$A$2,'Abbrev Key'!$B$2,IF($H510&lt;='Abbrev Key'!$A$3,'Abbrev Key'!$B$3,IF($H510&lt;='Abbrev Key'!$A$4,'Abbrev Key'!$B$4,IF($H510&lt;='Abbrev Key'!$A$5,'Abbrev Key'!$B$5,IF($H510&lt;='Abbrev Key'!$A$6,'Abbrev Key'!$B$6,IF($H510&gt;='Abbrev Key'!$A$7,'Abbrev Key'!$B$7,IF($H510='Abbrev Key'!$A$8,'Abbrev Key'!$B$8,"")))))))</f>
        <v>D</v>
      </c>
      <c r="J510" s="92" t="s">
        <v>11766</v>
      </c>
      <c r="K510" s="23" t="s">
        <v>640</v>
      </c>
      <c r="L510" s="398">
        <v>542865</v>
      </c>
      <c r="M510" s="403">
        <f>IFERROR((L510/H510),"DC")</f>
        <v>2.7143250000000001E-3</v>
      </c>
      <c r="N510" s="23" t="s">
        <v>11370</v>
      </c>
      <c r="O510" s="92"/>
      <c r="P510" s="167" t="s">
        <v>4287</v>
      </c>
      <c r="Q510" s="392" t="str">
        <f t="shared" si="33"/>
        <v>07/19/2018</v>
      </c>
      <c r="R510" s="392">
        <f t="shared" si="34"/>
        <v>43299</v>
      </c>
      <c r="S510" s="392" t="str">
        <f>_xlfn.IFNA(VLOOKUP(B510,'[1]VLOOKUP NO DUPS'!$A$1:$C$456,2,FALSE),"")</f>
        <v>08/09/2018</v>
      </c>
      <c r="T510" s="168" t="str">
        <f>_xlfn.IFNA(VLOOKUP(B510,'[1]VLOOKUP NO DUPS'!$A$1:$C$456,3,FALSE),"")</f>
        <v>Goldman &amp; Minton, P.C.; Saxena White P.A.</v>
      </c>
      <c r="U510" s="167"/>
      <c r="V510" s="167"/>
      <c r="W510" s="167"/>
    </row>
    <row r="511" spans="1:23" s="86" customFormat="1" ht="30" x14ac:dyDescent="0.25">
      <c r="A511" s="11" t="str">
        <f t="shared" si="30"/>
        <v/>
      </c>
      <c r="B511" s="23" t="s">
        <v>11095</v>
      </c>
      <c r="C511" s="23" t="s">
        <v>8948</v>
      </c>
      <c r="D511" s="166" t="s">
        <v>8949</v>
      </c>
      <c r="E511" s="166" t="s">
        <v>1815</v>
      </c>
      <c r="F511" s="169">
        <v>5</v>
      </c>
      <c r="G511" s="167" t="s">
        <v>8459</v>
      </c>
      <c r="H511" s="89">
        <v>6000000</v>
      </c>
      <c r="I511" s="89" t="str">
        <f>IF($H511&lt;='Abbrev Key'!$A$2,'Abbrev Key'!$B$2,IF($H511&lt;='Abbrev Key'!$A$3,'Abbrev Key'!$B$3,IF($H511&lt;='Abbrev Key'!$A$4,'Abbrev Key'!$B$4,IF($H511&lt;='Abbrev Key'!$A$5,'Abbrev Key'!$B$5,IF($H511&lt;='Abbrev Key'!$A$6,'Abbrev Key'!$B$6,IF($H511&gt;='Abbrev Key'!$A$7,'Abbrev Key'!$B$7,IF($H511='Abbrev Key'!$A$8,'Abbrev Key'!$B$8,"")))))))</f>
        <v>A</v>
      </c>
      <c r="J511" s="92" t="s">
        <v>11993</v>
      </c>
      <c r="K511" s="92" t="s">
        <v>646</v>
      </c>
      <c r="L511" s="398">
        <v>19150</v>
      </c>
      <c r="M511" s="403">
        <f>IFERROR((L511/H511),"DC")</f>
        <v>3.1916666666666669E-3</v>
      </c>
      <c r="N511" s="92" t="s">
        <v>2858</v>
      </c>
      <c r="O511" s="92"/>
      <c r="P511" s="167" t="s">
        <v>4287</v>
      </c>
      <c r="Q511" s="392" t="str">
        <f t="shared" si="33"/>
        <v>07/10/2018</v>
      </c>
      <c r="R511" s="392">
        <f t="shared" si="34"/>
        <v>43290</v>
      </c>
      <c r="S511" s="392" t="s">
        <v>10891</v>
      </c>
      <c r="T511" s="168" t="s">
        <v>4967</v>
      </c>
      <c r="U511" s="167"/>
      <c r="V511" s="167"/>
      <c r="W511" s="167"/>
    </row>
    <row r="512" spans="1:23" s="86" customFormat="1" ht="30" x14ac:dyDescent="0.25">
      <c r="A512" s="165" t="str">
        <f t="shared" si="30"/>
        <v/>
      </c>
      <c r="B512" s="23" t="s">
        <v>4234</v>
      </c>
      <c r="C512" s="23" t="s">
        <v>5005</v>
      </c>
      <c r="D512" s="166" t="s">
        <v>8728</v>
      </c>
      <c r="E512" s="166" t="s">
        <v>457</v>
      </c>
      <c r="F512" s="167">
        <v>9</v>
      </c>
      <c r="G512" s="167" t="s">
        <v>8387</v>
      </c>
      <c r="H512" s="89">
        <v>1800000000</v>
      </c>
      <c r="I512" s="89" t="str">
        <f>IF($H512&lt;='Abbrev Key'!$A$2,'Abbrev Key'!$B$2,IF($H512&lt;='Abbrev Key'!$A$3,'Abbrev Key'!$B$3,IF($H512&lt;='Abbrev Key'!$A$4,'Abbrev Key'!$B$4,IF($H512&lt;='Abbrev Key'!$A$5,'Abbrev Key'!$B$5,IF($H512&lt;='Abbrev Key'!$A$6,'Abbrev Key'!$B$6,IF($H512&gt;='Abbrev Key'!$A$7,'Abbrev Key'!$B$7,IF($H512='Abbrev Key'!$A$8,'Abbrev Key'!$B$8,"")))))))</f>
        <v>F</v>
      </c>
      <c r="J512" s="92" t="s">
        <v>4332</v>
      </c>
      <c r="K512" s="92" t="s">
        <v>4332</v>
      </c>
      <c r="L512" s="92" t="s">
        <v>4332</v>
      </c>
      <c r="M512" s="92" t="s">
        <v>4332</v>
      </c>
      <c r="N512" s="92" t="s">
        <v>4332</v>
      </c>
      <c r="O512" s="92"/>
      <c r="P512" s="167" t="s">
        <v>4287</v>
      </c>
      <c r="Q512" s="392" t="str">
        <f t="shared" si="33"/>
        <v>03/19/2018</v>
      </c>
      <c r="R512" s="392">
        <f t="shared" si="34"/>
        <v>43177</v>
      </c>
      <c r="S512" s="392" t="s">
        <v>9156</v>
      </c>
      <c r="T512" s="168" t="s">
        <v>10912</v>
      </c>
      <c r="U512" s="167"/>
      <c r="V512" s="167"/>
      <c r="W512" s="167"/>
    </row>
    <row r="513" spans="1:23" s="86" customFormat="1" ht="75" x14ac:dyDescent="0.25">
      <c r="A513" s="165" t="str">
        <f t="shared" si="30"/>
        <v>DUP</v>
      </c>
      <c r="B513" s="289" t="s">
        <v>7379</v>
      </c>
      <c r="C513" s="289" t="s">
        <v>10689</v>
      </c>
      <c r="D513" s="367" t="s">
        <v>8715</v>
      </c>
      <c r="E513" s="166" t="s">
        <v>457</v>
      </c>
      <c r="F513" s="167">
        <v>9</v>
      </c>
      <c r="G513" s="167" t="s">
        <v>8374</v>
      </c>
      <c r="H513" s="89">
        <v>850000000</v>
      </c>
      <c r="I513" s="89" t="str">
        <f>IF($H513&lt;='Abbrev Key'!$A$2,'Abbrev Key'!$B$2,IF($H513&lt;='Abbrev Key'!$A$3,'Abbrev Key'!$B$3,IF($H513&lt;='Abbrev Key'!$A$4,'Abbrev Key'!$B$4,IF($H513&lt;='Abbrev Key'!$A$5,'Abbrev Key'!$B$5,IF($H513&lt;='Abbrev Key'!$A$6,'Abbrev Key'!$B$6,IF($H513&gt;='Abbrev Key'!$A$7,'Abbrev Key'!$B$7,IF($H513='Abbrev Key'!$A$8,'Abbrev Key'!$B$8,"")))))))</f>
        <v>F</v>
      </c>
      <c r="J513" s="17" t="s">
        <v>11114</v>
      </c>
      <c r="K513" s="92" t="s">
        <v>637</v>
      </c>
      <c r="L513" s="400">
        <v>3518478.68</v>
      </c>
      <c r="M513" s="407">
        <f>IFERROR((L513/H513),"DC")</f>
        <v>4.1393866823529416E-3</v>
      </c>
      <c r="N513" s="289" t="s">
        <v>6792</v>
      </c>
      <c r="O513" s="289"/>
      <c r="P513" s="246" t="s">
        <v>4287</v>
      </c>
      <c r="Q513" s="393" t="str">
        <f t="shared" si="33"/>
        <v>08/17/2018</v>
      </c>
      <c r="R513" s="392">
        <f t="shared" si="34"/>
        <v>43328</v>
      </c>
      <c r="S513" s="393" t="s">
        <v>9156</v>
      </c>
      <c r="T513" s="368" t="s">
        <v>10900</v>
      </c>
      <c r="U513" s="246"/>
      <c r="V513" s="246"/>
      <c r="W513" s="246"/>
    </row>
    <row r="514" spans="1:23" s="86" customFormat="1" ht="30" x14ac:dyDescent="0.25">
      <c r="A514" s="165" t="str">
        <f t="shared" ref="A514:A555" si="35">IF(COUNTIF(B:B,B514)&gt;=2,"DUP","")</f>
        <v/>
      </c>
      <c r="B514" s="23" t="s">
        <v>8830</v>
      </c>
      <c r="C514" s="23" t="s">
        <v>8517</v>
      </c>
      <c r="D514" s="166" t="s">
        <v>8666</v>
      </c>
      <c r="E514" s="166" t="s">
        <v>545</v>
      </c>
      <c r="F514" s="167">
        <v>10</v>
      </c>
      <c r="G514" s="167" t="s">
        <v>8317</v>
      </c>
      <c r="H514" s="89">
        <v>65000000</v>
      </c>
      <c r="I514" s="89" t="str">
        <f>IF($H514&lt;='Abbrev Key'!$A$2,'Abbrev Key'!$B$2,IF($H514&lt;='Abbrev Key'!$A$3,'Abbrev Key'!$B$3,IF($H514&lt;='Abbrev Key'!$A$4,'Abbrev Key'!$B$4,IF($H514&lt;='Abbrev Key'!$A$5,'Abbrev Key'!$B$5,IF($H514&lt;='Abbrev Key'!$A$6,'Abbrev Key'!$B$6,IF($H514&gt;='Abbrev Key'!$A$7,'Abbrev Key'!$B$7,IF($H514='Abbrev Key'!$A$8,'Abbrev Key'!$B$8,"")))))))</f>
        <v>C</v>
      </c>
      <c r="J514" s="17" t="s">
        <v>11837</v>
      </c>
      <c r="K514" s="23" t="s">
        <v>662</v>
      </c>
      <c r="L514" s="398">
        <v>104253.3</v>
      </c>
      <c r="M514" s="403">
        <f>IFERROR((L514/H514),"DC")</f>
        <v>1.6038969230769231E-3</v>
      </c>
      <c r="N514" s="23" t="s">
        <v>9727</v>
      </c>
      <c r="O514" s="23"/>
      <c r="P514" s="167" t="s">
        <v>4287</v>
      </c>
      <c r="Q514" s="392" t="str">
        <f t="shared" si="33"/>
        <v>07/10/2018</v>
      </c>
      <c r="R514" s="392">
        <f t="shared" si="34"/>
        <v>43290</v>
      </c>
      <c r="S514" s="392" t="str">
        <f>_xlfn.IFNA(VLOOKUP(B514,'[1]VLOOKUP NO DUPS'!$A$1:$C$456,2,FALSE),"")</f>
        <v>08/17/2018</v>
      </c>
      <c r="T514" s="168" t="str">
        <f>_xlfn.IFNA(VLOOKUP(B514,'[1]VLOOKUP NO DUPS'!$A$1:$C$456,3,FALSE),"")</f>
        <v>Berens Law LLC</v>
      </c>
      <c r="U514" s="167"/>
      <c r="V514" s="167"/>
      <c r="W514" s="167"/>
    </row>
    <row r="515" spans="1:23" s="86" customFormat="1" x14ac:dyDescent="0.25">
      <c r="A515" s="165" t="str">
        <f t="shared" si="35"/>
        <v/>
      </c>
      <c r="B515" s="23" t="s">
        <v>8860</v>
      </c>
      <c r="C515" s="23" t="s">
        <v>8541</v>
      </c>
      <c r="D515" s="166" t="s">
        <v>8703</v>
      </c>
      <c r="E515" s="166" t="s">
        <v>446</v>
      </c>
      <c r="F515" s="167">
        <v>9</v>
      </c>
      <c r="G515" s="167" t="s">
        <v>8359</v>
      </c>
      <c r="H515" s="89">
        <v>880000000</v>
      </c>
      <c r="I515" s="89" t="str">
        <f>IF($H515&lt;='Abbrev Key'!$A$2,'Abbrev Key'!$B$2,IF($H515&lt;='Abbrev Key'!$A$3,'Abbrev Key'!$B$3,IF($H515&lt;='Abbrev Key'!$A$4,'Abbrev Key'!$B$4,IF($H515&lt;='Abbrev Key'!$A$5,'Abbrev Key'!$B$5,IF($H515&lt;='Abbrev Key'!$A$6,'Abbrev Key'!$B$6,IF($H515&gt;='Abbrev Key'!$A$7,'Abbrev Key'!$B$7,IF($H515='Abbrev Key'!$A$8,'Abbrev Key'!$B$8,"")))))))</f>
        <v>F</v>
      </c>
      <c r="J515" s="92" t="s">
        <v>11866</v>
      </c>
      <c r="K515" s="17" t="s">
        <v>646</v>
      </c>
      <c r="L515" s="398">
        <v>55300.86</v>
      </c>
      <c r="M515" s="403">
        <f>IFERROR((L515/H515),"DC")</f>
        <v>6.2841886363636368E-5</v>
      </c>
      <c r="N515" s="23" t="s">
        <v>597</v>
      </c>
      <c r="O515" s="92"/>
      <c r="P515" s="167" t="s">
        <v>4287</v>
      </c>
      <c r="Q515" s="392" t="str">
        <f t="shared" si="33"/>
        <v>07/26/2018</v>
      </c>
      <c r="R515" s="392">
        <f t="shared" si="34"/>
        <v>43306</v>
      </c>
      <c r="S515" s="392" t="str">
        <f>_xlfn.IFNA(VLOOKUP(B515,'[1]VLOOKUP NO DUPS'!$A$1:$C$456,2,FALSE),"")</f>
        <v>08/20/2018</v>
      </c>
      <c r="T515" s="168" t="str">
        <f>_xlfn.IFNA(VLOOKUP(B515,'[1]VLOOKUP NO DUPS'!$A$1:$C$456,3,FALSE),"")</f>
        <v>The Rosen Law Firm, P.A.</v>
      </c>
      <c r="U515" s="167"/>
      <c r="V515" s="167"/>
      <c r="W515" s="167"/>
    </row>
    <row r="516" spans="1:23" s="86" customFormat="1" x14ac:dyDescent="0.25">
      <c r="A516" s="165" t="str">
        <f t="shared" si="35"/>
        <v/>
      </c>
      <c r="B516" s="23" t="s">
        <v>8887</v>
      </c>
      <c r="C516" s="23" t="s">
        <v>8739</v>
      </c>
      <c r="D516" s="166" t="s">
        <v>8740</v>
      </c>
      <c r="E516" s="166" t="s">
        <v>418</v>
      </c>
      <c r="F516" s="167">
        <v>2</v>
      </c>
      <c r="G516" s="167" t="s">
        <v>8398</v>
      </c>
      <c r="H516" s="89">
        <v>21000000</v>
      </c>
      <c r="I516" s="89" t="str">
        <f>IF($H516&lt;='Abbrev Key'!$A$2,'Abbrev Key'!$B$2,IF($H516&lt;='Abbrev Key'!$A$3,'Abbrev Key'!$B$3,IF($H516&lt;='Abbrev Key'!$A$4,'Abbrev Key'!$B$4,IF($H516&lt;='Abbrev Key'!$A$5,'Abbrev Key'!$B$5,IF($H516&lt;='Abbrev Key'!$A$6,'Abbrev Key'!$B$6,IF($H516&gt;='Abbrev Key'!$A$7,'Abbrev Key'!$B$7,IF($H516='Abbrev Key'!$A$8,'Abbrev Key'!$B$8,"")))))))</f>
        <v>A</v>
      </c>
      <c r="J516" s="92" t="s">
        <v>4332</v>
      </c>
      <c r="K516" s="92" t="s">
        <v>4332</v>
      </c>
      <c r="L516" s="92" t="s">
        <v>4332</v>
      </c>
      <c r="M516" s="92" t="s">
        <v>4332</v>
      </c>
      <c r="N516" s="92" t="s">
        <v>4332</v>
      </c>
      <c r="O516" s="92"/>
      <c r="P516" s="167" t="s">
        <v>4287</v>
      </c>
      <c r="Q516" s="392" t="str">
        <f t="shared" si="33"/>
        <v>08/21/2018</v>
      </c>
      <c r="R516" s="392">
        <f t="shared" si="34"/>
        <v>43332</v>
      </c>
      <c r="S516" s="392" t="str">
        <f>_xlfn.IFNA(VLOOKUP(B516,'[1]VLOOKUP NO DUPS'!$A$1:$C$456,2,FALSE),"")</f>
        <v>08/21/2018</v>
      </c>
      <c r="T516" s="168" t="str">
        <f>_xlfn.IFNA(VLOOKUP(B516,'[1]VLOOKUP NO DUPS'!$A$1:$C$456,3,FALSE),"")</f>
        <v>Pomerantz LLP</v>
      </c>
      <c r="U516" s="167"/>
      <c r="V516" s="167"/>
      <c r="W516" s="167"/>
    </row>
    <row r="517" spans="1:23" s="86" customFormat="1" x14ac:dyDescent="0.25">
      <c r="A517" s="164" t="str">
        <f t="shared" si="35"/>
        <v/>
      </c>
      <c r="B517" s="23" t="s">
        <v>8873</v>
      </c>
      <c r="C517" s="23" t="s">
        <v>8553</v>
      </c>
      <c r="D517" s="166" t="s">
        <v>8719</v>
      </c>
      <c r="E517" s="166" t="s">
        <v>457</v>
      </c>
      <c r="F517" s="167">
        <v>9</v>
      </c>
      <c r="G517" s="167" t="s">
        <v>8378</v>
      </c>
      <c r="H517" s="89">
        <v>500000000</v>
      </c>
      <c r="I517" s="89" t="str">
        <f>IF($H517&lt;='Abbrev Key'!$A$2,'Abbrev Key'!$B$2,IF($H517&lt;='Abbrev Key'!$A$3,'Abbrev Key'!$B$3,IF($H517&lt;='Abbrev Key'!$A$4,'Abbrev Key'!$B$4,IF($H517&lt;='Abbrev Key'!$A$5,'Abbrev Key'!$B$5,IF($H517&lt;='Abbrev Key'!$A$6,'Abbrev Key'!$B$6,IF($H517&gt;='Abbrev Key'!$A$7,'Abbrev Key'!$B$7,IF($H517='Abbrev Key'!$A$8,'Abbrev Key'!$B$8,"")))))))</f>
        <v>E</v>
      </c>
      <c r="J517" s="92" t="s">
        <v>4332</v>
      </c>
      <c r="K517" s="92" t="s">
        <v>4332</v>
      </c>
      <c r="L517" s="92" t="s">
        <v>4332</v>
      </c>
      <c r="M517" s="92" t="s">
        <v>4332</v>
      </c>
      <c r="N517" s="92" t="s">
        <v>4332</v>
      </c>
      <c r="O517" s="92"/>
      <c r="P517" s="167" t="s">
        <v>4287</v>
      </c>
      <c r="Q517" s="392" t="str">
        <f t="shared" si="33"/>
        <v>07/12/2018</v>
      </c>
      <c r="R517" s="392">
        <f t="shared" si="34"/>
        <v>43292</v>
      </c>
      <c r="S517" s="392" t="str">
        <f>_xlfn.IFNA(VLOOKUP(B517,'[1]VLOOKUP NO DUPS'!$A$1:$C$456,2,FALSE),"")</f>
        <v>08/23/2018</v>
      </c>
      <c r="T517" s="168" t="str">
        <f>_xlfn.IFNA(VLOOKUP(B517,'[1]VLOOKUP NO DUPS'!$A$1:$C$456,3,FALSE),"")</f>
        <v>Saxena White P.A.</v>
      </c>
      <c r="U517" s="167"/>
      <c r="V517" s="167"/>
      <c r="W517" s="167"/>
    </row>
    <row r="518" spans="1:23" s="86" customFormat="1" ht="45" x14ac:dyDescent="0.25">
      <c r="A518" s="165" t="str">
        <f t="shared" si="35"/>
        <v/>
      </c>
      <c r="B518" s="23" t="s">
        <v>8826</v>
      </c>
      <c r="C518" s="23" t="s">
        <v>8510</v>
      </c>
      <c r="D518" s="166" t="s">
        <v>8657</v>
      </c>
      <c r="E518" s="166" t="s">
        <v>3449</v>
      </c>
      <c r="F518" s="167">
        <v>9</v>
      </c>
      <c r="G518" s="167" t="s">
        <v>8306</v>
      </c>
      <c r="H518" s="89">
        <v>4000000</v>
      </c>
      <c r="I518" s="89" t="str">
        <f>IF($H518&lt;='Abbrev Key'!$A$2,'Abbrev Key'!$B$2,IF($H518&lt;='Abbrev Key'!$A$3,'Abbrev Key'!$B$3,IF($H518&lt;='Abbrev Key'!$A$4,'Abbrev Key'!$B$4,IF($H518&lt;='Abbrev Key'!$A$5,'Abbrev Key'!$B$5,IF($H518&lt;='Abbrev Key'!$A$6,'Abbrev Key'!$B$6,IF($H518&gt;='Abbrev Key'!$A$7,'Abbrev Key'!$B$7,IF($H518='Abbrev Key'!$A$8,'Abbrev Key'!$B$8,"")))))))</f>
        <v>A</v>
      </c>
      <c r="J518" s="23" t="s">
        <v>10968</v>
      </c>
      <c r="K518" s="92" t="s">
        <v>637</v>
      </c>
      <c r="L518" s="398">
        <v>134819.13</v>
      </c>
      <c r="M518" s="403">
        <f>IFERROR((L518/H518),"DC")</f>
        <v>3.3704782500000002E-2</v>
      </c>
      <c r="N518" s="92" t="s">
        <v>10967</v>
      </c>
      <c r="O518" s="92"/>
      <c r="P518" s="167" t="s">
        <v>4287</v>
      </c>
      <c r="Q518" s="392" t="str">
        <f t="shared" si="33"/>
        <v>08/20/2018</v>
      </c>
      <c r="R518" s="392">
        <f t="shared" si="34"/>
        <v>43331</v>
      </c>
      <c r="S518" s="392" t="str">
        <f>_xlfn.IFNA(VLOOKUP(B518,'[1]VLOOKUP NO DUPS'!$A$1:$C$456,2,FALSE),"")</f>
        <v>08/24/2018</v>
      </c>
      <c r="T518" s="168" t="str">
        <f>_xlfn.IFNA(VLOOKUP(B518,'[1]VLOOKUP NO DUPS'!$A$1:$C$456,3,FALSE),"")</f>
        <v>Block &amp; Leviton LLP; Bronstein, Gewirtz &amp; Grossman, LLC; Leverty &amp; Associates Law CHTD; Muehlbauer Law Office, Ltd.; Pomerantz LLP</v>
      </c>
      <c r="U518" s="167"/>
      <c r="V518" s="167"/>
      <c r="W518" s="167"/>
    </row>
    <row r="519" spans="1:23" s="86" customFormat="1" x14ac:dyDescent="0.25">
      <c r="A519" s="164" t="str">
        <f t="shared" si="35"/>
        <v/>
      </c>
      <c r="B519" s="23" t="s">
        <v>8831</v>
      </c>
      <c r="C519" s="23" t="s">
        <v>8667</v>
      </c>
      <c r="D519" s="166" t="s">
        <v>8668</v>
      </c>
      <c r="E519" s="166" t="s">
        <v>446</v>
      </c>
      <c r="F519" s="167">
        <v>9</v>
      </c>
      <c r="G519" s="167" t="s">
        <v>8318</v>
      </c>
      <c r="H519" s="89">
        <v>8450000</v>
      </c>
      <c r="I519" s="89" t="str">
        <f>IF($H519&lt;='Abbrev Key'!$A$2,'Abbrev Key'!$B$2,IF($H519&lt;='Abbrev Key'!$A$3,'Abbrev Key'!$B$3,IF($H519&lt;='Abbrev Key'!$A$4,'Abbrev Key'!$B$4,IF($H519&lt;='Abbrev Key'!$A$5,'Abbrev Key'!$B$5,IF($H519&lt;='Abbrev Key'!$A$6,'Abbrev Key'!$B$6,IF($H519&gt;='Abbrev Key'!$A$7,'Abbrev Key'!$B$7,IF($H519='Abbrev Key'!$A$8,'Abbrev Key'!$B$8,"")))))))</f>
        <v>A</v>
      </c>
      <c r="J519" s="23" t="s">
        <v>11830</v>
      </c>
      <c r="K519" s="92" t="s">
        <v>646</v>
      </c>
      <c r="L519" s="398">
        <v>86580</v>
      </c>
      <c r="M519" s="403">
        <f>IFERROR((L519/H519),"DC")</f>
        <v>1.0246153846153846E-2</v>
      </c>
      <c r="N519" s="92" t="s">
        <v>10988</v>
      </c>
      <c r="O519" s="92"/>
      <c r="P519" s="167" t="s">
        <v>4287</v>
      </c>
      <c r="Q519" s="392" t="str">
        <f t="shared" si="33"/>
        <v>08/24/2018</v>
      </c>
      <c r="R519" s="392">
        <f t="shared" si="34"/>
        <v>43335</v>
      </c>
      <c r="S519" s="392" t="str">
        <f>_xlfn.IFNA(VLOOKUP(B519,'[1]VLOOKUP NO DUPS'!$A$1:$C$456,2,FALSE),"")</f>
        <v>08/24/2018</v>
      </c>
      <c r="T519" s="168" t="str">
        <f>_xlfn.IFNA(VLOOKUP(B519,'[1]VLOOKUP NO DUPS'!$A$1:$C$456,3,FALSE),"")</f>
        <v>Kaskela Law LLC; The Rosen Law Firm, P.A.</v>
      </c>
      <c r="U519" s="167"/>
      <c r="V519" s="167"/>
      <c r="W519" s="167"/>
    </row>
    <row r="520" spans="1:23" s="86" customFormat="1" ht="30" x14ac:dyDescent="0.25">
      <c r="A520" s="165" t="str">
        <f t="shared" si="35"/>
        <v>DUP</v>
      </c>
      <c r="B520" s="23" t="s">
        <v>204</v>
      </c>
      <c r="C520" s="23" t="s">
        <v>10577</v>
      </c>
      <c r="D520" s="166" t="s">
        <v>8697</v>
      </c>
      <c r="E520" s="166" t="s">
        <v>542</v>
      </c>
      <c r="F520" s="169">
        <v>3</v>
      </c>
      <c r="G520" s="167" t="s">
        <v>8354</v>
      </c>
      <c r="H520" s="89">
        <v>125000000</v>
      </c>
      <c r="I520" s="89" t="str">
        <f>IF($H520&lt;='Abbrev Key'!$A$2,'Abbrev Key'!$B$2,IF($H520&lt;='Abbrev Key'!$A$3,'Abbrev Key'!$B$3,IF($H520&lt;='Abbrev Key'!$A$4,'Abbrev Key'!$B$4,IF($H520&lt;='Abbrev Key'!$A$5,'Abbrev Key'!$B$5,IF($H520&lt;='Abbrev Key'!$A$6,'Abbrev Key'!$B$6,IF($H520&gt;='Abbrev Key'!$A$7,'Abbrev Key'!$B$7,IF($H520='Abbrev Key'!$A$8,'Abbrev Key'!$B$8,"")))))))</f>
        <v>D</v>
      </c>
      <c r="J520" s="23" t="s">
        <v>11863</v>
      </c>
      <c r="K520" s="17" t="s">
        <v>646</v>
      </c>
      <c r="L520" s="398">
        <v>480164.18999999994</v>
      </c>
      <c r="M520" s="403">
        <f>IFERROR((L520/H520),"DC")</f>
        <v>3.8413135199999995E-3</v>
      </c>
      <c r="N520" s="23" t="s">
        <v>6792</v>
      </c>
      <c r="O520" s="23"/>
      <c r="P520" s="167" t="s">
        <v>4287</v>
      </c>
      <c r="Q520" s="392" t="str">
        <f t="shared" si="33"/>
        <v>08/17/2018</v>
      </c>
      <c r="R520" s="392">
        <f t="shared" si="34"/>
        <v>43328</v>
      </c>
      <c r="S520" s="392" t="s">
        <v>10888</v>
      </c>
      <c r="T520" s="168" t="s">
        <v>10921</v>
      </c>
      <c r="U520" s="167"/>
      <c r="V520" s="167"/>
      <c r="W520" s="167"/>
    </row>
    <row r="521" spans="1:23" s="86" customFormat="1" x14ac:dyDescent="0.25">
      <c r="A521" s="164" t="str">
        <f t="shared" si="35"/>
        <v/>
      </c>
      <c r="B521" s="23" t="s">
        <v>8801</v>
      </c>
      <c r="C521" s="23" t="s">
        <v>8477</v>
      </c>
      <c r="D521" s="166" t="s">
        <v>8634</v>
      </c>
      <c r="E521" s="166" t="s">
        <v>446</v>
      </c>
      <c r="F521" s="167">
        <v>9</v>
      </c>
      <c r="G521" s="167" t="s">
        <v>8268</v>
      </c>
      <c r="H521" s="89">
        <v>100000000</v>
      </c>
      <c r="I521" s="89" t="str">
        <f>IF($H521&lt;='Abbrev Key'!$A$2,'Abbrev Key'!$B$2,IF($H521&lt;='Abbrev Key'!$A$3,'Abbrev Key'!$B$3,IF($H521&lt;='Abbrev Key'!$A$4,'Abbrev Key'!$B$4,IF($H521&lt;='Abbrev Key'!$A$5,'Abbrev Key'!$B$5,IF($H521&lt;='Abbrev Key'!$A$6,'Abbrev Key'!$B$6,IF($H521&gt;='Abbrev Key'!$A$7,'Abbrev Key'!$B$7,IF($H521='Abbrev Key'!$A$8,'Abbrev Key'!$B$8,"")))))))</f>
        <v>C</v>
      </c>
      <c r="J521" s="92" t="s">
        <v>4332</v>
      </c>
      <c r="K521" s="92" t="s">
        <v>4332</v>
      </c>
      <c r="L521" s="397" t="s">
        <v>4332</v>
      </c>
      <c r="M521" s="92" t="s">
        <v>4332</v>
      </c>
      <c r="N521" s="92" t="s">
        <v>4332</v>
      </c>
      <c r="O521" s="92"/>
      <c r="P521" s="167" t="s">
        <v>4287</v>
      </c>
      <c r="Q521" s="392" t="str">
        <f t="shared" si="33"/>
        <v>08/07/2018</v>
      </c>
      <c r="R521" s="392">
        <f t="shared" si="34"/>
        <v>43318</v>
      </c>
      <c r="S521" s="392" t="str">
        <f>_xlfn.IFNA(VLOOKUP(B521,'[1]VLOOKUP NO DUPS'!$A$1:$C$456,2,FALSE),"")</f>
        <v>08/25/2018</v>
      </c>
      <c r="T521" s="168" t="str">
        <f>_xlfn.IFNA(VLOOKUP(B521,'[1]VLOOKUP NO DUPS'!$A$1:$C$456,3,FALSE),"")</f>
        <v>The Rosen Law Firm, P.A.</v>
      </c>
      <c r="U521" s="167"/>
      <c r="V521" s="167"/>
      <c r="W521" s="167"/>
    </row>
    <row r="522" spans="1:23" s="86" customFormat="1" ht="30" x14ac:dyDescent="0.25">
      <c r="A522" s="165" t="str">
        <f t="shared" si="35"/>
        <v/>
      </c>
      <c r="B522" s="23" t="s">
        <v>8817</v>
      </c>
      <c r="C522" s="23" t="s">
        <v>10957</v>
      </c>
      <c r="D522" s="166" t="s">
        <v>8646</v>
      </c>
      <c r="E522" s="166" t="s">
        <v>418</v>
      </c>
      <c r="F522" s="167">
        <v>2</v>
      </c>
      <c r="G522" s="167" t="s">
        <v>8296</v>
      </c>
      <c r="H522" s="89">
        <v>600000000</v>
      </c>
      <c r="I522" s="89" t="str">
        <f>IF($H522&lt;='Abbrev Key'!$A$2,'Abbrev Key'!$B$2,IF($H522&lt;='Abbrev Key'!$A$3,'Abbrev Key'!$B$3,IF($H522&lt;='Abbrev Key'!$A$4,'Abbrev Key'!$B$4,IF($H522&lt;='Abbrev Key'!$A$5,'Abbrev Key'!$B$5,IF($H522&lt;='Abbrev Key'!$A$6,'Abbrev Key'!$B$6,IF($H522&gt;='Abbrev Key'!$A$7,'Abbrev Key'!$B$7,IF($H522='Abbrev Key'!$A$8,'Abbrev Key'!$B$8,"")))))))</f>
        <v>F</v>
      </c>
      <c r="J522" s="23" t="s">
        <v>9248</v>
      </c>
      <c r="K522" s="23" t="s">
        <v>633</v>
      </c>
      <c r="L522" s="398">
        <v>133541.16</v>
      </c>
      <c r="M522" s="403">
        <f>IFERROR((L522/H522),"DC")</f>
        <v>2.2256860000000002E-4</v>
      </c>
      <c r="N522" s="92" t="s">
        <v>7</v>
      </c>
      <c r="O522" s="92"/>
      <c r="P522" s="167" t="s">
        <v>4287</v>
      </c>
      <c r="Q522" s="392" t="str">
        <f t="shared" si="33"/>
        <v>07/27/2018</v>
      </c>
      <c r="R522" s="392">
        <f t="shared" si="34"/>
        <v>43307</v>
      </c>
      <c r="S522" s="392" t="str">
        <f>_xlfn.IFNA(VLOOKUP(B522,'[1]VLOOKUP NO DUPS'!$A$1:$C$456,2,FALSE),"")</f>
        <v>08/27/2018</v>
      </c>
      <c r="T522" s="168" t="str">
        <f>_xlfn.IFNA(VLOOKUP(B522,'[1]VLOOKUP NO DUPS'!$A$1:$C$456,3,FALSE),"")</f>
        <v>Johnson Fistel, LLP; Pomerantz LLP; Robbins, Geller, Rudman &amp; Dowd, LLP</v>
      </c>
      <c r="U522" s="167"/>
      <c r="V522" s="167"/>
      <c r="W522" s="167"/>
    </row>
    <row r="523" spans="1:23" s="86" customFormat="1" ht="30" x14ac:dyDescent="0.25">
      <c r="A523" s="165" t="str">
        <f t="shared" si="35"/>
        <v/>
      </c>
      <c r="B523" s="23" t="s">
        <v>8847</v>
      </c>
      <c r="C523" s="23" t="s">
        <v>8529</v>
      </c>
      <c r="D523" s="166" t="s">
        <v>8687</v>
      </c>
      <c r="E523" s="166" t="s">
        <v>480</v>
      </c>
      <c r="F523" s="169">
        <v>9</v>
      </c>
      <c r="G523" s="167" t="s">
        <v>8340</v>
      </c>
      <c r="H523" s="89">
        <v>25000000</v>
      </c>
      <c r="I523" s="89" t="str">
        <f>IF($H523&lt;='Abbrev Key'!$A$2,'Abbrev Key'!$B$2,IF($H523&lt;='Abbrev Key'!$A$3,'Abbrev Key'!$B$3,IF($H523&lt;='Abbrev Key'!$A$4,'Abbrev Key'!$B$4,IF($H523&lt;='Abbrev Key'!$A$5,'Abbrev Key'!$B$5,IF($H523&lt;='Abbrev Key'!$A$6,'Abbrev Key'!$B$6,IF($H523&gt;='Abbrev Key'!$A$7,'Abbrev Key'!$B$7,IF($H523='Abbrev Key'!$A$8,'Abbrev Key'!$B$8,"")))))))</f>
        <v>A</v>
      </c>
      <c r="J523" s="92" t="s">
        <v>4332</v>
      </c>
      <c r="K523" s="92" t="s">
        <v>4332</v>
      </c>
      <c r="L523" s="92" t="s">
        <v>4332</v>
      </c>
      <c r="M523" s="92" t="s">
        <v>4332</v>
      </c>
      <c r="N523" s="92" t="s">
        <v>4332</v>
      </c>
      <c r="O523" s="92"/>
      <c r="P523" s="167" t="s">
        <v>4287</v>
      </c>
      <c r="Q523" s="392" t="str">
        <f t="shared" si="33"/>
        <v>08/02/2018</v>
      </c>
      <c r="R523" s="392">
        <f t="shared" si="34"/>
        <v>43313</v>
      </c>
      <c r="S523" s="392" t="str">
        <f>_xlfn.IFNA(VLOOKUP(B523,'[1]VLOOKUP NO DUPS'!$A$1:$C$456,2,FALSE),"")</f>
        <v>08/27/2018</v>
      </c>
      <c r="T523" s="168" t="str">
        <f>_xlfn.IFNA(VLOOKUP(B523,'[1]VLOOKUP NO DUPS'!$A$1:$C$456,3,FALSE),"")</f>
        <v>Hagens Berman Sobol Shapiro LLP; Holzer &amp; Holzer, LLC; Robbins, Geller, Rudman &amp; Dowd, LLP</v>
      </c>
      <c r="U523" s="167"/>
      <c r="V523" s="167"/>
      <c r="W523" s="167"/>
    </row>
    <row r="524" spans="1:23" s="86" customFormat="1" x14ac:dyDescent="0.25">
      <c r="A524" s="165" t="str">
        <f t="shared" si="35"/>
        <v/>
      </c>
      <c r="B524" s="23" t="s">
        <v>8883</v>
      </c>
      <c r="C524" s="23" t="s">
        <v>8732</v>
      </c>
      <c r="D524" s="166" t="s">
        <v>8733</v>
      </c>
      <c r="E524" s="166" t="s">
        <v>418</v>
      </c>
      <c r="F524" s="167">
        <v>2</v>
      </c>
      <c r="G524" s="167" t="s">
        <v>8392</v>
      </c>
      <c r="H524" s="89">
        <v>30000000</v>
      </c>
      <c r="I524" s="89" t="str">
        <f>IF($H524&lt;='Abbrev Key'!$A$2,'Abbrev Key'!$B$2,IF($H524&lt;='Abbrev Key'!$A$3,'Abbrev Key'!$B$3,IF($H524&lt;='Abbrev Key'!$A$4,'Abbrev Key'!$B$4,IF($H524&lt;='Abbrev Key'!$A$5,'Abbrev Key'!$B$5,IF($H524&lt;='Abbrev Key'!$A$6,'Abbrev Key'!$B$6,IF($H524&gt;='Abbrev Key'!$A$7,'Abbrev Key'!$B$7,IF($H524='Abbrev Key'!$A$8,'Abbrev Key'!$B$8,"")))))))</f>
        <v>B</v>
      </c>
      <c r="J524" s="92" t="s">
        <v>4332</v>
      </c>
      <c r="K524" s="92" t="s">
        <v>4332</v>
      </c>
      <c r="L524" s="92" t="s">
        <v>4332</v>
      </c>
      <c r="M524" s="92" t="s">
        <v>4332</v>
      </c>
      <c r="N524" s="92" t="s">
        <v>4332</v>
      </c>
      <c r="O524" s="92"/>
      <c r="P524" s="167" t="s">
        <v>4287</v>
      </c>
      <c r="Q524" s="392" t="str">
        <f t="shared" si="33"/>
        <v>07/19/2018</v>
      </c>
      <c r="R524" s="392">
        <f t="shared" si="34"/>
        <v>43299</v>
      </c>
      <c r="S524" s="392" t="s">
        <v>10908</v>
      </c>
      <c r="T524" s="168" t="s">
        <v>79</v>
      </c>
      <c r="U524" s="167"/>
      <c r="V524" s="167"/>
      <c r="W524" s="167"/>
    </row>
    <row r="525" spans="1:23" s="86" customFormat="1" ht="30" x14ac:dyDescent="0.25">
      <c r="A525" s="165" t="str">
        <f t="shared" si="35"/>
        <v/>
      </c>
      <c r="B525" s="23" t="s">
        <v>8825</v>
      </c>
      <c r="C525" s="23" t="s">
        <v>8509</v>
      </c>
      <c r="D525" s="166" t="s">
        <v>8959</v>
      </c>
      <c r="E525" s="166" t="s">
        <v>418</v>
      </c>
      <c r="F525" s="167">
        <v>2</v>
      </c>
      <c r="G525" s="167" t="s">
        <v>8305</v>
      </c>
      <c r="H525" s="89">
        <v>125000000</v>
      </c>
      <c r="I525" s="89" t="str">
        <f>IF($H525&lt;='Abbrev Key'!$A$2,'Abbrev Key'!$B$2,IF($H525&lt;='Abbrev Key'!$A$3,'Abbrev Key'!$B$3,IF($H525&lt;='Abbrev Key'!$A$4,'Abbrev Key'!$B$4,IF($H525&lt;='Abbrev Key'!$A$5,'Abbrev Key'!$B$5,IF($H525&lt;='Abbrev Key'!$A$6,'Abbrev Key'!$B$6,IF($H525&gt;='Abbrev Key'!$A$7,'Abbrev Key'!$B$7,IF($H525='Abbrev Key'!$A$8,'Abbrev Key'!$B$8,"")))))))</f>
        <v>D</v>
      </c>
      <c r="J525" s="23" t="s">
        <v>10964</v>
      </c>
      <c r="K525" s="92" t="s">
        <v>637</v>
      </c>
      <c r="L525" s="398">
        <v>98374.99</v>
      </c>
      <c r="M525" s="403">
        <f>IFERROR((L525/H525),"DC")</f>
        <v>7.8699992000000004E-4</v>
      </c>
      <c r="N525" s="92" t="s">
        <v>597</v>
      </c>
      <c r="O525" s="92"/>
      <c r="P525" s="167" t="s">
        <v>4287</v>
      </c>
      <c r="Q525" s="392" t="str">
        <f t="shared" si="33"/>
        <v>08/30/2018</v>
      </c>
      <c r="R525" s="392">
        <f t="shared" si="34"/>
        <v>43341</v>
      </c>
      <c r="S525" s="392" t="str">
        <f>_xlfn.IFNA(VLOOKUP(B525,'[1]VLOOKUP NO DUPS'!$A$1:$C$456,2,FALSE),"")</f>
        <v>09/04/2018</v>
      </c>
      <c r="T525" s="168" t="str">
        <f>_xlfn.IFNA(VLOOKUP(B525,'[1]VLOOKUP NO DUPS'!$A$1:$C$456,3,FALSE),"")</f>
        <v>Glancy Prongay &amp; Murray, LLP; Law Offices of Howard G. Smith</v>
      </c>
      <c r="U525" s="167"/>
      <c r="V525" s="167"/>
      <c r="W525" s="167"/>
    </row>
    <row r="526" spans="1:23" s="86" customFormat="1" ht="30" x14ac:dyDescent="0.25">
      <c r="A526" s="165" t="str">
        <f t="shared" si="35"/>
        <v>DUP</v>
      </c>
      <c r="B526" s="23" t="s">
        <v>8886</v>
      </c>
      <c r="C526" s="23" t="s">
        <v>10652</v>
      </c>
      <c r="D526" s="166" t="s">
        <v>8737</v>
      </c>
      <c r="E526" s="166" t="s">
        <v>424</v>
      </c>
      <c r="F526" s="167">
        <v>3</v>
      </c>
      <c r="G526" s="167" t="s">
        <v>8396</v>
      </c>
      <c r="H526" s="89">
        <v>1740000000</v>
      </c>
      <c r="I526" s="89" t="str">
        <f>IF($H526&lt;='Abbrev Key'!$A$2,'Abbrev Key'!$B$2,IF($H526&lt;='Abbrev Key'!$A$3,'Abbrev Key'!$B$3,IF($H526&lt;='Abbrev Key'!$A$4,'Abbrev Key'!$B$4,IF($H526&lt;='Abbrev Key'!$A$5,'Abbrev Key'!$B$5,IF($H526&lt;='Abbrev Key'!$A$6,'Abbrev Key'!$B$6,IF($H526&gt;='Abbrev Key'!$A$7,'Abbrev Key'!$B$7,IF($H526='Abbrev Key'!$A$8,'Abbrev Key'!$B$8,"")))))))</f>
        <v>F</v>
      </c>
      <c r="J526" s="92" t="s">
        <v>4332</v>
      </c>
      <c r="K526" s="92" t="s">
        <v>4332</v>
      </c>
      <c r="L526" s="92" t="s">
        <v>4332</v>
      </c>
      <c r="M526" s="92" t="s">
        <v>4332</v>
      </c>
      <c r="N526" s="92" t="s">
        <v>4332</v>
      </c>
      <c r="O526" s="92"/>
      <c r="P526" s="167" t="s">
        <v>4287</v>
      </c>
      <c r="Q526" s="392" t="str">
        <f t="shared" si="33"/>
        <v>04/18/2018</v>
      </c>
      <c r="R526" s="392">
        <f t="shared" si="34"/>
        <v>43207</v>
      </c>
      <c r="S526" s="392" t="s">
        <v>9150</v>
      </c>
      <c r="T526" s="168" t="s">
        <v>10907</v>
      </c>
      <c r="U526" s="167"/>
      <c r="V526" s="167"/>
      <c r="W526" s="167"/>
    </row>
    <row r="527" spans="1:23" s="86" customFormat="1" ht="60" x14ac:dyDescent="0.25">
      <c r="A527" s="165" t="str">
        <f t="shared" si="35"/>
        <v>DUP</v>
      </c>
      <c r="B527" s="23" t="s">
        <v>7329</v>
      </c>
      <c r="C527" s="23" t="s">
        <v>10790</v>
      </c>
      <c r="D527" s="166" t="s">
        <v>8768</v>
      </c>
      <c r="E527" s="166" t="s">
        <v>418</v>
      </c>
      <c r="F527" s="167">
        <v>2</v>
      </c>
      <c r="G527" s="167" t="s">
        <v>8421</v>
      </c>
      <c r="H527" s="89">
        <v>1000000000</v>
      </c>
      <c r="I527" s="89" t="str">
        <f>IF($H527&lt;='Abbrev Key'!$A$2,'Abbrev Key'!$B$2,IF($H527&lt;='Abbrev Key'!$A$3,'Abbrev Key'!$B$3,IF($H527&lt;='Abbrev Key'!$A$4,'Abbrev Key'!$B$4,IF($H527&lt;='Abbrev Key'!$A$5,'Abbrev Key'!$B$5,IF($H527&lt;='Abbrev Key'!$A$6,'Abbrev Key'!$B$6,IF($H527&gt;='Abbrev Key'!$A$7,'Abbrev Key'!$B$7,IF($H527='Abbrev Key'!$A$8,'Abbrev Key'!$B$8,"")))))))</f>
        <v>F</v>
      </c>
      <c r="J527" s="23" t="s">
        <v>11909</v>
      </c>
      <c r="K527" s="92" t="s">
        <v>640</v>
      </c>
      <c r="L527" s="398">
        <v>1064839.17</v>
      </c>
      <c r="M527" s="403">
        <f>IFERROR((L527/H527),"DC")</f>
        <v>1.0648391699999999E-3</v>
      </c>
      <c r="N527" s="92" t="s">
        <v>7</v>
      </c>
      <c r="O527" s="92"/>
      <c r="P527" s="167" t="s">
        <v>4287</v>
      </c>
      <c r="Q527" s="392" t="str">
        <f t="shared" si="33"/>
        <v>07/19/2018</v>
      </c>
      <c r="R527" s="392">
        <f t="shared" si="34"/>
        <v>43299</v>
      </c>
      <c r="S527" s="392" t="s">
        <v>9150</v>
      </c>
      <c r="T527" s="168" t="s">
        <v>10879</v>
      </c>
      <c r="U527" s="167"/>
      <c r="V527" s="167"/>
      <c r="W527" s="167"/>
    </row>
    <row r="528" spans="1:23" s="86" customFormat="1" ht="30" x14ac:dyDescent="0.25">
      <c r="A528" s="165" t="str">
        <f t="shared" si="35"/>
        <v/>
      </c>
      <c r="B528" s="23" t="s">
        <v>8894</v>
      </c>
      <c r="C528" s="23" t="s">
        <v>8573</v>
      </c>
      <c r="D528" s="166" t="s">
        <v>8754</v>
      </c>
      <c r="E528" s="166" t="s">
        <v>545</v>
      </c>
      <c r="F528" s="167">
        <v>10</v>
      </c>
      <c r="G528" s="167" t="s">
        <v>8407</v>
      </c>
      <c r="H528" s="89">
        <v>1800000000</v>
      </c>
      <c r="I528" s="89" t="str">
        <f>IF($H528&lt;='Abbrev Key'!$A$2,'Abbrev Key'!$B$2,IF($H528&lt;='Abbrev Key'!$A$3,'Abbrev Key'!$B$3,IF($H528&lt;='Abbrev Key'!$A$4,'Abbrev Key'!$B$4,IF($H528&lt;='Abbrev Key'!$A$5,'Abbrev Key'!$B$5,IF($H528&lt;='Abbrev Key'!$A$6,'Abbrev Key'!$B$6,IF($H528&gt;='Abbrev Key'!$A$7,'Abbrev Key'!$B$7,IF($H528='Abbrev Key'!$A$8,'Abbrev Key'!$B$8,"")))))))</f>
        <v>F</v>
      </c>
      <c r="J528" s="23" t="s">
        <v>11166</v>
      </c>
      <c r="K528" s="92" t="s">
        <v>633</v>
      </c>
      <c r="L528" s="398">
        <v>2700049.83</v>
      </c>
      <c r="M528" s="403">
        <f>IFERROR((L528/H528),"DC")</f>
        <v>1.5000276833333334E-3</v>
      </c>
      <c r="N528" s="92" t="s">
        <v>11169</v>
      </c>
      <c r="O528" s="92"/>
      <c r="P528" s="167" t="s">
        <v>4287</v>
      </c>
      <c r="Q528" s="392" t="str">
        <f t="shared" si="33"/>
        <v>09/07/2016</v>
      </c>
      <c r="R528" s="392">
        <f t="shared" si="34"/>
        <v>42619</v>
      </c>
      <c r="S528" s="392" t="str">
        <f>_xlfn.IFNA(VLOOKUP(B528,'[1]VLOOKUP NO DUPS'!$A$1:$C$456,2,FALSE),"")</f>
        <v>09/06/2018</v>
      </c>
      <c r="T528" s="168" t="str">
        <f>_xlfn.IFNA(VLOOKUP(B528,'[1]VLOOKUP NO DUPS'!$A$1:$C$456,3,FALSE),"")</f>
        <v>Franklin D. Azar &amp; Associates, P.C.; Thornton Law Firm LLP</v>
      </c>
      <c r="U528" s="167"/>
      <c r="V528" s="167"/>
      <c r="W528" s="167"/>
    </row>
    <row r="529" spans="1:23" s="86" customFormat="1" x14ac:dyDescent="0.25">
      <c r="A529" s="165" t="str">
        <f t="shared" si="35"/>
        <v/>
      </c>
      <c r="B529" s="23" t="s">
        <v>8928</v>
      </c>
      <c r="C529" s="23" t="s">
        <v>8961</v>
      </c>
      <c r="D529" s="166" t="s">
        <v>8962</v>
      </c>
      <c r="E529" s="166" t="s">
        <v>418</v>
      </c>
      <c r="F529" s="167">
        <v>2</v>
      </c>
      <c r="G529" s="167" t="s">
        <v>8316</v>
      </c>
      <c r="H529" s="89">
        <v>25000000</v>
      </c>
      <c r="I529" s="89" t="str">
        <f>IF($H529&lt;='Abbrev Key'!$A$2,'Abbrev Key'!$B$2,IF($H529&lt;='Abbrev Key'!$A$3,'Abbrev Key'!$B$3,IF($H529&lt;='Abbrev Key'!$A$4,'Abbrev Key'!$B$4,IF($H529&lt;='Abbrev Key'!$A$5,'Abbrev Key'!$B$5,IF($H529&lt;='Abbrev Key'!$A$6,'Abbrev Key'!$B$6,IF($H529&gt;='Abbrev Key'!$A$7,'Abbrev Key'!$B$7,IF($H529='Abbrev Key'!$A$8,'Abbrev Key'!$B$8,"")))))))</f>
        <v>A</v>
      </c>
      <c r="J529" s="23" t="s">
        <v>11408</v>
      </c>
      <c r="K529" s="92" t="s">
        <v>637</v>
      </c>
      <c r="L529" s="398">
        <v>31942</v>
      </c>
      <c r="M529" s="403">
        <f>IFERROR((L529/H529),"DC")</f>
        <v>1.27768E-3</v>
      </c>
      <c r="N529" s="23" t="s">
        <v>79</v>
      </c>
      <c r="O529" s="92"/>
      <c r="P529" s="167" t="s">
        <v>4287</v>
      </c>
      <c r="Q529" s="392" t="str">
        <f t="shared" si="33"/>
        <v>08/27/2018</v>
      </c>
      <c r="R529" s="392">
        <f t="shared" si="34"/>
        <v>43338</v>
      </c>
      <c r="S529" s="392" t="str">
        <f>_xlfn.IFNA(VLOOKUP(B529,'[1]VLOOKUP NO DUPS'!$A$1:$C$456,2,FALSE),"")</f>
        <v>09/07/2018</v>
      </c>
      <c r="T529" s="168" t="str">
        <f>_xlfn.IFNA(VLOOKUP(B529,'[1]VLOOKUP NO DUPS'!$A$1:$C$456,3,FALSE),"")</f>
        <v>Pomerantz LLP</v>
      </c>
      <c r="U529" s="167"/>
      <c r="V529" s="167"/>
      <c r="W529" s="167"/>
    </row>
    <row r="530" spans="1:23" s="86" customFormat="1" x14ac:dyDescent="0.25">
      <c r="A530" s="165" t="str">
        <f t="shared" si="35"/>
        <v/>
      </c>
      <c r="B530" s="23" t="s">
        <v>11598</v>
      </c>
      <c r="C530" s="23" t="s">
        <v>8744</v>
      </c>
      <c r="D530" s="166" t="s">
        <v>8745</v>
      </c>
      <c r="E530" s="166" t="s">
        <v>418</v>
      </c>
      <c r="F530" s="167">
        <v>2</v>
      </c>
      <c r="G530" s="167" t="s">
        <v>8401</v>
      </c>
      <c r="H530" s="89">
        <v>80000000</v>
      </c>
      <c r="I530" s="89" t="str">
        <f>IF($H530&lt;='Abbrev Key'!$A$2,'Abbrev Key'!$B$2,IF($H530&lt;='Abbrev Key'!$A$3,'Abbrev Key'!$B$3,IF($H530&lt;='Abbrev Key'!$A$4,'Abbrev Key'!$B$4,IF($H530&lt;='Abbrev Key'!$A$5,'Abbrev Key'!$B$5,IF($H530&lt;='Abbrev Key'!$A$6,'Abbrev Key'!$B$6,IF($H530&gt;='Abbrev Key'!$A$7,'Abbrev Key'!$B$7,IF($H530='Abbrev Key'!$A$8,'Abbrev Key'!$B$8,"")))))))</f>
        <v>C</v>
      </c>
      <c r="J530" s="92" t="s">
        <v>4332</v>
      </c>
      <c r="K530" s="92" t="s">
        <v>4332</v>
      </c>
      <c r="L530" s="92" t="s">
        <v>4332</v>
      </c>
      <c r="M530" s="92" t="s">
        <v>4332</v>
      </c>
      <c r="N530" s="92" t="s">
        <v>4332</v>
      </c>
      <c r="O530" s="92"/>
      <c r="P530" s="167" t="s">
        <v>4287</v>
      </c>
      <c r="Q530" s="392" t="str">
        <f t="shared" si="33"/>
        <v>09/06/2018</v>
      </c>
      <c r="R530" s="392">
        <f t="shared" si="34"/>
        <v>43348</v>
      </c>
      <c r="S530" s="392" t="s">
        <v>9149</v>
      </c>
      <c r="T530" s="168" t="s">
        <v>597</v>
      </c>
      <c r="U530" s="167"/>
      <c r="V530" s="167"/>
      <c r="W530" s="167"/>
    </row>
    <row r="531" spans="1:23" s="86" customFormat="1" ht="60" x14ac:dyDescent="0.25">
      <c r="A531" s="165" t="str">
        <f t="shared" si="35"/>
        <v/>
      </c>
      <c r="B531" s="23" t="s">
        <v>6969</v>
      </c>
      <c r="C531" s="23" t="s">
        <v>7604</v>
      </c>
      <c r="D531" s="166" t="s">
        <v>8975</v>
      </c>
      <c r="E531" s="166" t="s">
        <v>465</v>
      </c>
      <c r="F531" s="169">
        <v>7</v>
      </c>
      <c r="G531" s="167" t="s">
        <v>8439</v>
      </c>
      <c r="H531" s="89">
        <v>180000000</v>
      </c>
      <c r="I531" s="89" t="str">
        <f>IF($H531&lt;='Abbrev Key'!$A$2,'Abbrev Key'!$B$2,IF($H531&lt;='Abbrev Key'!$A$3,'Abbrev Key'!$B$3,IF($H531&lt;='Abbrev Key'!$A$4,'Abbrev Key'!$B$4,IF($H531&lt;='Abbrev Key'!$A$5,'Abbrev Key'!$B$5,IF($H531&lt;='Abbrev Key'!$A$6,'Abbrev Key'!$B$6,IF($H531&gt;='Abbrev Key'!$A$7,'Abbrev Key'!$B$7,IF($H531='Abbrev Key'!$A$8,'Abbrev Key'!$B$8,"")))))))</f>
        <v>D</v>
      </c>
      <c r="J531" s="23" t="s">
        <v>11924</v>
      </c>
      <c r="K531" s="92" t="s">
        <v>640</v>
      </c>
      <c r="L531" s="398">
        <v>5200000</v>
      </c>
      <c r="M531" s="403">
        <f>IFERROR((L531/H531),"DC")</f>
        <v>2.8888888888888888E-2</v>
      </c>
      <c r="N531" s="92" t="s">
        <v>11411</v>
      </c>
      <c r="O531" s="92"/>
      <c r="P531" s="167" t="s">
        <v>4287</v>
      </c>
      <c r="Q531" s="392" t="str">
        <f t="shared" si="33"/>
        <v>07/16/2018</v>
      </c>
      <c r="R531" s="392">
        <f t="shared" si="34"/>
        <v>43296</v>
      </c>
      <c r="S531" s="392" t="str">
        <f>_xlfn.IFNA(VLOOKUP(B531,'[1]VLOOKUP NO DUPS'!$A$1:$C$456,2,FALSE),"")</f>
        <v>09/10/2018</v>
      </c>
      <c r="T531" s="168" t="str">
        <f>_xlfn.IFNA(VLOOKUP(B531,'[1]VLOOKUP NO DUPS'!$A$1:$C$456,3,FALSE),"")</f>
        <v>Entwistle &amp; Cappucci LLP; Moirano Gorman Kenny, LLC</v>
      </c>
      <c r="U531" s="167"/>
      <c r="V531" s="167"/>
      <c r="W531" s="167"/>
    </row>
    <row r="532" spans="1:23" s="86" customFormat="1" x14ac:dyDescent="0.25">
      <c r="A532" s="165" t="str">
        <f t="shared" si="35"/>
        <v/>
      </c>
      <c r="B532" s="23" t="s">
        <v>8917</v>
      </c>
      <c r="C532" s="23" t="s">
        <v>8598</v>
      </c>
      <c r="D532" s="166" t="s">
        <v>8976</v>
      </c>
      <c r="E532" s="166" t="s">
        <v>424</v>
      </c>
      <c r="F532" s="167">
        <v>3</v>
      </c>
      <c r="G532" s="167" t="s">
        <v>8446</v>
      </c>
      <c r="H532" s="89">
        <v>70000000</v>
      </c>
      <c r="I532" s="89" t="str">
        <f>IF($H532&lt;='Abbrev Key'!$A$2,'Abbrev Key'!$B$2,IF($H532&lt;='Abbrev Key'!$A$3,'Abbrev Key'!$B$3,IF($H532&lt;='Abbrev Key'!$A$4,'Abbrev Key'!$B$4,IF($H532&lt;='Abbrev Key'!$A$5,'Abbrev Key'!$B$5,IF($H532&lt;='Abbrev Key'!$A$6,'Abbrev Key'!$B$6,IF($H532&gt;='Abbrev Key'!$A$7,'Abbrev Key'!$B$7,IF($H532='Abbrev Key'!$A$8,'Abbrev Key'!$B$8,"")))))))</f>
        <v>C</v>
      </c>
      <c r="J532" s="92" t="s">
        <v>4332</v>
      </c>
      <c r="K532" s="92" t="s">
        <v>4332</v>
      </c>
      <c r="L532" s="92" t="s">
        <v>4332</v>
      </c>
      <c r="M532" s="92" t="s">
        <v>4332</v>
      </c>
      <c r="N532" s="92" t="s">
        <v>4332</v>
      </c>
      <c r="O532" s="92"/>
      <c r="P532" s="167" t="s">
        <v>4287</v>
      </c>
      <c r="Q532" s="392" t="str">
        <f t="shared" si="33"/>
        <v>09/11/2018</v>
      </c>
      <c r="R532" s="392">
        <f t="shared" si="34"/>
        <v>43353</v>
      </c>
      <c r="S532" s="392" t="str">
        <f>_xlfn.IFNA(VLOOKUP(B532,'[1]VLOOKUP NO DUPS'!$A$1:$C$456,2,FALSE),"")</f>
        <v>09/11/2018</v>
      </c>
      <c r="T532" s="168" t="str">
        <f>_xlfn.IFNA(VLOOKUP(B532,'[1]VLOOKUP NO DUPS'!$A$1:$C$456,3,FALSE),"")</f>
        <v>The Rosen Law Firm, P.A.</v>
      </c>
      <c r="U532" s="167"/>
      <c r="V532" s="167"/>
      <c r="W532" s="167"/>
    </row>
    <row r="533" spans="1:23" s="86" customFormat="1" x14ac:dyDescent="0.25">
      <c r="A533" s="165" t="str">
        <f t="shared" si="35"/>
        <v/>
      </c>
      <c r="B533" s="23" t="s">
        <v>8880</v>
      </c>
      <c r="C533" s="23" t="s">
        <v>8563</v>
      </c>
      <c r="D533" s="166" t="s">
        <v>8972</v>
      </c>
      <c r="E533" s="166" t="s">
        <v>424</v>
      </c>
      <c r="F533" s="167">
        <v>3</v>
      </c>
      <c r="G533" s="167" t="s">
        <v>8386</v>
      </c>
      <c r="H533" s="89">
        <v>480000000</v>
      </c>
      <c r="I533" s="89" t="str">
        <f>IF($H533&lt;='Abbrev Key'!$A$2,'Abbrev Key'!$B$2,IF($H533&lt;='Abbrev Key'!$A$3,'Abbrev Key'!$B$3,IF($H533&lt;='Abbrev Key'!$A$4,'Abbrev Key'!$B$4,IF($H533&lt;='Abbrev Key'!$A$5,'Abbrev Key'!$B$5,IF($H533&lt;='Abbrev Key'!$A$6,'Abbrev Key'!$B$6,IF($H533&gt;='Abbrev Key'!$A$7,'Abbrev Key'!$B$7,IF($H533='Abbrev Key'!$A$8,'Abbrev Key'!$B$8,"")))))))</f>
        <v>E</v>
      </c>
      <c r="J533" s="92" t="s">
        <v>4332</v>
      </c>
      <c r="K533" s="92" t="s">
        <v>4332</v>
      </c>
      <c r="L533" s="92" t="s">
        <v>4332</v>
      </c>
      <c r="M533" s="92" t="s">
        <v>4332</v>
      </c>
      <c r="N533" s="92" t="s">
        <v>4332</v>
      </c>
      <c r="O533" s="92"/>
      <c r="P533" s="167" t="s">
        <v>4287</v>
      </c>
      <c r="Q533" s="392" t="str">
        <f t="shared" si="33"/>
        <v>09/07/2018</v>
      </c>
      <c r="R533" s="392">
        <f t="shared" si="34"/>
        <v>43349</v>
      </c>
      <c r="S533" s="392" t="str">
        <f>_xlfn.IFNA(VLOOKUP(B533,'[1]VLOOKUP NO DUPS'!$A$1:$C$456,2,FALSE),"")</f>
        <v>09/12/2018</v>
      </c>
      <c r="T533" s="168" t="str">
        <f>_xlfn.IFNA(VLOOKUP(B533,'[1]VLOOKUP NO DUPS'!$A$1:$C$456,3,FALSE),"")</f>
        <v>The Rosen Law Firm, P.A.</v>
      </c>
      <c r="U533" s="167"/>
      <c r="V533" s="167"/>
      <c r="W533" s="167"/>
    </row>
    <row r="534" spans="1:23" s="86" customFormat="1" ht="30" x14ac:dyDescent="0.25">
      <c r="A534" s="165" t="str">
        <f t="shared" si="35"/>
        <v/>
      </c>
      <c r="B534" s="23" t="s">
        <v>8869</v>
      </c>
      <c r="C534" s="23" t="s">
        <v>8550</v>
      </c>
      <c r="D534" s="166" t="s">
        <v>8969</v>
      </c>
      <c r="E534" s="166" t="s">
        <v>399</v>
      </c>
      <c r="F534" s="169">
        <v>9</v>
      </c>
      <c r="G534" s="167" t="s">
        <v>8371</v>
      </c>
      <c r="H534" s="89">
        <v>600000000</v>
      </c>
      <c r="I534" s="89" t="str">
        <f>IF($H534&lt;='Abbrev Key'!$A$2,'Abbrev Key'!$B$2,IF($H534&lt;='Abbrev Key'!$A$3,'Abbrev Key'!$B$3,IF($H534&lt;='Abbrev Key'!$A$4,'Abbrev Key'!$B$4,IF($H534&lt;='Abbrev Key'!$A$5,'Abbrev Key'!$B$5,IF($H534&lt;='Abbrev Key'!$A$6,'Abbrev Key'!$B$6,IF($H534&gt;='Abbrev Key'!$A$7,'Abbrev Key'!$B$7,IF($H534='Abbrev Key'!$A$8,'Abbrev Key'!$B$8,"")))))))</f>
        <v>F</v>
      </c>
      <c r="J534" s="23" t="s">
        <v>11448</v>
      </c>
      <c r="K534" s="92" t="s">
        <v>637</v>
      </c>
      <c r="L534" s="398">
        <v>214240</v>
      </c>
      <c r="M534" s="403">
        <f>IFERROR((L534/H534),"DC")</f>
        <v>3.5706666666666665E-4</v>
      </c>
      <c r="N534" s="92" t="s">
        <v>11449</v>
      </c>
      <c r="O534" s="92"/>
      <c r="P534" s="167" t="s">
        <v>4287</v>
      </c>
      <c r="Q534" s="392" t="str">
        <f t="shared" si="33"/>
        <v>08/09/2018</v>
      </c>
      <c r="R534" s="392">
        <f t="shared" si="34"/>
        <v>43320</v>
      </c>
      <c r="S534" s="392" t="str">
        <f>_xlfn.IFNA(VLOOKUP(B534,'[1]VLOOKUP NO DUPS'!$A$1:$C$456,2,FALSE),"")</f>
        <v>09/14/2018</v>
      </c>
      <c r="T534" s="168" t="str">
        <f>_xlfn.IFNA(VLOOKUP(B534,'[1]VLOOKUP NO DUPS'!$A$1:$C$456,3,FALSE),"")</f>
        <v>Bonnett, Fairbourn, Friedman &amp; Balint, P.C.; Wolf Popper LLP</v>
      </c>
      <c r="U534" s="167"/>
      <c r="V534" s="167"/>
      <c r="W534" s="167"/>
    </row>
    <row r="535" spans="1:23" s="86" customFormat="1" ht="30" x14ac:dyDescent="0.25">
      <c r="A535" s="165" t="str">
        <f t="shared" si="35"/>
        <v/>
      </c>
      <c r="B535" s="23" t="s">
        <v>8823</v>
      </c>
      <c r="C535" s="23" t="s">
        <v>8507</v>
      </c>
      <c r="D535" s="166" t="s">
        <v>8958</v>
      </c>
      <c r="E535" s="166" t="s">
        <v>424</v>
      </c>
      <c r="F535" s="167">
        <v>3</v>
      </c>
      <c r="G535" s="167" t="s">
        <v>8302</v>
      </c>
      <c r="H535" s="89">
        <v>75000000</v>
      </c>
      <c r="I535" s="89" t="str">
        <f>IF($H535&lt;='Abbrev Key'!$A$2,'Abbrev Key'!$B$2,IF($H535&lt;='Abbrev Key'!$A$3,'Abbrev Key'!$B$3,IF($H535&lt;='Abbrev Key'!$A$4,'Abbrev Key'!$B$4,IF($H535&lt;='Abbrev Key'!$A$5,'Abbrev Key'!$B$5,IF($H535&lt;='Abbrev Key'!$A$6,'Abbrev Key'!$B$6,IF($H535&gt;='Abbrev Key'!$A$7,'Abbrev Key'!$B$7,IF($H535='Abbrev Key'!$A$8,'Abbrev Key'!$B$8,"")))))))</f>
        <v>C</v>
      </c>
      <c r="J535" s="92" t="s">
        <v>4332</v>
      </c>
      <c r="K535" s="92" t="s">
        <v>4332</v>
      </c>
      <c r="L535" s="92" t="s">
        <v>4332</v>
      </c>
      <c r="M535" s="92" t="s">
        <v>4332</v>
      </c>
      <c r="N535" s="92" t="s">
        <v>4332</v>
      </c>
      <c r="O535" s="92"/>
      <c r="P535" s="167"/>
      <c r="Q535" s="392" t="str">
        <f t="shared" si="33"/>
        <v>09/07/2018</v>
      </c>
      <c r="R535" s="392">
        <f t="shared" si="34"/>
        <v>43349</v>
      </c>
      <c r="S535" s="392" t="str">
        <f>_xlfn.IFNA(VLOOKUP(B535,'[1]VLOOKUP NO DUPS'!$A$1:$C$456,2,FALSE),"")</f>
        <v>09/20/2018</v>
      </c>
      <c r="T535" s="168" t="str">
        <f>_xlfn.IFNA(VLOOKUP(B535,'[1]VLOOKUP NO DUPS'!$A$1:$C$456,3,FALSE),"")</f>
        <v>The Rosen Law Firm, P.A.</v>
      </c>
      <c r="U535" s="167"/>
      <c r="V535" s="167"/>
      <c r="W535" s="167"/>
    </row>
    <row r="536" spans="1:23" s="86" customFormat="1" x14ac:dyDescent="0.25">
      <c r="A536" s="165" t="str">
        <f t="shared" si="35"/>
        <v/>
      </c>
      <c r="B536" s="23" t="s">
        <v>8798</v>
      </c>
      <c r="C536" s="23" t="s">
        <v>8475</v>
      </c>
      <c r="D536" s="166" t="s">
        <v>8952</v>
      </c>
      <c r="E536" s="166" t="s">
        <v>418</v>
      </c>
      <c r="F536" s="167">
        <v>2</v>
      </c>
      <c r="G536" s="167" t="s">
        <v>8265</v>
      </c>
      <c r="H536" s="89">
        <v>300000000</v>
      </c>
      <c r="I536" s="89" t="str">
        <f>IF($H536&lt;='Abbrev Key'!$A$2,'Abbrev Key'!$B$2,IF($H536&lt;='Abbrev Key'!$A$3,'Abbrev Key'!$B$3,IF($H536&lt;='Abbrev Key'!$A$4,'Abbrev Key'!$B$4,IF($H536&lt;='Abbrev Key'!$A$5,'Abbrev Key'!$B$5,IF($H536&lt;='Abbrev Key'!$A$6,'Abbrev Key'!$B$6,IF($H536&gt;='Abbrev Key'!$A$7,'Abbrev Key'!$B$7,IF($H536='Abbrev Key'!$A$8,'Abbrev Key'!$B$8,"")))))))</f>
        <v>E</v>
      </c>
      <c r="J536" s="92" t="s">
        <v>4332</v>
      </c>
      <c r="K536" s="92" t="s">
        <v>4332</v>
      </c>
      <c r="L536" s="92" t="s">
        <v>4332</v>
      </c>
      <c r="M536" s="92" t="s">
        <v>4332</v>
      </c>
      <c r="N536" s="92" t="s">
        <v>4332</v>
      </c>
      <c r="O536" s="92"/>
      <c r="P536" s="167" t="s">
        <v>4287</v>
      </c>
      <c r="Q536" s="392" t="str">
        <f t="shared" si="33"/>
        <v>09/12/2018</v>
      </c>
      <c r="R536" s="392">
        <f t="shared" si="34"/>
        <v>43354</v>
      </c>
      <c r="S536" s="392" t="str">
        <f>_xlfn.IFNA(VLOOKUP(B536,'[1]VLOOKUP NO DUPS'!$A$1:$C$456,2,FALSE),"")</f>
        <v>09/26/2018</v>
      </c>
      <c r="T536" s="168" t="str">
        <f>_xlfn.IFNA(VLOOKUP(B536,'[1]VLOOKUP NO DUPS'!$A$1:$C$456,3,FALSE),"")</f>
        <v>Pomerantz LLP</v>
      </c>
      <c r="U536" s="167"/>
      <c r="V536" s="167"/>
      <c r="W536" s="167"/>
    </row>
    <row r="537" spans="1:23" s="86" customFormat="1" x14ac:dyDescent="0.25">
      <c r="A537" s="165" t="str">
        <f t="shared" si="35"/>
        <v/>
      </c>
      <c r="B537" s="23" t="s">
        <v>8821</v>
      </c>
      <c r="C537" s="23" t="s">
        <v>8505</v>
      </c>
      <c r="D537" s="166" t="s">
        <v>8957</v>
      </c>
      <c r="E537" s="166" t="s">
        <v>457</v>
      </c>
      <c r="F537" s="167">
        <v>9</v>
      </c>
      <c r="G537" s="167" t="s">
        <v>8300</v>
      </c>
      <c r="H537" s="89">
        <v>35000000</v>
      </c>
      <c r="I537" s="89" t="str">
        <f>IF($H537&lt;='Abbrev Key'!$A$2,'Abbrev Key'!$B$2,IF($H537&lt;='Abbrev Key'!$A$3,'Abbrev Key'!$B$3,IF($H537&lt;='Abbrev Key'!$A$4,'Abbrev Key'!$B$4,IF($H537&lt;='Abbrev Key'!$A$5,'Abbrev Key'!$B$5,IF($H537&lt;='Abbrev Key'!$A$6,'Abbrev Key'!$B$6,IF($H537&gt;='Abbrev Key'!$A$7,'Abbrev Key'!$B$7,IF($H537='Abbrev Key'!$A$8,'Abbrev Key'!$B$8,"")))))))</f>
        <v>B</v>
      </c>
      <c r="J537" s="92" t="s">
        <v>4332</v>
      </c>
      <c r="K537" s="92" t="s">
        <v>4332</v>
      </c>
      <c r="L537" s="92" t="s">
        <v>4332</v>
      </c>
      <c r="M537" s="92" t="s">
        <v>4332</v>
      </c>
      <c r="N537" s="92" t="s">
        <v>4332</v>
      </c>
      <c r="O537" s="92"/>
      <c r="P537" s="167" t="s">
        <v>4287</v>
      </c>
      <c r="Q537" s="392" t="str">
        <f t="shared" si="33"/>
        <v>09/25/2018</v>
      </c>
      <c r="R537" s="392">
        <f t="shared" si="34"/>
        <v>43367</v>
      </c>
      <c r="S537" s="392" t="str">
        <f>_xlfn.IFNA(VLOOKUP(B537,'[1]VLOOKUP NO DUPS'!$A$1:$C$456,2,FALSE),"")</f>
        <v>09/27/2018</v>
      </c>
      <c r="T537" s="168" t="str">
        <f>_xlfn.IFNA(VLOOKUP(B537,'[1]VLOOKUP NO DUPS'!$A$1:$C$456,3,FALSE),"")</f>
        <v>Glancy Prongay &amp; Murray, LLP</v>
      </c>
      <c r="U537" s="167"/>
      <c r="V537" s="167"/>
      <c r="W537" s="167"/>
    </row>
    <row r="538" spans="1:23" s="86" customFormat="1" ht="30" x14ac:dyDescent="0.25">
      <c r="A538" s="164" t="str">
        <f t="shared" si="35"/>
        <v/>
      </c>
      <c r="B538" s="23" t="s">
        <v>8813</v>
      </c>
      <c r="C538" s="23" t="s">
        <v>8497</v>
      </c>
      <c r="D538" s="166" t="s">
        <v>8955</v>
      </c>
      <c r="E538" s="166" t="s">
        <v>424</v>
      </c>
      <c r="F538" s="167">
        <v>3</v>
      </c>
      <c r="G538" s="167" t="s">
        <v>8289</v>
      </c>
      <c r="H538" s="89">
        <v>150000000</v>
      </c>
      <c r="I538" s="89" t="str">
        <f>IF($H538&lt;='Abbrev Key'!$A$2,'Abbrev Key'!$B$2,IF($H538&lt;='Abbrev Key'!$A$3,'Abbrev Key'!$B$3,IF($H538&lt;='Abbrev Key'!$A$4,'Abbrev Key'!$B$4,IF($H538&lt;='Abbrev Key'!$A$5,'Abbrev Key'!$B$5,IF($H538&lt;='Abbrev Key'!$A$6,'Abbrev Key'!$B$6,IF($H538&gt;='Abbrev Key'!$A$7,'Abbrev Key'!$B$7,IF($H538='Abbrev Key'!$A$8,'Abbrev Key'!$B$8,"")))))))</f>
        <v>D</v>
      </c>
      <c r="J538" s="92" t="s">
        <v>4332</v>
      </c>
      <c r="K538" s="92" t="s">
        <v>4332</v>
      </c>
      <c r="L538" s="92" t="s">
        <v>4332</v>
      </c>
      <c r="M538" s="92" t="s">
        <v>4332</v>
      </c>
      <c r="N538" s="92" t="s">
        <v>4332</v>
      </c>
      <c r="O538" s="92"/>
      <c r="P538" s="167" t="s">
        <v>4287</v>
      </c>
      <c r="Q538" s="392" t="str">
        <f t="shared" si="33"/>
        <v>05/17/2018</v>
      </c>
      <c r="R538" s="392">
        <f t="shared" si="34"/>
        <v>43236</v>
      </c>
      <c r="S538" s="392" t="str">
        <f>_xlfn.IFNA(VLOOKUP(B538,'[1]VLOOKUP NO DUPS'!$A$1:$C$456,2,FALSE),"")</f>
        <v>09/28/2018</v>
      </c>
      <c r="T538" s="168" t="str">
        <f>_xlfn.IFNA(VLOOKUP(B538,'[1]VLOOKUP NO DUPS'!$A$1:$C$456,3,FALSE),"")</f>
        <v>Carella, Byrne, Cecchi, Olstein, Brody &amp; Agnello P.C.; Kessler Topaz  Meltzer &amp; Check, LLP</v>
      </c>
      <c r="U538" s="167"/>
      <c r="V538" s="167"/>
      <c r="W538" s="167"/>
    </row>
    <row r="539" spans="1:23" s="86" customFormat="1" ht="30" x14ac:dyDescent="0.25">
      <c r="A539" s="165" t="str">
        <f t="shared" si="35"/>
        <v/>
      </c>
      <c r="B539" s="23" t="s">
        <v>8843</v>
      </c>
      <c r="C539" s="23" t="s">
        <v>8526</v>
      </c>
      <c r="D539" s="166" t="s">
        <v>8963</v>
      </c>
      <c r="E539" s="166" t="s">
        <v>8608</v>
      </c>
      <c r="F539" s="167">
        <v>1</v>
      </c>
      <c r="G539" s="167" t="s">
        <v>8335</v>
      </c>
      <c r="H539" s="89">
        <v>360000000</v>
      </c>
      <c r="I539" s="89" t="str">
        <f>IF($H539&lt;='Abbrev Key'!$A$2,'Abbrev Key'!$B$2,IF($H539&lt;='Abbrev Key'!$A$3,'Abbrev Key'!$B$3,IF($H539&lt;='Abbrev Key'!$A$4,'Abbrev Key'!$B$4,IF($H539&lt;='Abbrev Key'!$A$5,'Abbrev Key'!$B$5,IF($H539&lt;='Abbrev Key'!$A$6,'Abbrev Key'!$B$6,IF($H539&gt;='Abbrev Key'!$A$7,'Abbrev Key'!$B$7,IF($H539='Abbrev Key'!$A$8,'Abbrev Key'!$B$8,"")))))))</f>
        <v>E</v>
      </c>
      <c r="J539" s="92" t="s">
        <v>4332</v>
      </c>
      <c r="K539" s="92" t="s">
        <v>4332</v>
      </c>
      <c r="L539" s="92" t="s">
        <v>4332</v>
      </c>
      <c r="M539" s="92" t="s">
        <v>4332</v>
      </c>
      <c r="N539" s="92" t="s">
        <v>4332</v>
      </c>
      <c r="O539" s="92"/>
      <c r="P539" s="167" t="s">
        <v>4287</v>
      </c>
      <c r="Q539" s="392" t="str">
        <f t="shared" si="33"/>
        <v>10/23/2017</v>
      </c>
      <c r="R539" s="392">
        <f t="shared" si="34"/>
        <v>43030</v>
      </c>
      <c r="S539" s="392" t="str">
        <f>_xlfn.IFNA(VLOOKUP(B539,'[1]VLOOKUP NO DUPS'!$A$1:$C$456,2,FALSE),"")</f>
        <v>09/28/2018</v>
      </c>
      <c r="T539" s="168" t="str">
        <f>_xlfn.IFNA(VLOOKUP(B539,'[1]VLOOKUP NO DUPS'!$A$1:$C$456,3,FALSE),"")</f>
        <v>Motley Rice LLC; Robbins, Geller, Rudman &amp; Dowd, LLP; VanOverbeke Michaud &amp; Timmony, P.C.</v>
      </c>
      <c r="U539" s="167"/>
      <c r="V539" s="167"/>
      <c r="W539" s="167"/>
    </row>
    <row r="540" spans="1:23" s="86" customFormat="1" x14ac:dyDescent="0.25">
      <c r="A540" s="165" t="str">
        <f t="shared" si="35"/>
        <v>DUP</v>
      </c>
      <c r="B540" s="23" t="s">
        <v>2698</v>
      </c>
      <c r="C540" s="23" t="s">
        <v>8549</v>
      </c>
      <c r="D540" s="166" t="s">
        <v>8968</v>
      </c>
      <c r="E540" s="166" t="s">
        <v>424</v>
      </c>
      <c r="F540" s="167">
        <v>3</v>
      </c>
      <c r="G540" s="167" t="s">
        <v>8369</v>
      </c>
      <c r="H540" s="89">
        <v>50000000</v>
      </c>
      <c r="I540" s="89" t="str">
        <f>IF($H540&lt;='Abbrev Key'!$A$2,'Abbrev Key'!$B$2,IF($H540&lt;='Abbrev Key'!$A$3,'Abbrev Key'!$B$3,IF($H540&lt;='Abbrev Key'!$A$4,'Abbrev Key'!$B$4,IF($H540&lt;='Abbrev Key'!$A$5,'Abbrev Key'!$B$5,IF($H540&lt;='Abbrev Key'!$A$6,'Abbrev Key'!$B$6,IF($H540&gt;='Abbrev Key'!$A$7,'Abbrev Key'!$B$7,IF($H540='Abbrev Key'!$A$8,'Abbrev Key'!$B$8,"")))))))</f>
        <v>B</v>
      </c>
      <c r="J540" s="92" t="s">
        <v>4332</v>
      </c>
      <c r="K540" s="92" t="s">
        <v>4332</v>
      </c>
      <c r="L540" s="92" t="s">
        <v>4332</v>
      </c>
      <c r="M540" s="92" t="s">
        <v>4332</v>
      </c>
      <c r="N540" s="92" t="s">
        <v>4332</v>
      </c>
      <c r="O540" s="92"/>
      <c r="P540" s="167" t="s">
        <v>4287</v>
      </c>
      <c r="Q540" s="392" t="str">
        <f t="shared" si="33"/>
        <v>09/07/2018</v>
      </c>
      <c r="R540" s="392">
        <f t="shared" si="34"/>
        <v>43349</v>
      </c>
      <c r="S540" s="392" t="s">
        <v>10887</v>
      </c>
      <c r="T540" s="168" t="s">
        <v>682</v>
      </c>
      <c r="U540" s="167"/>
      <c r="V540" s="167"/>
      <c r="W540" s="167"/>
    </row>
    <row r="541" spans="1:23" s="86" customFormat="1" ht="30" x14ac:dyDescent="0.25">
      <c r="A541" s="165" t="str">
        <f t="shared" si="35"/>
        <v>DUP</v>
      </c>
      <c r="B541" s="23" t="s">
        <v>6900</v>
      </c>
      <c r="C541" s="23" t="s">
        <v>10594</v>
      </c>
      <c r="D541" s="166" t="s">
        <v>8953</v>
      </c>
      <c r="E541" s="166" t="s">
        <v>8612</v>
      </c>
      <c r="F541" s="169">
        <v>5</v>
      </c>
      <c r="G541" s="167" t="s">
        <v>8270</v>
      </c>
      <c r="H541" s="89">
        <v>65000000</v>
      </c>
      <c r="I541" s="89" t="str">
        <f>IF($H541&lt;='Abbrev Key'!$A$2,'Abbrev Key'!$B$2,IF($H541&lt;='Abbrev Key'!$A$3,'Abbrev Key'!$B$3,IF($H541&lt;='Abbrev Key'!$A$4,'Abbrev Key'!$B$4,IF($H541&lt;='Abbrev Key'!$A$5,'Abbrev Key'!$B$5,IF($H541&lt;='Abbrev Key'!$A$6,'Abbrev Key'!$B$6,IF($H541&gt;='Abbrev Key'!$A$7,'Abbrev Key'!$B$7,IF($H541='Abbrev Key'!$A$8,'Abbrev Key'!$B$8,"")))))))</f>
        <v>C</v>
      </c>
      <c r="J541" s="92" t="s">
        <v>4332</v>
      </c>
      <c r="K541" s="92" t="s">
        <v>4332</v>
      </c>
      <c r="L541" s="92" t="s">
        <v>4332</v>
      </c>
      <c r="M541" s="92" t="s">
        <v>4332</v>
      </c>
      <c r="N541" s="92" t="s">
        <v>4332</v>
      </c>
      <c r="O541" s="92"/>
      <c r="P541" s="167" t="s">
        <v>4287</v>
      </c>
      <c r="Q541" s="392" t="str">
        <f t="shared" si="33"/>
        <v>09/27/2018</v>
      </c>
      <c r="R541" s="392">
        <f t="shared" si="34"/>
        <v>43369</v>
      </c>
      <c r="S541" s="392" t="s">
        <v>10885</v>
      </c>
      <c r="T541" s="168" t="s">
        <v>10933</v>
      </c>
      <c r="U541" s="167"/>
      <c r="V541" s="167"/>
      <c r="W541" s="167"/>
    </row>
    <row r="542" spans="1:23" s="86" customFormat="1" ht="30" x14ac:dyDescent="0.25">
      <c r="A542" s="165" t="str">
        <f t="shared" si="35"/>
        <v/>
      </c>
      <c r="B542" s="23" t="s">
        <v>8787</v>
      </c>
      <c r="C542" s="23" t="s">
        <v>8465</v>
      </c>
      <c r="D542" s="166" t="s">
        <v>8950</v>
      </c>
      <c r="E542" s="166" t="s">
        <v>418</v>
      </c>
      <c r="F542" s="167">
        <v>2</v>
      </c>
      <c r="G542" s="167" t="s">
        <v>8254</v>
      </c>
      <c r="H542" s="89">
        <v>1400000000</v>
      </c>
      <c r="I542" s="89" t="str">
        <f>IF($H542&lt;='Abbrev Key'!$A$2,'Abbrev Key'!$B$2,IF($H542&lt;='Abbrev Key'!$A$3,'Abbrev Key'!$B$3,IF($H542&lt;='Abbrev Key'!$A$4,'Abbrev Key'!$B$4,IF($H542&lt;='Abbrev Key'!$A$5,'Abbrev Key'!$B$5,IF($H542&lt;='Abbrev Key'!$A$6,'Abbrev Key'!$B$6,IF($H542&gt;='Abbrev Key'!$A$7,'Abbrev Key'!$B$7,IF($H542='Abbrev Key'!$A$8,'Abbrev Key'!$B$8,"")))))))</f>
        <v>F</v>
      </c>
      <c r="J542" s="92" t="s">
        <v>4332</v>
      </c>
      <c r="K542" s="92" t="s">
        <v>4332</v>
      </c>
      <c r="L542" s="92" t="s">
        <v>4332</v>
      </c>
      <c r="M542" s="92" t="s">
        <v>4332</v>
      </c>
      <c r="N542" s="92" t="s">
        <v>4332</v>
      </c>
      <c r="O542" s="92"/>
      <c r="P542" s="167"/>
      <c r="Q542" s="392" t="str">
        <f t="shared" si="33"/>
        <v>06/11/2018</v>
      </c>
      <c r="R542" s="392">
        <f t="shared" si="34"/>
        <v>43261</v>
      </c>
      <c r="S542" s="392" t="str">
        <f>_xlfn.IFNA(VLOOKUP(B542,'[1]VLOOKUP NO DUPS'!$A$1:$C$456,2,FALSE),"")</f>
        <v>10/04/2018</v>
      </c>
      <c r="T542" s="168" t="str">
        <f>_xlfn.IFNA(VLOOKUP(B542,'[1]VLOOKUP NO DUPS'!$A$1:$C$456,3,FALSE),"")</f>
        <v>Hagens Berman Sobol Shapiro LLP; Robbins, Geller, Rudman &amp; Dowd, LLP</v>
      </c>
      <c r="U542" s="167"/>
      <c r="V542" s="167"/>
      <c r="W542" s="167"/>
    </row>
    <row r="543" spans="1:23" s="86" customFormat="1" ht="30" x14ac:dyDescent="0.25">
      <c r="A543" s="165" t="str">
        <f t="shared" si="35"/>
        <v>DUP</v>
      </c>
      <c r="B543" s="23" t="s">
        <v>3757</v>
      </c>
      <c r="C543" s="23" t="s">
        <v>10717</v>
      </c>
      <c r="D543" s="166" t="s">
        <v>8973</v>
      </c>
      <c r="E543" s="166" t="s">
        <v>418</v>
      </c>
      <c r="F543" s="167">
        <v>2</v>
      </c>
      <c r="G543" s="167" t="s">
        <v>8434</v>
      </c>
      <c r="H543" s="89">
        <v>100000000</v>
      </c>
      <c r="I543" s="89" t="str">
        <f>IF($H543&lt;='Abbrev Key'!$A$2,'Abbrev Key'!$B$2,IF($H543&lt;='Abbrev Key'!$A$3,'Abbrev Key'!$B$3,IF($H543&lt;='Abbrev Key'!$A$4,'Abbrev Key'!$B$4,IF($H543&lt;='Abbrev Key'!$A$5,'Abbrev Key'!$B$5,IF($H543&lt;='Abbrev Key'!$A$6,'Abbrev Key'!$B$6,IF($H543&gt;='Abbrev Key'!$A$7,'Abbrev Key'!$B$7,IF($H543='Abbrev Key'!$A$8,'Abbrev Key'!$B$8,"")))))))</f>
        <v>C</v>
      </c>
      <c r="J543" s="92" t="s">
        <v>4332</v>
      </c>
      <c r="K543" s="92" t="s">
        <v>4332</v>
      </c>
      <c r="L543" s="92" t="s">
        <v>4332</v>
      </c>
      <c r="M543" s="92" t="s">
        <v>4332</v>
      </c>
      <c r="N543" s="92" t="s">
        <v>4332</v>
      </c>
      <c r="O543" s="92"/>
      <c r="P543" s="167" t="s">
        <v>4287</v>
      </c>
      <c r="Q543" s="392" t="str">
        <f t="shared" si="33"/>
        <v>09/25/2018</v>
      </c>
      <c r="R543" s="392">
        <f t="shared" si="34"/>
        <v>43367</v>
      </c>
      <c r="S543" s="392" t="s">
        <v>10886</v>
      </c>
      <c r="T543" s="168" t="s">
        <v>9834</v>
      </c>
      <c r="U543" s="167"/>
      <c r="V543" s="167"/>
      <c r="W543" s="167"/>
    </row>
    <row r="544" spans="1:23" s="86" customFormat="1" x14ac:dyDescent="0.25">
      <c r="A544" s="165" t="str">
        <f t="shared" si="35"/>
        <v/>
      </c>
      <c r="B544" s="23" t="s">
        <v>8872</v>
      </c>
      <c r="C544" s="23" t="s">
        <v>8970</v>
      </c>
      <c r="D544" s="166" t="s">
        <v>8971</v>
      </c>
      <c r="E544" s="166" t="s">
        <v>446</v>
      </c>
      <c r="F544" s="167">
        <v>9</v>
      </c>
      <c r="G544" s="167" t="s">
        <v>8376</v>
      </c>
      <c r="H544" s="89">
        <v>10000000</v>
      </c>
      <c r="I544" s="89" t="str">
        <f>IF($H544&lt;='Abbrev Key'!$A$2,'Abbrev Key'!$B$2,IF($H544&lt;='Abbrev Key'!$A$3,'Abbrev Key'!$B$3,IF($H544&lt;='Abbrev Key'!$A$4,'Abbrev Key'!$B$4,IF($H544&lt;='Abbrev Key'!$A$5,'Abbrev Key'!$B$5,IF($H544&lt;='Abbrev Key'!$A$6,'Abbrev Key'!$B$6,IF($H544&gt;='Abbrev Key'!$A$7,'Abbrev Key'!$B$7,IF($H544='Abbrev Key'!$A$8,'Abbrev Key'!$B$8,"")))))))</f>
        <v>A</v>
      </c>
      <c r="J544" s="92" t="s">
        <v>4332</v>
      </c>
      <c r="K544" s="92" t="s">
        <v>4332</v>
      </c>
      <c r="L544" s="92" t="s">
        <v>4332</v>
      </c>
      <c r="M544" s="92" t="s">
        <v>4332</v>
      </c>
      <c r="N544" s="92" t="s">
        <v>4332</v>
      </c>
      <c r="O544" s="92"/>
      <c r="P544" s="167" t="s">
        <v>4287</v>
      </c>
      <c r="Q544" s="392" t="str">
        <f t="shared" si="33"/>
        <v>10/04/2018</v>
      </c>
      <c r="R544" s="392">
        <f t="shared" si="34"/>
        <v>43376</v>
      </c>
      <c r="S544" s="392" t="s">
        <v>10915</v>
      </c>
      <c r="T544" s="168" t="s">
        <v>682</v>
      </c>
      <c r="U544" s="167"/>
      <c r="V544" s="167"/>
      <c r="W544" s="167"/>
    </row>
    <row r="545" spans="1:23" s="86" customFormat="1" ht="30" x14ac:dyDescent="0.25">
      <c r="A545" s="165" t="str">
        <f t="shared" si="35"/>
        <v/>
      </c>
      <c r="B545" s="23" t="s">
        <v>8846</v>
      </c>
      <c r="C545" s="23" t="s">
        <v>8528</v>
      </c>
      <c r="D545" s="166" t="s">
        <v>8964</v>
      </c>
      <c r="E545" s="166" t="s">
        <v>446</v>
      </c>
      <c r="F545" s="167">
        <v>9</v>
      </c>
      <c r="G545" s="167" t="s">
        <v>8338</v>
      </c>
      <c r="H545" s="89">
        <v>75000000</v>
      </c>
      <c r="I545" s="89" t="str">
        <f>IF($H545&lt;='Abbrev Key'!$A$2,'Abbrev Key'!$B$2,IF($H545&lt;='Abbrev Key'!$A$3,'Abbrev Key'!$B$3,IF($H545&lt;='Abbrev Key'!$A$4,'Abbrev Key'!$B$4,IF($H545&lt;='Abbrev Key'!$A$5,'Abbrev Key'!$B$5,IF($H545&lt;='Abbrev Key'!$A$6,'Abbrev Key'!$B$6,IF($H545&gt;='Abbrev Key'!$A$7,'Abbrev Key'!$B$7,IF($H545='Abbrev Key'!$A$8,'Abbrev Key'!$B$8,"")))))))</f>
        <v>C</v>
      </c>
      <c r="J545" s="92" t="s">
        <v>4332</v>
      </c>
      <c r="K545" s="92" t="s">
        <v>4332</v>
      </c>
      <c r="L545" s="92" t="s">
        <v>4332</v>
      </c>
      <c r="M545" s="92" t="s">
        <v>4332</v>
      </c>
      <c r="N545" s="92" t="s">
        <v>4332</v>
      </c>
      <c r="O545" s="92"/>
      <c r="P545" s="167" t="s">
        <v>4287</v>
      </c>
      <c r="Q545" s="392" t="str">
        <f t="shared" si="33"/>
        <v>08/28/2018</v>
      </c>
      <c r="R545" s="392">
        <f t="shared" si="34"/>
        <v>43339</v>
      </c>
      <c r="S545" s="392" t="str">
        <f>_xlfn.IFNA(VLOOKUP(B545,'[1]VLOOKUP NO DUPS'!$A$1:$C$456,2,FALSE),"")</f>
        <v>10/08/2018</v>
      </c>
      <c r="T545" s="168" t="str">
        <f>_xlfn.IFNA(VLOOKUP(B545,'[1]VLOOKUP NO DUPS'!$A$1:$C$456,3,FALSE),"")</f>
        <v>Glancy Prongay &amp; Murray, LLP; Law Offices of Howard G. Smith</v>
      </c>
      <c r="U545" s="167"/>
      <c r="V545" s="167"/>
      <c r="W545" s="167"/>
    </row>
    <row r="546" spans="1:23" s="86" customFormat="1" x14ac:dyDescent="0.25">
      <c r="A546" s="11" t="str">
        <f t="shared" si="35"/>
        <v/>
      </c>
      <c r="B546" s="23" t="s">
        <v>8782</v>
      </c>
      <c r="C546" s="23" t="s">
        <v>8460</v>
      </c>
      <c r="D546" s="166" t="s">
        <v>10944</v>
      </c>
      <c r="E546" s="166" t="s">
        <v>465</v>
      </c>
      <c r="F546" s="169">
        <v>7</v>
      </c>
      <c r="G546" s="167" t="s">
        <v>8249</v>
      </c>
      <c r="H546" s="89">
        <v>800000000</v>
      </c>
      <c r="I546" s="89" t="str">
        <f>IF($H546&lt;='Abbrev Key'!$A$2,'Abbrev Key'!$B$2,IF($H546&lt;='Abbrev Key'!$A$3,'Abbrev Key'!$B$3,IF($H546&lt;='Abbrev Key'!$A$4,'Abbrev Key'!$B$4,IF($H546&lt;='Abbrev Key'!$A$5,'Abbrev Key'!$B$5,IF($H546&lt;='Abbrev Key'!$A$6,'Abbrev Key'!$B$6,IF($H546&gt;='Abbrev Key'!$A$7,'Abbrev Key'!$B$7,IF($H546='Abbrev Key'!$A$8,'Abbrev Key'!$B$8,"")))))))</f>
        <v>F</v>
      </c>
      <c r="J546" s="92" t="s">
        <v>4332</v>
      </c>
      <c r="K546" s="92" t="s">
        <v>4332</v>
      </c>
      <c r="L546" s="92" t="s">
        <v>4332</v>
      </c>
      <c r="M546" s="92" t="s">
        <v>4332</v>
      </c>
      <c r="N546" s="92" t="s">
        <v>4332</v>
      </c>
      <c r="O546" s="92"/>
      <c r="P546" s="167"/>
      <c r="Q546" s="392" t="str">
        <f t="shared" si="33"/>
        <v>09/18/2018</v>
      </c>
      <c r="R546" s="392">
        <f t="shared" si="34"/>
        <v>43360</v>
      </c>
      <c r="S546" s="392" t="s">
        <v>10884</v>
      </c>
      <c r="T546" s="168" t="s">
        <v>79</v>
      </c>
      <c r="U546" s="167"/>
      <c r="V546" s="167"/>
      <c r="W546" s="167"/>
    </row>
    <row r="547" spans="1:23" s="86" customFormat="1" x14ac:dyDescent="0.25">
      <c r="A547" s="165" t="str">
        <f t="shared" si="35"/>
        <v/>
      </c>
      <c r="B547" s="23" t="s">
        <v>8799</v>
      </c>
      <c r="C547" s="23" t="s">
        <v>11639</v>
      </c>
      <c r="D547" s="166" t="s">
        <v>8687</v>
      </c>
      <c r="E547" s="166" t="s">
        <v>1008</v>
      </c>
      <c r="F547" s="167">
        <v>2</v>
      </c>
      <c r="G547" s="167" t="s">
        <v>8266</v>
      </c>
      <c r="H547" s="89">
        <v>15000000000</v>
      </c>
      <c r="I547" s="89" t="str">
        <f>IF($H547&lt;='Abbrev Key'!$A$2,'Abbrev Key'!$B$2,IF($H547&lt;='Abbrev Key'!$A$3,'Abbrev Key'!$B$3,IF($H547&lt;='Abbrev Key'!$A$4,'Abbrev Key'!$B$4,IF($H547&lt;='Abbrev Key'!$A$5,'Abbrev Key'!$B$5,IF($H547&lt;='Abbrev Key'!$A$6,'Abbrev Key'!$B$6,IF($H547&gt;='Abbrev Key'!$A$7,'Abbrev Key'!$B$7,IF($H547='Abbrev Key'!$A$8,'Abbrev Key'!$B$8,"")))))))</f>
        <v>F</v>
      </c>
      <c r="J547" s="92" t="s">
        <v>4332</v>
      </c>
      <c r="K547" s="92" t="s">
        <v>4332</v>
      </c>
      <c r="L547" s="92" t="s">
        <v>4332</v>
      </c>
      <c r="M547" s="92" t="s">
        <v>4332</v>
      </c>
      <c r="N547" s="92" t="s">
        <v>4332</v>
      </c>
      <c r="O547" s="92"/>
      <c r="P547" s="167" t="s">
        <v>4287</v>
      </c>
      <c r="Q547" s="392" t="str">
        <f t="shared" si="33"/>
        <v>10/10/2018</v>
      </c>
      <c r="R547" s="392">
        <f t="shared" si="34"/>
        <v>43382</v>
      </c>
      <c r="S547" s="392" t="str">
        <f>_xlfn.IFNA(VLOOKUP(B547,'[1]VLOOKUP NO DUPS'!$A$1:$C$456,2,FALSE),"")</f>
        <v>10/11/2018</v>
      </c>
      <c r="T547" s="168" t="str">
        <f>_xlfn.IFNA(VLOOKUP(B547,'[1]VLOOKUP NO DUPS'!$A$1:$C$456,3,FALSE),"")</f>
        <v>The Rosen Law Firm, P.A.</v>
      </c>
      <c r="U547" s="167"/>
      <c r="V547" s="167"/>
      <c r="W547" s="167"/>
    </row>
    <row r="548" spans="1:23" s="86" customFormat="1" ht="30" x14ac:dyDescent="0.25">
      <c r="A548" s="165" t="str">
        <f t="shared" si="35"/>
        <v/>
      </c>
      <c r="B548" s="23" t="s">
        <v>8903</v>
      </c>
      <c r="C548" s="23" t="s">
        <v>8582</v>
      </c>
      <c r="D548" s="166" t="s">
        <v>8749</v>
      </c>
      <c r="E548" s="166" t="s">
        <v>457</v>
      </c>
      <c r="F548" s="167">
        <v>9</v>
      </c>
      <c r="G548" s="167" t="s">
        <v>8424</v>
      </c>
      <c r="H548" s="89">
        <v>200000000</v>
      </c>
      <c r="I548" s="89" t="str">
        <f>IF($H548&lt;='Abbrev Key'!$A$2,'Abbrev Key'!$B$2,IF($H548&lt;='Abbrev Key'!$A$3,'Abbrev Key'!$B$3,IF($H548&lt;='Abbrev Key'!$A$4,'Abbrev Key'!$B$4,IF($H548&lt;='Abbrev Key'!$A$5,'Abbrev Key'!$B$5,IF($H548&lt;='Abbrev Key'!$A$6,'Abbrev Key'!$B$6,IF($H548&gt;='Abbrev Key'!$A$7,'Abbrev Key'!$B$7,IF($H548='Abbrev Key'!$A$8,'Abbrev Key'!$B$8,"")))))))</f>
        <v>D</v>
      </c>
      <c r="J548" s="92" t="s">
        <v>4332</v>
      </c>
      <c r="K548" s="92" t="s">
        <v>4332</v>
      </c>
      <c r="L548" s="92" t="s">
        <v>4332</v>
      </c>
      <c r="M548" s="92" t="s">
        <v>4332</v>
      </c>
      <c r="N548" s="92" t="s">
        <v>4332</v>
      </c>
      <c r="O548" s="92"/>
      <c r="P548" s="167" t="s">
        <v>4287</v>
      </c>
      <c r="Q548" s="392" t="str">
        <f t="shared" si="33"/>
        <v>10/01/2018</v>
      </c>
      <c r="R548" s="392">
        <f t="shared" si="34"/>
        <v>43373</v>
      </c>
      <c r="S548" s="392" t="str">
        <f>_xlfn.IFNA(VLOOKUP(B548,'[1]VLOOKUP NO DUPS'!$A$1:$C$456,2,FALSE),"")</f>
        <v>10/11/2018</v>
      </c>
      <c r="T548" s="168" t="str">
        <f>_xlfn.IFNA(VLOOKUP(B548,'[1]VLOOKUP NO DUPS'!$A$1:$C$456,3,FALSE),"")</f>
        <v>Johnson Fistel, LLP; Robbins, Geller, Rudman &amp; Dowd, LLP</v>
      </c>
      <c r="U548" s="167"/>
      <c r="V548" s="167"/>
      <c r="W548" s="167"/>
    </row>
    <row r="549" spans="1:23" s="86" customFormat="1" x14ac:dyDescent="0.25">
      <c r="A549" s="165" t="str">
        <f t="shared" si="35"/>
        <v/>
      </c>
      <c r="B549" s="23" t="s">
        <v>8910</v>
      </c>
      <c r="C549" s="23" t="s">
        <v>8593</v>
      </c>
      <c r="D549" s="166" t="s">
        <v>8974</v>
      </c>
      <c r="E549" s="166" t="s">
        <v>542</v>
      </c>
      <c r="F549" s="169">
        <v>3</v>
      </c>
      <c r="G549" s="167" t="s">
        <v>8437</v>
      </c>
      <c r="H549" s="89">
        <v>125000000</v>
      </c>
      <c r="I549" s="89" t="str">
        <f>IF($H549&lt;='Abbrev Key'!$A$2,'Abbrev Key'!$B$2,IF($H549&lt;='Abbrev Key'!$A$3,'Abbrev Key'!$B$3,IF($H549&lt;='Abbrev Key'!$A$4,'Abbrev Key'!$B$4,IF($H549&lt;='Abbrev Key'!$A$5,'Abbrev Key'!$B$5,IF($H549&lt;='Abbrev Key'!$A$6,'Abbrev Key'!$B$6,IF($H549&gt;='Abbrev Key'!$A$7,'Abbrev Key'!$B$7,IF($H549='Abbrev Key'!$A$8,'Abbrev Key'!$B$8,"")))))))</f>
        <v>D</v>
      </c>
      <c r="J549" s="92" t="s">
        <v>4332</v>
      </c>
      <c r="K549" s="92" t="s">
        <v>4332</v>
      </c>
      <c r="L549" s="92" t="s">
        <v>4332</v>
      </c>
      <c r="M549" s="92" t="s">
        <v>4332</v>
      </c>
      <c r="N549" s="92" t="s">
        <v>4332</v>
      </c>
      <c r="O549" s="92"/>
      <c r="P549" s="167" t="s">
        <v>4287</v>
      </c>
      <c r="Q549" s="392" t="str">
        <f t="shared" si="33"/>
        <v>10/09/2018</v>
      </c>
      <c r="R549" s="392">
        <f t="shared" si="34"/>
        <v>43381</v>
      </c>
      <c r="S549" s="392" t="str">
        <f>_xlfn.IFNA(VLOOKUP(B549,'[1]VLOOKUP NO DUPS'!$A$1:$C$456,2,FALSE),"")</f>
        <v>10/11/2018</v>
      </c>
      <c r="T549" s="168" t="str">
        <f>_xlfn.IFNA(VLOOKUP(B549,'[1]VLOOKUP NO DUPS'!$A$1:$C$456,3,FALSE),"")</f>
        <v>Block &amp; Leviton LLP; Kaufman, Coren &amp; Ress, P.C.</v>
      </c>
      <c r="U549" s="167"/>
      <c r="V549" s="167"/>
      <c r="W549" s="167"/>
    </row>
    <row r="550" spans="1:23" s="86" customFormat="1" ht="30" x14ac:dyDescent="0.25">
      <c r="A550" s="165" t="str">
        <f t="shared" si="35"/>
        <v/>
      </c>
      <c r="B550" s="23" t="s">
        <v>8814</v>
      </c>
      <c r="C550" s="23" t="s">
        <v>8498</v>
      </c>
      <c r="D550" s="166" t="s">
        <v>8956</v>
      </c>
      <c r="E550" s="166" t="s">
        <v>465</v>
      </c>
      <c r="F550" s="169">
        <v>7</v>
      </c>
      <c r="G550" s="167" t="s">
        <v>8290</v>
      </c>
      <c r="H550" s="89">
        <v>260000000</v>
      </c>
      <c r="I550" s="89" t="str">
        <f>IF($H550&lt;='Abbrev Key'!$A$2,'Abbrev Key'!$B$2,IF($H550&lt;='Abbrev Key'!$A$3,'Abbrev Key'!$B$3,IF($H550&lt;='Abbrev Key'!$A$4,'Abbrev Key'!$B$4,IF($H550&lt;='Abbrev Key'!$A$5,'Abbrev Key'!$B$5,IF($H550&lt;='Abbrev Key'!$A$6,'Abbrev Key'!$B$6,IF($H550&gt;='Abbrev Key'!$A$7,'Abbrev Key'!$B$7,IF($H550='Abbrev Key'!$A$8,'Abbrev Key'!$B$8,"")))))))</f>
        <v>E</v>
      </c>
      <c r="J550" s="92" t="s">
        <v>4332</v>
      </c>
      <c r="K550" s="92" t="s">
        <v>4332</v>
      </c>
      <c r="L550" s="92" t="s">
        <v>4332</v>
      </c>
      <c r="M550" s="92" t="s">
        <v>4332</v>
      </c>
      <c r="N550" s="92" t="s">
        <v>4332</v>
      </c>
      <c r="O550" s="92"/>
      <c r="P550" s="167" t="s">
        <v>4287</v>
      </c>
      <c r="Q550" s="392" t="str">
        <f t="shared" si="33"/>
        <v>08/07/2018</v>
      </c>
      <c r="R550" s="392">
        <f t="shared" si="34"/>
        <v>43318</v>
      </c>
      <c r="S550" s="392" t="str">
        <f>_xlfn.IFNA(VLOOKUP(B550,'[1]VLOOKUP NO DUPS'!$A$1:$C$456,2,FALSE),"")</f>
        <v>10/19/2018</v>
      </c>
      <c r="T550" s="168" t="str">
        <f>_xlfn.IFNA(VLOOKUP(B550,'[1]VLOOKUP NO DUPS'!$A$1:$C$456,3,FALSE),"")</f>
        <v>Johnson Fistel, LLP; Robbins, Geller, Rudman &amp; Dowd, LLP</v>
      </c>
      <c r="U550" s="167"/>
      <c r="V550" s="167"/>
      <c r="W550" s="167"/>
    </row>
    <row r="551" spans="1:23" s="86" customFormat="1" x14ac:dyDescent="0.25">
      <c r="A551" s="11" t="str">
        <f t="shared" si="35"/>
        <v/>
      </c>
      <c r="B551" s="23" t="s">
        <v>8827</v>
      </c>
      <c r="C551" s="23" t="s">
        <v>8512</v>
      </c>
      <c r="D551" s="166" t="s">
        <v>8960</v>
      </c>
      <c r="E551" s="166" t="s">
        <v>603</v>
      </c>
      <c r="F551" s="167">
        <v>11</v>
      </c>
      <c r="G551" s="167" t="s">
        <v>8309</v>
      </c>
      <c r="H551" s="89">
        <v>1000000000</v>
      </c>
      <c r="I551" s="89" t="str">
        <f>IF($H551&lt;='Abbrev Key'!$A$2,'Abbrev Key'!$B$2,IF($H551&lt;='Abbrev Key'!$A$3,'Abbrev Key'!$B$3,IF($H551&lt;='Abbrev Key'!$A$4,'Abbrev Key'!$B$4,IF($H551&lt;='Abbrev Key'!$A$5,'Abbrev Key'!$B$5,IF($H551&lt;='Abbrev Key'!$A$6,'Abbrev Key'!$B$6,IF($H551&gt;='Abbrev Key'!$A$7,'Abbrev Key'!$B$7,IF($H551='Abbrev Key'!$A$8,'Abbrev Key'!$B$8,"")))))))</f>
        <v>F</v>
      </c>
      <c r="J551" s="92" t="s">
        <v>4332</v>
      </c>
      <c r="K551" s="92" t="s">
        <v>4332</v>
      </c>
      <c r="L551" s="92" t="s">
        <v>4332</v>
      </c>
      <c r="M551" s="92" t="s">
        <v>4332</v>
      </c>
      <c r="N551" s="92" t="s">
        <v>4332</v>
      </c>
      <c r="O551" s="92"/>
      <c r="P551" s="167" t="s">
        <v>4287</v>
      </c>
      <c r="Q551" s="392" t="str">
        <f t="shared" si="33"/>
        <v>08/10/2018</v>
      </c>
      <c r="R551" s="392">
        <f t="shared" si="34"/>
        <v>43321</v>
      </c>
      <c r="S551" s="392" t="str">
        <f>_xlfn.IFNA(VLOOKUP(B551,'[1]VLOOKUP NO DUPS'!$A$1:$C$456,2,FALSE),"")</f>
        <v>10/25/2018</v>
      </c>
      <c r="T551" s="168" t="str">
        <f>_xlfn.IFNA(VLOOKUP(B551,'[1]VLOOKUP NO DUPS'!$A$1:$C$456,3,FALSE),"")</f>
        <v>Levi &amp; Korsinsky, LLP</v>
      </c>
      <c r="U551" s="167"/>
      <c r="V551" s="167"/>
      <c r="W551" s="167"/>
    </row>
    <row r="552" spans="1:23" s="86" customFormat="1" ht="30" x14ac:dyDescent="0.25">
      <c r="A552" s="321" t="str">
        <f t="shared" si="35"/>
        <v/>
      </c>
      <c r="B552" s="292" t="s">
        <v>8851</v>
      </c>
      <c r="C552" s="280" t="s">
        <v>8965</v>
      </c>
      <c r="D552" s="281" t="s">
        <v>8966</v>
      </c>
      <c r="E552" s="281" t="s">
        <v>418</v>
      </c>
      <c r="F552" s="282">
        <v>2</v>
      </c>
      <c r="G552" s="282" t="s">
        <v>8348</v>
      </c>
      <c r="H552" s="283">
        <v>88000000</v>
      </c>
      <c r="I552" s="283" t="str">
        <f>IF($H552&lt;='Abbrev Key'!$A$2,'Abbrev Key'!$B$2,IF($H552&lt;='Abbrev Key'!$A$3,'Abbrev Key'!$B$3,IF($H552&lt;='Abbrev Key'!$A$4,'Abbrev Key'!$B$4,IF($H552&lt;='Abbrev Key'!$A$5,'Abbrev Key'!$B$5,IF($H552&lt;='Abbrev Key'!$A$6,'Abbrev Key'!$B$6,IF($H552&gt;='Abbrev Key'!$A$7,'Abbrev Key'!$B$7,IF($H552='Abbrev Key'!$A$8,'Abbrev Key'!$B$8,"")))))))</f>
        <v>C</v>
      </c>
      <c r="J552" s="369" t="s">
        <v>4332</v>
      </c>
      <c r="K552" s="369" t="s">
        <v>4332</v>
      </c>
      <c r="L552" s="369" t="s">
        <v>4332</v>
      </c>
      <c r="M552" s="369" t="s">
        <v>4332</v>
      </c>
      <c r="N552" s="369" t="s">
        <v>4332</v>
      </c>
      <c r="O552" s="369"/>
      <c r="P552" s="282" t="s">
        <v>4287</v>
      </c>
      <c r="Q552" s="396" t="str">
        <f t="shared" si="33"/>
        <v>10/25/2018</v>
      </c>
      <c r="R552" s="392">
        <f t="shared" si="34"/>
        <v>43397</v>
      </c>
      <c r="S552" s="392" t="str">
        <f>_xlfn.IFNA(VLOOKUP(B552,'[1]VLOOKUP NO DUPS'!$A$1:$C$456,2,FALSE),"")</f>
        <v>10/25/2018</v>
      </c>
      <c r="T552" s="168" t="str">
        <f>_xlfn.IFNA(VLOOKUP(B552,'[1]VLOOKUP NO DUPS'!$A$1:$C$456,3,FALSE),"")</f>
        <v>Abraham, Fruchter &amp; Twersky, LLP; Robbins, Geller, Rudman &amp; Dowd, LLP</v>
      </c>
      <c r="U552" s="282"/>
      <c r="V552" s="282"/>
      <c r="W552" s="282"/>
    </row>
    <row r="553" spans="1:23" s="86" customFormat="1" x14ac:dyDescent="0.25">
      <c r="A553" s="321" t="str">
        <f t="shared" si="35"/>
        <v/>
      </c>
      <c r="B553" s="23" t="s">
        <v>8863</v>
      </c>
      <c r="C553" s="23" t="s">
        <v>8543</v>
      </c>
      <c r="D553" s="166" t="s">
        <v>8967</v>
      </c>
      <c r="E553" s="166" t="s">
        <v>457</v>
      </c>
      <c r="F553" s="167">
        <v>9</v>
      </c>
      <c r="G553" s="167" t="s">
        <v>8364</v>
      </c>
      <c r="H553" s="89">
        <v>1100000000</v>
      </c>
      <c r="I553" s="89" t="str">
        <f>IF($H553&lt;='Abbrev Key'!$A$2,'Abbrev Key'!$B$2,IF($H553&lt;='Abbrev Key'!$A$3,'Abbrev Key'!$B$3,IF($H553&lt;='Abbrev Key'!$A$4,'Abbrev Key'!$B$4,IF($H553&lt;='Abbrev Key'!$A$5,'Abbrev Key'!$B$5,IF($H553&lt;='Abbrev Key'!$A$6,'Abbrev Key'!$B$6,IF($H553&gt;='Abbrev Key'!$A$7,'Abbrev Key'!$B$7,IF($H553='Abbrev Key'!$A$8,'Abbrev Key'!$B$8,"")))))))</f>
        <v>F</v>
      </c>
      <c r="J553" s="92" t="s">
        <v>4332</v>
      </c>
      <c r="K553" s="92" t="s">
        <v>4332</v>
      </c>
      <c r="L553" s="92" t="s">
        <v>4332</v>
      </c>
      <c r="M553" s="92" t="s">
        <v>4332</v>
      </c>
      <c r="N553" s="92" t="s">
        <v>4332</v>
      </c>
      <c r="O553" s="92"/>
      <c r="P553" s="167" t="s">
        <v>4287</v>
      </c>
      <c r="Q553" s="392" t="str">
        <f t="shared" si="33"/>
        <v>01/25/2017</v>
      </c>
      <c r="R553" s="392">
        <f t="shared" si="34"/>
        <v>42759</v>
      </c>
      <c r="S553" s="392" t="str">
        <f>_xlfn.IFNA(VLOOKUP(B553,'[1]VLOOKUP NO DUPS'!$A$1:$C$456,2,FALSE),"")</f>
        <v>10/25/2018</v>
      </c>
      <c r="T553" s="168" t="str">
        <f>_xlfn.IFNA(VLOOKUP(B553,'[1]VLOOKUP NO DUPS'!$A$1:$C$456,3,FALSE),"")</f>
        <v>Bleichmar Fonti &amp; Auld LLP</v>
      </c>
      <c r="U553" s="167"/>
      <c r="V553" s="167"/>
      <c r="W553" s="167"/>
    </row>
    <row r="554" spans="1:23" s="86" customFormat="1" x14ac:dyDescent="0.25">
      <c r="A554" s="336" t="str">
        <f t="shared" si="35"/>
        <v/>
      </c>
      <c r="B554" s="23" t="s">
        <v>8808</v>
      </c>
      <c r="C554" s="23" t="s">
        <v>8485</v>
      </c>
      <c r="D554" s="166" t="s">
        <v>8954</v>
      </c>
      <c r="E554" s="166" t="s">
        <v>7387</v>
      </c>
      <c r="F554" s="169">
        <v>8</v>
      </c>
      <c r="G554" s="167" t="s">
        <v>8278</v>
      </c>
      <c r="H554" s="89">
        <v>1000000000</v>
      </c>
      <c r="I554" s="89" t="str">
        <f>IF($H554&lt;='Abbrev Key'!$A$2,'Abbrev Key'!$B$2,IF($H554&lt;='Abbrev Key'!$A$3,'Abbrev Key'!$B$3,IF($H554&lt;='Abbrev Key'!$A$4,'Abbrev Key'!$B$4,IF($H554&lt;='Abbrev Key'!$A$5,'Abbrev Key'!$B$5,IF($H554&lt;='Abbrev Key'!$A$6,'Abbrev Key'!$B$6,IF($H554&gt;='Abbrev Key'!$A$7,'Abbrev Key'!$B$7,IF($H554='Abbrev Key'!$A$8,'Abbrev Key'!$B$8,"")))))))</f>
        <v>F</v>
      </c>
      <c r="J554" s="92" t="s">
        <v>4332</v>
      </c>
      <c r="K554" s="92" t="s">
        <v>4332</v>
      </c>
      <c r="L554" s="92" t="s">
        <v>4332</v>
      </c>
      <c r="M554" s="92" t="s">
        <v>4332</v>
      </c>
      <c r="N554" s="92" t="s">
        <v>4332</v>
      </c>
      <c r="O554" s="92"/>
      <c r="P554" s="167" t="s">
        <v>4287</v>
      </c>
      <c r="Q554" s="392" t="str">
        <f t="shared" si="33"/>
        <v>10/18/2018</v>
      </c>
      <c r="R554" s="392">
        <f t="shared" si="34"/>
        <v>43390</v>
      </c>
      <c r="S554" s="392" t="str">
        <f>_xlfn.IFNA(VLOOKUP(B554,'[1]VLOOKUP NO DUPS'!$A$1:$C$456,2,FALSE),"")</f>
        <v>10/26/2018</v>
      </c>
      <c r="T554" s="168" t="str">
        <f>_xlfn.IFNA(VLOOKUP(B554,'[1]VLOOKUP NO DUPS'!$A$1:$C$456,3,FALSE),"")</f>
        <v>Glancy Prongay &amp; Murray, LLP; Owings Law Firm</v>
      </c>
      <c r="U554" s="167"/>
      <c r="V554" s="167"/>
      <c r="W554" s="167"/>
    </row>
    <row r="555" spans="1:23" x14ac:dyDescent="0.25">
      <c r="A555" s="11" t="str">
        <f t="shared" si="35"/>
        <v/>
      </c>
      <c r="B555" s="23" t="s">
        <v>11198</v>
      </c>
      <c r="C555" s="23" t="s">
        <v>11250</v>
      </c>
      <c r="D555" s="166" t="s">
        <v>11251</v>
      </c>
      <c r="E555" s="166" t="s">
        <v>457</v>
      </c>
      <c r="F555" s="167">
        <v>9</v>
      </c>
      <c r="G555" s="282" t="s">
        <v>11257</v>
      </c>
      <c r="H555" s="283">
        <v>500000000</v>
      </c>
      <c r="I555" s="89" t="str">
        <f>IF($H555&lt;='Abbrev Key'!$A$2,'Abbrev Key'!$B$2,IF($H555&lt;='Abbrev Key'!$A$3,'Abbrev Key'!$B$3,IF($H555&lt;='Abbrev Key'!$A$4,'Abbrev Key'!$B$4,IF($H555&lt;='Abbrev Key'!$A$5,'Abbrev Key'!$B$5,IF($H555&lt;='Abbrev Key'!$A$6,'Abbrev Key'!$B$6,IF($H555&gt;='Abbrev Key'!$A$7,'Abbrev Key'!$B$7,IF($H555='Abbrev Key'!$A$8,'Abbrev Key'!$B$8,"")))))))</f>
        <v>E</v>
      </c>
      <c r="J555" s="369" t="s">
        <v>4332</v>
      </c>
      <c r="K555" s="369" t="s">
        <v>4332</v>
      </c>
      <c r="L555" s="369" t="s">
        <v>4332</v>
      </c>
      <c r="M555" s="369" t="s">
        <v>4332</v>
      </c>
      <c r="N555" s="92" t="s">
        <v>4332</v>
      </c>
      <c r="O555" s="369"/>
      <c r="P555" s="167" t="s">
        <v>4287</v>
      </c>
      <c r="Q555" s="392" t="str">
        <f t="shared" si="33"/>
        <v>10/02/2018</v>
      </c>
      <c r="R555" s="392">
        <f t="shared" si="34"/>
        <v>43374</v>
      </c>
      <c r="S555" s="392">
        <v>43403</v>
      </c>
      <c r="T555" s="168" t="s">
        <v>11738</v>
      </c>
      <c r="U555" s="92"/>
      <c r="V555" s="92"/>
      <c r="W555" s="92"/>
    </row>
    <row r="556" spans="1:23" x14ac:dyDescent="0.25">
      <c r="B556" s="23" t="s">
        <v>11199</v>
      </c>
      <c r="C556" s="23" t="s">
        <v>11252</v>
      </c>
      <c r="D556" s="166" t="s">
        <v>11254</v>
      </c>
      <c r="E556" s="166" t="s">
        <v>424</v>
      </c>
      <c r="F556" s="167">
        <v>3</v>
      </c>
      <c r="G556" s="282" t="s">
        <v>11258</v>
      </c>
      <c r="H556" s="283">
        <v>90000000</v>
      </c>
      <c r="I556" s="89" t="str">
        <f>IF($H556&lt;='Abbrev Key'!$A$2,'Abbrev Key'!$B$2,IF($H556&lt;='Abbrev Key'!$A$3,'Abbrev Key'!$B$3,IF($H556&lt;='Abbrev Key'!$A$4,'Abbrev Key'!$B$4,IF($H556&lt;='Abbrev Key'!$A$5,'Abbrev Key'!$B$5,IF($H556&lt;='Abbrev Key'!$A$6,'Abbrev Key'!$B$6,IF($H556&gt;='Abbrev Key'!$A$7,'Abbrev Key'!$B$7,IF($H556='Abbrev Key'!$A$8,'Abbrev Key'!$B$8,"")))))))</f>
        <v>C</v>
      </c>
      <c r="J556" s="92" t="s">
        <v>4332</v>
      </c>
      <c r="K556" s="369" t="s">
        <v>4332</v>
      </c>
      <c r="L556" s="369" t="s">
        <v>4332</v>
      </c>
      <c r="M556" s="369" t="s">
        <v>4332</v>
      </c>
      <c r="N556" s="92" t="s">
        <v>4332</v>
      </c>
      <c r="O556" s="369"/>
      <c r="P556" s="167" t="s">
        <v>4287</v>
      </c>
      <c r="Q556" s="392" t="str">
        <f t="shared" si="33"/>
        <v>10/19/2018</v>
      </c>
      <c r="R556" s="392">
        <f t="shared" si="34"/>
        <v>43391</v>
      </c>
      <c r="S556" s="392">
        <v>43404</v>
      </c>
      <c r="T556" s="168" t="s">
        <v>79</v>
      </c>
      <c r="U556" s="92"/>
      <c r="V556" s="92"/>
      <c r="W556" s="92"/>
    </row>
    <row r="557" spans="1:23" x14ac:dyDescent="0.25">
      <c r="B557" s="23" t="s">
        <v>11200</v>
      </c>
      <c r="C557" s="23" t="s">
        <v>11255</v>
      </c>
      <c r="D557" s="166" t="s">
        <v>11256</v>
      </c>
      <c r="E557" s="166" t="s">
        <v>424</v>
      </c>
      <c r="F557" s="167">
        <v>3</v>
      </c>
      <c r="G557" s="282" t="s">
        <v>11259</v>
      </c>
      <c r="H557" s="283">
        <v>7000000</v>
      </c>
      <c r="I557" s="89" t="str">
        <f>IF($H557&lt;='Abbrev Key'!$A$2,'Abbrev Key'!$B$2,IF($H557&lt;='Abbrev Key'!$A$3,'Abbrev Key'!$B$3,IF($H557&lt;='Abbrev Key'!$A$4,'Abbrev Key'!$B$4,IF($H557&lt;='Abbrev Key'!$A$5,'Abbrev Key'!$B$5,IF($H557&lt;='Abbrev Key'!$A$6,'Abbrev Key'!$B$6,IF($H557&gt;='Abbrev Key'!$A$7,'Abbrev Key'!$B$7,IF($H557='Abbrev Key'!$A$8,'Abbrev Key'!$B$8,"")))))))</f>
        <v>A</v>
      </c>
      <c r="J557" s="92" t="s">
        <v>4332</v>
      </c>
      <c r="K557" s="369" t="s">
        <v>4332</v>
      </c>
      <c r="L557" s="369" t="s">
        <v>4332</v>
      </c>
      <c r="M557" s="369" t="s">
        <v>4332</v>
      </c>
      <c r="N557" s="92" t="s">
        <v>4332</v>
      </c>
      <c r="O557" s="369"/>
      <c r="P557" s="167" t="s">
        <v>4287</v>
      </c>
      <c r="Q557" s="392" t="str">
        <f t="shared" si="33"/>
        <v>06/14/2018</v>
      </c>
      <c r="R557" s="392">
        <f t="shared" si="34"/>
        <v>43264</v>
      </c>
      <c r="S557" s="392" t="s">
        <v>11241</v>
      </c>
      <c r="T557" s="168" t="s">
        <v>682</v>
      </c>
      <c r="U557" s="92"/>
      <c r="V557" s="92"/>
      <c r="W557" s="92"/>
    </row>
    <row r="558" spans="1:23" ht="30" x14ac:dyDescent="0.25">
      <c r="B558" s="23" t="s">
        <v>101</v>
      </c>
      <c r="C558" s="23" t="s">
        <v>11329</v>
      </c>
      <c r="D558" s="166" t="s">
        <v>11330</v>
      </c>
      <c r="E558" s="166" t="s">
        <v>457</v>
      </c>
      <c r="F558" s="167">
        <v>9</v>
      </c>
      <c r="G558" s="282" t="s">
        <v>11260</v>
      </c>
      <c r="H558" s="283">
        <v>400000000</v>
      </c>
      <c r="I558" s="89" t="str">
        <f>IF($H558&lt;='Abbrev Key'!$A$2,'Abbrev Key'!$B$2,IF($H558&lt;='Abbrev Key'!$A$3,'Abbrev Key'!$B$3,IF($H558&lt;='Abbrev Key'!$A$4,'Abbrev Key'!$B$4,IF($H558&lt;='Abbrev Key'!$A$5,'Abbrev Key'!$B$5,IF($H558&lt;='Abbrev Key'!$A$6,'Abbrev Key'!$B$6,IF($H558&gt;='Abbrev Key'!$A$7,'Abbrev Key'!$B$7,IF($H558='Abbrev Key'!$A$8,'Abbrev Key'!$B$8,"")))))))</f>
        <v>E</v>
      </c>
      <c r="J558" s="369" t="s">
        <v>4332</v>
      </c>
      <c r="K558" s="369" t="s">
        <v>4332</v>
      </c>
      <c r="L558" s="369" t="s">
        <v>4332</v>
      </c>
      <c r="M558" s="369" t="s">
        <v>4332</v>
      </c>
      <c r="N558" s="92" t="s">
        <v>4332</v>
      </c>
      <c r="O558" s="369"/>
      <c r="P558" s="167" t="s">
        <v>4287</v>
      </c>
      <c r="Q558" s="392" t="str">
        <f t="shared" si="33"/>
        <v>01/30/2017</v>
      </c>
      <c r="R558" s="392">
        <f t="shared" si="34"/>
        <v>42764</v>
      </c>
      <c r="S558" s="392" t="s">
        <v>11228</v>
      </c>
      <c r="T558" s="168" t="s">
        <v>3787</v>
      </c>
      <c r="U558" s="92"/>
      <c r="V558" s="92"/>
      <c r="W558" s="92"/>
    </row>
    <row r="559" spans="1:23" x14ac:dyDescent="0.25">
      <c r="A559" s="11" t="str">
        <f>IF(COUNTIF(B:B,B559)&gt;=2,"DUP","")</f>
        <v/>
      </c>
      <c r="B559" s="23" t="s">
        <v>11202</v>
      </c>
      <c r="C559" s="23" t="s">
        <v>11295</v>
      </c>
      <c r="D559" s="166" t="s">
        <v>11296</v>
      </c>
      <c r="E559" s="166" t="s">
        <v>1008</v>
      </c>
      <c r="F559" s="167">
        <v>2</v>
      </c>
      <c r="G559" s="282" t="s">
        <v>11263</v>
      </c>
      <c r="H559" s="283">
        <v>150000000</v>
      </c>
      <c r="I559" s="89" t="str">
        <f>IF($H559&lt;='Abbrev Key'!$A$2,'Abbrev Key'!$B$2,IF($H559&lt;='Abbrev Key'!$A$3,'Abbrev Key'!$B$3,IF($H559&lt;='Abbrev Key'!$A$4,'Abbrev Key'!$B$4,IF($H559&lt;='Abbrev Key'!$A$5,'Abbrev Key'!$B$5,IF($H559&lt;='Abbrev Key'!$A$6,'Abbrev Key'!$B$6,IF($H559&gt;='Abbrev Key'!$A$7,'Abbrev Key'!$B$7,IF($H559='Abbrev Key'!$A$8,'Abbrev Key'!$B$8,"")))))))</f>
        <v>D</v>
      </c>
      <c r="J559" s="92" t="s">
        <v>4332</v>
      </c>
      <c r="K559" s="369" t="s">
        <v>4332</v>
      </c>
      <c r="L559" s="369" t="s">
        <v>4332</v>
      </c>
      <c r="M559" s="369" t="s">
        <v>4332</v>
      </c>
      <c r="N559" s="92" t="s">
        <v>4332</v>
      </c>
      <c r="O559" s="369"/>
      <c r="P559" s="167" t="s">
        <v>4287</v>
      </c>
      <c r="Q559" s="392" t="str">
        <f t="shared" si="33"/>
        <v>10/29/2018</v>
      </c>
      <c r="R559" s="392">
        <f t="shared" si="34"/>
        <v>43401</v>
      </c>
      <c r="S559" s="392">
        <v>43406</v>
      </c>
      <c r="T559" s="168" t="s">
        <v>682</v>
      </c>
      <c r="U559" s="92"/>
      <c r="V559" s="92"/>
      <c r="W559" s="92"/>
    </row>
    <row r="560" spans="1:23" ht="30" x14ac:dyDescent="0.25">
      <c r="B560" s="23" t="s">
        <v>11293</v>
      </c>
      <c r="C560" s="23" t="s">
        <v>5110</v>
      </c>
      <c r="D560" s="166" t="s">
        <v>11294</v>
      </c>
      <c r="E560" s="166" t="s">
        <v>3332</v>
      </c>
      <c r="F560" s="167">
        <v>3</v>
      </c>
      <c r="G560" s="282" t="s">
        <v>11262</v>
      </c>
      <c r="H560" s="283">
        <v>800000000</v>
      </c>
      <c r="I560" s="89" t="str">
        <f>IF($H560&lt;='Abbrev Key'!$A$2,'Abbrev Key'!$B$2,IF($H560&lt;='Abbrev Key'!$A$3,'Abbrev Key'!$B$3,IF($H560&lt;='Abbrev Key'!$A$4,'Abbrev Key'!$B$4,IF($H560&lt;='Abbrev Key'!$A$5,'Abbrev Key'!$B$5,IF($H560&lt;='Abbrev Key'!$A$6,'Abbrev Key'!$B$6,IF($H560&gt;='Abbrev Key'!$A$7,'Abbrev Key'!$B$7,IF($H560='Abbrev Key'!$A$8,'Abbrev Key'!$B$8,"")))))))</f>
        <v>F</v>
      </c>
      <c r="J560" s="92" t="s">
        <v>4332</v>
      </c>
      <c r="K560" s="369" t="s">
        <v>4332</v>
      </c>
      <c r="L560" s="369" t="s">
        <v>4332</v>
      </c>
      <c r="M560" s="369" t="s">
        <v>4332</v>
      </c>
      <c r="N560" s="92" t="s">
        <v>4332</v>
      </c>
      <c r="O560" s="369"/>
      <c r="P560" s="167" t="s">
        <v>4287</v>
      </c>
      <c r="Q560" s="392" t="str">
        <f t="shared" si="33"/>
        <v>06/28/2017</v>
      </c>
      <c r="R560" s="392">
        <f t="shared" si="34"/>
        <v>42913</v>
      </c>
      <c r="S560" s="392" t="s">
        <v>11231</v>
      </c>
      <c r="T560" s="168" t="s">
        <v>11737</v>
      </c>
      <c r="U560" s="92"/>
      <c r="V560" s="92"/>
      <c r="W560" s="92"/>
    </row>
    <row r="561" spans="1:23" ht="30" x14ac:dyDescent="0.25">
      <c r="B561" s="23" t="s">
        <v>11201</v>
      </c>
      <c r="C561" s="23" t="s">
        <v>11291</v>
      </c>
      <c r="D561" s="166" t="s">
        <v>11292</v>
      </c>
      <c r="E561" s="166" t="s">
        <v>511</v>
      </c>
      <c r="F561" s="167">
        <v>2</v>
      </c>
      <c r="G561" s="282" t="s">
        <v>11261</v>
      </c>
      <c r="H561" s="283">
        <v>2500000000</v>
      </c>
      <c r="I561" s="89" t="str">
        <f>IF($H561&lt;='Abbrev Key'!$A$2,'Abbrev Key'!$B$2,IF($H561&lt;='Abbrev Key'!$A$3,'Abbrev Key'!$B$3,IF($H561&lt;='Abbrev Key'!$A$4,'Abbrev Key'!$B$4,IF($H561&lt;='Abbrev Key'!$A$5,'Abbrev Key'!$B$5,IF($H561&lt;='Abbrev Key'!$A$6,'Abbrev Key'!$B$6,IF($H561&gt;='Abbrev Key'!$A$7,'Abbrev Key'!$B$7,IF($H561='Abbrev Key'!$A$8,'Abbrev Key'!$B$8,"")))))))</f>
        <v>F</v>
      </c>
      <c r="J561" s="92" t="s">
        <v>4332</v>
      </c>
      <c r="K561" s="369" t="s">
        <v>4332</v>
      </c>
      <c r="L561" s="369" t="s">
        <v>4332</v>
      </c>
      <c r="M561" s="369" t="s">
        <v>4332</v>
      </c>
      <c r="N561" s="92" t="s">
        <v>4332</v>
      </c>
      <c r="O561" s="369"/>
      <c r="P561" s="167" t="s">
        <v>4287</v>
      </c>
      <c r="Q561" s="392" t="str">
        <f t="shared" si="33"/>
        <v>11/01/2018</v>
      </c>
      <c r="R561" s="392">
        <f t="shared" si="34"/>
        <v>43404</v>
      </c>
      <c r="S561" s="392" t="s">
        <v>11231</v>
      </c>
      <c r="T561" s="168" t="s">
        <v>11734</v>
      </c>
      <c r="U561" s="92"/>
      <c r="V561" s="92"/>
      <c r="W561" s="92"/>
    </row>
    <row r="562" spans="1:23" x14ac:dyDescent="0.25">
      <c r="B562" s="23" t="s">
        <v>11203</v>
      </c>
      <c r="C562" s="23" t="s">
        <v>11297</v>
      </c>
      <c r="D562" s="166" t="s">
        <v>11298</v>
      </c>
      <c r="E562" s="166" t="s">
        <v>457</v>
      </c>
      <c r="F562" s="167">
        <v>9</v>
      </c>
      <c r="G562" s="282" t="s">
        <v>11264</v>
      </c>
      <c r="H562" s="283">
        <v>1400000000</v>
      </c>
      <c r="I562" s="89" t="str">
        <f>IF($H562&lt;='Abbrev Key'!$A$2,'Abbrev Key'!$B$2,IF($H562&lt;='Abbrev Key'!$A$3,'Abbrev Key'!$B$3,IF($H562&lt;='Abbrev Key'!$A$4,'Abbrev Key'!$B$4,IF($H562&lt;='Abbrev Key'!$A$5,'Abbrev Key'!$B$5,IF($H562&lt;='Abbrev Key'!$A$6,'Abbrev Key'!$B$6,IF($H562&gt;='Abbrev Key'!$A$7,'Abbrev Key'!$B$7,IF($H562='Abbrev Key'!$A$8,'Abbrev Key'!$B$8,"")))))))</f>
        <v>F</v>
      </c>
      <c r="J562" s="92" t="s">
        <v>4332</v>
      </c>
      <c r="K562" s="92" t="s">
        <v>4332</v>
      </c>
      <c r="L562" s="92" t="s">
        <v>4332</v>
      </c>
      <c r="M562" s="92" t="s">
        <v>4332</v>
      </c>
      <c r="N562" s="92" t="s">
        <v>4332</v>
      </c>
      <c r="O562" s="369"/>
      <c r="P562" s="167" t="s">
        <v>4287</v>
      </c>
      <c r="Q562" s="392" t="str">
        <f t="shared" si="33"/>
        <v>10/24/2018</v>
      </c>
      <c r="R562" s="392">
        <f t="shared" si="34"/>
        <v>43396</v>
      </c>
      <c r="S562" s="392" t="s">
        <v>11242</v>
      </c>
      <c r="T562" s="368" t="s">
        <v>597</v>
      </c>
      <c r="U562" s="92"/>
      <c r="V562" s="92"/>
      <c r="W562" s="92"/>
    </row>
    <row r="563" spans="1:23" x14ac:dyDescent="0.25">
      <c r="B563" s="23" t="s">
        <v>11204</v>
      </c>
      <c r="C563" s="23" t="s">
        <v>11299</v>
      </c>
      <c r="D563" s="166" t="s">
        <v>11303</v>
      </c>
      <c r="E563" s="166" t="s">
        <v>491</v>
      </c>
      <c r="F563" s="167">
        <v>8</v>
      </c>
      <c r="G563" s="282" t="s">
        <v>11265</v>
      </c>
      <c r="H563" s="283">
        <v>36000000</v>
      </c>
      <c r="I563" s="89" t="str">
        <f>IF($H563&lt;='Abbrev Key'!$A$2,'Abbrev Key'!$B$2,IF($H563&lt;='Abbrev Key'!$A$3,'Abbrev Key'!$B$3,IF($H563&lt;='Abbrev Key'!$A$4,'Abbrev Key'!$B$4,IF($H563&lt;='Abbrev Key'!$A$5,'Abbrev Key'!$B$5,IF($H563&lt;='Abbrev Key'!$A$6,'Abbrev Key'!$B$6,IF($H563&gt;='Abbrev Key'!$A$7,'Abbrev Key'!$B$7,IF($H563='Abbrev Key'!$A$8,'Abbrev Key'!$B$8,"")))))))</f>
        <v>B</v>
      </c>
      <c r="J563" s="369" t="s">
        <v>4332</v>
      </c>
      <c r="K563" s="369" t="s">
        <v>4332</v>
      </c>
      <c r="L563" s="410" t="s">
        <v>4332</v>
      </c>
      <c r="M563" s="410" t="s">
        <v>4332</v>
      </c>
      <c r="N563" s="92" t="s">
        <v>4332</v>
      </c>
      <c r="O563" s="369"/>
      <c r="P563" s="167" t="s">
        <v>4287</v>
      </c>
      <c r="Q563" s="392" t="str">
        <f t="shared" si="33"/>
        <v>09/17/2018</v>
      </c>
      <c r="R563" s="392">
        <f t="shared" si="34"/>
        <v>43359</v>
      </c>
      <c r="S563" s="392" t="s">
        <v>11242</v>
      </c>
      <c r="T563" s="168" t="s">
        <v>11736</v>
      </c>
      <c r="U563" s="92"/>
      <c r="V563" s="92"/>
      <c r="W563" s="92"/>
    </row>
    <row r="564" spans="1:23" ht="30" x14ac:dyDescent="0.25">
      <c r="B564" s="23" t="s">
        <v>11205</v>
      </c>
      <c r="C564" s="23" t="s">
        <v>11300</v>
      </c>
      <c r="D564" s="166" t="s">
        <v>10411</v>
      </c>
      <c r="E564" s="166" t="s">
        <v>480</v>
      </c>
      <c r="F564" s="167">
        <v>9</v>
      </c>
      <c r="G564" s="282" t="s">
        <v>11266</v>
      </c>
      <c r="H564" s="283">
        <v>0</v>
      </c>
      <c r="I564" s="89" t="str">
        <f>IF($H564&lt;='Abbrev Key'!$A$2,'Abbrev Key'!$B$2,IF($H564&lt;='Abbrev Key'!$A$3,'Abbrev Key'!$B$3,IF($H564&lt;='Abbrev Key'!$A$4,'Abbrev Key'!$B$4,IF($H564&lt;='Abbrev Key'!$A$5,'Abbrev Key'!$B$5,IF($H564&lt;='Abbrev Key'!$A$6,'Abbrev Key'!$B$6,IF($H564&gt;='Abbrev Key'!$A$7,'Abbrev Key'!$B$7,IF($H564='Abbrev Key'!$A$8,'Abbrev Key'!$B$8,"")))))))</f>
        <v>A</v>
      </c>
      <c r="J564" s="92" t="s">
        <v>4332</v>
      </c>
      <c r="K564" s="369" t="s">
        <v>4332</v>
      </c>
      <c r="L564" s="369" t="s">
        <v>4332</v>
      </c>
      <c r="M564" s="369" t="s">
        <v>4332</v>
      </c>
      <c r="N564" s="92" t="s">
        <v>4332</v>
      </c>
      <c r="O564" s="369"/>
      <c r="P564" s="167" t="s">
        <v>4287</v>
      </c>
      <c r="Q564" s="392" t="str">
        <f t="shared" si="33"/>
        <v>10/25/2018</v>
      </c>
      <c r="R564" s="392">
        <f t="shared" si="34"/>
        <v>43397</v>
      </c>
      <c r="S564" s="392" t="s">
        <v>11242</v>
      </c>
      <c r="T564" s="168" t="s">
        <v>11735</v>
      </c>
      <c r="U564" s="92"/>
      <c r="V564" s="92"/>
      <c r="W564" s="92"/>
    </row>
    <row r="565" spans="1:23" x14ac:dyDescent="0.25">
      <c r="B565" s="23" t="s">
        <v>11207</v>
      </c>
      <c r="C565" s="23" t="s">
        <v>11316</v>
      </c>
      <c r="D565" s="166" t="s">
        <v>11317</v>
      </c>
      <c r="E565" s="166" t="s">
        <v>418</v>
      </c>
      <c r="F565" s="167">
        <v>2</v>
      </c>
      <c r="G565" s="282" t="s">
        <v>11268</v>
      </c>
      <c r="H565" s="283">
        <v>310000000</v>
      </c>
      <c r="I565" s="89" t="str">
        <f>IF($H565&lt;='Abbrev Key'!$A$2,'Abbrev Key'!$B$2,IF($H565&lt;='Abbrev Key'!$A$3,'Abbrev Key'!$B$3,IF($H565&lt;='Abbrev Key'!$A$4,'Abbrev Key'!$B$4,IF($H565&lt;='Abbrev Key'!$A$5,'Abbrev Key'!$B$5,IF($H565&lt;='Abbrev Key'!$A$6,'Abbrev Key'!$B$6,IF($H565&gt;='Abbrev Key'!$A$7,'Abbrev Key'!$B$7,IF($H565='Abbrev Key'!$A$8,'Abbrev Key'!$B$8,"")))))))</f>
        <v>E</v>
      </c>
      <c r="J565" s="92" t="s">
        <v>4332</v>
      </c>
      <c r="K565" s="369" t="s">
        <v>4332</v>
      </c>
      <c r="L565" s="410" t="s">
        <v>4332</v>
      </c>
      <c r="M565" s="410" t="s">
        <v>4332</v>
      </c>
      <c r="N565" s="92" t="s">
        <v>4332</v>
      </c>
      <c r="O565" s="369"/>
      <c r="P565" s="167" t="s">
        <v>4287</v>
      </c>
      <c r="Q565" s="392" t="str">
        <f t="shared" si="33"/>
        <v>10/30/2018</v>
      </c>
      <c r="R565" s="392">
        <f t="shared" si="34"/>
        <v>43402</v>
      </c>
      <c r="S565" s="392">
        <v>43410</v>
      </c>
      <c r="T565" s="168" t="s">
        <v>11738</v>
      </c>
      <c r="U565" s="92"/>
      <c r="V565" s="92"/>
      <c r="W565" s="92"/>
    </row>
    <row r="566" spans="1:23" x14ac:dyDescent="0.25">
      <c r="B566" s="23" t="s">
        <v>11206</v>
      </c>
      <c r="C566" s="23" t="s">
        <v>11341</v>
      </c>
      <c r="D566" s="166" t="s">
        <v>11342</v>
      </c>
      <c r="E566" s="166" t="s">
        <v>418</v>
      </c>
      <c r="F566" s="167">
        <v>2</v>
      </c>
      <c r="G566" s="282" t="s">
        <v>11267</v>
      </c>
      <c r="H566" s="283">
        <v>1800000000</v>
      </c>
      <c r="I566" s="89" t="str">
        <f>IF($H566&lt;='Abbrev Key'!$A$2,'Abbrev Key'!$B$2,IF($H566&lt;='Abbrev Key'!$A$3,'Abbrev Key'!$B$3,IF($H566&lt;='Abbrev Key'!$A$4,'Abbrev Key'!$B$4,IF($H566&lt;='Abbrev Key'!$A$5,'Abbrev Key'!$B$5,IF($H566&lt;='Abbrev Key'!$A$6,'Abbrev Key'!$B$6,IF($H566&gt;='Abbrev Key'!$A$7,'Abbrev Key'!$B$7,IF($H566='Abbrev Key'!$A$8,'Abbrev Key'!$B$8,"")))))))</f>
        <v>F</v>
      </c>
      <c r="J566" s="369" t="s">
        <v>4332</v>
      </c>
      <c r="K566" s="92" t="s">
        <v>4332</v>
      </c>
      <c r="L566" s="369" t="s">
        <v>4332</v>
      </c>
      <c r="M566" s="369" t="s">
        <v>4332</v>
      </c>
      <c r="N566" s="92" t="s">
        <v>4332</v>
      </c>
      <c r="O566" s="369"/>
      <c r="P566" s="167" t="s">
        <v>4287</v>
      </c>
      <c r="Q566" s="392" t="str">
        <f t="shared" si="33"/>
        <v>09/28/2018</v>
      </c>
      <c r="R566" s="392">
        <f t="shared" si="34"/>
        <v>43370</v>
      </c>
      <c r="S566" s="392" t="s">
        <v>11243</v>
      </c>
      <c r="T566" s="168" t="s">
        <v>7</v>
      </c>
      <c r="U566" s="92"/>
      <c r="V566" s="92"/>
      <c r="W566" s="92"/>
    </row>
    <row r="567" spans="1:23" x14ac:dyDescent="0.25">
      <c r="B567" s="23" t="s">
        <v>11208</v>
      </c>
      <c r="C567" s="23" t="s">
        <v>11307</v>
      </c>
      <c r="D567" s="166" t="s">
        <v>11345</v>
      </c>
      <c r="E567" s="166" t="s">
        <v>409</v>
      </c>
      <c r="F567" s="167">
        <v>1</v>
      </c>
      <c r="G567" s="282" t="s">
        <v>11269</v>
      </c>
      <c r="H567" s="283">
        <v>75000000</v>
      </c>
      <c r="I567" s="89" t="str">
        <f>IF($H567&lt;='Abbrev Key'!$A$2,'Abbrev Key'!$B$2,IF($H567&lt;='Abbrev Key'!$A$3,'Abbrev Key'!$B$3,IF($H567&lt;='Abbrev Key'!$A$4,'Abbrev Key'!$B$4,IF($H567&lt;='Abbrev Key'!$A$5,'Abbrev Key'!$B$5,IF($H567&lt;='Abbrev Key'!$A$6,'Abbrev Key'!$B$6,IF($H567&gt;='Abbrev Key'!$A$7,'Abbrev Key'!$B$7,IF($H567='Abbrev Key'!$A$8,'Abbrev Key'!$B$8,"")))))))</f>
        <v>C</v>
      </c>
      <c r="J567" s="92" t="s">
        <v>4332</v>
      </c>
      <c r="K567" s="369" t="s">
        <v>4332</v>
      </c>
      <c r="L567" s="369" t="s">
        <v>4332</v>
      </c>
      <c r="M567" s="369" t="s">
        <v>4332</v>
      </c>
      <c r="N567" s="92" t="s">
        <v>4332</v>
      </c>
      <c r="O567" s="369"/>
      <c r="P567" s="167" t="s">
        <v>4287</v>
      </c>
      <c r="Q567" s="392" t="str">
        <f t="shared" ref="Q567:Q590" si="36">RIGHT(G567,10)</f>
        <v>03/24/2015</v>
      </c>
      <c r="R567" s="392">
        <f t="shared" ref="R567:R590" si="37">Q567-1</f>
        <v>42086</v>
      </c>
      <c r="S567" s="392" t="s">
        <v>11232</v>
      </c>
      <c r="T567" s="368" t="s">
        <v>597</v>
      </c>
      <c r="U567" s="92"/>
      <c r="V567" s="92"/>
      <c r="W567" s="92"/>
    </row>
    <row r="568" spans="1:23" s="86" customFormat="1" x14ac:dyDescent="0.25">
      <c r="A568" s="9"/>
      <c r="B568" s="23" t="s">
        <v>11210</v>
      </c>
      <c r="C568" s="23" t="s">
        <v>8932</v>
      </c>
      <c r="D568" s="166" t="s">
        <v>11351</v>
      </c>
      <c r="E568" s="166" t="s">
        <v>409</v>
      </c>
      <c r="F568" s="167">
        <v>1</v>
      </c>
      <c r="G568" s="282" t="s">
        <v>11271</v>
      </c>
      <c r="H568" s="283">
        <v>6000000</v>
      </c>
      <c r="I568" s="89" t="str">
        <f>IF($H568&lt;='Abbrev Key'!$A$2,'Abbrev Key'!$B$2,IF($H568&lt;='Abbrev Key'!$A$3,'Abbrev Key'!$B$3,IF($H568&lt;='Abbrev Key'!$A$4,'Abbrev Key'!$B$4,IF($H568&lt;='Abbrev Key'!$A$5,'Abbrev Key'!$B$5,IF($H568&lt;='Abbrev Key'!$A$6,'Abbrev Key'!$B$6,IF($H568&gt;='Abbrev Key'!$A$7,'Abbrev Key'!$B$7,IF($H568='Abbrev Key'!$A$8,'Abbrev Key'!$B$8,"")))))))</f>
        <v>A</v>
      </c>
      <c r="J568" s="92" t="s">
        <v>4332</v>
      </c>
      <c r="K568" s="369" t="s">
        <v>4332</v>
      </c>
      <c r="L568" s="369" t="s">
        <v>4332</v>
      </c>
      <c r="M568" s="369" t="s">
        <v>4332</v>
      </c>
      <c r="N568" s="92" t="s">
        <v>4332</v>
      </c>
      <c r="O568" s="369"/>
      <c r="P568" s="167" t="s">
        <v>4287</v>
      </c>
      <c r="Q568" s="392" t="str">
        <f t="shared" si="36"/>
        <v>11/14/2016</v>
      </c>
      <c r="R568" s="392">
        <f t="shared" si="37"/>
        <v>42687</v>
      </c>
      <c r="S568" s="392" t="s">
        <v>11244</v>
      </c>
      <c r="T568" s="168" t="s">
        <v>11739</v>
      </c>
      <c r="U568" s="92"/>
      <c r="V568" s="92"/>
      <c r="W568" s="92"/>
    </row>
    <row r="569" spans="1:23" s="86" customFormat="1" x14ac:dyDescent="0.25">
      <c r="A569" s="9"/>
      <c r="B569" s="23" t="s">
        <v>11211</v>
      </c>
      <c r="C569" s="23" t="s">
        <v>7590</v>
      </c>
      <c r="D569" s="166" t="s">
        <v>11344</v>
      </c>
      <c r="E569" s="166" t="s">
        <v>446</v>
      </c>
      <c r="F569" s="167">
        <v>9</v>
      </c>
      <c r="G569" s="282" t="s">
        <v>11272</v>
      </c>
      <c r="H569" s="283">
        <v>1200000000</v>
      </c>
      <c r="I569" s="89" t="str">
        <f>IF($H569&lt;='Abbrev Key'!$A$2,'Abbrev Key'!$B$2,IF($H569&lt;='Abbrev Key'!$A$3,'Abbrev Key'!$B$3,IF($H569&lt;='Abbrev Key'!$A$4,'Abbrev Key'!$B$4,IF($H569&lt;='Abbrev Key'!$A$5,'Abbrev Key'!$B$5,IF($H569&lt;='Abbrev Key'!$A$6,'Abbrev Key'!$B$6,IF($H569&gt;='Abbrev Key'!$A$7,'Abbrev Key'!$B$7,IF($H569='Abbrev Key'!$A$8,'Abbrev Key'!$B$8,"")))))))</f>
        <v>F</v>
      </c>
      <c r="J569" s="92" t="s">
        <v>4332</v>
      </c>
      <c r="K569" s="369" t="s">
        <v>4332</v>
      </c>
      <c r="L569" s="369" t="s">
        <v>4332</v>
      </c>
      <c r="M569" s="369" t="s">
        <v>4332</v>
      </c>
      <c r="N569" s="92" t="s">
        <v>4332</v>
      </c>
      <c r="O569" s="369"/>
      <c r="P569" s="167" t="s">
        <v>4287</v>
      </c>
      <c r="Q569" s="392" t="str">
        <f t="shared" si="36"/>
        <v>08/10/2017</v>
      </c>
      <c r="R569" s="392">
        <f t="shared" si="37"/>
        <v>42956</v>
      </c>
      <c r="S569" s="392" t="s">
        <v>11236</v>
      </c>
      <c r="T569" s="168" t="s">
        <v>4571</v>
      </c>
      <c r="U569" s="92"/>
      <c r="V569" s="92"/>
      <c r="W569" s="92"/>
    </row>
    <row r="570" spans="1:23" x14ac:dyDescent="0.25">
      <c r="A570" s="11" t="str">
        <f>IF(COUNTIF(B:B,B570)&gt;=2,"DUP","")</f>
        <v>DUP</v>
      </c>
      <c r="B570" s="23" t="s">
        <v>8241</v>
      </c>
      <c r="C570" s="23" t="s">
        <v>11362</v>
      </c>
      <c r="D570" s="166" t="s">
        <v>11363</v>
      </c>
      <c r="E570" s="166" t="s">
        <v>418</v>
      </c>
      <c r="F570" s="167">
        <v>2</v>
      </c>
      <c r="G570" s="282" t="s">
        <v>11273</v>
      </c>
      <c r="H570" s="283" t="s">
        <v>4882</v>
      </c>
      <c r="I570" s="89" t="s">
        <v>6732</v>
      </c>
      <c r="J570" s="92" t="s">
        <v>4332</v>
      </c>
      <c r="K570" s="92" t="s">
        <v>4332</v>
      </c>
      <c r="L570" s="92" t="s">
        <v>4332</v>
      </c>
      <c r="M570" s="92" t="s">
        <v>4332</v>
      </c>
      <c r="N570" s="92" t="s">
        <v>4332</v>
      </c>
      <c r="O570" s="369"/>
      <c r="P570" s="167" t="s">
        <v>4287</v>
      </c>
      <c r="Q570" s="392" t="str">
        <f t="shared" si="36"/>
        <v>12/28/2017</v>
      </c>
      <c r="R570" s="392">
        <f t="shared" si="37"/>
        <v>43096</v>
      </c>
      <c r="S570" s="392">
        <v>43418</v>
      </c>
      <c r="T570" s="168" t="s">
        <v>597</v>
      </c>
      <c r="U570" s="92"/>
      <c r="V570" s="92"/>
      <c r="W570" s="92"/>
    </row>
    <row r="571" spans="1:23" ht="30" x14ac:dyDescent="0.25">
      <c r="A571" s="11" t="str">
        <f>IF(COUNTIF(B:B,B571)&gt;=2,"DUP","")</f>
        <v/>
      </c>
      <c r="B571" s="23" t="s">
        <v>11212</v>
      </c>
      <c r="C571" s="23" t="s">
        <v>11336</v>
      </c>
      <c r="D571" s="166" t="s">
        <v>11337</v>
      </c>
      <c r="E571" s="166" t="s">
        <v>421</v>
      </c>
      <c r="F571" s="167">
        <v>5</v>
      </c>
      <c r="G571" s="282" t="s">
        <v>11275</v>
      </c>
      <c r="H571" s="283">
        <v>700000000</v>
      </c>
      <c r="I571" s="89" t="str">
        <f>IF($H571&lt;='Abbrev Key'!$A$2,'Abbrev Key'!$B$2,IF($H571&lt;='Abbrev Key'!$A$3,'Abbrev Key'!$B$3,IF($H571&lt;='Abbrev Key'!$A$4,'Abbrev Key'!$B$4,IF($H571&lt;='Abbrev Key'!$A$5,'Abbrev Key'!$B$5,IF($H571&lt;='Abbrev Key'!$A$6,'Abbrev Key'!$B$6,IF($H571&gt;='Abbrev Key'!$A$7,'Abbrev Key'!$B$7,IF($H571='Abbrev Key'!$A$8,'Abbrev Key'!$B$8,"")))))))</f>
        <v>F</v>
      </c>
      <c r="J571" s="92" t="s">
        <v>4332</v>
      </c>
      <c r="K571" s="369" t="s">
        <v>4332</v>
      </c>
      <c r="L571" s="369" t="s">
        <v>4332</v>
      </c>
      <c r="M571" s="369" t="s">
        <v>4332</v>
      </c>
      <c r="N571" s="92" t="s">
        <v>4332</v>
      </c>
      <c r="O571" s="369"/>
      <c r="P571" s="167" t="s">
        <v>4287</v>
      </c>
      <c r="Q571" s="392" t="str">
        <f t="shared" si="36"/>
        <v>10/30/2018</v>
      </c>
      <c r="R571" s="392">
        <f t="shared" si="37"/>
        <v>43402</v>
      </c>
      <c r="S571" s="392" t="s">
        <v>10890</v>
      </c>
      <c r="T571" s="168" t="s">
        <v>11741</v>
      </c>
      <c r="U571" s="92"/>
      <c r="V571" s="92"/>
      <c r="W571" s="92"/>
    </row>
    <row r="572" spans="1:23" ht="30" x14ac:dyDescent="0.25">
      <c r="B572" s="23" t="s">
        <v>2728</v>
      </c>
      <c r="C572" s="23" t="s">
        <v>11733</v>
      </c>
      <c r="D572" s="166" t="s">
        <v>11338</v>
      </c>
      <c r="E572" s="166" t="s">
        <v>465</v>
      </c>
      <c r="F572" s="167">
        <v>7</v>
      </c>
      <c r="G572" s="282" t="s">
        <v>11274</v>
      </c>
      <c r="H572" s="283">
        <v>55000000</v>
      </c>
      <c r="I572" s="89" t="str">
        <f>IF($H572&lt;='Abbrev Key'!$A$2,'Abbrev Key'!$B$2,IF($H572&lt;='Abbrev Key'!$A$3,'Abbrev Key'!$B$3,IF($H572&lt;='Abbrev Key'!$A$4,'Abbrev Key'!$B$4,IF($H572&lt;='Abbrev Key'!$A$5,'Abbrev Key'!$B$5,IF($H572&lt;='Abbrev Key'!$A$6,'Abbrev Key'!$B$6,IF($H572&gt;='Abbrev Key'!$A$7,'Abbrev Key'!$B$7,IF($H572='Abbrev Key'!$A$8,'Abbrev Key'!$B$8,"")))))))</f>
        <v>C</v>
      </c>
      <c r="J572" s="92" t="s">
        <v>4332</v>
      </c>
      <c r="K572" s="369" t="s">
        <v>4332</v>
      </c>
      <c r="L572" s="401" t="s">
        <v>4332</v>
      </c>
      <c r="M572" s="369" t="s">
        <v>4332</v>
      </c>
      <c r="N572" s="92" t="s">
        <v>4332</v>
      </c>
      <c r="O572" s="369"/>
      <c r="P572" s="167" t="s">
        <v>4287</v>
      </c>
      <c r="Q572" s="392" t="str">
        <f t="shared" si="36"/>
        <v>11/08/2018</v>
      </c>
      <c r="R572" s="392">
        <f t="shared" si="37"/>
        <v>43411</v>
      </c>
      <c r="S572" s="392">
        <v>43418</v>
      </c>
      <c r="T572" s="168" t="s">
        <v>2827</v>
      </c>
      <c r="U572" s="92"/>
      <c r="V572" s="92"/>
      <c r="W572" s="92"/>
    </row>
    <row r="573" spans="1:23" x14ac:dyDescent="0.25">
      <c r="A573" s="11" t="str">
        <f>IF(COUNTIF(B:B,B573)&gt;=2,"DUP","")</f>
        <v/>
      </c>
      <c r="B573" s="23" t="s">
        <v>11213</v>
      </c>
      <c r="C573" s="23" t="s">
        <v>11314</v>
      </c>
      <c r="D573" s="166" t="s">
        <v>11315</v>
      </c>
      <c r="E573" s="166" t="s">
        <v>446</v>
      </c>
      <c r="F573" s="167">
        <v>9</v>
      </c>
      <c r="G573" s="282" t="s">
        <v>11276</v>
      </c>
      <c r="H573" s="283">
        <v>3900000000</v>
      </c>
      <c r="I573" s="89" t="str">
        <f>IF($H573&lt;='Abbrev Key'!$A$2,'Abbrev Key'!$B$2,IF($H573&lt;='Abbrev Key'!$A$3,'Abbrev Key'!$B$3,IF($H573&lt;='Abbrev Key'!$A$4,'Abbrev Key'!$B$4,IF($H573&lt;='Abbrev Key'!$A$5,'Abbrev Key'!$B$5,IF($H573&lt;='Abbrev Key'!$A$6,'Abbrev Key'!$B$6,IF($H573&gt;='Abbrev Key'!$A$7,'Abbrev Key'!$B$7,IF($H573='Abbrev Key'!$A$8,'Abbrev Key'!$B$8,"")))))))</f>
        <v>F</v>
      </c>
      <c r="J573" s="369" t="s">
        <v>4332</v>
      </c>
      <c r="K573" s="369" t="s">
        <v>4332</v>
      </c>
      <c r="L573" s="369" t="s">
        <v>4332</v>
      </c>
      <c r="M573" s="369" t="s">
        <v>4332</v>
      </c>
      <c r="N573" s="92" t="s">
        <v>4332</v>
      </c>
      <c r="O573" s="369"/>
      <c r="P573" s="167" t="s">
        <v>4287</v>
      </c>
      <c r="Q573" s="392" t="str">
        <f t="shared" si="36"/>
        <v>11/12/2018</v>
      </c>
      <c r="R573" s="392">
        <f t="shared" si="37"/>
        <v>43415</v>
      </c>
      <c r="S573" s="392" t="s">
        <v>11239</v>
      </c>
      <c r="T573" s="168" t="s">
        <v>1598</v>
      </c>
      <c r="U573" s="92"/>
      <c r="V573" s="92"/>
      <c r="W573" s="92"/>
    </row>
    <row r="574" spans="1:23" x14ac:dyDescent="0.25">
      <c r="A574" s="11" t="str">
        <f>IF(COUNTIF(B:B,B574)&gt;=2,"DUP","")</f>
        <v/>
      </c>
      <c r="B574" s="23" t="s">
        <v>11214</v>
      </c>
      <c r="C574" s="23" t="s">
        <v>11304</v>
      </c>
      <c r="D574" s="166" t="s">
        <v>11305</v>
      </c>
      <c r="E574" s="166" t="s">
        <v>1008</v>
      </c>
      <c r="F574" s="167">
        <v>2</v>
      </c>
      <c r="G574" s="282" t="s">
        <v>11277</v>
      </c>
      <c r="H574" s="283">
        <v>1050000000</v>
      </c>
      <c r="I574" s="89" t="str">
        <f>IF($H574&lt;='Abbrev Key'!$A$2,'Abbrev Key'!$B$2,IF($H574&lt;='Abbrev Key'!$A$3,'Abbrev Key'!$B$3,IF($H574&lt;='Abbrev Key'!$A$4,'Abbrev Key'!$B$4,IF($H574&lt;='Abbrev Key'!$A$5,'Abbrev Key'!$B$5,IF($H574&lt;='Abbrev Key'!$A$6,'Abbrev Key'!$B$6,IF($H574&gt;='Abbrev Key'!$A$7,'Abbrev Key'!$B$7,IF($H574='Abbrev Key'!$A$8,'Abbrev Key'!$B$8,"")))))))</f>
        <v>F</v>
      </c>
      <c r="J574" s="369" t="s">
        <v>4332</v>
      </c>
      <c r="K574" s="369" t="s">
        <v>4332</v>
      </c>
      <c r="L574" s="369" t="s">
        <v>4332</v>
      </c>
      <c r="M574" s="410" t="s">
        <v>4332</v>
      </c>
      <c r="N574" s="92" t="s">
        <v>4332</v>
      </c>
      <c r="O574" s="369"/>
      <c r="P574" s="167" t="s">
        <v>4287</v>
      </c>
      <c r="Q574" s="392" t="str">
        <f t="shared" si="36"/>
        <v>11/19/2018</v>
      </c>
      <c r="R574" s="392">
        <f t="shared" si="37"/>
        <v>43422</v>
      </c>
      <c r="S574" s="392" t="s">
        <v>11233</v>
      </c>
      <c r="T574" s="168" t="s">
        <v>63</v>
      </c>
      <c r="U574" s="92"/>
      <c r="V574" s="92"/>
      <c r="W574" s="92"/>
    </row>
    <row r="575" spans="1:23" x14ac:dyDescent="0.25">
      <c r="A575" s="11" t="str">
        <f>IF(COUNTIF(B:B,B575)&gt;=2,"DUP","")</f>
        <v/>
      </c>
      <c r="B575" s="23" t="s">
        <v>11215</v>
      </c>
      <c r="C575" s="23" t="s">
        <v>11339</v>
      </c>
      <c r="D575" s="166" t="s">
        <v>11340</v>
      </c>
      <c r="E575" s="166" t="s">
        <v>1008</v>
      </c>
      <c r="F575" s="167">
        <v>2</v>
      </c>
      <c r="G575" s="282" t="s">
        <v>11278</v>
      </c>
      <c r="H575" s="283">
        <v>195000000</v>
      </c>
      <c r="I575" s="89" t="str">
        <f>IF($H575&lt;='Abbrev Key'!$A$2,'Abbrev Key'!$B$2,IF($H575&lt;='Abbrev Key'!$A$3,'Abbrev Key'!$B$3,IF($H575&lt;='Abbrev Key'!$A$4,'Abbrev Key'!$B$4,IF($H575&lt;='Abbrev Key'!$A$5,'Abbrev Key'!$B$5,IF($H575&lt;='Abbrev Key'!$A$6,'Abbrev Key'!$B$6,IF($H575&gt;='Abbrev Key'!$A$7,'Abbrev Key'!$B$7,IF($H575='Abbrev Key'!$A$8,'Abbrev Key'!$B$8,"")))))))</f>
        <v>D</v>
      </c>
      <c r="J575" s="92" t="s">
        <v>4332</v>
      </c>
      <c r="K575" s="369" t="s">
        <v>4332</v>
      </c>
      <c r="L575" s="369" t="s">
        <v>4332</v>
      </c>
      <c r="M575" s="369" t="s">
        <v>4332</v>
      </c>
      <c r="N575" s="92" t="s">
        <v>4332</v>
      </c>
      <c r="O575" s="369"/>
      <c r="P575" s="167" t="s">
        <v>4287</v>
      </c>
      <c r="Q575" s="392" t="str">
        <f t="shared" si="36"/>
        <v>11/26/2018</v>
      </c>
      <c r="R575" s="392">
        <f t="shared" si="37"/>
        <v>43429</v>
      </c>
      <c r="S575" s="392" t="s">
        <v>11234</v>
      </c>
      <c r="T575" s="368" t="s">
        <v>682</v>
      </c>
      <c r="U575" s="92"/>
      <c r="V575" s="92"/>
      <c r="W575" s="92"/>
    </row>
    <row r="576" spans="1:23" x14ac:dyDescent="0.25">
      <c r="B576" s="23" t="s">
        <v>11216</v>
      </c>
      <c r="C576" s="23" t="s">
        <v>11331</v>
      </c>
      <c r="D576" s="166" t="s">
        <v>11333</v>
      </c>
      <c r="E576" s="166" t="s">
        <v>418</v>
      </c>
      <c r="F576" s="167">
        <v>2</v>
      </c>
      <c r="G576" s="282" t="s">
        <v>11279</v>
      </c>
      <c r="H576" s="283">
        <v>720000000</v>
      </c>
      <c r="I576" s="89" t="str">
        <f>IF($H576&lt;='Abbrev Key'!$A$2,'Abbrev Key'!$B$2,IF($H576&lt;='Abbrev Key'!$A$3,'Abbrev Key'!$B$3,IF($H576&lt;='Abbrev Key'!$A$4,'Abbrev Key'!$B$4,IF($H576&lt;='Abbrev Key'!$A$5,'Abbrev Key'!$B$5,IF($H576&lt;='Abbrev Key'!$A$6,'Abbrev Key'!$B$6,IF($H576&gt;='Abbrev Key'!$A$7,'Abbrev Key'!$B$7,IF($H576='Abbrev Key'!$A$8,'Abbrev Key'!$B$8,"")))))))</f>
        <v>F</v>
      </c>
      <c r="J576" s="92" t="s">
        <v>4332</v>
      </c>
      <c r="K576" s="369" t="s">
        <v>4332</v>
      </c>
      <c r="L576" s="369" t="s">
        <v>4332</v>
      </c>
      <c r="M576" s="369" t="s">
        <v>4332</v>
      </c>
      <c r="N576" s="92" t="s">
        <v>4332</v>
      </c>
      <c r="O576" s="369"/>
      <c r="P576" s="167" t="s">
        <v>4287</v>
      </c>
      <c r="Q576" s="392" t="str">
        <f t="shared" si="36"/>
        <v>11/27/2018</v>
      </c>
      <c r="R576" s="392">
        <f t="shared" si="37"/>
        <v>43430</v>
      </c>
      <c r="S576" s="392">
        <v>43431</v>
      </c>
      <c r="T576" s="168" t="s">
        <v>34</v>
      </c>
      <c r="U576" s="92"/>
      <c r="V576" s="92"/>
      <c r="W576" s="92"/>
    </row>
    <row r="577" spans="1:23" x14ac:dyDescent="0.25">
      <c r="A577" s="11" t="str">
        <f t="shared" ref="A577:A590" si="38">IF(COUNTIF(B:B,B577)&gt;=2,"DUP","")</f>
        <v/>
      </c>
      <c r="B577" s="23" t="s">
        <v>11217</v>
      </c>
      <c r="C577" s="23" t="s">
        <v>11352</v>
      </c>
      <c r="D577" s="166" t="s">
        <v>11353</v>
      </c>
      <c r="E577" s="166" t="s">
        <v>465</v>
      </c>
      <c r="F577" s="167">
        <v>7</v>
      </c>
      <c r="G577" s="282" t="s">
        <v>11280</v>
      </c>
      <c r="H577" s="283">
        <v>950000000</v>
      </c>
      <c r="I577" s="89" t="str">
        <f>IF($H577&lt;='Abbrev Key'!$A$2,'Abbrev Key'!$B$2,IF($H577&lt;='Abbrev Key'!$A$3,'Abbrev Key'!$B$3,IF($H577&lt;='Abbrev Key'!$A$4,'Abbrev Key'!$B$4,IF($H577&lt;='Abbrev Key'!$A$5,'Abbrev Key'!$B$5,IF($H577&lt;='Abbrev Key'!$A$6,'Abbrev Key'!$B$6,IF($H577&gt;='Abbrev Key'!$A$7,'Abbrev Key'!$B$7,IF($H577='Abbrev Key'!$A$8,'Abbrev Key'!$B$8,"")))))))</f>
        <v>F</v>
      </c>
      <c r="J577" s="92" t="s">
        <v>4332</v>
      </c>
      <c r="K577" s="92" t="s">
        <v>4332</v>
      </c>
      <c r="L577" s="92" t="s">
        <v>4332</v>
      </c>
      <c r="M577" s="92" t="s">
        <v>4332</v>
      </c>
      <c r="N577" s="92" t="s">
        <v>4332</v>
      </c>
      <c r="O577" s="369"/>
      <c r="P577" s="167" t="s">
        <v>4287</v>
      </c>
      <c r="Q577" s="392" t="str">
        <f t="shared" si="36"/>
        <v>11/13/2018</v>
      </c>
      <c r="R577" s="392">
        <f t="shared" si="37"/>
        <v>43416</v>
      </c>
      <c r="S577" s="392" t="s">
        <v>11245</v>
      </c>
      <c r="T577" s="168" t="s">
        <v>79</v>
      </c>
      <c r="U577" s="92"/>
      <c r="V577" s="92"/>
      <c r="W577" s="92"/>
    </row>
    <row r="578" spans="1:23" x14ac:dyDescent="0.25">
      <c r="A578" s="11" t="str">
        <f t="shared" si="38"/>
        <v/>
      </c>
      <c r="B578" s="23" t="s">
        <v>11218</v>
      </c>
      <c r="C578" s="23" t="s">
        <v>11349</v>
      </c>
      <c r="D578" s="166" t="s">
        <v>11350</v>
      </c>
      <c r="E578" s="166" t="s">
        <v>1008</v>
      </c>
      <c r="F578" s="167">
        <v>2</v>
      </c>
      <c r="G578" s="282" t="s">
        <v>11281</v>
      </c>
      <c r="H578" s="283">
        <v>18000000</v>
      </c>
      <c r="I578" s="89" t="str">
        <f>IF($H578&lt;='Abbrev Key'!$A$2,'Abbrev Key'!$B$2,IF($H578&lt;='Abbrev Key'!$A$3,'Abbrev Key'!$B$3,IF($H578&lt;='Abbrev Key'!$A$4,'Abbrev Key'!$B$4,IF($H578&lt;='Abbrev Key'!$A$5,'Abbrev Key'!$B$5,IF($H578&lt;='Abbrev Key'!$A$6,'Abbrev Key'!$B$6,IF($H578&gt;='Abbrev Key'!$A$7,'Abbrev Key'!$B$7,IF($H578='Abbrev Key'!$A$8,'Abbrev Key'!$B$8,"")))))))</f>
        <v>A</v>
      </c>
      <c r="J578" s="92" t="s">
        <v>4332</v>
      </c>
      <c r="K578" s="369" t="s">
        <v>4332</v>
      </c>
      <c r="L578" s="369" t="s">
        <v>4332</v>
      </c>
      <c r="M578" s="369" t="s">
        <v>4332</v>
      </c>
      <c r="N578" s="92" t="s">
        <v>4332</v>
      </c>
      <c r="O578" s="369"/>
      <c r="P578" s="167" t="s">
        <v>4287</v>
      </c>
      <c r="Q578" s="392" t="str">
        <f t="shared" si="36"/>
        <v>11/27/2018</v>
      </c>
      <c r="R578" s="392">
        <f t="shared" si="37"/>
        <v>43430</v>
      </c>
      <c r="S578" s="392" t="s">
        <v>11237</v>
      </c>
      <c r="T578" s="168" t="s">
        <v>682</v>
      </c>
      <c r="U578" s="92"/>
      <c r="V578" s="92"/>
      <c r="W578" s="92"/>
    </row>
    <row r="579" spans="1:23" x14ac:dyDescent="0.25">
      <c r="A579" s="11" t="str">
        <f t="shared" si="38"/>
        <v>DUP</v>
      </c>
      <c r="B579" s="23" t="s">
        <v>8820</v>
      </c>
      <c r="C579" s="23" t="s">
        <v>11311</v>
      </c>
      <c r="D579" s="166" t="s">
        <v>11312</v>
      </c>
      <c r="E579" s="166" t="s">
        <v>418</v>
      </c>
      <c r="F579" s="167">
        <v>2</v>
      </c>
      <c r="G579" s="282" t="s">
        <v>11282</v>
      </c>
      <c r="H579" s="283">
        <v>67000000</v>
      </c>
      <c r="I579" s="89" t="str">
        <f>IF($H579&lt;='Abbrev Key'!$A$2,'Abbrev Key'!$B$2,IF($H579&lt;='Abbrev Key'!$A$3,'Abbrev Key'!$B$3,IF($H579&lt;='Abbrev Key'!$A$4,'Abbrev Key'!$B$4,IF($H579&lt;='Abbrev Key'!$A$5,'Abbrev Key'!$B$5,IF($H579&lt;='Abbrev Key'!$A$6,'Abbrev Key'!$B$6,IF($H579&gt;='Abbrev Key'!$A$7,'Abbrev Key'!$B$7,IF($H579='Abbrev Key'!$A$8,'Abbrev Key'!$B$8,"")))))))</f>
        <v>C</v>
      </c>
      <c r="J579" s="369" t="s">
        <v>4332</v>
      </c>
      <c r="K579" s="369" t="s">
        <v>4332</v>
      </c>
      <c r="L579" s="369" t="s">
        <v>4332</v>
      </c>
      <c r="M579" s="369" t="s">
        <v>4332</v>
      </c>
      <c r="N579" s="92" t="s">
        <v>4332</v>
      </c>
      <c r="O579" s="369"/>
      <c r="P579" s="167" t="s">
        <v>4287</v>
      </c>
      <c r="Q579" s="392" t="str">
        <f t="shared" si="36"/>
        <v>11/27/2018</v>
      </c>
      <c r="R579" s="392">
        <f t="shared" si="37"/>
        <v>43430</v>
      </c>
      <c r="S579" s="392" t="s">
        <v>11246</v>
      </c>
      <c r="T579" s="168" t="s">
        <v>1598</v>
      </c>
      <c r="U579" s="92"/>
      <c r="V579" s="92"/>
      <c r="W579" s="92"/>
    </row>
    <row r="580" spans="1:23" x14ac:dyDescent="0.25">
      <c r="A580" s="11" t="str">
        <f t="shared" si="38"/>
        <v/>
      </c>
      <c r="B580" s="23" t="s">
        <v>11219</v>
      </c>
      <c r="C580" s="23" t="s">
        <v>11253</v>
      </c>
      <c r="D580" s="166" t="s">
        <v>11335</v>
      </c>
      <c r="E580" s="166" t="s">
        <v>1008</v>
      </c>
      <c r="F580" s="167">
        <v>2</v>
      </c>
      <c r="G580" s="282" t="s">
        <v>11283</v>
      </c>
      <c r="H580" s="283">
        <v>1100000000</v>
      </c>
      <c r="I580" s="89" t="str">
        <f>IF($H580&lt;='Abbrev Key'!$A$2,'Abbrev Key'!$B$2,IF($H580&lt;='Abbrev Key'!$A$3,'Abbrev Key'!$B$3,IF($H580&lt;='Abbrev Key'!$A$4,'Abbrev Key'!$B$4,IF($H580&lt;='Abbrev Key'!$A$5,'Abbrev Key'!$B$5,IF($H580&lt;='Abbrev Key'!$A$6,'Abbrev Key'!$B$6,IF($H580&gt;='Abbrev Key'!$A$7,'Abbrev Key'!$B$7,IF($H580='Abbrev Key'!$A$8,'Abbrev Key'!$B$8,"")))))))</f>
        <v>F</v>
      </c>
      <c r="J580" s="369" t="s">
        <v>4332</v>
      </c>
      <c r="K580" s="369" t="s">
        <v>4332</v>
      </c>
      <c r="L580" s="369" t="s">
        <v>4332</v>
      </c>
      <c r="M580" s="369" t="s">
        <v>4332</v>
      </c>
      <c r="N580" s="92" t="s">
        <v>4332</v>
      </c>
      <c r="O580" s="369"/>
      <c r="P580" s="167" t="s">
        <v>4287</v>
      </c>
      <c r="Q580" s="392" t="str">
        <f t="shared" si="36"/>
        <v>11/29/2018</v>
      </c>
      <c r="R580" s="392">
        <f t="shared" si="37"/>
        <v>43432</v>
      </c>
      <c r="S580" s="392">
        <v>43435</v>
      </c>
      <c r="T580" s="168" t="s">
        <v>682</v>
      </c>
      <c r="U580" s="92"/>
      <c r="V580" s="92"/>
      <c r="W580" s="92"/>
    </row>
    <row r="581" spans="1:23" ht="30" x14ac:dyDescent="0.25">
      <c r="A581" s="11" t="str">
        <f t="shared" si="38"/>
        <v/>
      </c>
      <c r="B581" s="23" t="s">
        <v>11220</v>
      </c>
      <c r="C581" s="23" t="s">
        <v>11306</v>
      </c>
      <c r="D581" s="166" t="s">
        <v>11308</v>
      </c>
      <c r="E581" s="166" t="s">
        <v>418</v>
      </c>
      <c r="F581" s="167">
        <v>2</v>
      </c>
      <c r="G581" s="282" t="s">
        <v>11284</v>
      </c>
      <c r="H581" s="283">
        <v>185000000</v>
      </c>
      <c r="I581" s="89" t="str">
        <f>IF($H581&lt;='Abbrev Key'!$A$2,'Abbrev Key'!$B$2,IF($H581&lt;='Abbrev Key'!$A$3,'Abbrev Key'!$B$3,IF($H581&lt;='Abbrev Key'!$A$4,'Abbrev Key'!$B$4,IF($H581&lt;='Abbrev Key'!$A$5,'Abbrev Key'!$B$5,IF($H581&lt;='Abbrev Key'!$A$6,'Abbrev Key'!$B$6,IF($H581&gt;='Abbrev Key'!$A$7,'Abbrev Key'!$B$7,IF($H581='Abbrev Key'!$A$8,'Abbrev Key'!$B$8,"")))))))</f>
        <v>D</v>
      </c>
      <c r="J581" s="92" t="s">
        <v>4332</v>
      </c>
      <c r="K581" s="369" t="s">
        <v>4332</v>
      </c>
      <c r="L581" s="410" t="s">
        <v>4332</v>
      </c>
      <c r="M581" s="410" t="s">
        <v>4332</v>
      </c>
      <c r="N581" s="92" t="s">
        <v>4332</v>
      </c>
      <c r="O581" s="369"/>
      <c r="P581" s="167" t="s">
        <v>4287</v>
      </c>
      <c r="Q581" s="392" t="str">
        <f t="shared" si="36"/>
        <v>12/04/2018</v>
      </c>
      <c r="R581" s="392">
        <f t="shared" si="37"/>
        <v>43437</v>
      </c>
      <c r="S581" s="392" t="s">
        <v>11238</v>
      </c>
      <c r="T581" s="168" t="s">
        <v>3787</v>
      </c>
      <c r="U581" s="92"/>
      <c r="V581" s="92"/>
      <c r="W581" s="92"/>
    </row>
    <row r="582" spans="1:23" x14ac:dyDescent="0.25">
      <c r="A582" s="11" t="str">
        <f t="shared" si="38"/>
        <v/>
      </c>
      <c r="B582" s="23" t="s">
        <v>11221</v>
      </c>
      <c r="C582" s="23" t="s">
        <v>11301</v>
      </c>
      <c r="D582" s="166" t="s">
        <v>11313</v>
      </c>
      <c r="E582" s="166" t="s">
        <v>7376</v>
      </c>
      <c r="F582" s="167">
        <v>10</v>
      </c>
      <c r="G582" s="282" t="s">
        <v>11285</v>
      </c>
      <c r="H582" s="283">
        <v>50000000</v>
      </c>
      <c r="I582" s="89" t="str">
        <f>IF($H582&lt;='Abbrev Key'!$A$2,'Abbrev Key'!$B$2,IF($H582&lt;='Abbrev Key'!$A$3,'Abbrev Key'!$B$3,IF($H582&lt;='Abbrev Key'!$A$4,'Abbrev Key'!$B$4,IF($H582&lt;='Abbrev Key'!$A$5,'Abbrev Key'!$B$5,IF($H582&lt;='Abbrev Key'!$A$6,'Abbrev Key'!$B$6,IF($H582&gt;='Abbrev Key'!$A$7,'Abbrev Key'!$B$7,IF($H582='Abbrev Key'!$A$8,'Abbrev Key'!$B$8,"")))))))</f>
        <v>B</v>
      </c>
      <c r="J582" s="369" t="s">
        <v>4332</v>
      </c>
      <c r="K582" s="369" t="s">
        <v>4332</v>
      </c>
      <c r="L582" s="369" t="s">
        <v>4332</v>
      </c>
      <c r="M582" s="369" t="s">
        <v>4332</v>
      </c>
      <c r="N582" s="92" t="s">
        <v>4332</v>
      </c>
      <c r="O582" s="369"/>
      <c r="P582" s="167" t="s">
        <v>4287</v>
      </c>
      <c r="Q582" s="392" t="str">
        <f t="shared" si="36"/>
        <v>10/24/2018</v>
      </c>
      <c r="R582" s="392">
        <f t="shared" si="37"/>
        <v>43396</v>
      </c>
      <c r="S582" s="392" t="s">
        <v>11238</v>
      </c>
      <c r="T582" s="168" t="s">
        <v>11742</v>
      </c>
      <c r="U582" s="92"/>
      <c r="V582" s="92"/>
      <c r="W582" s="92"/>
    </row>
    <row r="583" spans="1:23" ht="30" x14ac:dyDescent="0.25">
      <c r="A583" s="11" t="str">
        <f t="shared" si="38"/>
        <v/>
      </c>
      <c r="B583" s="23" t="s">
        <v>11222</v>
      </c>
      <c r="C583" s="23" t="s">
        <v>11302</v>
      </c>
      <c r="D583" s="166" t="s">
        <v>11334</v>
      </c>
      <c r="E583" s="166" t="s">
        <v>418</v>
      </c>
      <c r="F583" s="167">
        <v>2</v>
      </c>
      <c r="G583" s="282" t="s">
        <v>11286</v>
      </c>
      <c r="H583" s="283">
        <v>670000000</v>
      </c>
      <c r="I583" s="89" t="str">
        <f>IF($H583&lt;='Abbrev Key'!$A$2,'Abbrev Key'!$B$2,IF($H583&lt;='Abbrev Key'!$A$3,'Abbrev Key'!$B$3,IF($H583&lt;='Abbrev Key'!$A$4,'Abbrev Key'!$B$4,IF($H583&lt;='Abbrev Key'!$A$5,'Abbrev Key'!$B$5,IF($H583&lt;='Abbrev Key'!$A$6,'Abbrev Key'!$B$6,IF($H583&gt;='Abbrev Key'!$A$7,'Abbrev Key'!$B$7,IF($H583='Abbrev Key'!$A$8,'Abbrev Key'!$B$8,"")))))))</f>
        <v>F</v>
      </c>
      <c r="J583" s="92" t="s">
        <v>4332</v>
      </c>
      <c r="K583" s="369" t="s">
        <v>4332</v>
      </c>
      <c r="L583" s="369" t="s">
        <v>4332</v>
      </c>
      <c r="M583" s="369" t="s">
        <v>4332</v>
      </c>
      <c r="N583" s="92" t="s">
        <v>4332</v>
      </c>
      <c r="O583" s="369"/>
      <c r="P583" s="167" t="s">
        <v>4287</v>
      </c>
      <c r="Q583" s="392" t="str">
        <f t="shared" si="36"/>
        <v>12/05/2018</v>
      </c>
      <c r="R583" s="392">
        <f t="shared" si="37"/>
        <v>43438</v>
      </c>
      <c r="S583" s="392">
        <v>43439</v>
      </c>
      <c r="T583" s="168" t="s">
        <v>11740</v>
      </c>
      <c r="U583" s="92"/>
      <c r="V583" s="92"/>
      <c r="W583" s="92"/>
    </row>
    <row r="584" spans="1:23" ht="30" x14ac:dyDescent="0.25">
      <c r="A584" s="11" t="str">
        <f t="shared" si="38"/>
        <v/>
      </c>
      <c r="B584" s="23" t="s">
        <v>11358</v>
      </c>
      <c r="C584" s="23" t="s">
        <v>11359</v>
      </c>
      <c r="D584" s="166" t="s">
        <v>11360</v>
      </c>
      <c r="E584" s="166" t="s">
        <v>431</v>
      </c>
      <c r="F584" s="167">
        <v>6</v>
      </c>
      <c r="G584" s="282" t="s">
        <v>11287</v>
      </c>
      <c r="H584" s="283">
        <v>14000000</v>
      </c>
      <c r="I584" s="89" t="str">
        <f>IF($H584&lt;='Abbrev Key'!$A$2,'Abbrev Key'!$B$2,IF($H584&lt;='Abbrev Key'!$A$3,'Abbrev Key'!$B$3,IF($H584&lt;='Abbrev Key'!$A$4,'Abbrev Key'!$B$4,IF($H584&lt;='Abbrev Key'!$A$5,'Abbrev Key'!$B$5,IF($H584&lt;='Abbrev Key'!$A$6,'Abbrev Key'!$B$6,IF($H584&gt;='Abbrev Key'!$A$7,'Abbrev Key'!$B$7,IF($H584='Abbrev Key'!$A$8,'Abbrev Key'!$B$8,"")))))))</f>
        <v>A</v>
      </c>
      <c r="J584" s="369" t="s">
        <v>4332</v>
      </c>
      <c r="K584" s="369" t="s">
        <v>4332</v>
      </c>
      <c r="L584" s="369" t="s">
        <v>4332</v>
      </c>
      <c r="M584" s="369" t="s">
        <v>4332</v>
      </c>
      <c r="N584" s="92" t="s">
        <v>4332</v>
      </c>
      <c r="O584" s="369"/>
      <c r="P584" s="167" t="s">
        <v>4287</v>
      </c>
      <c r="Q584" s="392" t="str">
        <f t="shared" si="36"/>
        <v>11/16/2018</v>
      </c>
      <c r="R584" s="392">
        <f t="shared" si="37"/>
        <v>43419</v>
      </c>
      <c r="S584" s="392">
        <v>43444</v>
      </c>
      <c r="T584" s="168" t="s">
        <v>10907</v>
      </c>
      <c r="U584" s="92"/>
      <c r="V584" s="92"/>
      <c r="W584" s="92"/>
    </row>
    <row r="585" spans="1:23" ht="30" x14ac:dyDescent="0.25">
      <c r="A585" s="11" t="str">
        <f t="shared" si="38"/>
        <v/>
      </c>
      <c r="B585" s="23" t="s">
        <v>11759</v>
      </c>
      <c r="C585" s="23" t="s">
        <v>11760</v>
      </c>
      <c r="D585" s="166" t="s">
        <v>11761</v>
      </c>
      <c r="E585" s="166" t="s">
        <v>409</v>
      </c>
      <c r="F585" s="167">
        <v>1</v>
      </c>
      <c r="G585" s="282" t="s">
        <v>11762</v>
      </c>
      <c r="H585" s="283">
        <v>220000000</v>
      </c>
      <c r="I585" s="89" t="str">
        <f>IF($H585&lt;='Abbrev Key'!$A$2,'Abbrev Key'!$B$2,IF($H585&lt;='Abbrev Key'!$A$3,'Abbrev Key'!$B$3,IF($H585&lt;='Abbrev Key'!$A$4,'Abbrev Key'!$B$4,IF($H585&lt;='Abbrev Key'!$A$5,'Abbrev Key'!$B$5,IF($H585&lt;='Abbrev Key'!$A$6,'Abbrev Key'!$B$6,IF($H585&gt;='Abbrev Key'!$A$7,'Abbrev Key'!$B$7,IF($H585='Abbrev Key'!$A$8,'Abbrev Key'!$B$8,"")))))))</f>
        <v>D</v>
      </c>
      <c r="J585" s="369" t="s">
        <v>4332</v>
      </c>
      <c r="K585" s="369" t="s">
        <v>4332</v>
      </c>
      <c r="L585" s="369" t="s">
        <v>4332</v>
      </c>
      <c r="M585" s="369" t="s">
        <v>4332</v>
      </c>
      <c r="N585" s="92" t="s">
        <v>4332</v>
      </c>
      <c r="O585" s="369"/>
      <c r="P585" s="167" t="s">
        <v>4287</v>
      </c>
      <c r="Q585" s="392" t="str">
        <f t="shared" si="36"/>
        <v>11/29/2018</v>
      </c>
      <c r="R585" s="392">
        <f t="shared" si="37"/>
        <v>43432</v>
      </c>
      <c r="S585" s="392">
        <v>43446</v>
      </c>
      <c r="T585" s="168" t="s">
        <v>11763</v>
      </c>
      <c r="U585" s="92"/>
      <c r="V585" s="92"/>
      <c r="W585" s="92"/>
    </row>
    <row r="586" spans="1:23" x14ac:dyDescent="0.25">
      <c r="A586" s="11" t="str">
        <f t="shared" si="38"/>
        <v/>
      </c>
      <c r="B586" s="23" t="s">
        <v>11224</v>
      </c>
      <c r="C586" s="23" t="s">
        <v>11346</v>
      </c>
      <c r="D586" s="166" t="s">
        <v>11347</v>
      </c>
      <c r="E586" s="166" t="s">
        <v>418</v>
      </c>
      <c r="F586" s="167">
        <v>2</v>
      </c>
      <c r="G586" s="282" t="s">
        <v>11288</v>
      </c>
      <c r="H586" s="283">
        <v>100000000</v>
      </c>
      <c r="I586" s="89" t="str">
        <f>IF($H586&lt;='Abbrev Key'!$A$2,'Abbrev Key'!$B$2,IF($H586&lt;='Abbrev Key'!$A$3,'Abbrev Key'!$B$3,IF($H586&lt;='Abbrev Key'!$A$4,'Abbrev Key'!$B$4,IF($H586&lt;='Abbrev Key'!$A$5,'Abbrev Key'!$B$5,IF($H586&lt;='Abbrev Key'!$A$6,'Abbrev Key'!$B$6,IF($H586&gt;='Abbrev Key'!$A$7,'Abbrev Key'!$B$7,IF($H586='Abbrev Key'!$A$8,'Abbrev Key'!$B$8,"")))))))</f>
        <v>C</v>
      </c>
      <c r="J586" s="369" t="s">
        <v>4332</v>
      </c>
      <c r="K586" s="369" t="s">
        <v>4332</v>
      </c>
      <c r="L586" s="369" t="s">
        <v>4332</v>
      </c>
      <c r="M586" s="369" t="s">
        <v>4332</v>
      </c>
      <c r="N586" s="92" t="s">
        <v>4332</v>
      </c>
      <c r="O586" s="369"/>
      <c r="P586" s="167" t="s">
        <v>4287</v>
      </c>
      <c r="Q586" s="392" t="str">
        <f t="shared" si="36"/>
        <v>12/05/2018</v>
      </c>
      <c r="R586" s="392">
        <f t="shared" si="37"/>
        <v>43438</v>
      </c>
      <c r="S586" s="392" t="s">
        <v>11248</v>
      </c>
      <c r="T586" s="168" t="s">
        <v>1598</v>
      </c>
      <c r="U586" s="92"/>
      <c r="V586" s="92"/>
      <c r="W586" s="92"/>
    </row>
    <row r="587" spans="1:23" x14ac:dyDescent="0.25">
      <c r="A587" s="11" t="str">
        <f t="shared" si="38"/>
        <v/>
      </c>
      <c r="B587" s="23" t="s">
        <v>11223</v>
      </c>
      <c r="C587" s="23" t="s">
        <v>11332</v>
      </c>
      <c r="D587" s="166" t="s">
        <v>11348</v>
      </c>
      <c r="E587" s="166" t="s">
        <v>1008</v>
      </c>
      <c r="F587" s="167">
        <v>2</v>
      </c>
      <c r="G587" s="282" t="s">
        <v>11281</v>
      </c>
      <c r="H587" s="283">
        <v>145000000</v>
      </c>
      <c r="I587" s="89" t="str">
        <f>IF($H587&lt;='Abbrev Key'!$A$2,'Abbrev Key'!$B$2,IF($H587&lt;='Abbrev Key'!$A$3,'Abbrev Key'!$B$3,IF($H587&lt;='Abbrev Key'!$A$4,'Abbrev Key'!$B$4,IF($H587&lt;='Abbrev Key'!$A$5,'Abbrev Key'!$B$5,IF($H587&lt;='Abbrev Key'!$A$6,'Abbrev Key'!$B$6,IF($H587&gt;='Abbrev Key'!$A$7,'Abbrev Key'!$B$7,IF($H587='Abbrev Key'!$A$8,'Abbrev Key'!$B$8,"")))))))</f>
        <v>D</v>
      </c>
      <c r="J587" s="92" t="s">
        <v>4332</v>
      </c>
      <c r="K587" s="369" t="s">
        <v>4332</v>
      </c>
      <c r="L587" s="369" t="s">
        <v>4332</v>
      </c>
      <c r="M587" s="369" t="s">
        <v>4332</v>
      </c>
      <c r="N587" s="92" t="s">
        <v>4332</v>
      </c>
      <c r="O587" s="369"/>
      <c r="P587" s="167" t="s">
        <v>4287</v>
      </c>
      <c r="Q587" s="392" t="str">
        <f t="shared" si="36"/>
        <v>11/27/2018</v>
      </c>
      <c r="R587" s="392">
        <f t="shared" si="37"/>
        <v>43430</v>
      </c>
      <c r="S587" s="392" t="s">
        <v>11248</v>
      </c>
      <c r="T587" s="168" t="s">
        <v>682</v>
      </c>
      <c r="U587" s="92"/>
      <c r="V587" s="92"/>
      <c r="W587" s="92"/>
    </row>
    <row r="588" spans="1:23" x14ac:dyDescent="0.25">
      <c r="A588" s="11" t="str">
        <f t="shared" si="38"/>
        <v/>
      </c>
      <c r="B588" s="23" t="s">
        <v>11209</v>
      </c>
      <c r="C588" s="23" t="s">
        <v>11356</v>
      </c>
      <c r="D588" s="166" t="s">
        <v>11357</v>
      </c>
      <c r="E588" s="166" t="s">
        <v>4253</v>
      </c>
      <c r="F588" s="167">
        <v>11</v>
      </c>
      <c r="G588" s="282" t="s">
        <v>11270</v>
      </c>
      <c r="H588" s="283">
        <v>600000000</v>
      </c>
      <c r="I588" s="89" t="str">
        <f>IF($H588&lt;='Abbrev Key'!$A$2,'Abbrev Key'!$B$2,IF($H588&lt;='Abbrev Key'!$A$3,'Abbrev Key'!$B$3,IF($H588&lt;='Abbrev Key'!$A$4,'Abbrev Key'!$B$4,IF($H588&lt;='Abbrev Key'!$A$5,'Abbrev Key'!$B$5,IF($H588&lt;='Abbrev Key'!$A$6,'Abbrev Key'!$B$6,IF($H588&gt;='Abbrev Key'!$A$7,'Abbrev Key'!$B$7,IF($H588='Abbrev Key'!$A$8,'Abbrev Key'!$B$8,"")))))))</f>
        <v>F</v>
      </c>
      <c r="J588" s="369" t="s">
        <v>4332</v>
      </c>
      <c r="K588" s="369" t="s">
        <v>4332</v>
      </c>
      <c r="L588" s="369" t="s">
        <v>4332</v>
      </c>
      <c r="M588" s="369" t="s">
        <v>4332</v>
      </c>
      <c r="N588" s="92" t="s">
        <v>4332</v>
      </c>
      <c r="O588" s="369"/>
      <c r="P588" s="167" t="s">
        <v>4287</v>
      </c>
      <c r="Q588" s="392" t="str">
        <f t="shared" si="36"/>
        <v>11/02/2018</v>
      </c>
      <c r="R588" s="392">
        <f t="shared" si="37"/>
        <v>43405</v>
      </c>
      <c r="S588" s="392" t="s">
        <v>11240</v>
      </c>
      <c r="T588" s="168" t="s">
        <v>11743</v>
      </c>
      <c r="U588" s="92"/>
      <c r="V588" s="92"/>
      <c r="W588" s="92"/>
    </row>
    <row r="589" spans="1:23" ht="30" x14ac:dyDescent="0.25">
      <c r="A589" s="11" t="str">
        <f t="shared" si="38"/>
        <v/>
      </c>
      <c r="B589" s="23" t="s">
        <v>11225</v>
      </c>
      <c r="C589" s="23" t="s">
        <v>11731</v>
      </c>
      <c r="D589" s="166" t="s">
        <v>11355</v>
      </c>
      <c r="E589" s="166" t="s">
        <v>421</v>
      </c>
      <c r="F589" s="167">
        <v>5</v>
      </c>
      <c r="G589" s="167" t="s">
        <v>11289</v>
      </c>
      <c r="H589" s="89" t="s">
        <v>4882</v>
      </c>
      <c r="I589" s="89" t="s">
        <v>6732</v>
      </c>
      <c r="J589" s="92" t="s">
        <v>4332</v>
      </c>
      <c r="K589" s="92" t="s">
        <v>4332</v>
      </c>
      <c r="L589" s="92" t="s">
        <v>4332</v>
      </c>
      <c r="M589" s="92" t="s">
        <v>4332</v>
      </c>
      <c r="N589" s="92" t="s">
        <v>4332</v>
      </c>
      <c r="O589" s="92"/>
      <c r="P589" s="167" t="s">
        <v>4287</v>
      </c>
      <c r="Q589" s="392" t="str">
        <f t="shared" si="36"/>
        <v>11/15/2018</v>
      </c>
      <c r="R589" s="392">
        <f t="shared" si="37"/>
        <v>43418</v>
      </c>
      <c r="S589" s="392" t="s">
        <v>11249</v>
      </c>
      <c r="T589" s="168" t="s">
        <v>11741</v>
      </c>
      <c r="U589" s="92"/>
      <c r="V589" s="92"/>
      <c r="W589" s="92"/>
    </row>
    <row r="590" spans="1:23" x14ac:dyDescent="0.25">
      <c r="A590" s="11" t="str">
        <f t="shared" si="38"/>
        <v/>
      </c>
      <c r="B590" s="23" t="s">
        <v>11226</v>
      </c>
      <c r="C590" s="23" t="s">
        <v>11343</v>
      </c>
      <c r="D590" s="166" t="s">
        <v>11354</v>
      </c>
      <c r="E590" s="166" t="s">
        <v>511</v>
      </c>
      <c r="F590" s="167">
        <v>2</v>
      </c>
      <c r="G590" s="167" t="s">
        <v>11290</v>
      </c>
      <c r="H590" s="89" t="s">
        <v>4882</v>
      </c>
      <c r="I590" s="89" t="s">
        <v>6732</v>
      </c>
      <c r="J590" s="92" t="s">
        <v>4332</v>
      </c>
      <c r="K590" s="92" t="s">
        <v>4332</v>
      </c>
      <c r="L590" s="92" t="s">
        <v>4332</v>
      </c>
      <c r="M590" s="92" t="s">
        <v>4332</v>
      </c>
      <c r="N590" s="92" t="s">
        <v>4332</v>
      </c>
      <c r="O590" s="92"/>
      <c r="P590" s="167" t="s">
        <v>4287</v>
      </c>
      <c r="Q590" s="392" t="str">
        <f t="shared" si="36"/>
        <v>12/13/2018</v>
      </c>
      <c r="R590" s="392">
        <f t="shared" si="37"/>
        <v>43446</v>
      </c>
      <c r="S590" s="392" t="s">
        <v>11249</v>
      </c>
      <c r="T590" s="168" t="s">
        <v>4571</v>
      </c>
      <c r="U590" s="92"/>
      <c r="V590" s="92"/>
      <c r="W590" s="92"/>
    </row>
  </sheetData>
  <sortState xmlns:xlrd2="http://schemas.microsoft.com/office/spreadsheetml/2017/richdata2" ref="A2:W590">
    <sortCondition ref="S2:S590"/>
  </sortState>
  <conditionalFormatting sqref="N511:N514 N516:N529 N1:O47 N500:O505 O499 N463:O498 O462 J1:M1 K28:M30 K32:M33 K36:M41 N49:O68 K43:M45 J49:K49 J54:M54 J52 K50:K51 K58:M58 J59:M59 J71:K71 K60:M60 K65:M67 K70:M70 K72:M73 K74 K75:M76 K77 K80:M80 J83:K83 K82:M82 K84:M85 K86:K87 K87:M88 K90:M90 K89 J91:M91 K92 K93:M101 K103 K104:M104 K105:K107 K107:M108 K110:M110 K109:K110 K112:M112 K113:K114 K115:M116 K121 K122:M122 J123:M123 K124:M125 K131:M131 K134:M134 J135:M135 J138:M138 K136:M136 K137 J141:M141 K139:M140 K142:M146 K147 J148 K148:M153 K155:M158 J158 K159 K160:M161 K163:M171 K172 K173:M173 K174 K175:M183 J183 J196:M196 J184:M184 K185:M188 K190:M195 K197:M200 K202:M203 L204:M206 K207:M211 K213:M213 K212:K214 K215:M218 K219:K220 J224 K221:M224 K226:M231 K233:M233 K236 J241 K238:M244 J260:K260 K247:M248 J256 K261:M263 J269:M269 L264:M267 J274:M274 K270:M273 K275:M281 K283:M283 K286:M288 K292 K294:M298 K300:M301 K306:M310 N70:O328 J340:M340 J314:M314 K313:M313 K315:M316 J323:K323 K322:M322 K324:K325 K330:M338 J347:M347 K338:K339 K341:M346 K348:M348 K350:M350 K352:M357 K359:M360 J368:M368 K367:M367 K369:M374 K378:M379 J380:M380 K381:M382 K385:M385 J401:M401 K390:M392 J396:L397 K394:M395 K398:M400 K402:M402 K404:M412 K416:M417 K419:M419 K424:M426 K428:M430 J439:M441 K432:M438 K442:M444 K447:M447 K449:M450 K455:M457 K459:M459 K461:M467 K469:M471 K473:M477 K480:M487 J490:M490 K489:M489 K491:M495 K498:M498 K500:M502 K504:M505 K508:M512 J513:M513 K514:M516 K521:M524 K526:M526 K529:M529 K531:M532 K534:M534 J13:K13 J23:M23 J22 L22:M22 J25:M27 J56:M57 J55:K55 K127:M128 J126:K126 J133:K133 J129:K129 J200:K200 J234:M235 J289:K289 J290:M290 J293:K293 J291:K291 J311:K311 J326:K327 J460:M460 J496:M497 J530:M530 J445:M446 J3:M12 J14:M21 J31:M31 J34:M35 J42:M42 J46:M47 J48:O48 K52:M53 J61:M64 J68:M68 J69:O69 J78:M79 J81:M81 J102:M102 J111:M111 J117:M120 J130:M130 J132:M132 J154:M154 J162:M162 J189:M189 J201:M201 J225:M225 J237:M237 J232:M232 J245:M246 J249:M251 K252:M259 J282:M282 J284:M285 J299:M299 J302:M305 J312:M312 J317:M321 J328:M328 J349:M349 J329:O329 J351:M351 J358:M358 J361:M366 J375:M377 J383:M384 J386:M389 J393:M393 N330:O461 J403:M403 J413:M415 J418:M418 J420:M423 J427:M427 J431:M431 J448:M448 J451:M454 J458:M458 J468:M468 J472:M472 J478:M479 J488:M488 J503:M503 J506:M507 J525:M525 J527:M528 J533:M533 J517:M520 J535:M535 M536:M541 J542:M542 M543:M561 J562:M563 J570:M570 M564:M569 M571:M576 J577:M577 J589:M589 M578:M588 J591:O1048576 M590 N531:N590 N506:N509">
    <cfRule type="containsText" dxfId="1379" priority="480" operator="containsText" text="PENDING">
      <formula>NOT(ISERROR(SEARCH("PENDING",J1)))</formula>
    </cfRule>
  </conditionalFormatting>
  <conditionalFormatting sqref="H591:H1048576 H1:H554">
    <cfRule type="containsText" dxfId="1378" priority="479" operator="containsText" text="DC">
      <formula>NOT(ISERROR(SEARCH("DC",H1)))</formula>
    </cfRule>
  </conditionalFormatting>
  <conditionalFormatting sqref="I1:I1048576">
    <cfRule type="containsText" dxfId="1377" priority="478" operator="containsText" text="N/A">
      <formula>NOT(ISERROR(SEARCH("N/A",I1)))</formula>
    </cfRule>
  </conditionalFormatting>
  <conditionalFormatting sqref="J141 J184 J220 J246 J290 J302 J314 J346 P1:P590">
    <cfRule type="containsBlanks" dxfId="1376" priority="477">
      <formula>LEN(TRIM(J1))=0</formula>
    </cfRule>
  </conditionalFormatting>
  <conditionalFormatting sqref="H555:H590">
    <cfRule type="containsText" dxfId="1375" priority="474" operator="containsText" text="DC">
      <formula>NOT(ISERROR(SEARCH("DC",H555)))</formula>
    </cfRule>
  </conditionalFormatting>
  <conditionalFormatting sqref="N510">
    <cfRule type="containsBlanks" dxfId="1374" priority="472">
      <formula>LEN(TRIM(N510))=0</formula>
    </cfRule>
  </conditionalFormatting>
  <conditionalFormatting sqref="N515">
    <cfRule type="containsBlanks" dxfId="1373" priority="471">
      <formula>LEN(TRIM(N515))=0</formula>
    </cfRule>
  </conditionalFormatting>
  <conditionalFormatting sqref="N462">
    <cfRule type="containsBlanks" dxfId="1372" priority="469">
      <formula>LEN(TRIM(N462))=0</formula>
    </cfRule>
  </conditionalFormatting>
  <conditionalFormatting sqref="N530">
    <cfRule type="containsBlanks" dxfId="1371" priority="468">
      <formula>LEN(TRIM(N530))=0</formula>
    </cfRule>
  </conditionalFormatting>
  <conditionalFormatting sqref="J2:K2">
    <cfRule type="containsBlanks" dxfId="1370" priority="467">
      <formula>LEN(TRIM(J2))=0</formula>
    </cfRule>
  </conditionalFormatting>
  <conditionalFormatting sqref="J28">
    <cfRule type="containsBlanks" dxfId="1369" priority="466">
      <formula>LEN(TRIM(J28))=0</formula>
    </cfRule>
  </conditionalFormatting>
  <conditionalFormatting sqref="J29">
    <cfRule type="containsBlanks" dxfId="1368" priority="465">
      <formula>LEN(TRIM(J29))=0</formula>
    </cfRule>
  </conditionalFormatting>
  <conditionalFormatting sqref="J30">
    <cfRule type="containsBlanks" dxfId="1367" priority="464">
      <formula>LEN(TRIM(J30))=0</formula>
    </cfRule>
  </conditionalFormatting>
  <conditionalFormatting sqref="J32">
    <cfRule type="containsBlanks" dxfId="1366" priority="463">
      <formula>LEN(TRIM(J32))=0</formula>
    </cfRule>
  </conditionalFormatting>
  <conditionalFormatting sqref="J33">
    <cfRule type="containsBlanks" dxfId="1365" priority="462">
      <formula>LEN(TRIM(J33))=0</formula>
    </cfRule>
  </conditionalFormatting>
  <conditionalFormatting sqref="J36:J40">
    <cfRule type="containsBlanks" dxfId="1364" priority="461">
      <formula>LEN(TRIM(J36))=0</formula>
    </cfRule>
  </conditionalFormatting>
  <conditionalFormatting sqref="J41 J43:J45">
    <cfRule type="containsBlanks" dxfId="1363" priority="460">
      <formula>LEN(TRIM(J41))=0</formula>
    </cfRule>
  </conditionalFormatting>
  <conditionalFormatting sqref="L49:M49">
    <cfRule type="containsBlanks" dxfId="1362" priority="458">
      <formula>LEN(TRIM(L49))=0</formula>
    </cfRule>
  </conditionalFormatting>
  <conditionalFormatting sqref="L2:M2">
    <cfRule type="containsText" dxfId="1361" priority="457" operator="containsText" text="PENDING">
      <formula>NOT(ISERROR(SEARCH("PENDING",L2)))</formula>
    </cfRule>
  </conditionalFormatting>
  <conditionalFormatting sqref="J50">
    <cfRule type="containsBlanks" dxfId="1360" priority="456">
      <formula>LEN(TRIM(J50))=0</formula>
    </cfRule>
  </conditionalFormatting>
  <conditionalFormatting sqref="J51 J53">
    <cfRule type="containsBlanks" dxfId="1359" priority="455">
      <formula>LEN(TRIM(J51))=0</formula>
    </cfRule>
  </conditionalFormatting>
  <conditionalFormatting sqref="L50:M51">
    <cfRule type="containsBlanks" dxfId="1358" priority="454">
      <formula>LEN(TRIM(L50))=0</formula>
    </cfRule>
  </conditionalFormatting>
  <conditionalFormatting sqref="J58">
    <cfRule type="containsBlanks" dxfId="1357" priority="453">
      <formula>LEN(TRIM(J58))=0</formula>
    </cfRule>
  </conditionalFormatting>
  <conditionalFormatting sqref="J60">
    <cfRule type="containsBlanks" dxfId="1356" priority="452">
      <formula>LEN(TRIM(J60))=0</formula>
    </cfRule>
  </conditionalFormatting>
  <conditionalFormatting sqref="J65">
    <cfRule type="containsBlanks" dxfId="1355" priority="451">
      <formula>LEN(TRIM(J65))=0</formula>
    </cfRule>
  </conditionalFormatting>
  <conditionalFormatting sqref="J66">
    <cfRule type="containsBlanks" dxfId="1354" priority="450">
      <formula>LEN(TRIM(J66))=0</formula>
    </cfRule>
  </conditionalFormatting>
  <conditionalFormatting sqref="J67">
    <cfRule type="containsBlanks" dxfId="1353" priority="449">
      <formula>LEN(TRIM(J67))=0</formula>
    </cfRule>
  </conditionalFormatting>
  <conditionalFormatting sqref="J70">
    <cfRule type="containsBlanks" dxfId="1352" priority="448">
      <formula>LEN(TRIM(J70))=0</formula>
    </cfRule>
  </conditionalFormatting>
  <conditionalFormatting sqref="J72">
    <cfRule type="containsBlanks" dxfId="1351" priority="447">
      <formula>LEN(TRIM(J72))=0</formula>
    </cfRule>
  </conditionalFormatting>
  <conditionalFormatting sqref="J73">
    <cfRule type="containsBlanks" dxfId="1350" priority="446">
      <formula>LEN(TRIM(J73))=0</formula>
    </cfRule>
  </conditionalFormatting>
  <conditionalFormatting sqref="J74">
    <cfRule type="containsBlanks" dxfId="1349" priority="445">
      <formula>LEN(TRIM(J74))=0</formula>
    </cfRule>
  </conditionalFormatting>
  <conditionalFormatting sqref="L74:M74">
    <cfRule type="containsBlanks" dxfId="1348" priority="444">
      <formula>LEN(TRIM(L74))=0</formula>
    </cfRule>
  </conditionalFormatting>
  <conditionalFormatting sqref="J75">
    <cfRule type="containsBlanks" dxfId="1347" priority="443">
      <formula>LEN(TRIM(J75))=0</formula>
    </cfRule>
  </conditionalFormatting>
  <conditionalFormatting sqref="J76">
    <cfRule type="containsBlanks" dxfId="1346" priority="442">
      <formula>LEN(TRIM(J76))=0</formula>
    </cfRule>
  </conditionalFormatting>
  <conditionalFormatting sqref="J77">
    <cfRule type="containsBlanks" dxfId="1345" priority="441">
      <formula>LEN(TRIM(J77))=0</formula>
    </cfRule>
  </conditionalFormatting>
  <conditionalFormatting sqref="L77:M77">
    <cfRule type="containsBlanks" dxfId="1344" priority="440">
      <formula>LEN(TRIM(L77))=0</formula>
    </cfRule>
  </conditionalFormatting>
  <conditionalFormatting sqref="J80">
    <cfRule type="containsBlanks" dxfId="1343" priority="439">
      <formula>LEN(TRIM(J80))=0</formula>
    </cfRule>
  </conditionalFormatting>
  <conditionalFormatting sqref="J82">
    <cfRule type="containsBlanks" dxfId="1342" priority="438">
      <formula>LEN(TRIM(J82))=0</formula>
    </cfRule>
  </conditionalFormatting>
  <conditionalFormatting sqref="J84">
    <cfRule type="containsBlanks" dxfId="1341" priority="437">
      <formula>LEN(TRIM(J84))=0</formula>
    </cfRule>
  </conditionalFormatting>
  <conditionalFormatting sqref="J85">
    <cfRule type="containsBlanks" dxfId="1340" priority="436">
      <formula>LEN(TRIM(J85))=0</formula>
    </cfRule>
  </conditionalFormatting>
  <conditionalFormatting sqref="J86">
    <cfRule type="containsBlanks" dxfId="1339" priority="435">
      <formula>LEN(TRIM(J86))=0</formula>
    </cfRule>
  </conditionalFormatting>
  <conditionalFormatting sqref="L86:M86">
    <cfRule type="containsBlanks" dxfId="1338" priority="434">
      <formula>LEN(TRIM(L86))=0</formula>
    </cfRule>
  </conditionalFormatting>
  <conditionalFormatting sqref="J87">
    <cfRule type="containsBlanks" dxfId="1337" priority="433">
      <formula>LEN(TRIM(J87))=0</formula>
    </cfRule>
  </conditionalFormatting>
  <conditionalFormatting sqref="J88">
    <cfRule type="containsBlanks" dxfId="1336" priority="432">
      <formula>LEN(TRIM(J88))=0</formula>
    </cfRule>
  </conditionalFormatting>
  <conditionalFormatting sqref="J89">
    <cfRule type="containsBlanks" dxfId="1335" priority="431">
      <formula>LEN(TRIM(J89))=0</formula>
    </cfRule>
  </conditionalFormatting>
  <conditionalFormatting sqref="L89:M89">
    <cfRule type="containsBlanks" dxfId="1334" priority="430">
      <formula>LEN(TRIM(L89))=0</formula>
    </cfRule>
  </conditionalFormatting>
  <conditionalFormatting sqref="J90">
    <cfRule type="containsBlanks" dxfId="1333" priority="429">
      <formula>LEN(TRIM(J90))=0</formula>
    </cfRule>
  </conditionalFormatting>
  <conditionalFormatting sqref="J92">
    <cfRule type="containsBlanks" dxfId="1332" priority="428">
      <formula>LEN(TRIM(J92))=0</formula>
    </cfRule>
  </conditionalFormatting>
  <conditionalFormatting sqref="L92:M92">
    <cfRule type="containsBlanks" dxfId="1331" priority="427">
      <formula>LEN(TRIM(L92))=0</formula>
    </cfRule>
  </conditionalFormatting>
  <conditionalFormatting sqref="J93">
    <cfRule type="containsBlanks" dxfId="1330" priority="426">
      <formula>LEN(TRIM(J93))=0</formula>
    </cfRule>
  </conditionalFormatting>
  <conditionalFormatting sqref="J94">
    <cfRule type="containsBlanks" dxfId="1329" priority="425">
      <formula>LEN(TRIM(J94))=0</formula>
    </cfRule>
  </conditionalFormatting>
  <conditionalFormatting sqref="J95">
    <cfRule type="containsBlanks" dxfId="1328" priority="424">
      <formula>LEN(TRIM(J95))=0</formula>
    </cfRule>
  </conditionalFormatting>
  <conditionalFormatting sqref="J96">
    <cfRule type="containsBlanks" dxfId="1327" priority="423">
      <formula>LEN(TRIM(J96))=0</formula>
    </cfRule>
  </conditionalFormatting>
  <conditionalFormatting sqref="J97:J98">
    <cfRule type="containsBlanks" dxfId="1326" priority="422">
      <formula>LEN(TRIM(J97))=0</formula>
    </cfRule>
  </conditionalFormatting>
  <conditionalFormatting sqref="J99">
    <cfRule type="containsBlanks" dxfId="1325" priority="421">
      <formula>LEN(TRIM(J99))=0</formula>
    </cfRule>
  </conditionalFormatting>
  <conditionalFormatting sqref="J100">
    <cfRule type="containsBlanks" dxfId="1324" priority="420">
      <formula>LEN(TRIM(J100))=0</formula>
    </cfRule>
  </conditionalFormatting>
  <conditionalFormatting sqref="J101">
    <cfRule type="containsBlanks" dxfId="1323" priority="419">
      <formula>LEN(TRIM(J101))=0</formula>
    </cfRule>
  </conditionalFormatting>
  <conditionalFormatting sqref="J103">
    <cfRule type="containsBlanks" dxfId="1322" priority="418">
      <formula>LEN(TRIM(J103))=0</formula>
    </cfRule>
  </conditionalFormatting>
  <conditionalFormatting sqref="L103:M103">
    <cfRule type="containsBlanks" dxfId="1321" priority="417">
      <formula>LEN(TRIM(L103))=0</formula>
    </cfRule>
  </conditionalFormatting>
  <conditionalFormatting sqref="J104">
    <cfRule type="containsBlanks" dxfId="1320" priority="416">
      <formula>LEN(TRIM(J104))=0</formula>
    </cfRule>
  </conditionalFormatting>
  <conditionalFormatting sqref="J105">
    <cfRule type="containsBlanks" dxfId="1319" priority="415">
      <formula>LEN(TRIM(J105))=0</formula>
    </cfRule>
  </conditionalFormatting>
  <conditionalFormatting sqref="L105:M105">
    <cfRule type="containsBlanks" dxfId="1318" priority="414">
      <formula>LEN(TRIM(L105))=0</formula>
    </cfRule>
  </conditionalFormatting>
  <conditionalFormatting sqref="J106">
    <cfRule type="containsBlanks" dxfId="1317" priority="413">
      <formula>LEN(TRIM(J106))=0</formula>
    </cfRule>
  </conditionalFormatting>
  <conditionalFormatting sqref="L106:M106">
    <cfRule type="containsBlanks" dxfId="1316" priority="412">
      <formula>LEN(TRIM(L106))=0</formula>
    </cfRule>
  </conditionalFormatting>
  <conditionalFormatting sqref="J107">
    <cfRule type="containsBlanks" dxfId="1315" priority="411">
      <formula>LEN(TRIM(J107))=0</formula>
    </cfRule>
  </conditionalFormatting>
  <conditionalFormatting sqref="J108">
    <cfRule type="containsBlanks" dxfId="1314" priority="410">
      <formula>LEN(TRIM(J108))=0</formula>
    </cfRule>
  </conditionalFormatting>
  <conditionalFormatting sqref="J109">
    <cfRule type="containsBlanks" dxfId="1313" priority="409">
      <formula>LEN(TRIM(J109))=0</formula>
    </cfRule>
  </conditionalFormatting>
  <conditionalFormatting sqref="L109:M109">
    <cfRule type="containsBlanks" dxfId="1312" priority="408">
      <formula>LEN(TRIM(L109))=0</formula>
    </cfRule>
  </conditionalFormatting>
  <conditionalFormatting sqref="J110">
    <cfRule type="containsBlanks" dxfId="1311" priority="407">
      <formula>LEN(TRIM(J110))=0</formula>
    </cfRule>
  </conditionalFormatting>
  <conditionalFormatting sqref="J112">
    <cfRule type="containsBlanks" dxfId="1310" priority="406">
      <formula>LEN(TRIM(J112))=0</formula>
    </cfRule>
  </conditionalFormatting>
  <conditionalFormatting sqref="J113">
    <cfRule type="containsBlanks" dxfId="1309" priority="405">
      <formula>LEN(TRIM(J113))=0</formula>
    </cfRule>
  </conditionalFormatting>
  <conditionalFormatting sqref="L113:M113">
    <cfRule type="containsBlanks" dxfId="1308" priority="404">
      <formula>LEN(TRIM(L113))=0</formula>
    </cfRule>
  </conditionalFormatting>
  <conditionalFormatting sqref="J114">
    <cfRule type="containsBlanks" dxfId="1307" priority="403">
      <formula>LEN(TRIM(J114))=0</formula>
    </cfRule>
  </conditionalFormatting>
  <conditionalFormatting sqref="L114:M114">
    <cfRule type="containsBlanks" dxfId="1306" priority="402">
      <formula>LEN(TRIM(L114))=0</formula>
    </cfRule>
  </conditionalFormatting>
  <conditionalFormatting sqref="J115">
    <cfRule type="containsBlanks" dxfId="1305" priority="401">
      <formula>LEN(TRIM(J115))=0</formula>
    </cfRule>
  </conditionalFormatting>
  <conditionalFormatting sqref="J116">
    <cfRule type="containsBlanks" dxfId="1304" priority="400">
      <formula>LEN(TRIM(J116))=0</formula>
    </cfRule>
  </conditionalFormatting>
  <conditionalFormatting sqref="J121">
    <cfRule type="containsBlanks" dxfId="1303" priority="399">
      <formula>LEN(TRIM(J121))=0</formula>
    </cfRule>
  </conditionalFormatting>
  <conditionalFormatting sqref="L121:M121">
    <cfRule type="containsBlanks" dxfId="1302" priority="398">
      <formula>LEN(TRIM(L121))=0</formula>
    </cfRule>
  </conditionalFormatting>
  <conditionalFormatting sqref="J122">
    <cfRule type="containsBlanks" dxfId="1301" priority="397">
      <formula>LEN(TRIM(J122))=0</formula>
    </cfRule>
  </conditionalFormatting>
  <conditionalFormatting sqref="J124">
    <cfRule type="containsBlanks" dxfId="1300" priority="396">
      <formula>LEN(TRIM(J124))=0</formula>
    </cfRule>
  </conditionalFormatting>
  <conditionalFormatting sqref="J125">
    <cfRule type="containsBlanks" dxfId="1299" priority="395">
      <formula>LEN(TRIM(J125))=0</formula>
    </cfRule>
  </conditionalFormatting>
  <conditionalFormatting sqref="J127">
    <cfRule type="containsBlanks" dxfId="1298" priority="394">
      <formula>LEN(TRIM(J127))=0</formula>
    </cfRule>
  </conditionalFormatting>
  <conditionalFormatting sqref="J128">
    <cfRule type="containsBlanks" dxfId="1297" priority="393">
      <formula>LEN(TRIM(J128))=0</formula>
    </cfRule>
  </conditionalFormatting>
  <conditionalFormatting sqref="J131">
    <cfRule type="containsBlanks" dxfId="1296" priority="392">
      <formula>LEN(TRIM(J131))=0</formula>
    </cfRule>
  </conditionalFormatting>
  <conditionalFormatting sqref="J134">
    <cfRule type="containsBlanks" dxfId="1295" priority="391">
      <formula>LEN(TRIM(J134))=0</formula>
    </cfRule>
  </conditionalFormatting>
  <conditionalFormatting sqref="J136">
    <cfRule type="containsBlanks" dxfId="1294" priority="390">
      <formula>LEN(TRIM(J136))=0</formula>
    </cfRule>
  </conditionalFormatting>
  <conditionalFormatting sqref="J137">
    <cfRule type="containsBlanks" dxfId="1293" priority="389">
      <formula>LEN(TRIM(J137))=0</formula>
    </cfRule>
  </conditionalFormatting>
  <conditionalFormatting sqref="L137:M137">
    <cfRule type="containsBlanks" dxfId="1292" priority="388">
      <formula>LEN(TRIM(L137))=0</formula>
    </cfRule>
  </conditionalFormatting>
  <conditionalFormatting sqref="J139">
    <cfRule type="containsBlanks" dxfId="1291" priority="387">
      <formula>LEN(TRIM(J139))=0</formula>
    </cfRule>
  </conditionalFormatting>
  <conditionalFormatting sqref="J140">
    <cfRule type="containsBlanks" dxfId="1290" priority="386">
      <formula>LEN(TRIM(J140))=0</formula>
    </cfRule>
  </conditionalFormatting>
  <conditionalFormatting sqref="J142">
    <cfRule type="containsBlanks" dxfId="1289" priority="385">
      <formula>LEN(TRIM(J142))=0</formula>
    </cfRule>
  </conditionalFormatting>
  <conditionalFormatting sqref="J143:J144">
    <cfRule type="containsBlanks" dxfId="1288" priority="383">
      <formula>LEN(TRIM(J143))=0</formula>
    </cfRule>
  </conditionalFormatting>
  <conditionalFormatting sqref="J145">
    <cfRule type="containsBlanks" dxfId="1287" priority="382">
      <formula>LEN(TRIM(J145))=0</formula>
    </cfRule>
  </conditionalFormatting>
  <conditionalFormatting sqref="J146">
    <cfRule type="containsBlanks" dxfId="1286" priority="381">
      <formula>LEN(TRIM(J146))=0</formula>
    </cfRule>
  </conditionalFormatting>
  <conditionalFormatting sqref="J147">
    <cfRule type="containsBlanks" dxfId="1285" priority="380">
      <formula>LEN(TRIM(J147))=0</formula>
    </cfRule>
  </conditionalFormatting>
  <conditionalFormatting sqref="L147:M147">
    <cfRule type="containsBlanks" dxfId="1284" priority="379">
      <formula>LEN(TRIM(L147))=0</formula>
    </cfRule>
  </conditionalFormatting>
  <conditionalFormatting sqref="J149">
    <cfRule type="containsBlanks" dxfId="1283" priority="378">
      <formula>LEN(TRIM(J149))=0</formula>
    </cfRule>
  </conditionalFormatting>
  <conditionalFormatting sqref="J150">
    <cfRule type="containsBlanks" dxfId="1282" priority="377">
      <formula>LEN(TRIM(J150))=0</formula>
    </cfRule>
  </conditionalFormatting>
  <conditionalFormatting sqref="J151">
    <cfRule type="containsBlanks" dxfId="1281" priority="376">
      <formula>LEN(TRIM(J151))=0</formula>
    </cfRule>
  </conditionalFormatting>
  <conditionalFormatting sqref="J152">
    <cfRule type="containsBlanks" dxfId="1280" priority="375">
      <formula>LEN(TRIM(J152))=0</formula>
    </cfRule>
  </conditionalFormatting>
  <conditionalFormatting sqref="J153">
    <cfRule type="containsBlanks" dxfId="1279" priority="374">
      <formula>LEN(TRIM(J153))=0</formula>
    </cfRule>
  </conditionalFormatting>
  <conditionalFormatting sqref="J155">
    <cfRule type="containsBlanks" dxfId="1278" priority="373">
      <formula>LEN(TRIM(J155))=0</formula>
    </cfRule>
  </conditionalFormatting>
  <conditionalFormatting sqref="J156">
    <cfRule type="containsBlanks" dxfId="1277" priority="372">
      <formula>LEN(TRIM(J156))=0</formula>
    </cfRule>
  </conditionalFormatting>
  <conditionalFormatting sqref="J157">
    <cfRule type="containsBlanks" dxfId="1276" priority="371">
      <formula>LEN(TRIM(J157))=0</formula>
    </cfRule>
  </conditionalFormatting>
  <conditionalFormatting sqref="J159">
    <cfRule type="containsBlanks" dxfId="1275" priority="370">
      <formula>LEN(TRIM(J159))=0</formula>
    </cfRule>
  </conditionalFormatting>
  <conditionalFormatting sqref="L159:M159">
    <cfRule type="containsBlanks" dxfId="1274" priority="369">
      <formula>LEN(TRIM(L159))=0</formula>
    </cfRule>
  </conditionalFormatting>
  <conditionalFormatting sqref="J160">
    <cfRule type="containsBlanks" dxfId="1273" priority="368">
      <formula>LEN(TRIM(J160))=0</formula>
    </cfRule>
  </conditionalFormatting>
  <conditionalFormatting sqref="J161 J163">
    <cfRule type="containsBlanks" dxfId="1272" priority="367">
      <formula>LEN(TRIM(J161))=0</formula>
    </cfRule>
  </conditionalFormatting>
  <conditionalFormatting sqref="J164">
    <cfRule type="containsBlanks" dxfId="1271" priority="366">
      <formula>LEN(TRIM(J164))=0</formula>
    </cfRule>
  </conditionalFormatting>
  <conditionalFormatting sqref="J165">
    <cfRule type="containsBlanks" dxfId="1270" priority="365">
      <formula>LEN(TRIM(J165))=0</formula>
    </cfRule>
  </conditionalFormatting>
  <conditionalFormatting sqref="J166">
    <cfRule type="containsBlanks" dxfId="1269" priority="364">
      <formula>LEN(TRIM(J166))=0</formula>
    </cfRule>
  </conditionalFormatting>
  <conditionalFormatting sqref="J167">
    <cfRule type="containsBlanks" dxfId="1268" priority="363">
      <formula>LEN(TRIM(J167))=0</formula>
    </cfRule>
  </conditionalFormatting>
  <conditionalFormatting sqref="J168">
    <cfRule type="containsBlanks" dxfId="1267" priority="362">
      <formula>LEN(TRIM(J168))=0</formula>
    </cfRule>
  </conditionalFormatting>
  <conditionalFormatting sqref="J169">
    <cfRule type="containsBlanks" dxfId="1266" priority="361">
      <formula>LEN(TRIM(J169))=0</formula>
    </cfRule>
  </conditionalFormatting>
  <conditionalFormatting sqref="J170">
    <cfRule type="containsBlanks" dxfId="1265" priority="360">
      <formula>LEN(TRIM(J170))=0</formula>
    </cfRule>
  </conditionalFormatting>
  <conditionalFormatting sqref="J171">
    <cfRule type="containsBlanks" dxfId="1264" priority="359">
      <formula>LEN(TRIM(J171))=0</formula>
    </cfRule>
  </conditionalFormatting>
  <conditionalFormatting sqref="J172">
    <cfRule type="containsBlanks" dxfId="1263" priority="358">
      <formula>LEN(TRIM(J172))=0</formula>
    </cfRule>
  </conditionalFormatting>
  <conditionalFormatting sqref="L172:M172">
    <cfRule type="containsBlanks" dxfId="1262" priority="357">
      <formula>LEN(TRIM(L172))=0</formula>
    </cfRule>
  </conditionalFormatting>
  <conditionalFormatting sqref="J173">
    <cfRule type="containsBlanks" dxfId="1261" priority="356">
      <formula>LEN(TRIM(J173))=0</formula>
    </cfRule>
  </conditionalFormatting>
  <conditionalFormatting sqref="J174">
    <cfRule type="containsBlanks" dxfId="1260" priority="355">
      <formula>LEN(TRIM(J174))=0</formula>
    </cfRule>
  </conditionalFormatting>
  <conditionalFormatting sqref="L174:M174">
    <cfRule type="containsBlanks" dxfId="1259" priority="354">
      <formula>LEN(TRIM(L174))=0</formula>
    </cfRule>
  </conditionalFormatting>
  <conditionalFormatting sqref="J175">
    <cfRule type="containsBlanks" dxfId="1258" priority="353">
      <formula>LEN(TRIM(J175))=0</formula>
    </cfRule>
  </conditionalFormatting>
  <conditionalFormatting sqref="J176">
    <cfRule type="containsBlanks" dxfId="1257" priority="352">
      <formula>LEN(TRIM(J176))=0</formula>
    </cfRule>
  </conditionalFormatting>
  <conditionalFormatting sqref="J177">
    <cfRule type="containsBlanks" dxfId="1256" priority="351">
      <formula>LEN(TRIM(J177))=0</formula>
    </cfRule>
  </conditionalFormatting>
  <conditionalFormatting sqref="J178">
    <cfRule type="containsBlanks" dxfId="1255" priority="350">
      <formula>LEN(TRIM(J178))=0</formula>
    </cfRule>
  </conditionalFormatting>
  <conditionalFormatting sqref="J179">
    <cfRule type="containsBlanks" dxfId="1254" priority="349">
      <formula>LEN(TRIM(J179))=0</formula>
    </cfRule>
  </conditionalFormatting>
  <conditionalFormatting sqref="J180">
    <cfRule type="containsBlanks" dxfId="1253" priority="348">
      <formula>LEN(TRIM(J180))=0</formula>
    </cfRule>
  </conditionalFormatting>
  <conditionalFormatting sqref="J181">
    <cfRule type="containsBlanks" dxfId="1252" priority="347">
      <formula>LEN(TRIM(J181))=0</formula>
    </cfRule>
  </conditionalFormatting>
  <conditionalFormatting sqref="J182">
    <cfRule type="containsBlanks" dxfId="1251" priority="346">
      <formula>LEN(TRIM(J182))=0</formula>
    </cfRule>
  </conditionalFormatting>
  <conditionalFormatting sqref="J186">
    <cfRule type="containsBlanks" dxfId="1250" priority="344">
      <formula>LEN(TRIM(J186))=0</formula>
    </cfRule>
  </conditionalFormatting>
  <conditionalFormatting sqref="J187">
    <cfRule type="containsBlanks" dxfId="1249" priority="343">
      <formula>LEN(TRIM(J187))=0</formula>
    </cfRule>
  </conditionalFormatting>
  <conditionalFormatting sqref="J188">
    <cfRule type="containsBlanks" dxfId="1248" priority="342">
      <formula>LEN(TRIM(J188))=0</formula>
    </cfRule>
  </conditionalFormatting>
  <conditionalFormatting sqref="J190">
    <cfRule type="containsBlanks" dxfId="1247" priority="341">
      <formula>LEN(TRIM(J190))=0</formula>
    </cfRule>
  </conditionalFormatting>
  <conditionalFormatting sqref="J191">
    <cfRule type="containsBlanks" dxfId="1246" priority="340">
      <formula>LEN(TRIM(J191))=0</formula>
    </cfRule>
  </conditionalFormatting>
  <conditionalFormatting sqref="J192">
    <cfRule type="containsBlanks" dxfId="1245" priority="339">
      <formula>LEN(TRIM(J192))=0</formula>
    </cfRule>
  </conditionalFormatting>
  <conditionalFormatting sqref="J193">
    <cfRule type="containsBlanks" dxfId="1244" priority="338">
      <formula>LEN(TRIM(J193))=0</formula>
    </cfRule>
  </conditionalFormatting>
  <conditionalFormatting sqref="J194">
    <cfRule type="containsBlanks" dxfId="1243" priority="337">
      <formula>LEN(TRIM(J194))=0</formula>
    </cfRule>
  </conditionalFormatting>
  <conditionalFormatting sqref="J195">
    <cfRule type="containsBlanks" dxfId="1242" priority="336">
      <formula>LEN(TRIM(J195))=0</formula>
    </cfRule>
  </conditionalFormatting>
  <conditionalFormatting sqref="J197">
    <cfRule type="containsBlanks" dxfId="1241" priority="335">
      <formula>LEN(TRIM(J197))=0</formula>
    </cfRule>
  </conditionalFormatting>
  <conditionalFormatting sqref="J198">
    <cfRule type="containsBlanks" dxfId="1240" priority="334">
      <formula>LEN(TRIM(J198))=0</formula>
    </cfRule>
  </conditionalFormatting>
  <conditionalFormatting sqref="J199">
    <cfRule type="containsBlanks" dxfId="1239" priority="333">
      <formula>LEN(TRIM(J199))=0</formula>
    </cfRule>
  </conditionalFormatting>
  <conditionalFormatting sqref="J202">
    <cfRule type="containsBlanks" dxfId="1238" priority="331">
      <formula>LEN(TRIM(J202))=0</formula>
    </cfRule>
  </conditionalFormatting>
  <conditionalFormatting sqref="J203">
    <cfRule type="containsBlanks" dxfId="1237" priority="330">
      <formula>LEN(TRIM(J203))=0</formula>
    </cfRule>
  </conditionalFormatting>
  <conditionalFormatting sqref="J204">
    <cfRule type="containsBlanks" dxfId="1236" priority="329">
      <formula>LEN(TRIM(J204))=0</formula>
    </cfRule>
  </conditionalFormatting>
  <conditionalFormatting sqref="J205">
    <cfRule type="containsBlanks" dxfId="1235" priority="328">
      <formula>LEN(TRIM(J205))=0</formula>
    </cfRule>
  </conditionalFormatting>
  <conditionalFormatting sqref="K204:K206">
    <cfRule type="containsText" dxfId="1234" priority="327" operator="containsText" text="PENDING">
      <formula>NOT(ISERROR(SEARCH("PENDING",K204)))</formula>
    </cfRule>
  </conditionalFormatting>
  <conditionalFormatting sqref="J206">
    <cfRule type="containsBlanks" dxfId="1233" priority="326">
      <formula>LEN(TRIM(J206))=0</formula>
    </cfRule>
  </conditionalFormatting>
  <conditionalFormatting sqref="J207">
    <cfRule type="containsBlanks" dxfId="1232" priority="325">
      <formula>LEN(TRIM(J207))=0</formula>
    </cfRule>
  </conditionalFormatting>
  <conditionalFormatting sqref="J208">
    <cfRule type="containsBlanks" dxfId="1231" priority="324">
      <formula>LEN(TRIM(J208))=0</formula>
    </cfRule>
  </conditionalFormatting>
  <conditionalFormatting sqref="J209">
    <cfRule type="containsBlanks" dxfId="1230" priority="323">
      <formula>LEN(TRIM(J209))=0</formula>
    </cfRule>
  </conditionalFormatting>
  <conditionalFormatting sqref="J210">
    <cfRule type="containsBlanks" dxfId="1229" priority="322">
      <formula>LEN(TRIM(J210))=0</formula>
    </cfRule>
  </conditionalFormatting>
  <conditionalFormatting sqref="J211">
    <cfRule type="containsBlanks" dxfId="1228" priority="321">
      <formula>LEN(TRIM(J211))=0</formula>
    </cfRule>
  </conditionalFormatting>
  <conditionalFormatting sqref="J212">
    <cfRule type="containsBlanks" dxfId="1227" priority="320">
      <formula>LEN(TRIM(J212))=0</formula>
    </cfRule>
  </conditionalFormatting>
  <conditionalFormatting sqref="L212:M212">
    <cfRule type="containsBlanks" dxfId="1226" priority="319">
      <formula>LEN(TRIM(L212))=0</formula>
    </cfRule>
  </conditionalFormatting>
  <conditionalFormatting sqref="J213">
    <cfRule type="containsBlanks" dxfId="1225" priority="318">
      <formula>LEN(TRIM(J213))=0</formula>
    </cfRule>
  </conditionalFormatting>
  <conditionalFormatting sqref="J214">
    <cfRule type="containsBlanks" dxfId="1224" priority="317">
      <formula>LEN(TRIM(J214))=0</formula>
    </cfRule>
  </conditionalFormatting>
  <conditionalFormatting sqref="L214:M214">
    <cfRule type="containsBlanks" dxfId="1223" priority="316">
      <formula>LEN(TRIM(L214))=0</formula>
    </cfRule>
  </conditionalFormatting>
  <conditionalFormatting sqref="J215">
    <cfRule type="containsBlanks" dxfId="1222" priority="315">
      <formula>LEN(TRIM(J215))=0</formula>
    </cfRule>
  </conditionalFormatting>
  <conditionalFormatting sqref="J216">
    <cfRule type="containsBlanks" dxfId="1221" priority="314">
      <formula>LEN(TRIM(J216))=0</formula>
    </cfRule>
  </conditionalFormatting>
  <conditionalFormatting sqref="J217">
    <cfRule type="containsBlanks" dxfId="1220" priority="313">
      <formula>LEN(TRIM(J217))=0</formula>
    </cfRule>
  </conditionalFormatting>
  <conditionalFormatting sqref="J218">
    <cfRule type="containsBlanks" dxfId="1219" priority="312">
      <formula>LEN(TRIM(J218))=0</formula>
    </cfRule>
  </conditionalFormatting>
  <conditionalFormatting sqref="J219:J220">
    <cfRule type="containsBlanks" dxfId="1218" priority="311">
      <formula>LEN(TRIM(J219))=0</formula>
    </cfRule>
  </conditionalFormatting>
  <conditionalFormatting sqref="L219:M219">
    <cfRule type="containsBlanks" dxfId="1217" priority="310">
      <formula>LEN(TRIM(L219))=0</formula>
    </cfRule>
  </conditionalFormatting>
  <conditionalFormatting sqref="L220:M220">
    <cfRule type="containsBlanks" dxfId="1216" priority="308">
      <formula>LEN(TRIM(L220))=0</formula>
    </cfRule>
  </conditionalFormatting>
  <conditionalFormatting sqref="J221">
    <cfRule type="containsBlanks" dxfId="1215" priority="307">
      <formula>LEN(TRIM(J221))=0</formula>
    </cfRule>
  </conditionalFormatting>
  <conditionalFormatting sqref="J222">
    <cfRule type="containsBlanks" dxfId="1214" priority="306">
      <formula>LEN(TRIM(J222))=0</formula>
    </cfRule>
  </conditionalFormatting>
  <conditionalFormatting sqref="J223">
    <cfRule type="containsBlanks" dxfId="1213" priority="305">
      <formula>LEN(TRIM(J223))=0</formula>
    </cfRule>
  </conditionalFormatting>
  <conditionalFormatting sqref="J226">
    <cfRule type="containsBlanks" dxfId="1212" priority="304">
      <formula>LEN(TRIM(J226))=0</formula>
    </cfRule>
  </conditionalFormatting>
  <conditionalFormatting sqref="J227">
    <cfRule type="containsBlanks" dxfId="1211" priority="303">
      <formula>LEN(TRIM(J227))=0</formula>
    </cfRule>
  </conditionalFormatting>
  <conditionalFormatting sqref="J228">
    <cfRule type="containsBlanks" dxfId="1210" priority="302">
      <formula>LEN(TRIM(J228))=0</formula>
    </cfRule>
  </conditionalFormatting>
  <conditionalFormatting sqref="J229">
    <cfRule type="containsText" dxfId="1209" priority="301" operator="containsText" text="PENDING">
      <formula>NOT(ISERROR(SEARCH("PENDING",J229)))</formula>
    </cfRule>
  </conditionalFormatting>
  <conditionalFormatting sqref="J230">
    <cfRule type="containsBlanks" dxfId="1208" priority="300">
      <formula>LEN(TRIM(J230))=0</formula>
    </cfRule>
  </conditionalFormatting>
  <conditionalFormatting sqref="J231">
    <cfRule type="containsBlanks" dxfId="1207" priority="299">
      <formula>LEN(TRIM(J231))=0</formula>
    </cfRule>
  </conditionalFormatting>
  <conditionalFormatting sqref="J233">
    <cfRule type="containsBlanks" dxfId="1206" priority="298">
      <formula>LEN(TRIM(J233))=0</formula>
    </cfRule>
  </conditionalFormatting>
  <conditionalFormatting sqref="J236">
    <cfRule type="containsBlanks" dxfId="1205" priority="297">
      <formula>LEN(TRIM(J236))=0</formula>
    </cfRule>
  </conditionalFormatting>
  <conditionalFormatting sqref="L236:M236">
    <cfRule type="containsBlanks" dxfId="1204" priority="296">
      <formula>LEN(TRIM(L236))=0</formula>
    </cfRule>
  </conditionalFormatting>
  <conditionalFormatting sqref="J238">
    <cfRule type="containsBlanks" dxfId="1203" priority="295">
      <formula>LEN(TRIM(J238))=0</formula>
    </cfRule>
  </conditionalFormatting>
  <conditionalFormatting sqref="J239">
    <cfRule type="containsBlanks" dxfId="1202" priority="294">
      <formula>LEN(TRIM(J239))=0</formula>
    </cfRule>
  </conditionalFormatting>
  <conditionalFormatting sqref="J240">
    <cfRule type="containsBlanks" dxfId="1201" priority="293">
      <formula>LEN(TRIM(J240))=0</formula>
    </cfRule>
  </conditionalFormatting>
  <conditionalFormatting sqref="J242">
    <cfRule type="containsBlanks" dxfId="1200" priority="292">
      <formula>LEN(TRIM(J242))=0</formula>
    </cfRule>
  </conditionalFormatting>
  <conditionalFormatting sqref="J243">
    <cfRule type="containsBlanks" dxfId="1199" priority="291">
      <formula>LEN(TRIM(J243))=0</formula>
    </cfRule>
  </conditionalFormatting>
  <conditionalFormatting sqref="J244">
    <cfRule type="containsBlanks" dxfId="1198" priority="290">
      <formula>LEN(TRIM(J244))=0</formula>
    </cfRule>
  </conditionalFormatting>
  <conditionalFormatting sqref="J247">
    <cfRule type="containsBlanks" dxfId="1197" priority="288">
      <formula>LEN(TRIM(J247))=0</formula>
    </cfRule>
  </conditionalFormatting>
  <conditionalFormatting sqref="J264">
    <cfRule type="containsBlanks" dxfId="1196" priority="276">
      <formula>LEN(TRIM(J264))=0</formula>
    </cfRule>
  </conditionalFormatting>
  <conditionalFormatting sqref="J248">
    <cfRule type="containsBlanks" dxfId="1195" priority="287">
      <formula>LEN(TRIM(J248))=0</formula>
    </cfRule>
  </conditionalFormatting>
  <conditionalFormatting sqref="J252">
    <cfRule type="containsBlanks" dxfId="1194" priority="286">
      <formula>LEN(TRIM(J252))=0</formula>
    </cfRule>
  </conditionalFormatting>
  <conditionalFormatting sqref="J253">
    <cfRule type="containsBlanks" dxfId="1193" priority="285">
      <formula>LEN(TRIM(J253))=0</formula>
    </cfRule>
  </conditionalFormatting>
  <conditionalFormatting sqref="J254">
    <cfRule type="containsBlanks" dxfId="1192" priority="284">
      <formula>LEN(TRIM(J254))=0</formula>
    </cfRule>
  </conditionalFormatting>
  <conditionalFormatting sqref="J255">
    <cfRule type="containsBlanks" dxfId="1191" priority="283">
      <formula>LEN(TRIM(J255))=0</formula>
    </cfRule>
  </conditionalFormatting>
  <conditionalFormatting sqref="J257">
    <cfRule type="containsBlanks" dxfId="1190" priority="282">
      <formula>LEN(TRIM(J257))=0</formula>
    </cfRule>
  </conditionalFormatting>
  <conditionalFormatting sqref="J258">
    <cfRule type="containsBlanks" dxfId="1189" priority="281">
      <formula>LEN(TRIM(J258))=0</formula>
    </cfRule>
  </conditionalFormatting>
  <conditionalFormatting sqref="J259">
    <cfRule type="containsBlanks" dxfId="1188" priority="280">
      <formula>LEN(TRIM(J259))=0</formula>
    </cfRule>
  </conditionalFormatting>
  <conditionalFormatting sqref="J261">
    <cfRule type="containsBlanks" dxfId="1187" priority="279">
      <formula>LEN(TRIM(J261))=0</formula>
    </cfRule>
  </conditionalFormatting>
  <conditionalFormatting sqref="J262">
    <cfRule type="containsBlanks" dxfId="1186" priority="278">
      <formula>LEN(TRIM(J262))=0</formula>
    </cfRule>
  </conditionalFormatting>
  <conditionalFormatting sqref="J263:J265">
    <cfRule type="containsBlanks" dxfId="1185" priority="277">
      <formula>LEN(TRIM(J263))=0</formula>
    </cfRule>
  </conditionalFormatting>
  <conditionalFormatting sqref="K264:K267">
    <cfRule type="containsText" dxfId="1184" priority="275" operator="containsText" text="PENDING">
      <formula>NOT(ISERROR(SEARCH("PENDING",K264)))</formula>
    </cfRule>
  </conditionalFormatting>
  <conditionalFormatting sqref="J266">
    <cfRule type="containsBlanks" dxfId="1183" priority="274">
      <formula>LEN(TRIM(J266))=0</formula>
    </cfRule>
  </conditionalFormatting>
  <conditionalFormatting sqref="J267">
    <cfRule type="containsBlanks" dxfId="1182" priority="273">
      <formula>LEN(TRIM(J267))=0</formula>
    </cfRule>
  </conditionalFormatting>
  <conditionalFormatting sqref="J268">
    <cfRule type="containsBlanks" dxfId="1181" priority="272">
      <formula>LEN(TRIM(J268))=0</formula>
    </cfRule>
  </conditionalFormatting>
  <conditionalFormatting sqref="K268">
    <cfRule type="containsText" dxfId="1180" priority="271" operator="containsText" text="PENDING">
      <formula>NOT(ISERROR(SEARCH("PENDING",K268)))</formula>
    </cfRule>
  </conditionalFormatting>
  <conditionalFormatting sqref="L268:M268">
    <cfRule type="containsBlanks" dxfId="1179" priority="270">
      <formula>LEN(TRIM(L268))=0</formula>
    </cfRule>
  </conditionalFormatting>
  <conditionalFormatting sqref="J270">
    <cfRule type="containsBlanks" dxfId="1178" priority="269">
      <formula>LEN(TRIM(J270))=0</formula>
    </cfRule>
  </conditionalFormatting>
  <conditionalFormatting sqref="J271">
    <cfRule type="containsBlanks" dxfId="1177" priority="268">
      <formula>LEN(TRIM(J271))=0</formula>
    </cfRule>
  </conditionalFormatting>
  <conditionalFormatting sqref="J272">
    <cfRule type="containsBlanks" dxfId="1176" priority="267">
      <formula>LEN(TRIM(J272))=0</formula>
    </cfRule>
  </conditionalFormatting>
  <conditionalFormatting sqref="J273">
    <cfRule type="containsBlanks" dxfId="1175" priority="266">
      <formula>LEN(TRIM(J273))=0</formula>
    </cfRule>
  </conditionalFormatting>
  <conditionalFormatting sqref="J275">
    <cfRule type="containsBlanks" dxfId="1174" priority="265">
      <formula>LEN(TRIM(J275))=0</formula>
    </cfRule>
  </conditionalFormatting>
  <conditionalFormatting sqref="J276">
    <cfRule type="containsBlanks" dxfId="1173" priority="264">
      <formula>LEN(TRIM(J276))=0</formula>
    </cfRule>
  </conditionalFormatting>
  <conditionalFormatting sqref="J277">
    <cfRule type="containsBlanks" dxfId="1172" priority="263">
      <formula>LEN(TRIM(J277))=0</formula>
    </cfRule>
  </conditionalFormatting>
  <conditionalFormatting sqref="J278">
    <cfRule type="containsBlanks" dxfId="1171" priority="262">
      <formula>LEN(TRIM(J278))=0</formula>
    </cfRule>
  </conditionalFormatting>
  <conditionalFormatting sqref="J279">
    <cfRule type="containsBlanks" dxfId="1170" priority="261">
      <formula>LEN(TRIM(J279))=0</formula>
    </cfRule>
  </conditionalFormatting>
  <conditionalFormatting sqref="J280">
    <cfRule type="containsBlanks" dxfId="1169" priority="260">
      <formula>LEN(TRIM(J280))=0</formula>
    </cfRule>
  </conditionalFormatting>
  <conditionalFormatting sqref="J281">
    <cfRule type="containsBlanks" dxfId="1168" priority="259">
      <formula>LEN(TRIM(J281))=0</formula>
    </cfRule>
  </conditionalFormatting>
  <conditionalFormatting sqref="J283">
    <cfRule type="containsBlanks" dxfId="1167" priority="258">
      <formula>LEN(TRIM(J283))=0</formula>
    </cfRule>
  </conditionalFormatting>
  <conditionalFormatting sqref="J286">
    <cfRule type="containsBlanks" dxfId="1166" priority="256">
      <formula>LEN(TRIM(J286))=0</formula>
    </cfRule>
  </conditionalFormatting>
  <conditionalFormatting sqref="J287">
    <cfRule type="containsBlanks" dxfId="1165" priority="255">
      <formula>LEN(TRIM(J287))=0</formula>
    </cfRule>
  </conditionalFormatting>
  <conditionalFormatting sqref="J288">
    <cfRule type="containsBlanks" dxfId="1164" priority="253">
      <formula>LEN(TRIM(J288))=0</formula>
    </cfRule>
  </conditionalFormatting>
  <conditionalFormatting sqref="J292">
    <cfRule type="containsBlanks" dxfId="1163" priority="251">
      <formula>LEN(TRIM(J292))=0</formula>
    </cfRule>
  </conditionalFormatting>
  <conditionalFormatting sqref="J295:J296">
    <cfRule type="containsBlanks" dxfId="1162" priority="250">
      <formula>LEN(TRIM(J295))=0</formula>
    </cfRule>
  </conditionalFormatting>
  <conditionalFormatting sqref="J297">
    <cfRule type="containsBlanks" dxfId="1161" priority="249">
      <formula>LEN(TRIM(J297))=0</formula>
    </cfRule>
  </conditionalFormatting>
  <conditionalFormatting sqref="J298">
    <cfRule type="containsBlanks" dxfId="1160" priority="248">
      <formula>LEN(TRIM(J298))=0</formula>
    </cfRule>
  </conditionalFormatting>
  <conditionalFormatting sqref="J300">
    <cfRule type="containsBlanks" dxfId="1159" priority="247">
      <formula>LEN(TRIM(J300))=0</formula>
    </cfRule>
  </conditionalFormatting>
  <conditionalFormatting sqref="J301">
    <cfRule type="containsBlanks" dxfId="1158" priority="246">
      <formula>LEN(TRIM(J301))=0</formula>
    </cfRule>
  </conditionalFormatting>
  <conditionalFormatting sqref="J306">
    <cfRule type="containsBlanks" dxfId="1157" priority="243">
      <formula>LEN(TRIM(J306))=0</formula>
    </cfRule>
  </conditionalFormatting>
  <conditionalFormatting sqref="J307">
    <cfRule type="containsBlanks" dxfId="1156" priority="242">
      <formula>LEN(TRIM(J307))=0</formula>
    </cfRule>
  </conditionalFormatting>
  <conditionalFormatting sqref="J308">
    <cfRule type="containsBlanks" dxfId="1155" priority="241">
      <formula>LEN(TRIM(J308))=0</formula>
    </cfRule>
  </conditionalFormatting>
  <conditionalFormatting sqref="J309">
    <cfRule type="containsBlanks" dxfId="1154" priority="240">
      <formula>LEN(TRIM(J309))=0</formula>
    </cfRule>
  </conditionalFormatting>
  <conditionalFormatting sqref="J310">
    <cfRule type="containsBlanks" dxfId="1153" priority="239">
      <formula>LEN(TRIM(J310))=0</formula>
    </cfRule>
  </conditionalFormatting>
  <conditionalFormatting sqref="J313">
    <cfRule type="containsBlanks" dxfId="1152" priority="238">
      <formula>LEN(TRIM(J313))=0</formula>
    </cfRule>
  </conditionalFormatting>
  <conditionalFormatting sqref="J315">
    <cfRule type="containsBlanks" dxfId="1151" priority="236">
      <formula>LEN(TRIM(J315))=0</formula>
    </cfRule>
  </conditionalFormatting>
  <conditionalFormatting sqref="J316">
    <cfRule type="containsBlanks" dxfId="1150" priority="235">
      <formula>LEN(TRIM(J316))=0</formula>
    </cfRule>
  </conditionalFormatting>
  <conditionalFormatting sqref="J322">
    <cfRule type="containsBlanks" dxfId="1149" priority="234">
      <formula>LEN(TRIM(J322))=0</formula>
    </cfRule>
  </conditionalFormatting>
  <conditionalFormatting sqref="J324">
    <cfRule type="containsBlanks" dxfId="1148" priority="233">
      <formula>LEN(TRIM(J324))=0</formula>
    </cfRule>
  </conditionalFormatting>
  <conditionalFormatting sqref="J325">
    <cfRule type="containsBlanks" dxfId="1147" priority="232">
      <formula>LEN(TRIM(J325))=0</formula>
    </cfRule>
  </conditionalFormatting>
  <conditionalFormatting sqref="J330">
    <cfRule type="containsBlanks" dxfId="1146" priority="231">
      <formula>LEN(TRIM(J330))=0</formula>
    </cfRule>
  </conditionalFormatting>
  <conditionalFormatting sqref="J331">
    <cfRule type="containsBlanks" dxfId="1145" priority="230">
      <formula>LEN(TRIM(J331))=0</formula>
    </cfRule>
  </conditionalFormatting>
  <conditionalFormatting sqref="J332">
    <cfRule type="containsBlanks" dxfId="1144" priority="229">
      <formula>LEN(TRIM(J332))=0</formula>
    </cfRule>
  </conditionalFormatting>
  <conditionalFormatting sqref="J333">
    <cfRule type="containsBlanks" dxfId="1143" priority="228">
      <formula>LEN(TRIM(J333))=0</formula>
    </cfRule>
  </conditionalFormatting>
  <conditionalFormatting sqref="J334">
    <cfRule type="containsBlanks" dxfId="1142" priority="227">
      <formula>LEN(TRIM(J334))=0</formula>
    </cfRule>
  </conditionalFormatting>
  <conditionalFormatting sqref="J335:J337">
    <cfRule type="containsBlanks" dxfId="1141" priority="226">
      <formula>LEN(TRIM(J335))=0</formula>
    </cfRule>
  </conditionalFormatting>
  <conditionalFormatting sqref="L339:M339">
    <cfRule type="containsBlanks" dxfId="1140" priority="225">
      <formula>LEN(TRIM(L339))=0</formula>
    </cfRule>
  </conditionalFormatting>
  <conditionalFormatting sqref="J338:J339">
    <cfRule type="containsBlanks" dxfId="1139" priority="224">
      <formula>LEN(TRIM(J338))=0</formula>
    </cfRule>
  </conditionalFormatting>
  <conditionalFormatting sqref="J341">
    <cfRule type="containsBlanks" dxfId="1138" priority="222">
      <formula>LEN(TRIM(J341))=0</formula>
    </cfRule>
  </conditionalFormatting>
  <conditionalFormatting sqref="J342">
    <cfRule type="containsBlanks" dxfId="1137" priority="221">
      <formula>LEN(TRIM(J342))=0</formula>
    </cfRule>
  </conditionalFormatting>
  <conditionalFormatting sqref="J343">
    <cfRule type="containsBlanks" dxfId="1136" priority="220">
      <formula>LEN(TRIM(J343))=0</formula>
    </cfRule>
  </conditionalFormatting>
  <conditionalFormatting sqref="J344">
    <cfRule type="containsBlanks" dxfId="1135" priority="219">
      <formula>LEN(TRIM(J344))=0</formula>
    </cfRule>
  </conditionalFormatting>
  <conditionalFormatting sqref="J345">
    <cfRule type="containsBlanks" dxfId="1134" priority="218">
      <formula>LEN(TRIM(J345))=0</formula>
    </cfRule>
  </conditionalFormatting>
  <conditionalFormatting sqref="J348">
    <cfRule type="containsBlanks" dxfId="1133" priority="216">
      <formula>LEN(TRIM(J348))=0</formula>
    </cfRule>
  </conditionalFormatting>
  <conditionalFormatting sqref="J350">
    <cfRule type="containsBlanks" dxfId="1132" priority="215">
      <formula>LEN(TRIM(J350))=0</formula>
    </cfRule>
  </conditionalFormatting>
  <conditionalFormatting sqref="J352">
    <cfRule type="containsBlanks" dxfId="1131" priority="214">
      <formula>LEN(TRIM(J352))=0</formula>
    </cfRule>
  </conditionalFormatting>
  <conditionalFormatting sqref="J353">
    <cfRule type="containsBlanks" dxfId="1130" priority="213">
      <formula>LEN(TRIM(J353))=0</formula>
    </cfRule>
  </conditionalFormatting>
  <conditionalFormatting sqref="J354">
    <cfRule type="containsBlanks" dxfId="1129" priority="212">
      <formula>LEN(TRIM(J354))=0</formula>
    </cfRule>
  </conditionalFormatting>
  <conditionalFormatting sqref="J355">
    <cfRule type="containsBlanks" dxfId="1128" priority="211">
      <formula>LEN(TRIM(J355))=0</formula>
    </cfRule>
  </conditionalFormatting>
  <conditionalFormatting sqref="J356">
    <cfRule type="containsBlanks" dxfId="1127" priority="210">
      <formula>LEN(TRIM(J356))=0</formula>
    </cfRule>
  </conditionalFormatting>
  <conditionalFormatting sqref="J360">
    <cfRule type="containsBlanks" dxfId="1126" priority="207">
      <formula>LEN(TRIM(J360))=0</formula>
    </cfRule>
  </conditionalFormatting>
  <conditionalFormatting sqref="J357">
    <cfRule type="containsBlanks" dxfId="1125" priority="209">
      <formula>LEN(TRIM(J357))=0</formula>
    </cfRule>
  </conditionalFormatting>
  <conditionalFormatting sqref="J359">
    <cfRule type="containsBlanks" dxfId="1124" priority="208">
      <formula>LEN(TRIM(J359))=0</formula>
    </cfRule>
  </conditionalFormatting>
  <conditionalFormatting sqref="J367">
    <cfRule type="containsBlanks" dxfId="1123" priority="206">
      <formula>LEN(TRIM(J367))=0</formula>
    </cfRule>
  </conditionalFormatting>
  <conditionalFormatting sqref="J369">
    <cfRule type="containsBlanks" dxfId="1122" priority="205">
      <formula>LEN(TRIM(J369))=0</formula>
    </cfRule>
  </conditionalFormatting>
  <conditionalFormatting sqref="J370">
    <cfRule type="containsBlanks" dxfId="1121" priority="204">
      <formula>LEN(TRIM(J370))=0</formula>
    </cfRule>
  </conditionalFormatting>
  <conditionalFormatting sqref="J371">
    <cfRule type="containsBlanks" dxfId="1120" priority="203">
      <formula>LEN(TRIM(J371))=0</formula>
    </cfRule>
  </conditionalFormatting>
  <conditionalFormatting sqref="J372">
    <cfRule type="containsBlanks" dxfId="1119" priority="202">
      <formula>LEN(TRIM(J372))=0</formula>
    </cfRule>
  </conditionalFormatting>
  <conditionalFormatting sqref="J373">
    <cfRule type="containsBlanks" dxfId="1118" priority="201">
      <formula>LEN(TRIM(J373))=0</formula>
    </cfRule>
  </conditionalFormatting>
  <conditionalFormatting sqref="J374">
    <cfRule type="containsBlanks" dxfId="1117" priority="200">
      <formula>LEN(TRIM(J374))=0</formula>
    </cfRule>
  </conditionalFormatting>
  <conditionalFormatting sqref="J378">
    <cfRule type="containsBlanks" dxfId="1116" priority="199">
      <formula>LEN(TRIM(J378))=0</formula>
    </cfRule>
  </conditionalFormatting>
  <conditionalFormatting sqref="J379">
    <cfRule type="containsBlanks" dxfId="1115" priority="198">
      <formula>LEN(TRIM(J379))=0</formula>
    </cfRule>
  </conditionalFormatting>
  <conditionalFormatting sqref="J381">
    <cfRule type="containsBlanks" dxfId="1114" priority="197">
      <formula>LEN(TRIM(J381))=0</formula>
    </cfRule>
  </conditionalFormatting>
  <conditionalFormatting sqref="J382">
    <cfRule type="containsBlanks" dxfId="1113" priority="196">
      <formula>LEN(TRIM(J382))=0</formula>
    </cfRule>
  </conditionalFormatting>
  <conditionalFormatting sqref="J385">
    <cfRule type="containsBlanks" dxfId="1112" priority="195">
      <formula>LEN(TRIM(J385))=0</formula>
    </cfRule>
  </conditionalFormatting>
  <conditionalFormatting sqref="J390">
    <cfRule type="containsBlanks" dxfId="1111" priority="192">
      <formula>LEN(TRIM(J390))=0</formula>
    </cfRule>
  </conditionalFormatting>
  <conditionalFormatting sqref="J391:J392">
    <cfRule type="containsBlanks" dxfId="1110" priority="191">
      <formula>LEN(TRIM(J391))=0</formula>
    </cfRule>
  </conditionalFormatting>
  <conditionalFormatting sqref="J394">
    <cfRule type="containsBlanks" dxfId="1109" priority="189">
      <formula>LEN(TRIM(J394))=0</formula>
    </cfRule>
  </conditionalFormatting>
  <conditionalFormatting sqref="J395">
    <cfRule type="containsBlanks" dxfId="1108" priority="188">
      <formula>LEN(TRIM(J395))=0</formula>
    </cfRule>
  </conditionalFormatting>
  <conditionalFormatting sqref="J398">
    <cfRule type="containsBlanks" dxfId="1107" priority="187">
      <formula>LEN(TRIM(J398))=0</formula>
    </cfRule>
  </conditionalFormatting>
  <conditionalFormatting sqref="J399">
    <cfRule type="containsBlanks" dxfId="1106" priority="186">
      <formula>LEN(TRIM(J399))=0</formula>
    </cfRule>
  </conditionalFormatting>
  <conditionalFormatting sqref="J400">
    <cfRule type="containsBlanks" dxfId="1105" priority="185">
      <formula>LEN(TRIM(J400))=0</formula>
    </cfRule>
  </conditionalFormatting>
  <conditionalFormatting sqref="J402">
    <cfRule type="containsBlanks" dxfId="1104" priority="184">
      <formula>LEN(TRIM(J402))=0</formula>
    </cfRule>
  </conditionalFormatting>
  <conditionalFormatting sqref="J404">
    <cfRule type="containsBlanks" dxfId="1103" priority="183">
      <formula>LEN(TRIM(J404))=0</formula>
    </cfRule>
  </conditionalFormatting>
  <conditionalFormatting sqref="J405">
    <cfRule type="containsBlanks" dxfId="1102" priority="182">
      <formula>LEN(TRIM(J405))=0</formula>
    </cfRule>
  </conditionalFormatting>
  <conditionalFormatting sqref="J406">
    <cfRule type="containsBlanks" dxfId="1101" priority="181">
      <formula>LEN(TRIM(J406))=0</formula>
    </cfRule>
  </conditionalFormatting>
  <conditionalFormatting sqref="J407">
    <cfRule type="containsBlanks" dxfId="1100" priority="180">
      <formula>LEN(TRIM(J407))=0</formula>
    </cfRule>
  </conditionalFormatting>
  <conditionalFormatting sqref="J408">
    <cfRule type="containsBlanks" dxfId="1099" priority="179">
      <formula>LEN(TRIM(J408))=0</formula>
    </cfRule>
  </conditionalFormatting>
  <conditionalFormatting sqref="J409">
    <cfRule type="containsBlanks" dxfId="1098" priority="178">
      <formula>LEN(TRIM(J409))=0</formula>
    </cfRule>
  </conditionalFormatting>
  <conditionalFormatting sqref="J410">
    <cfRule type="containsBlanks" dxfId="1097" priority="177">
      <formula>LEN(TRIM(J410))=0</formula>
    </cfRule>
  </conditionalFormatting>
  <conditionalFormatting sqref="J411">
    <cfRule type="containsBlanks" dxfId="1096" priority="176">
      <formula>LEN(TRIM(J411))=0</formula>
    </cfRule>
  </conditionalFormatting>
  <conditionalFormatting sqref="J412">
    <cfRule type="containsBlanks" dxfId="1095" priority="175">
      <formula>LEN(TRIM(J412))=0</formula>
    </cfRule>
  </conditionalFormatting>
  <conditionalFormatting sqref="J416:J417">
    <cfRule type="containsBlanks" dxfId="1094" priority="174">
      <formula>LEN(TRIM(J416))=0</formula>
    </cfRule>
  </conditionalFormatting>
  <conditionalFormatting sqref="J419">
    <cfRule type="containsBlanks" dxfId="1093" priority="172">
      <formula>LEN(TRIM(J419))=0</formula>
    </cfRule>
  </conditionalFormatting>
  <conditionalFormatting sqref="J424">
    <cfRule type="containsBlanks" dxfId="1092" priority="169">
      <formula>LEN(TRIM(J424))=0</formula>
    </cfRule>
  </conditionalFormatting>
  <conditionalFormatting sqref="J425">
    <cfRule type="containsBlanks" dxfId="1091" priority="168">
      <formula>LEN(TRIM(J425))=0</formula>
    </cfRule>
  </conditionalFormatting>
  <conditionalFormatting sqref="J426">
    <cfRule type="containsBlanks" dxfId="1090" priority="167">
      <formula>LEN(TRIM(J426))=0</formula>
    </cfRule>
  </conditionalFormatting>
  <conditionalFormatting sqref="J428">
    <cfRule type="containsBlanks" dxfId="1089" priority="166">
      <formula>LEN(TRIM(J428))=0</formula>
    </cfRule>
  </conditionalFormatting>
  <conditionalFormatting sqref="J429">
    <cfRule type="containsBlanks" dxfId="1088" priority="165">
      <formula>LEN(TRIM(J429))=0</formula>
    </cfRule>
  </conditionalFormatting>
  <conditionalFormatting sqref="J430">
    <cfRule type="containsText" dxfId="1087" priority="164" operator="containsText" text="PENDING">
      <formula>NOT(ISERROR(SEARCH("PENDING",J430)))</formula>
    </cfRule>
  </conditionalFormatting>
  <conditionalFormatting sqref="J432">
    <cfRule type="containsBlanks" dxfId="1086" priority="163">
      <formula>LEN(TRIM(J432))=0</formula>
    </cfRule>
  </conditionalFormatting>
  <conditionalFormatting sqref="J433">
    <cfRule type="containsBlanks" dxfId="1085" priority="162">
      <formula>LEN(TRIM(J433))=0</formula>
    </cfRule>
  </conditionalFormatting>
  <conditionalFormatting sqref="J434">
    <cfRule type="containsBlanks" dxfId="1084" priority="161">
      <formula>LEN(TRIM(J434))=0</formula>
    </cfRule>
  </conditionalFormatting>
  <conditionalFormatting sqref="J435">
    <cfRule type="containsBlanks" dxfId="1083" priority="160">
      <formula>LEN(TRIM(J435))=0</formula>
    </cfRule>
  </conditionalFormatting>
  <conditionalFormatting sqref="J436">
    <cfRule type="containsBlanks" dxfId="1082" priority="159">
      <formula>LEN(TRIM(J436))=0</formula>
    </cfRule>
  </conditionalFormatting>
  <conditionalFormatting sqref="J437">
    <cfRule type="containsBlanks" dxfId="1081" priority="158">
      <formula>LEN(TRIM(J437))=0</formula>
    </cfRule>
  </conditionalFormatting>
  <conditionalFormatting sqref="J438">
    <cfRule type="containsBlanks" dxfId="1080" priority="157">
      <formula>LEN(TRIM(J438))=0</formula>
    </cfRule>
  </conditionalFormatting>
  <conditionalFormatting sqref="J442">
    <cfRule type="containsBlanks" dxfId="1079" priority="155">
      <formula>LEN(TRIM(J442))=0</formula>
    </cfRule>
  </conditionalFormatting>
  <conditionalFormatting sqref="J443">
    <cfRule type="containsBlanks" dxfId="1078" priority="154">
      <formula>LEN(TRIM(J443))=0</formula>
    </cfRule>
  </conditionalFormatting>
  <conditionalFormatting sqref="J444">
    <cfRule type="containsBlanks" dxfId="1077" priority="153">
      <formula>LEN(TRIM(J444))=0</formula>
    </cfRule>
  </conditionalFormatting>
  <conditionalFormatting sqref="J447">
    <cfRule type="containsBlanks" dxfId="1076" priority="152">
      <formula>LEN(TRIM(J447))=0</formula>
    </cfRule>
  </conditionalFormatting>
  <conditionalFormatting sqref="J449:J450">
    <cfRule type="containsBlanks" dxfId="1075" priority="151">
      <formula>LEN(TRIM(J449))=0</formula>
    </cfRule>
  </conditionalFormatting>
  <conditionalFormatting sqref="J455:J456">
    <cfRule type="containsBlanks" dxfId="1074" priority="148">
      <formula>LEN(TRIM(J455))=0</formula>
    </cfRule>
  </conditionalFormatting>
  <conditionalFormatting sqref="J457">
    <cfRule type="containsBlanks" dxfId="1073" priority="146">
      <formula>LEN(TRIM(J457))=0</formula>
    </cfRule>
  </conditionalFormatting>
  <conditionalFormatting sqref="J459">
    <cfRule type="containsBlanks" dxfId="1072" priority="145">
      <formula>LEN(TRIM(J459))=0</formula>
    </cfRule>
  </conditionalFormatting>
  <conditionalFormatting sqref="J461">
    <cfRule type="containsBlanks" dxfId="1071" priority="144">
      <formula>LEN(TRIM(J461))=0</formula>
    </cfRule>
  </conditionalFormatting>
  <conditionalFormatting sqref="J462">
    <cfRule type="containsBlanks" dxfId="1070" priority="143">
      <formula>LEN(TRIM(J462))=0</formula>
    </cfRule>
  </conditionalFormatting>
  <conditionalFormatting sqref="J463">
    <cfRule type="containsBlanks" dxfId="1069" priority="142">
      <formula>LEN(TRIM(J463))=0</formula>
    </cfRule>
  </conditionalFormatting>
  <conditionalFormatting sqref="J464">
    <cfRule type="containsBlanks" dxfId="1068" priority="141">
      <formula>LEN(TRIM(J464))=0</formula>
    </cfRule>
  </conditionalFormatting>
  <conditionalFormatting sqref="J465">
    <cfRule type="containsBlanks" dxfId="1067" priority="140">
      <formula>LEN(TRIM(J465))=0</formula>
    </cfRule>
  </conditionalFormatting>
  <conditionalFormatting sqref="J466">
    <cfRule type="containsBlanks" dxfId="1066" priority="139">
      <formula>LEN(TRIM(J466))=0</formula>
    </cfRule>
  </conditionalFormatting>
  <conditionalFormatting sqref="J467">
    <cfRule type="containsBlanks" dxfId="1065" priority="138">
      <formula>LEN(TRIM(J467))=0</formula>
    </cfRule>
  </conditionalFormatting>
  <conditionalFormatting sqref="J469">
    <cfRule type="containsBlanks" dxfId="1064" priority="137">
      <formula>LEN(TRIM(J469))=0</formula>
    </cfRule>
  </conditionalFormatting>
  <conditionalFormatting sqref="J470">
    <cfRule type="containsBlanks" dxfId="1063" priority="136">
      <formula>LEN(TRIM(J470))=0</formula>
    </cfRule>
  </conditionalFormatting>
  <conditionalFormatting sqref="J471">
    <cfRule type="containsBlanks" dxfId="1062" priority="135">
      <formula>LEN(TRIM(J471))=0</formula>
    </cfRule>
  </conditionalFormatting>
  <conditionalFormatting sqref="J473">
    <cfRule type="containsBlanks" dxfId="1061" priority="134">
      <formula>LEN(TRIM(J473))=0</formula>
    </cfRule>
  </conditionalFormatting>
  <conditionalFormatting sqref="J474:J475">
    <cfRule type="containsBlanks" dxfId="1060" priority="133">
      <formula>LEN(TRIM(J474))=0</formula>
    </cfRule>
  </conditionalFormatting>
  <conditionalFormatting sqref="J476:J477">
    <cfRule type="containsBlanks" dxfId="1059" priority="131">
      <formula>LEN(TRIM(J476))=0</formula>
    </cfRule>
  </conditionalFormatting>
  <conditionalFormatting sqref="J480">
    <cfRule type="containsBlanks" dxfId="1058" priority="129">
      <formula>LEN(TRIM(J480))=0</formula>
    </cfRule>
  </conditionalFormatting>
  <conditionalFormatting sqref="J481">
    <cfRule type="containsBlanks" dxfId="1057" priority="128">
      <formula>LEN(TRIM(J481))=0</formula>
    </cfRule>
  </conditionalFormatting>
  <conditionalFormatting sqref="J482">
    <cfRule type="containsBlanks" dxfId="1056" priority="127">
      <formula>LEN(TRIM(J482))=0</formula>
    </cfRule>
  </conditionalFormatting>
  <conditionalFormatting sqref="J483">
    <cfRule type="containsBlanks" dxfId="1055" priority="126">
      <formula>LEN(TRIM(J483))=0</formula>
    </cfRule>
  </conditionalFormatting>
  <conditionalFormatting sqref="J484">
    <cfRule type="containsBlanks" dxfId="1054" priority="125">
      <formula>LEN(TRIM(J484))=0</formula>
    </cfRule>
  </conditionalFormatting>
  <conditionalFormatting sqref="J485">
    <cfRule type="containsBlanks" dxfId="1053" priority="124">
      <formula>LEN(TRIM(J485))=0</formula>
    </cfRule>
  </conditionalFormatting>
  <conditionalFormatting sqref="J486">
    <cfRule type="containsBlanks" dxfId="1052" priority="122">
      <formula>LEN(TRIM(J486))=0</formula>
    </cfRule>
  </conditionalFormatting>
  <conditionalFormatting sqref="J487">
    <cfRule type="containsBlanks" dxfId="1051" priority="121">
      <formula>LEN(TRIM(J487))=0</formula>
    </cfRule>
  </conditionalFormatting>
  <conditionalFormatting sqref="J489">
    <cfRule type="containsBlanks" dxfId="1050" priority="120">
      <formula>LEN(TRIM(J489))=0</formula>
    </cfRule>
  </conditionalFormatting>
  <conditionalFormatting sqref="J491">
    <cfRule type="containsBlanks" dxfId="1049" priority="119">
      <formula>LEN(TRIM(J491))=0</formula>
    </cfRule>
  </conditionalFormatting>
  <conditionalFormatting sqref="J492">
    <cfRule type="containsBlanks" dxfId="1048" priority="118">
      <formula>LEN(TRIM(J492))=0</formula>
    </cfRule>
  </conditionalFormatting>
  <conditionalFormatting sqref="J493">
    <cfRule type="containsBlanks" dxfId="1047" priority="117">
      <formula>LEN(TRIM(J493))=0</formula>
    </cfRule>
  </conditionalFormatting>
  <conditionalFormatting sqref="J494">
    <cfRule type="containsBlanks" dxfId="1046" priority="116">
      <formula>LEN(TRIM(J494))=0</formula>
    </cfRule>
  </conditionalFormatting>
  <conditionalFormatting sqref="J495">
    <cfRule type="containsBlanks" dxfId="1045" priority="115">
      <formula>LEN(TRIM(J495))=0</formula>
    </cfRule>
  </conditionalFormatting>
  <conditionalFormatting sqref="J498">
    <cfRule type="containsBlanks" dxfId="1044" priority="113">
      <formula>LEN(TRIM(J498))=0</formula>
    </cfRule>
  </conditionalFormatting>
  <conditionalFormatting sqref="J499:L499 N499">
    <cfRule type="containsText" dxfId="1043" priority="112" operator="containsText" text="PENDING">
      <formula>NOT(ISERROR(SEARCH("PENDING",J499)))</formula>
    </cfRule>
  </conditionalFormatting>
  <conditionalFormatting sqref="J500">
    <cfRule type="containsBlanks" dxfId="1042" priority="111">
      <formula>LEN(TRIM(J500))=0</formula>
    </cfRule>
  </conditionalFormatting>
  <conditionalFormatting sqref="J501:J502">
    <cfRule type="containsBlanks" dxfId="1041" priority="110">
      <formula>LEN(TRIM(J501))=0</formula>
    </cfRule>
  </conditionalFormatting>
  <conditionalFormatting sqref="J504:J505">
    <cfRule type="containsBlanks" dxfId="1040" priority="109">
      <formula>LEN(TRIM(J504))=0</formula>
    </cfRule>
  </conditionalFormatting>
  <conditionalFormatting sqref="J508:J509">
    <cfRule type="containsBlanks" dxfId="1039" priority="107">
      <formula>LEN(TRIM(J508))=0</formula>
    </cfRule>
  </conditionalFormatting>
  <conditionalFormatting sqref="J510">
    <cfRule type="containsBlanks" dxfId="1038" priority="106">
      <formula>LEN(TRIM(J510))=0</formula>
    </cfRule>
  </conditionalFormatting>
  <conditionalFormatting sqref="J511">
    <cfRule type="containsBlanks" dxfId="1037" priority="105">
      <formula>LEN(TRIM(J511))=0</formula>
    </cfRule>
  </conditionalFormatting>
  <conditionalFormatting sqref="J512">
    <cfRule type="containsBlanks" dxfId="1036" priority="104">
      <formula>LEN(TRIM(J512))=0</formula>
    </cfRule>
  </conditionalFormatting>
  <conditionalFormatting sqref="J514:J516">
    <cfRule type="containsBlanks" dxfId="1035" priority="103">
      <formula>LEN(TRIM(J514))=0</formula>
    </cfRule>
  </conditionalFormatting>
  <conditionalFormatting sqref="J521:J524">
    <cfRule type="containsBlanks" dxfId="1034" priority="102">
      <formula>LEN(TRIM(J521))=0</formula>
    </cfRule>
  </conditionalFormatting>
  <conditionalFormatting sqref="J526">
    <cfRule type="containsBlanks" dxfId="1033" priority="100">
      <formula>LEN(TRIM(J526))=0</formula>
    </cfRule>
  </conditionalFormatting>
  <conditionalFormatting sqref="J529">
    <cfRule type="containsBlanks" dxfId="1032" priority="99">
      <formula>LEN(TRIM(J529))=0</formula>
    </cfRule>
  </conditionalFormatting>
  <conditionalFormatting sqref="J531">
    <cfRule type="containsBlanks" dxfId="1031" priority="98">
      <formula>LEN(TRIM(J531))=0</formula>
    </cfRule>
  </conditionalFormatting>
  <conditionalFormatting sqref="J532">
    <cfRule type="containsBlanks" dxfId="1030" priority="97">
      <formula>LEN(TRIM(J532))=0</formula>
    </cfRule>
  </conditionalFormatting>
  <conditionalFormatting sqref="J534">
    <cfRule type="containsBlanks" dxfId="1029" priority="96">
      <formula>LEN(TRIM(J534))=0</formula>
    </cfRule>
  </conditionalFormatting>
  <conditionalFormatting sqref="L13:M13">
    <cfRule type="containsText" dxfId="1028" priority="90" operator="containsText" text="PENDING">
      <formula>NOT(ISERROR(SEARCH("PENDING",L13)))</formula>
    </cfRule>
  </conditionalFormatting>
  <conditionalFormatting sqref="K22">
    <cfRule type="containsText" dxfId="1027" priority="89" operator="containsText" text="PENDING">
      <formula>NOT(ISERROR(SEARCH("PENDING",K22)))</formula>
    </cfRule>
  </conditionalFormatting>
  <conditionalFormatting sqref="J24">
    <cfRule type="containsText" dxfId="1026" priority="88" operator="containsText" text="PENDING">
      <formula>NOT(ISERROR(SEARCH("PENDING",J24)))</formula>
    </cfRule>
  </conditionalFormatting>
  <conditionalFormatting sqref="K24">
    <cfRule type="containsText" dxfId="1025" priority="87" operator="containsText" text="PENDING">
      <formula>NOT(ISERROR(SEARCH("PENDING",K24)))</formula>
    </cfRule>
  </conditionalFormatting>
  <conditionalFormatting sqref="L24:M24">
    <cfRule type="containsText" dxfId="1024" priority="84" operator="containsText" text="PENDING">
      <formula>NOT(ISERROR(SEARCH("PENDING",L24)))</formula>
    </cfRule>
  </conditionalFormatting>
  <conditionalFormatting sqref="L55:M55">
    <cfRule type="containsText" dxfId="1023" priority="81" operator="containsText" text="PENDING">
      <formula>NOT(ISERROR(SEARCH("PENDING",L55)))</formula>
    </cfRule>
  </conditionalFormatting>
  <conditionalFormatting sqref="L71:M71">
    <cfRule type="containsText" dxfId="1022" priority="76" operator="containsText" text="PENDING">
      <formula>NOT(ISERROR(SEARCH("PENDING",L71)))</formula>
    </cfRule>
  </conditionalFormatting>
  <conditionalFormatting sqref="L83:M83">
    <cfRule type="containsText" dxfId="1021" priority="75" operator="containsText" text="PENDING">
      <formula>NOT(ISERROR(SEARCH("PENDING",L83)))</formula>
    </cfRule>
  </conditionalFormatting>
  <conditionalFormatting sqref="L126:M126">
    <cfRule type="containsText" dxfId="1020" priority="72" operator="containsText" text="PENDING">
      <formula>NOT(ISERROR(SEARCH("PENDING",L126)))</formula>
    </cfRule>
  </conditionalFormatting>
  <conditionalFormatting sqref="L129:M129">
    <cfRule type="containsText" dxfId="1019" priority="67" operator="containsText" text="PENDING">
      <formula>NOT(ISERROR(SEARCH("PENDING",L129)))</formula>
    </cfRule>
  </conditionalFormatting>
  <conditionalFormatting sqref="L133:M133">
    <cfRule type="containsText" dxfId="1018" priority="66" operator="containsText" text="PENDING">
      <formula>NOT(ISERROR(SEARCH("PENDING",L133)))</formula>
    </cfRule>
  </conditionalFormatting>
  <conditionalFormatting sqref="L260:M260">
    <cfRule type="containsText" dxfId="1017" priority="63" operator="containsText" text="PENDING">
      <formula>NOT(ISERROR(SEARCH("PENDING",L260)))</formula>
    </cfRule>
  </conditionalFormatting>
  <conditionalFormatting sqref="L289:M289">
    <cfRule type="containsText" dxfId="1016" priority="60" operator="containsText" text="PENDING">
      <formula>NOT(ISERROR(SEARCH("PENDING",L289)))</formula>
    </cfRule>
  </conditionalFormatting>
  <conditionalFormatting sqref="L291:M293">
    <cfRule type="containsText" dxfId="1015" priority="53" operator="containsText" text="PENDING">
      <formula>NOT(ISERROR(SEARCH("PENDING",L291)))</formula>
    </cfRule>
  </conditionalFormatting>
  <conditionalFormatting sqref="L311:M311">
    <cfRule type="containsText" dxfId="1014" priority="50" operator="containsText" text="PENDING">
      <formula>NOT(ISERROR(SEARCH("PENDING",L311)))</formula>
    </cfRule>
  </conditionalFormatting>
  <conditionalFormatting sqref="L323:M325 L327:M327 L326">
    <cfRule type="containsText" dxfId="1013" priority="44" operator="containsText" text="PENDING">
      <formula>NOT(ISERROR(SEARCH("PENDING",L323)))</formula>
    </cfRule>
  </conditionalFormatting>
  <conditionalFormatting sqref="M326">
    <cfRule type="containsText" dxfId="1012" priority="41" operator="containsText" text="PENDING">
      <formula>NOT(ISERROR(SEARCH("PENDING",M326)))</formula>
    </cfRule>
  </conditionalFormatting>
  <conditionalFormatting sqref="M396:M397">
    <cfRule type="containsText" dxfId="1011" priority="40" operator="containsText" text="PENDING">
      <formula>NOT(ISERROR(SEARCH("PENDING",M396)))</formula>
    </cfRule>
  </conditionalFormatting>
  <conditionalFormatting sqref="M499">
    <cfRule type="containsText" dxfId="1010" priority="39" operator="containsText" text="PENDING">
      <formula>NOT(ISERROR(SEARCH("PENDING",M499)))</formula>
    </cfRule>
  </conditionalFormatting>
  <conditionalFormatting sqref="J538:L540 K536:L537 K541:L541">
    <cfRule type="containsText" dxfId="1009" priority="38" operator="containsText" text="PENDING">
      <formula>NOT(ISERROR(SEARCH("PENDING",J536)))</formula>
    </cfRule>
  </conditionalFormatting>
  <conditionalFormatting sqref="J537">
    <cfRule type="containsBlanks" dxfId="1008" priority="36">
      <formula>LEN(TRIM(J537))=0</formula>
    </cfRule>
  </conditionalFormatting>
  <conditionalFormatting sqref="J541">
    <cfRule type="containsBlanks" dxfId="1007" priority="35">
      <formula>LEN(TRIM(J541))=0</formula>
    </cfRule>
  </conditionalFormatting>
  <conditionalFormatting sqref="J550:L555 J543 L543 K544:L549 K556:L556">
    <cfRule type="containsText" dxfId="1006" priority="34" operator="containsText" text="PENDING">
      <formula>NOT(ISERROR(SEARCH("PENDING",J543)))</formula>
    </cfRule>
  </conditionalFormatting>
  <conditionalFormatting sqref="K543">
    <cfRule type="containsBlanks" dxfId="1005" priority="33">
      <formula>LEN(TRIM(K543))=0</formula>
    </cfRule>
  </conditionalFormatting>
  <conditionalFormatting sqref="J544">
    <cfRule type="containsBlanks" dxfId="1004" priority="32">
      <formula>LEN(TRIM(J544))=0</formula>
    </cfRule>
  </conditionalFormatting>
  <conditionalFormatting sqref="J545">
    <cfRule type="containsBlanks" dxfId="1003" priority="31">
      <formula>LEN(TRIM(J545))=0</formula>
    </cfRule>
  </conditionalFormatting>
  <conditionalFormatting sqref="J546">
    <cfRule type="containsBlanks" dxfId="1002" priority="30">
      <formula>LEN(TRIM(J546))=0</formula>
    </cfRule>
  </conditionalFormatting>
  <conditionalFormatting sqref="J547">
    <cfRule type="containsBlanks" dxfId="1001" priority="29">
      <formula>LEN(TRIM(J547))=0</formula>
    </cfRule>
  </conditionalFormatting>
  <conditionalFormatting sqref="J548">
    <cfRule type="containsBlanks" dxfId="1000" priority="28">
      <formula>LEN(TRIM(J548))=0</formula>
    </cfRule>
  </conditionalFormatting>
  <conditionalFormatting sqref="J549">
    <cfRule type="containsBlanks" dxfId="999" priority="27">
      <formula>LEN(TRIM(J549))=0</formula>
    </cfRule>
  </conditionalFormatting>
  <conditionalFormatting sqref="J556">
    <cfRule type="containsBlanks" dxfId="998" priority="26">
      <formula>LEN(TRIM(J556))=0</formula>
    </cfRule>
  </conditionalFormatting>
  <conditionalFormatting sqref="J558:L558 K557:L557 K559:L561">
    <cfRule type="containsText" dxfId="997" priority="25" operator="containsText" text="PENDING">
      <formula>NOT(ISERROR(SEARCH("PENDING",J557)))</formula>
    </cfRule>
  </conditionalFormatting>
  <conditionalFormatting sqref="J557">
    <cfRule type="containsBlanks" dxfId="996" priority="24">
      <formula>LEN(TRIM(J557))=0</formula>
    </cfRule>
  </conditionalFormatting>
  <conditionalFormatting sqref="J559">
    <cfRule type="containsBlanks" dxfId="995" priority="23">
      <formula>LEN(TRIM(J559))=0</formula>
    </cfRule>
  </conditionalFormatting>
  <conditionalFormatting sqref="J560">
    <cfRule type="containsBlanks" dxfId="994" priority="22">
      <formula>LEN(TRIM(J560))=0</formula>
    </cfRule>
  </conditionalFormatting>
  <conditionalFormatting sqref="J561">
    <cfRule type="containsBlanks" dxfId="993" priority="21">
      <formula>LEN(TRIM(J561))=0</formula>
    </cfRule>
  </conditionalFormatting>
  <conditionalFormatting sqref="K564:L565 J566 L566 K567:L569">
    <cfRule type="containsText" dxfId="992" priority="20" operator="containsText" text="PENDING">
      <formula>NOT(ISERROR(SEARCH("PENDING",J564)))</formula>
    </cfRule>
  </conditionalFormatting>
  <conditionalFormatting sqref="J564">
    <cfRule type="containsBlanks" dxfId="991" priority="19">
      <formula>LEN(TRIM(J564))=0</formula>
    </cfRule>
  </conditionalFormatting>
  <conditionalFormatting sqref="J565">
    <cfRule type="containsBlanks" dxfId="990" priority="18">
      <formula>LEN(TRIM(J565))=0</formula>
    </cfRule>
  </conditionalFormatting>
  <conditionalFormatting sqref="K566">
    <cfRule type="containsBlanks" dxfId="989" priority="17">
      <formula>LEN(TRIM(K566))=0</formula>
    </cfRule>
  </conditionalFormatting>
  <conditionalFormatting sqref="J567">
    <cfRule type="containsBlanks" dxfId="988" priority="16">
      <formula>LEN(TRIM(J567))=0</formula>
    </cfRule>
  </conditionalFormatting>
  <conditionalFormatting sqref="J568">
    <cfRule type="containsBlanks" dxfId="987" priority="15">
      <formula>LEN(TRIM(J568))=0</formula>
    </cfRule>
  </conditionalFormatting>
  <conditionalFormatting sqref="J569">
    <cfRule type="containsBlanks" dxfId="986" priority="14">
      <formula>LEN(TRIM(J569))=0</formula>
    </cfRule>
  </conditionalFormatting>
  <conditionalFormatting sqref="J573:L574 K571:L572 K575:L576">
    <cfRule type="containsText" dxfId="985" priority="13" operator="containsText" text="PENDING">
      <formula>NOT(ISERROR(SEARCH("PENDING",J571)))</formula>
    </cfRule>
  </conditionalFormatting>
  <conditionalFormatting sqref="J571">
    <cfRule type="containsBlanks" dxfId="984" priority="12">
      <formula>LEN(TRIM(J571))=0</formula>
    </cfRule>
  </conditionalFormatting>
  <conditionalFormatting sqref="J572">
    <cfRule type="containsBlanks" dxfId="983" priority="11">
      <formula>LEN(TRIM(J572))=0</formula>
    </cfRule>
  </conditionalFormatting>
  <conditionalFormatting sqref="J575">
    <cfRule type="containsBlanks" dxfId="982" priority="10">
      <formula>LEN(TRIM(J575))=0</formula>
    </cfRule>
  </conditionalFormatting>
  <conditionalFormatting sqref="J576">
    <cfRule type="containsBlanks" dxfId="981" priority="9">
      <formula>LEN(TRIM(J576))=0</formula>
    </cfRule>
  </conditionalFormatting>
  <conditionalFormatting sqref="J579:L580 K578:L578 J582:L582 K581:L581 J584:L586 K583:L583 J588:L588 K587:L587">
    <cfRule type="containsText" dxfId="980" priority="8" operator="containsText" text="PENDING">
      <formula>NOT(ISERROR(SEARCH("PENDING",J578)))</formula>
    </cfRule>
  </conditionalFormatting>
  <conditionalFormatting sqref="J578">
    <cfRule type="containsBlanks" dxfId="979" priority="7">
      <formula>LEN(TRIM(J578))=0</formula>
    </cfRule>
  </conditionalFormatting>
  <conditionalFormatting sqref="J581">
    <cfRule type="containsBlanks" dxfId="978" priority="6">
      <formula>LEN(TRIM(J581))=0</formula>
    </cfRule>
  </conditionalFormatting>
  <conditionalFormatting sqref="J583">
    <cfRule type="containsBlanks" dxfId="977" priority="5">
      <formula>LEN(TRIM(J583))=0</formula>
    </cfRule>
  </conditionalFormatting>
  <conditionalFormatting sqref="J587">
    <cfRule type="containsBlanks" dxfId="976" priority="4">
      <formula>LEN(TRIM(J587))=0</formula>
    </cfRule>
  </conditionalFormatting>
  <conditionalFormatting sqref="J590:L590">
    <cfRule type="containsText" dxfId="975" priority="3" operator="containsText" text="PENDING">
      <formula>NOT(ISERROR(SEARCH("PENDING",J590)))</formula>
    </cfRule>
  </conditionalFormatting>
  <conditionalFormatting sqref="J1:N590">
    <cfRule type="containsText" dxfId="974" priority="2" operator="containsText" text="PENDING">
      <formula>NOT(ISERROR(SEARCH("PENDING",J1)))</formula>
    </cfRule>
  </conditionalFormatting>
  <conditionalFormatting sqref="B1:T505 B506:N590 P506:T590">
    <cfRule type="containsBlanks" dxfId="973" priority="1">
      <formula>LEN(TRIM(B1))=0</formula>
    </cfRule>
  </conditionalFormatting>
  <pageMargins left="0.7" right="0.7" top="0.75" bottom="0.75" header="0.3" footer="0.3"/>
  <pageSetup scale="26" fitToHeight="0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FD467"/>
  <sheetViews>
    <sheetView workbookViewId="0">
      <selection activeCell="C255" sqref="C255"/>
    </sheetView>
  </sheetViews>
  <sheetFormatPr defaultRowHeight="15.75" x14ac:dyDescent="0.25"/>
  <cols>
    <col min="1" max="1" width="35.5703125" style="312" customWidth="1"/>
    <col min="2" max="2" width="19" style="318" bestFit="1" customWidth="1"/>
    <col min="3" max="3" width="53.140625" style="312" customWidth="1"/>
    <col min="4" max="4" width="40.7109375" style="293" bestFit="1" customWidth="1"/>
    <col min="5" max="5" width="16.28515625" style="320" bestFit="1" customWidth="1"/>
    <col min="6" max="8" width="9.140625" style="293"/>
    <col min="9" max="9" width="14.28515625" style="293" bestFit="1" customWidth="1"/>
    <col min="10" max="16384" width="9.140625" style="293"/>
  </cols>
  <sheetData>
    <row r="1" spans="1:9 16358:16384" x14ac:dyDescent="0.25">
      <c r="A1" s="423" t="s">
        <v>10866</v>
      </c>
      <c r="B1" s="424"/>
      <c r="C1" s="424"/>
      <c r="D1" s="424"/>
      <c r="E1" s="425"/>
    </row>
    <row r="2" spans="1:9 16358:16384" s="296" customFormat="1" x14ac:dyDescent="0.25">
      <c r="A2" s="294" t="s">
        <v>393</v>
      </c>
      <c r="B2" s="294" t="s">
        <v>10867</v>
      </c>
      <c r="C2" s="294" t="s">
        <v>398</v>
      </c>
      <c r="D2" s="294" t="s">
        <v>389</v>
      </c>
      <c r="E2" s="295" t="s">
        <v>6735</v>
      </c>
    </row>
    <row r="3" spans="1:9 16358:16384" ht="31.5" x14ac:dyDescent="0.25">
      <c r="A3" s="297" t="s">
        <v>0</v>
      </c>
      <c r="B3" s="298">
        <v>8116687768</v>
      </c>
      <c r="C3" s="299" t="s">
        <v>1</v>
      </c>
      <c r="D3" s="299" t="s">
        <v>4</v>
      </c>
      <c r="E3" s="300">
        <v>13032285.99</v>
      </c>
      <c r="G3" s="301" t="s">
        <v>10868</v>
      </c>
      <c r="H3" s="301" t="s">
        <v>10869</v>
      </c>
      <c r="I3" s="301" t="s">
        <v>10870</v>
      </c>
      <c r="XED3" s="302"/>
      <c r="XEE3" s="302"/>
      <c r="XEF3" s="302"/>
      <c r="XEG3" s="302"/>
      <c r="XEH3" s="302"/>
      <c r="XEI3" s="302"/>
      <c r="XEJ3" s="302"/>
      <c r="XEK3" s="302"/>
      <c r="XEL3" s="302"/>
      <c r="XEM3" s="302"/>
      <c r="XEN3" s="302"/>
      <c r="XEO3" s="302"/>
      <c r="XEP3" s="302"/>
      <c r="XEQ3" s="302"/>
      <c r="XER3" s="302"/>
      <c r="XES3" s="302"/>
      <c r="XET3" s="302"/>
      <c r="XEU3" s="302"/>
      <c r="XEV3" s="302"/>
      <c r="XEW3" s="302"/>
      <c r="XEX3" s="302"/>
      <c r="XEY3" s="302"/>
      <c r="XEZ3" s="302"/>
      <c r="XFA3" s="302"/>
      <c r="XFB3" s="302"/>
      <c r="XFC3" s="302"/>
      <c r="XFD3" s="302"/>
    </row>
    <row r="4" spans="1:9 16358:16384" ht="31.5" x14ac:dyDescent="0.25">
      <c r="A4" s="299"/>
      <c r="B4" s="303"/>
      <c r="C4" s="299" t="s">
        <v>10871</v>
      </c>
      <c r="D4" s="299" t="s">
        <v>2</v>
      </c>
      <c r="E4" s="300">
        <v>2479669.9300000002</v>
      </c>
      <c r="G4" s="304">
        <v>12</v>
      </c>
      <c r="H4" s="304">
        <v>107</v>
      </c>
      <c r="I4" s="305">
        <f>G4/H4</f>
        <v>0.11214953271028037</v>
      </c>
    </row>
    <row r="5" spans="1:9 16358:16384" x14ac:dyDescent="0.25">
      <c r="A5" s="306"/>
      <c r="B5" s="307"/>
      <c r="C5" s="306"/>
      <c r="D5" s="306"/>
      <c r="E5" s="308"/>
    </row>
    <row r="6" spans="1:9 16358:16384" x14ac:dyDescent="0.25">
      <c r="A6" s="299" t="s">
        <v>6</v>
      </c>
      <c r="B6" s="309">
        <v>1936000000</v>
      </c>
      <c r="C6" s="299" t="s">
        <v>7</v>
      </c>
      <c r="D6" s="299" t="s">
        <v>10</v>
      </c>
      <c r="E6" s="300">
        <v>555860.24</v>
      </c>
    </row>
    <row r="7" spans="1:9 16358:16384" x14ac:dyDescent="0.25">
      <c r="A7" s="299" t="s">
        <v>634</v>
      </c>
      <c r="B7" s="303"/>
      <c r="C7" s="299" t="s">
        <v>7</v>
      </c>
      <c r="D7" s="299" t="s">
        <v>8</v>
      </c>
      <c r="E7" s="300">
        <v>226809.08</v>
      </c>
    </row>
    <row r="8" spans="1:9 16358:16384" x14ac:dyDescent="0.25">
      <c r="A8" s="306"/>
      <c r="B8" s="307"/>
      <c r="C8" s="306"/>
      <c r="D8" s="306"/>
      <c r="E8" s="308"/>
    </row>
    <row r="9" spans="1:9 16358:16384" ht="31.5" x14ac:dyDescent="0.25">
      <c r="A9" s="310" t="s">
        <v>12</v>
      </c>
      <c r="B9" s="311">
        <v>13000000000</v>
      </c>
      <c r="C9" s="299" t="s">
        <v>1</v>
      </c>
      <c r="D9" s="299" t="s">
        <v>13</v>
      </c>
      <c r="E9" s="300">
        <v>739889.89</v>
      </c>
    </row>
    <row r="10" spans="1:9 16358:16384" ht="31.5" x14ac:dyDescent="0.25">
      <c r="A10" s="299"/>
      <c r="B10" s="303"/>
      <c r="C10" s="299" t="s">
        <v>15</v>
      </c>
      <c r="D10" s="299" t="s">
        <v>16</v>
      </c>
      <c r="E10" s="300">
        <v>628011.80000000005</v>
      </c>
    </row>
    <row r="11" spans="1:9 16358:16384" x14ac:dyDescent="0.25">
      <c r="A11" s="299"/>
      <c r="B11" s="303"/>
      <c r="C11" s="299" t="s">
        <v>18</v>
      </c>
      <c r="D11" s="299" t="s">
        <v>19</v>
      </c>
      <c r="E11" s="300">
        <v>1793450.84</v>
      </c>
    </row>
    <row r="12" spans="1:9 16358:16384" x14ac:dyDescent="0.25">
      <c r="B12" s="303"/>
      <c r="C12" s="299" t="s">
        <v>56</v>
      </c>
      <c r="D12" s="299" t="s">
        <v>6896</v>
      </c>
      <c r="E12" s="300">
        <v>358632.77</v>
      </c>
    </row>
    <row r="13" spans="1:9 16358:16384" x14ac:dyDescent="0.25">
      <c r="A13" s="299"/>
      <c r="B13" s="303"/>
      <c r="C13" s="299" t="s">
        <v>21</v>
      </c>
      <c r="D13" s="299" t="s">
        <v>22</v>
      </c>
      <c r="E13" s="300">
        <v>5970378.1600000001</v>
      </c>
    </row>
    <row r="14" spans="1:9 16358:16384" x14ac:dyDescent="0.25">
      <c r="A14" s="299"/>
      <c r="B14" s="303"/>
      <c r="C14" s="299" t="s">
        <v>7</v>
      </c>
      <c r="D14" s="299" t="s">
        <v>24</v>
      </c>
      <c r="E14" s="300">
        <v>1218651.21</v>
      </c>
    </row>
    <row r="15" spans="1:9 16358:16384" x14ac:dyDescent="0.25">
      <c r="A15" s="299"/>
      <c r="B15" s="303"/>
      <c r="C15" s="299" t="s">
        <v>7</v>
      </c>
      <c r="D15" s="299" t="s">
        <v>7090</v>
      </c>
      <c r="E15" s="300">
        <v>1243105.3899999999</v>
      </c>
    </row>
    <row r="16" spans="1:9 16358:16384" x14ac:dyDescent="0.25">
      <c r="A16" s="299"/>
      <c r="B16" s="303"/>
      <c r="C16" s="299" t="s">
        <v>7</v>
      </c>
      <c r="D16" s="299" t="s">
        <v>1819</v>
      </c>
      <c r="E16" s="300">
        <v>621751.94999999995</v>
      </c>
    </row>
    <row r="17" spans="1:5" x14ac:dyDescent="0.25">
      <c r="A17" s="306"/>
      <c r="B17" s="307"/>
      <c r="C17" s="306"/>
      <c r="D17" s="306"/>
      <c r="E17" s="308"/>
    </row>
    <row r="18" spans="1:5" x14ac:dyDescent="0.25">
      <c r="A18" s="299" t="s">
        <v>26</v>
      </c>
      <c r="B18" s="313">
        <f>65712874431</f>
        <v>65712874431</v>
      </c>
      <c r="C18" s="299" t="s">
        <v>4392</v>
      </c>
      <c r="D18" s="299" t="s">
        <v>28</v>
      </c>
      <c r="E18" s="300">
        <v>6899642.0099999998</v>
      </c>
    </row>
    <row r="19" spans="1:5" ht="31.5" x14ac:dyDescent="0.25">
      <c r="A19" s="299"/>
      <c r="B19" s="303"/>
      <c r="C19" s="299" t="s">
        <v>10842</v>
      </c>
      <c r="D19" s="299" t="s">
        <v>30</v>
      </c>
      <c r="E19" s="300">
        <v>2629594.62</v>
      </c>
    </row>
    <row r="20" spans="1:5" x14ac:dyDescent="0.25">
      <c r="A20" s="299"/>
      <c r="B20" s="303"/>
      <c r="C20" s="299" t="s">
        <v>4392</v>
      </c>
      <c r="D20" s="299" t="s">
        <v>8818</v>
      </c>
      <c r="E20" s="300">
        <v>25072826.199999999</v>
      </c>
    </row>
    <row r="21" spans="1:5" x14ac:dyDescent="0.25">
      <c r="A21" s="306"/>
      <c r="B21" s="307"/>
      <c r="C21" s="306"/>
      <c r="D21" s="306"/>
      <c r="E21" s="308"/>
    </row>
    <row r="22" spans="1:5" ht="31.5" x14ac:dyDescent="0.25">
      <c r="A22" s="310" t="s">
        <v>32</v>
      </c>
      <c r="B22" s="313">
        <v>7624000000</v>
      </c>
      <c r="C22" s="299" t="s">
        <v>1</v>
      </c>
      <c r="D22" s="299" t="s">
        <v>13</v>
      </c>
      <c r="E22" s="300">
        <v>1075535.6299999999</v>
      </c>
    </row>
    <row r="23" spans="1:5" x14ac:dyDescent="0.25">
      <c r="A23" s="299"/>
      <c r="B23" s="303"/>
      <c r="C23" s="299" t="s">
        <v>34</v>
      </c>
      <c r="D23" s="299" t="s">
        <v>35</v>
      </c>
      <c r="E23" s="300">
        <v>702842.81</v>
      </c>
    </row>
    <row r="24" spans="1:5" x14ac:dyDescent="0.25">
      <c r="A24" s="299"/>
      <c r="B24" s="303"/>
      <c r="C24" s="299" t="s">
        <v>4392</v>
      </c>
      <c r="D24" s="299" t="s">
        <v>37</v>
      </c>
      <c r="E24" s="300">
        <v>1612283.42</v>
      </c>
    </row>
    <row r="25" spans="1:5" x14ac:dyDescent="0.25">
      <c r="A25" s="299"/>
      <c r="B25" s="303"/>
      <c r="C25" s="299" t="s">
        <v>1</v>
      </c>
      <c r="D25" s="299" t="s">
        <v>10872</v>
      </c>
      <c r="E25" s="300">
        <v>1748367.94</v>
      </c>
    </row>
    <row r="26" spans="1:5" x14ac:dyDescent="0.25">
      <c r="A26" s="306"/>
      <c r="B26" s="307"/>
      <c r="C26" s="306"/>
      <c r="D26" s="306"/>
      <c r="E26" s="308"/>
    </row>
    <row r="27" spans="1:5" x14ac:dyDescent="0.25">
      <c r="A27" s="310" t="s">
        <v>39</v>
      </c>
      <c r="B27" s="309">
        <v>14406000000</v>
      </c>
      <c r="C27" s="299" t="s">
        <v>1</v>
      </c>
      <c r="D27" s="299" t="s">
        <v>40</v>
      </c>
      <c r="E27" s="300">
        <v>908180.74</v>
      </c>
    </row>
    <row r="28" spans="1:5" x14ac:dyDescent="0.25">
      <c r="A28" s="299"/>
      <c r="B28" s="303"/>
      <c r="C28" s="299" t="s">
        <v>1</v>
      </c>
      <c r="D28" s="299" t="s">
        <v>42</v>
      </c>
      <c r="E28" s="300">
        <v>1706737.7</v>
      </c>
    </row>
    <row r="29" spans="1:5" x14ac:dyDescent="0.25">
      <c r="A29" s="299"/>
      <c r="B29" s="303"/>
      <c r="C29" s="299" t="s">
        <v>1</v>
      </c>
      <c r="D29" s="299" t="s">
        <v>44</v>
      </c>
      <c r="E29" s="300">
        <v>1468932.56</v>
      </c>
    </row>
    <row r="30" spans="1:5" ht="31.5" x14ac:dyDescent="0.25">
      <c r="A30" s="299"/>
      <c r="B30" s="303"/>
      <c r="C30" s="299" t="s">
        <v>10871</v>
      </c>
      <c r="D30" s="299" t="s">
        <v>2</v>
      </c>
      <c r="E30" s="300">
        <v>1874878.85</v>
      </c>
    </row>
    <row r="31" spans="1:5" ht="31.5" x14ac:dyDescent="0.25">
      <c r="A31" s="299"/>
      <c r="B31" s="303"/>
      <c r="C31" s="299" t="s">
        <v>95</v>
      </c>
      <c r="D31" s="299" t="s">
        <v>7111</v>
      </c>
      <c r="E31" s="300">
        <v>820939.62</v>
      </c>
    </row>
    <row r="32" spans="1:5" x14ac:dyDescent="0.25">
      <c r="A32" s="299"/>
      <c r="B32" s="303"/>
      <c r="C32" s="299" t="s">
        <v>1</v>
      </c>
      <c r="D32" s="299" t="s">
        <v>7406</v>
      </c>
      <c r="E32" s="300">
        <v>2780849.71</v>
      </c>
    </row>
    <row r="33" spans="1:5" x14ac:dyDescent="0.25">
      <c r="A33" s="299"/>
      <c r="B33" s="303"/>
      <c r="C33" s="299" t="s">
        <v>48</v>
      </c>
      <c r="D33" s="299" t="s">
        <v>49</v>
      </c>
      <c r="E33" s="300">
        <v>5470011.8700000001</v>
      </c>
    </row>
    <row r="34" spans="1:5" x14ac:dyDescent="0.25">
      <c r="A34" s="299"/>
      <c r="B34" s="303"/>
      <c r="C34" s="299" t="s">
        <v>4392</v>
      </c>
      <c r="D34" s="299" t="s">
        <v>51</v>
      </c>
      <c r="E34" s="300">
        <v>1646120.68</v>
      </c>
    </row>
    <row r="35" spans="1:5" ht="31.5" x14ac:dyDescent="0.25">
      <c r="A35" s="299"/>
      <c r="B35" s="303"/>
      <c r="C35" s="299" t="s">
        <v>10842</v>
      </c>
      <c r="D35" s="299" t="s">
        <v>54</v>
      </c>
      <c r="E35" s="300">
        <v>396501.1</v>
      </c>
    </row>
    <row r="36" spans="1:5" x14ac:dyDescent="0.25">
      <c r="A36" s="299"/>
      <c r="B36" s="303"/>
      <c r="C36" s="299" t="s">
        <v>56</v>
      </c>
      <c r="D36" s="299" t="s">
        <v>1192</v>
      </c>
      <c r="E36" s="300">
        <v>987674.62</v>
      </c>
    </row>
    <row r="37" spans="1:5" x14ac:dyDescent="0.25">
      <c r="A37" s="299"/>
      <c r="B37" s="303"/>
      <c r="C37" s="299" t="s">
        <v>56</v>
      </c>
      <c r="D37" s="299" t="s">
        <v>57</v>
      </c>
      <c r="E37" s="300">
        <v>1177771.58</v>
      </c>
    </row>
    <row r="38" spans="1:5" x14ac:dyDescent="0.25">
      <c r="A38" s="299"/>
      <c r="B38" s="303"/>
      <c r="C38" s="299" t="s">
        <v>4392</v>
      </c>
      <c r="D38" s="299" t="s">
        <v>8882</v>
      </c>
      <c r="E38" s="300">
        <v>1877083.73</v>
      </c>
    </row>
    <row r="39" spans="1:5" x14ac:dyDescent="0.25">
      <c r="A39" s="299"/>
      <c r="B39" s="303"/>
      <c r="C39" s="299" t="s">
        <v>48</v>
      </c>
      <c r="D39" s="299" t="s">
        <v>8870</v>
      </c>
      <c r="E39" s="300">
        <v>1544109.38</v>
      </c>
    </row>
    <row r="40" spans="1:5" x14ac:dyDescent="0.25">
      <c r="A40" s="299"/>
      <c r="B40" s="303"/>
      <c r="C40" s="299" t="s">
        <v>56</v>
      </c>
      <c r="D40" s="299" t="s">
        <v>8838</v>
      </c>
      <c r="E40" s="300">
        <v>8671825.4000000004</v>
      </c>
    </row>
    <row r="41" spans="1:5" x14ac:dyDescent="0.25">
      <c r="A41" s="306"/>
      <c r="B41" s="307"/>
      <c r="C41" s="306"/>
      <c r="D41" s="306"/>
      <c r="E41" s="308"/>
    </row>
    <row r="42" spans="1:5" ht="31.5" x14ac:dyDescent="0.25">
      <c r="A42" s="310" t="s">
        <v>2224</v>
      </c>
      <c r="B42" s="313">
        <v>1386000000</v>
      </c>
      <c r="C42" s="299" t="s">
        <v>1</v>
      </c>
      <c r="D42" s="299" t="s">
        <v>90</v>
      </c>
      <c r="E42" s="300">
        <v>250261.52</v>
      </c>
    </row>
    <row r="43" spans="1:5" x14ac:dyDescent="0.25">
      <c r="A43" s="299"/>
      <c r="B43" s="303"/>
      <c r="C43" s="299" t="s">
        <v>10873</v>
      </c>
      <c r="D43" s="299" t="s">
        <v>6921</v>
      </c>
      <c r="E43" s="300">
        <v>518590.77</v>
      </c>
    </row>
    <row r="44" spans="1:5" x14ac:dyDescent="0.25">
      <c r="A44" s="306"/>
      <c r="B44" s="307"/>
      <c r="C44" s="306"/>
      <c r="D44" s="306"/>
      <c r="E44" s="308"/>
    </row>
    <row r="45" spans="1:5" x14ac:dyDescent="0.25">
      <c r="A45" s="310" t="s">
        <v>59</v>
      </c>
      <c r="B45" s="314">
        <v>2991783.69</v>
      </c>
      <c r="C45" s="299" t="s">
        <v>60</v>
      </c>
      <c r="D45" s="299" t="s">
        <v>61</v>
      </c>
      <c r="E45" s="300">
        <v>336128</v>
      </c>
    </row>
    <row r="46" spans="1:5" x14ac:dyDescent="0.25">
      <c r="A46" s="299"/>
      <c r="B46" s="315"/>
      <c r="C46" s="299" t="s">
        <v>63</v>
      </c>
      <c r="D46" s="299" t="s">
        <v>61</v>
      </c>
      <c r="E46" s="300">
        <v>335125.94</v>
      </c>
    </row>
    <row r="47" spans="1:5" x14ac:dyDescent="0.25">
      <c r="A47" s="306"/>
      <c r="B47" s="307"/>
      <c r="C47" s="306"/>
      <c r="D47" s="306"/>
      <c r="E47" s="308"/>
    </row>
    <row r="48" spans="1:5" ht="31.5" x14ac:dyDescent="0.25">
      <c r="A48" s="310" t="s">
        <v>65</v>
      </c>
      <c r="B48" s="309">
        <v>8155716355</v>
      </c>
      <c r="C48" s="299" t="s">
        <v>34</v>
      </c>
      <c r="D48" s="299" t="s">
        <v>6823</v>
      </c>
      <c r="E48" s="300">
        <v>2225875.48</v>
      </c>
    </row>
    <row r="49" spans="1:5" x14ac:dyDescent="0.25">
      <c r="A49" s="299"/>
      <c r="B49" s="303"/>
      <c r="C49" s="299" t="s">
        <v>34</v>
      </c>
      <c r="D49" s="299" t="s">
        <v>66</v>
      </c>
      <c r="E49" s="300">
        <v>1315107.51</v>
      </c>
    </row>
    <row r="50" spans="1:5" x14ac:dyDescent="0.25">
      <c r="A50" s="299"/>
      <c r="B50" s="303"/>
      <c r="C50" s="299" t="s">
        <v>56</v>
      </c>
      <c r="D50" s="299" t="s">
        <v>13</v>
      </c>
      <c r="E50" s="300">
        <v>1499854.51</v>
      </c>
    </row>
    <row r="51" spans="1:5" x14ac:dyDescent="0.25">
      <c r="A51" s="299"/>
      <c r="B51" s="303"/>
      <c r="C51" s="299" t="s">
        <v>56</v>
      </c>
      <c r="D51" s="299" t="s">
        <v>6957</v>
      </c>
      <c r="E51" s="300">
        <v>912734.41</v>
      </c>
    </row>
    <row r="52" spans="1:5" x14ac:dyDescent="0.25">
      <c r="A52" s="299"/>
      <c r="B52" s="303"/>
      <c r="C52" s="299" t="s">
        <v>34</v>
      </c>
      <c r="D52" s="299" t="s">
        <v>8835</v>
      </c>
      <c r="E52" s="300">
        <v>776860.54</v>
      </c>
    </row>
    <row r="53" spans="1:5" x14ac:dyDescent="0.25">
      <c r="A53" s="306"/>
      <c r="B53" s="307"/>
      <c r="C53" s="306"/>
      <c r="D53" s="306"/>
      <c r="E53" s="308"/>
    </row>
    <row r="54" spans="1:5" ht="31.5" x14ac:dyDescent="0.25">
      <c r="A54" s="310" t="s">
        <v>69</v>
      </c>
      <c r="B54" s="309">
        <v>4171000000</v>
      </c>
      <c r="C54" s="299" t="s">
        <v>10874</v>
      </c>
      <c r="D54" s="299" t="s">
        <v>71</v>
      </c>
      <c r="E54" s="300">
        <v>523217.91999999998</v>
      </c>
    </row>
    <row r="55" spans="1:5" x14ac:dyDescent="0.25">
      <c r="A55" s="299"/>
      <c r="B55" s="303"/>
      <c r="C55" s="299" t="s">
        <v>73</v>
      </c>
      <c r="D55" s="299" t="s">
        <v>35</v>
      </c>
      <c r="E55" s="300">
        <v>245208.13</v>
      </c>
    </row>
    <row r="56" spans="1:5" ht="31.5" x14ac:dyDescent="0.25">
      <c r="A56" s="299"/>
      <c r="B56" s="303"/>
      <c r="C56" s="299" t="s">
        <v>2563</v>
      </c>
      <c r="D56" s="299" t="s">
        <v>74</v>
      </c>
      <c r="E56" s="300">
        <v>1499584.95</v>
      </c>
    </row>
    <row r="57" spans="1:5" x14ac:dyDescent="0.25">
      <c r="A57" s="299"/>
      <c r="B57" s="303"/>
      <c r="C57" s="299" t="s">
        <v>56</v>
      </c>
      <c r="D57" s="299" t="s">
        <v>77</v>
      </c>
      <c r="E57" s="300">
        <v>1355286.87</v>
      </c>
    </row>
    <row r="58" spans="1:5" x14ac:dyDescent="0.25">
      <c r="A58" s="299"/>
      <c r="B58" s="303"/>
      <c r="C58" s="299" t="s">
        <v>79</v>
      </c>
      <c r="D58" s="299" t="s">
        <v>40</v>
      </c>
      <c r="E58" s="300">
        <v>111523</v>
      </c>
    </row>
    <row r="59" spans="1:5" x14ac:dyDescent="0.25">
      <c r="A59" s="306"/>
      <c r="B59" s="307"/>
      <c r="C59" s="306"/>
      <c r="D59" s="306"/>
      <c r="E59" s="308"/>
    </row>
    <row r="60" spans="1:5" x14ac:dyDescent="0.25">
      <c r="A60" s="310" t="s">
        <v>9333</v>
      </c>
      <c r="B60" s="311">
        <v>685800000</v>
      </c>
      <c r="C60" s="299" t="s">
        <v>56</v>
      </c>
      <c r="D60" s="299" t="s">
        <v>8780</v>
      </c>
      <c r="E60" s="300">
        <v>55606.39</v>
      </c>
    </row>
    <row r="61" spans="1:5" ht="31.5" x14ac:dyDescent="0.25">
      <c r="A61" s="299"/>
      <c r="B61" s="303"/>
      <c r="C61" s="299" t="s">
        <v>9762</v>
      </c>
      <c r="D61" s="299" t="s">
        <v>8832</v>
      </c>
      <c r="E61" s="300">
        <v>134713.29</v>
      </c>
    </row>
    <row r="62" spans="1:5" x14ac:dyDescent="0.25">
      <c r="A62" s="306"/>
      <c r="B62" s="307"/>
      <c r="C62" s="306"/>
      <c r="D62" s="306"/>
      <c r="E62" s="308"/>
    </row>
    <row r="63" spans="1:5" ht="31.5" x14ac:dyDescent="0.25">
      <c r="A63" s="310" t="s">
        <v>81</v>
      </c>
      <c r="B63" s="311">
        <v>687066948</v>
      </c>
      <c r="C63" s="299" t="s">
        <v>73</v>
      </c>
      <c r="D63" s="299" t="s">
        <v>51</v>
      </c>
      <c r="E63" s="300">
        <v>763963.33</v>
      </c>
    </row>
    <row r="64" spans="1:5" x14ac:dyDescent="0.25">
      <c r="A64" s="299"/>
      <c r="B64" s="303"/>
      <c r="C64" s="299" t="s">
        <v>7</v>
      </c>
      <c r="D64" s="299" t="s">
        <v>83</v>
      </c>
      <c r="E64" s="300">
        <v>56804.12</v>
      </c>
    </row>
    <row r="65" spans="1:5" x14ac:dyDescent="0.25">
      <c r="A65" s="306"/>
      <c r="B65" s="307"/>
      <c r="C65" s="306"/>
      <c r="D65" s="306"/>
      <c r="E65" s="308"/>
    </row>
    <row r="66" spans="1:5" ht="31.5" x14ac:dyDescent="0.25">
      <c r="A66" s="310" t="s">
        <v>1183</v>
      </c>
      <c r="B66" s="311">
        <v>1159000000</v>
      </c>
      <c r="C66" s="299" t="s">
        <v>10842</v>
      </c>
      <c r="D66" s="299" t="s">
        <v>154</v>
      </c>
      <c r="E66" s="300">
        <v>1028788.7</v>
      </c>
    </row>
    <row r="67" spans="1:5" x14ac:dyDescent="0.25">
      <c r="A67" s="299"/>
      <c r="B67" s="303"/>
      <c r="C67" s="299" t="s">
        <v>1</v>
      </c>
      <c r="D67" s="299" t="s">
        <v>8864</v>
      </c>
      <c r="E67" s="300">
        <v>1006892.26</v>
      </c>
    </row>
    <row r="68" spans="1:5" x14ac:dyDescent="0.25">
      <c r="A68" s="306"/>
      <c r="B68" s="307"/>
      <c r="C68" s="306"/>
      <c r="D68" s="306"/>
      <c r="E68" s="308"/>
    </row>
    <row r="69" spans="1:5" x14ac:dyDescent="0.25">
      <c r="A69" s="310" t="s">
        <v>85</v>
      </c>
      <c r="B69" s="316" t="s">
        <v>10798</v>
      </c>
      <c r="C69" s="299" t="s">
        <v>584</v>
      </c>
      <c r="D69" s="299" t="s">
        <v>86</v>
      </c>
      <c r="E69" s="300">
        <v>952101</v>
      </c>
    </row>
    <row r="70" spans="1:5" x14ac:dyDescent="0.25">
      <c r="A70" s="299"/>
      <c r="B70" s="303"/>
      <c r="C70" s="299" t="s">
        <v>7</v>
      </c>
      <c r="D70" s="299" t="s">
        <v>61</v>
      </c>
      <c r="E70" s="300">
        <v>904799.71</v>
      </c>
    </row>
    <row r="71" spans="1:5" x14ac:dyDescent="0.25">
      <c r="A71" s="306"/>
      <c r="B71" s="307"/>
      <c r="C71" s="306"/>
      <c r="D71" s="306"/>
      <c r="E71" s="308"/>
    </row>
    <row r="72" spans="1:5" ht="31.5" x14ac:dyDescent="0.25">
      <c r="A72" s="310" t="s">
        <v>3675</v>
      </c>
      <c r="B72" s="311">
        <v>1954356640</v>
      </c>
      <c r="C72" s="299" t="s">
        <v>10875</v>
      </c>
      <c r="D72" s="299" t="s">
        <v>6921</v>
      </c>
      <c r="E72" s="300">
        <v>670325.43000000005</v>
      </c>
    </row>
    <row r="73" spans="1:5" ht="31.5" x14ac:dyDescent="0.25">
      <c r="A73" s="299"/>
      <c r="B73" s="303"/>
      <c r="C73" s="299" t="s">
        <v>5247</v>
      </c>
      <c r="D73" s="299" t="s">
        <v>3674</v>
      </c>
      <c r="E73" s="300">
        <v>282619.56</v>
      </c>
    </row>
    <row r="74" spans="1:5" x14ac:dyDescent="0.25">
      <c r="A74" s="299"/>
      <c r="B74" s="303"/>
      <c r="C74" s="299" t="s">
        <v>7</v>
      </c>
      <c r="D74" s="299" t="s">
        <v>8879</v>
      </c>
      <c r="E74" s="300">
        <v>49662.59</v>
      </c>
    </row>
    <row r="75" spans="1:5" x14ac:dyDescent="0.25">
      <c r="A75" s="299"/>
      <c r="B75" s="303"/>
      <c r="C75" s="299" t="s">
        <v>7</v>
      </c>
      <c r="D75" s="299" t="s">
        <v>8864</v>
      </c>
      <c r="E75" s="300">
        <v>385547.29</v>
      </c>
    </row>
    <row r="76" spans="1:5" x14ac:dyDescent="0.25">
      <c r="A76" s="306"/>
      <c r="B76" s="307"/>
      <c r="C76" s="306"/>
      <c r="D76" s="306"/>
      <c r="E76" s="308"/>
    </row>
    <row r="77" spans="1:5" ht="31.5" x14ac:dyDescent="0.25">
      <c r="A77" s="299" t="s">
        <v>89</v>
      </c>
      <c r="B77" s="298">
        <v>3244749584</v>
      </c>
      <c r="C77" s="299" t="s">
        <v>56</v>
      </c>
      <c r="D77" s="299" t="s">
        <v>90</v>
      </c>
      <c r="E77" s="300">
        <v>292591.68</v>
      </c>
    </row>
    <row r="78" spans="1:5" x14ac:dyDescent="0.25">
      <c r="A78" s="299"/>
      <c r="B78" s="303"/>
      <c r="C78" s="299" t="s">
        <v>56</v>
      </c>
      <c r="D78" s="299" t="s">
        <v>92</v>
      </c>
      <c r="E78" s="300">
        <v>521472.69</v>
      </c>
    </row>
    <row r="79" spans="1:5" x14ac:dyDescent="0.25">
      <c r="A79" s="306"/>
      <c r="B79" s="307"/>
      <c r="C79" s="306"/>
      <c r="D79" s="306"/>
      <c r="E79" s="308"/>
    </row>
    <row r="80" spans="1:5" x14ac:dyDescent="0.25">
      <c r="A80" s="310" t="s">
        <v>1897</v>
      </c>
      <c r="B80" s="298">
        <v>959778497</v>
      </c>
      <c r="C80" s="299" t="s">
        <v>10876</v>
      </c>
      <c r="D80" s="299" t="s">
        <v>270</v>
      </c>
      <c r="E80" s="300">
        <v>142774</v>
      </c>
    </row>
    <row r="81" spans="1:5" x14ac:dyDescent="0.25">
      <c r="A81" s="299"/>
      <c r="B81" s="303"/>
      <c r="C81" s="299" t="s">
        <v>109</v>
      </c>
      <c r="D81" s="299" t="s">
        <v>8884</v>
      </c>
      <c r="E81" s="300">
        <v>360095</v>
      </c>
    </row>
    <row r="82" spans="1:5" x14ac:dyDescent="0.25">
      <c r="A82" s="306"/>
      <c r="B82" s="307"/>
      <c r="C82" s="306"/>
      <c r="D82" s="306"/>
      <c r="E82" s="308"/>
    </row>
    <row r="83" spans="1:5" ht="31.5" x14ac:dyDescent="0.25">
      <c r="A83" s="310" t="s">
        <v>94</v>
      </c>
      <c r="B83" s="311">
        <v>386000000</v>
      </c>
      <c r="C83" s="299" t="s">
        <v>95</v>
      </c>
      <c r="D83" s="299" t="s">
        <v>96</v>
      </c>
      <c r="E83" s="300">
        <v>69855.850000000006</v>
      </c>
    </row>
    <row r="84" spans="1:5" x14ac:dyDescent="0.25">
      <c r="A84" s="299"/>
      <c r="B84" s="303"/>
      <c r="C84" s="299" t="s">
        <v>7</v>
      </c>
      <c r="D84" s="299" t="s">
        <v>98</v>
      </c>
      <c r="E84" s="300">
        <v>47097.94</v>
      </c>
    </row>
    <row r="85" spans="1:5" x14ac:dyDescent="0.25">
      <c r="A85" s="299"/>
      <c r="B85" s="303"/>
      <c r="C85" s="299" t="s">
        <v>8986</v>
      </c>
      <c r="D85" s="299" t="s">
        <v>101</v>
      </c>
      <c r="E85" s="300">
        <v>252957.67</v>
      </c>
    </row>
    <row r="86" spans="1:5" x14ac:dyDescent="0.25">
      <c r="A86" s="299"/>
      <c r="B86" s="303"/>
      <c r="C86" s="299" t="s">
        <v>1</v>
      </c>
      <c r="D86" s="299" t="s">
        <v>8899</v>
      </c>
      <c r="E86" s="300">
        <v>1559</v>
      </c>
    </row>
    <row r="87" spans="1:5" x14ac:dyDescent="0.25">
      <c r="A87" s="299"/>
      <c r="B87" s="303"/>
      <c r="C87" s="299" t="s">
        <v>18</v>
      </c>
      <c r="D87" s="299" t="s">
        <v>8818</v>
      </c>
      <c r="E87" s="300">
        <v>164110.81</v>
      </c>
    </row>
    <row r="88" spans="1:5" x14ac:dyDescent="0.25">
      <c r="A88" s="306"/>
      <c r="B88" s="307"/>
      <c r="C88" s="306"/>
      <c r="D88" s="306"/>
      <c r="E88" s="308"/>
    </row>
    <row r="89" spans="1:5" ht="31.5" x14ac:dyDescent="0.25">
      <c r="A89" s="310" t="s">
        <v>10860</v>
      </c>
      <c r="B89" s="298">
        <v>674733000</v>
      </c>
      <c r="C89" s="299" t="s">
        <v>104</v>
      </c>
      <c r="D89" s="299" t="s">
        <v>105</v>
      </c>
      <c r="E89" s="300">
        <v>166256.29</v>
      </c>
    </row>
    <row r="90" spans="1:5" x14ac:dyDescent="0.25">
      <c r="A90" s="299"/>
      <c r="B90" s="303"/>
      <c r="C90" s="299" t="s">
        <v>7</v>
      </c>
      <c r="D90" s="299" t="s">
        <v>107</v>
      </c>
      <c r="E90" s="300">
        <v>501193.45</v>
      </c>
    </row>
    <row r="91" spans="1:5" x14ac:dyDescent="0.25">
      <c r="A91" s="299"/>
      <c r="B91" s="303"/>
      <c r="C91" s="299" t="s">
        <v>7</v>
      </c>
      <c r="D91" s="299" t="s">
        <v>6940</v>
      </c>
      <c r="E91" s="300">
        <v>422385.73</v>
      </c>
    </row>
    <row r="92" spans="1:5" x14ac:dyDescent="0.25">
      <c r="A92" s="299"/>
      <c r="B92" s="303"/>
      <c r="C92" s="299" t="s">
        <v>109</v>
      </c>
      <c r="D92" s="299" t="s">
        <v>3637</v>
      </c>
      <c r="E92" s="300">
        <v>506002</v>
      </c>
    </row>
    <row r="93" spans="1:5" x14ac:dyDescent="0.25">
      <c r="A93" s="299"/>
      <c r="B93" s="303"/>
      <c r="C93" s="299" t="s">
        <v>109</v>
      </c>
      <c r="D93" s="299" t="s">
        <v>90</v>
      </c>
      <c r="E93" s="300">
        <v>164423</v>
      </c>
    </row>
    <row r="94" spans="1:5" x14ac:dyDescent="0.25">
      <c r="A94" s="306"/>
      <c r="B94" s="307"/>
      <c r="C94" s="306"/>
      <c r="D94" s="306"/>
      <c r="E94" s="308"/>
    </row>
    <row r="95" spans="1:5" ht="31.5" x14ac:dyDescent="0.25">
      <c r="A95" s="310" t="s">
        <v>111</v>
      </c>
      <c r="B95" s="311">
        <v>1060839000</v>
      </c>
      <c r="C95" s="299" t="s">
        <v>7</v>
      </c>
      <c r="D95" s="299" t="s">
        <v>107</v>
      </c>
      <c r="E95" s="300">
        <v>1670036.32</v>
      </c>
    </row>
    <row r="96" spans="1:5" x14ac:dyDescent="0.25">
      <c r="A96" s="299"/>
      <c r="B96" s="303"/>
      <c r="C96" s="299" t="s">
        <v>7</v>
      </c>
      <c r="D96" s="299" t="s">
        <v>6940</v>
      </c>
      <c r="E96" s="300">
        <v>607910.75</v>
      </c>
    </row>
    <row r="97" spans="1:5" x14ac:dyDescent="0.25">
      <c r="A97" s="299"/>
      <c r="B97" s="303"/>
      <c r="C97" s="299" t="s">
        <v>7</v>
      </c>
      <c r="D97" s="299" t="s">
        <v>113</v>
      </c>
      <c r="E97" s="300">
        <v>780479.54</v>
      </c>
    </row>
    <row r="98" spans="1:5" x14ac:dyDescent="0.25">
      <c r="A98" s="299"/>
      <c r="B98" s="303"/>
      <c r="C98" s="299" t="s">
        <v>109</v>
      </c>
      <c r="D98" s="299" t="s">
        <v>3637</v>
      </c>
      <c r="E98" s="300">
        <v>720501</v>
      </c>
    </row>
    <row r="99" spans="1:5" x14ac:dyDescent="0.25">
      <c r="A99" s="306"/>
      <c r="B99" s="307"/>
      <c r="C99" s="306"/>
      <c r="D99" s="306"/>
      <c r="E99" s="308"/>
    </row>
    <row r="100" spans="1:5" ht="31.5" x14ac:dyDescent="0.25">
      <c r="A100" s="310" t="s">
        <v>118</v>
      </c>
      <c r="B100" s="298">
        <v>1054379464</v>
      </c>
      <c r="C100" s="299" t="s">
        <v>119</v>
      </c>
      <c r="D100" s="299" t="s">
        <v>120</v>
      </c>
      <c r="E100" s="300">
        <v>315168.53000000003</v>
      </c>
    </row>
    <row r="101" spans="1:5" x14ac:dyDescent="0.25">
      <c r="A101" s="299"/>
      <c r="B101" s="303"/>
      <c r="C101" s="299" t="s">
        <v>7</v>
      </c>
      <c r="D101" s="299" t="s">
        <v>116</v>
      </c>
      <c r="E101" s="300">
        <v>448092.95</v>
      </c>
    </row>
    <row r="102" spans="1:5" x14ac:dyDescent="0.25">
      <c r="A102" s="299"/>
      <c r="B102" s="303"/>
      <c r="C102" s="299" t="s">
        <v>7</v>
      </c>
      <c r="D102" s="299" t="s">
        <v>49</v>
      </c>
      <c r="E102" s="300">
        <v>468903.39</v>
      </c>
    </row>
    <row r="103" spans="1:5" x14ac:dyDescent="0.25">
      <c r="A103" s="299"/>
      <c r="B103" s="303"/>
      <c r="C103" s="299" t="s">
        <v>109</v>
      </c>
      <c r="D103" s="299" t="s">
        <v>96</v>
      </c>
      <c r="E103" s="300">
        <v>51761</v>
      </c>
    </row>
    <row r="104" spans="1:5" x14ac:dyDescent="0.25">
      <c r="A104" s="299"/>
      <c r="B104" s="303"/>
      <c r="C104" s="299" t="s">
        <v>8986</v>
      </c>
      <c r="D104" s="299" t="s">
        <v>126</v>
      </c>
      <c r="E104" s="300">
        <v>302572.96000000002</v>
      </c>
    </row>
    <row r="105" spans="1:5" x14ac:dyDescent="0.25">
      <c r="A105" s="299"/>
      <c r="B105" s="303"/>
      <c r="C105" s="299" t="s">
        <v>8986</v>
      </c>
      <c r="D105" s="299" t="s">
        <v>287</v>
      </c>
      <c r="E105" s="300">
        <v>1090255.5</v>
      </c>
    </row>
    <row r="106" spans="1:5" x14ac:dyDescent="0.25">
      <c r="A106" s="299"/>
      <c r="B106" s="303"/>
      <c r="C106" s="299" t="s">
        <v>9830</v>
      </c>
      <c r="D106" s="299" t="s">
        <v>8824</v>
      </c>
      <c r="E106" s="300">
        <v>410903</v>
      </c>
    </row>
    <row r="107" spans="1:5" x14ac:dyDescent="0.25">
      <c r="A107" s="306"/>
      <c r="B107" s="307"/>
      <c r="C107" s="306"/>
      <c r="D107" s="306"/>
      <c r="E107" s="308"/>
    </row>
    <row r="108" spans="1:5" x14ac:dyDescent="0.25">
      <c r="A108" s="297" t="s">
        <v>128</v>
      </c>
      <c r="B108" s="298">
        <v>214890752</v>
      </c>
      <c r="C108" s="299" t="s">
        <v>10822</v>
      </c>
      <c r="D108" s="299" t="s">
        <v>2939</v>
      </c>
      <c r="E108" s="300">
        <v>522574.94</v>
      </c>
    </row>
    <row r="109" spans="1:5" x14ac:dyDescent="0.25">
      <c r="A109" s="299"/>
      <c r="B109" s="303"/>
      <c r="C109" s="299" t="s">
        <v>8986</v>
      </c>
      <c r="D109" s="299" t="s">
        <v>129</v>
      </c>
      <c r="E109" s="300">
        <v>280729.78000000003</v>
      </c>
    </row>
    <row r="110" spans="1:5" x14ac:dyDescent="0.25">
      <c r="A110" s="306"/>
      <c r="B110" s="307"/>
      <c r="C110" s="306"/>
      <c r="D110" s="306"/>
      <c r="E110" s="308"/>
    </row>
    <row r="111" spans="1:5" ht="31.5" x14ac:dyDescent="0.25">
      <c r="A111" s="310" t="s">
        <v>2121</v>
      </c>
      <c r="B111" s="311">
        <v>176526821</v>
      </c>
      <c r="C111" s="299" t="s">
        <v>7</v>
      </c>
      <c r="D111" s="299" t="s">
        <v>2097</v>
      </c>
      <c r="E111" s="300">
        <v>31200.66</v>
      </c>
    </row>
    <row r="112" spans="1:5" x14ac:dyDescent="0.25">
      <c r="A112" s="299"/>
      <c r="B112" s="303"/>
      <c r="C112" s="299" t="s">
        <v>63</v>
      </c>
      <c r="D112" s="299" t="s">
        <v>8824</v>
      </c>
      <c r="E112" s="300">
        <v>152135.34</v>
      </c>
    </row>
    <row r="113" spans="1:5" x14ac:dyDescent="0.25">
      <c r="A113" s="299"/>
      <c r="B113" s="303"/>
      <c r="C113" s="299" t="s">
        <v>63</v>
      </c>
      <c r="D113" s="299" t="s">
        <v>8865</v>
      </c>
      <c r="E113" s="300">
        <v>28878.98</v>
      </c>
    </row>
    <row r="114" spans="1:5" x14ac:dyDescent="0.25">
      <c r="A114" s="306"/>
      <c r="B114" s="307"/>
      <c r="C114" s="306"/>
      <c r="D114" s="306"/>
      <c r="E114" s="308"/>
    </row>
    <row r="115" spans="1:5" ht="31.5" x14ac:dyDescent="0.25">
      <c r="A115" s="299" t="s">
        <v>3764</v>
      </c>
      <c r="B115" s="311">
        <v>659655034</v>
      </c>
      <c r="C115" s="299" t="s">
        <v>7</v>
      </c>
      <c r="D115" s="299" t="s">
        <v>7329</v>
      </c>
      <c r="E115" s="300">
        <v>254025.37</v>
      </c>
    </row>
    <row r="116" spans="1:5" x14ac:dyDescent="0.25">
      <c r="A116" s="299"/>
      <c r="B116" s="303"/>
      <c r="C116" s="299" t="s">
        <v>7</v>
      </c>
      <c r="D116" s="299" t="s">
        <v>92</v>
      </c>
      <c r="E116" s="300">
        <v>303249.44</v>
      </c>
    </row>
    <row r="117" spans="1:5" x14ac:dyDescent="0.25">
      <c r="A117" s="306"/>
      <c r="B117" s="307"/>
      <c r="C117" s="306"/>
      <c r="D117" s="306"/>
      <c r="E117" s="308"/>
    </row>
    <row r="118" spans="1:5" ht="31.5" x14ac:dyDescent="0.25">
      <c r="A118" s="299" t="s">
        <v>131</v>
      </c>
      <c r="B118" s="311">
        <v>577954287</v>
      </c>
      <c r="C118" s="299" t="s">
        <v>7</v>
      </c>
      <c r="D118" s="299" t="s">
        <v>132</v>
      </c>
      <c r="E118" s="300">
        <v>835557.29</v>
      </c>
    </row>
    <row r="119" spans="1:5" x14ac:dyDescent="0.25">
      <c r="A119" s="299"/>
      <c r="B119" s="303"/>
      <c r="C119" s="299" t="s">
        <v>7</v>
      </c>
      <c r="D119" s="299" t="s">
        <v>35</v>
      </c>
      <c r="E119" s="300">
        <v>78112.19</v>
      </c>
    </row>
    <row r="120" spans="1:5" x14ac:dyDescent="0.25">
      <c r="A120" s="306"/>
      <c r="B120" s="307"/>
      <c r="C120" s="306"/>
      <c r="D120" s="306"/>
      <c r="E120" s="308"/>
    </row>
    <row r="121" spans="1:5" ht="31.5" x14ac:dyDescent="0.25">
      <c r="A121" s="310" t="s">
        <v>135</v>
      </c>
      <c r="B121" s="298">
        <v>1865318604</v>
      </c>
      <c r="C121" s="299" t="s">
        <v>1</v>
      </c>
      <c r="D121" s="299" t="s">
        <v>136</v>
      </c>
      <c r="E121" s="300">
        <v>268918.76</v>
      </c>
    </row>
    <row r="122" spans="1:5" x14ac:dyDescent="0.25">
      <c r="A122" s="299"/>
      <c r="B122" s="303"/>
      <c r="C122" s="299" t="s">
        <v>7</v>
      </c>
      <c r="D122" s="299" t="s">
        <v>138</v>
      </c>
      <c r="E122" s="300">
        <v>1388498.72</v>
      </c>
    </row>
    <row r="123" spans="1:5" x14ac:dyDescent="0.25">
      <c r="A123" s="299"/>
      <c r="B123" s="303"/>
      <c r="C123" s="299" t="s">
        <v>7</v>
      </c>
      <c r="D123" s="299" t="s">
        <v>13</v>
      </c>
      <c r="E123" s="300">
        <v>1177476.51</v>
      </c>
    </row>
    <row r="124" spans="1:5" x14ac:dyDescent="0.25">
      <c r="A124" s="306"/>
      <c r="B124" s="307"/>
      <c r="C124" s="306"/>
      <c r="D124" s="306"/>
      <c r="E124" s="308"/>
    </row>
    <row r="125" spans="1:5" ht="31.5" x14ac:dyDescent="0.25">
      <c r="A125" s="297" t="s">
        <v>141</v>
      </c>
      <c r="B125" s="298">
        <v>723883830</v>
      </c>
      <c r="C125" s="299" t="s">
        <v>8986</v>
      </c>
      <c r="D125" s="299" t="s">
        <v>142</v>
      </c>
      <c r="E125" s="300">
        <v>200282.76</v>
      </c>
    </row>
    <row r="126" spans="1:5" x14ac:dyDescent="0.25">
      <c r="A126" s="299"/>
      <c r="B126" s="303"/>
      <c r="C126" s="299" t="s">
        <v>10822</v>
      </c>
      <c r="D126" s="299" t="s">
        <v>101</v>
      </c>
      <c r="E126" s="300">
        <v>867154.76</v>
      </c>
    </row>
    <row r="127" spans="1:5" x14ac:dyDescent="0.25">
      <c r="A127" s="306"/>
      <c r="B127" s="307"/>
      <c r="C127" s="306"/>
      <c r="D127" s="306"/>
      <c r="E127" s="308"/>
    </row>
    <row r="128" spans="1:5" ht="31.5" x14ac:dyDescent="0.25">
      <c r="A128" s="299" t="s">
        <v>6968</v>
      </c>
      <c r="B128" s="298">
        <v>122481035</v>
      </c>
      <c r="C128" s="299" t="s">
        <v>7</v>
      </c>
      <c r="D128" s="299" t="s">
        <v>6964</v>
      </c>
      <c r="E128" s="300">
        <v>191224.82</v>
      </c>
    </row>
    <row r="129" spans="1:5" x14ac:dyDescent="0.25">
      <c r="A129" s="299"/>
      <c r="B129" s="303"/>
      <c r="C129" s="299" t="s">
        <v>7</v>
      </c>
      <c r="D129" s="299" t="s">
        <v>8916</v>
      </c>
      <c r="E129" s="300">
        <v>38588.03</v>
      </c>
    </row>
    <row r="130" spans="1:5" x14ac:dyDescent="0.25">
      <c r="A130" s="306"/>
      <c r="B130" s="307"/>
      <c r="C130" s="306"/>
      <c r="D130" s="306"/>
      <c r="E130" s="308"/>
    </row>
    <row r="131" spans="1:5" ht="31.5" x14ac:dyDescent="0.25">
      <c r="A131" s="299" t="s">
        <v>9248</v>
      </c>
      <c r="B131" s="317" t="s">
        <v>10798</v>
      </c>
      <c r="C131" s="299" t="s">
        <v>7</v>
      </c>
      <c r="D131" s="299" t="s">
        <v>289</v>
      </c>
      <c r="E131" s="300">
        <v>166176.01</v>
      </c>
    </row>
    <row r="132" spans="1:5" ht="31.5" x14ac:dyDescent="0.25">
      <c r="A132" s="299"/>
      <c r="B132" s="303"/>
      <c r="C132" s="299" t="s">
        <v>224</v>
      </c>
      <c r="D132" s="299" t="s">
        <v>8874</v>
      </c>
      <c r="E132" s="300">
        <v>456582.84</v>
      </c>
    </row>
    <row r="133" spans="1:5" x14ac:dyDescent="0.25">
      <c r="A133" s="306"/>
      <c r="B133" s="307"/>
      <c r="C133" s="306"/>
      <c r="D133" s="306"/>
      <c r="E133" s="308"/>
    </row>
    <row r="134" spans="1:5" ht="31.5" x14ac:dyDescent="0.25">
      <c r="A134" s="299" t="s">
        <v>145</v>
      </c>
      <c r="B134" s="311">
        <v>742560753</v>
      </c>
      <c r="C134" s="299" t="s">
        <v>119</v>
      </c>
      <c r="D134" s="299" t="s">
        <v>40</v>
      </c>
      <c r="E134" s="300">
        <v>439206.99</v>
      </c>
    </row>
    <row r="135" spans="1:5" x14ac:dyDescent="0.25">
      <c r="A135" s="299"/>
      <c r="B135" s="303"/>
      <c r="C135" s="299" t="s">
        <v>7</v>
      </c>
      <c r="D135" s="299" t="s">
        <v>54</v>
      </c>
      <c r="E135" s="300">
        <v>116762.1</v>
      </c>
    </row>
    <row r="136" spans="1:5" x14ac:dyDescent="0.25">
      <c r="A136" s="306"/>
      <c r="B136" s="307"/>
      <c r="C136" s="306"/>
      <c r="D136" s="306"/>
      <c r="E136" s="308"/>
    </row>
    <row r="137" spans="1:5" ht="31.5" x14ac:dyDescent="0.25">
      <c r="A137" s="299" t="s">
        <v>3273</v>
      </c>
      <c r="B137" s="311">
        <v>722121510</v>
      </c>
      <c r="C137" s="299" t="s">
        <v>7</v>
      </c>
      <c r="D137" s="299" t="s">
        <v>6971</v>
      </c>
      <c r="E137" s="300">
        <v>208278.5</v>
      </c>
    </row>
    <row r="138" spans="1:5" x14ac:dyDescent="0.25">
      <c r="A138" s="299"/>
      <c r="B138" s="303"/>
      <c r="C138" s="299" t="s">
        <v>7</v>
      </c>
      <c r="D138" s="299" t="s">
        <v>6887</v>
      </c>
      <c r="E138" s="300">
        <v>48153.53</v>
      </c>
    </row>
    <row r="139" spans="1:5" x14ac:dyDescent="0.25">
      <c r="A139" s="299"/>
      <c r="B139" s="303"/>
      <c r="C139" s="299" t="s">
        <v>7</v>
      </c>
      <c r="D139" s="299" t="s">
        <v>278</v>
      </c>
      <c r="E139" s="300">
        <v>108334.34</v>
      </c>
    </row>
    <row r="140" spans="1:5" x14ac:dyDescent="0.25">
      <c r="A140" s="306"/>
      <c r="B140" s="307"/>
      <c r="C140" s="306"/>
      <c r="D140" s="306"/>
      <c r="E140" s="308"/>
    </row>
    <row r="141" spans="1:5" ht="31.5" x14ac:dyDescent="0.25">
      <c r="A141" s="310" t="s">
        <v>152</v>
      </c>
      <c r="B141" s="298">
        <v>1218952520</v>
      </c>
      <c r="C141" s="299" t="s">
        <v>70</v>
      </c>
      <c r="D141" s="299" t="s">
        <v>71</v>
      </c>
      <c r="E141" s="300">
        <v>1138553.33</v>
      </c>
    </row>
    <row r="142" spans="1:5" ht="31.5" x14ac:dyDescent="0.25">
      <c r="A142" s="299"/>
      <c r="B142" s="303"/>
      <c r="C142" s="299" t="s">
        <v>10842</v>
      </c>
      <c r="D142" s="299" t="s">
        <v>154</v>
      </c>
      <c r="E142" s="300">
        <v>778734.32</v>
      </c>
    </row>
    <row r="143" spans="1:5" x14ac:dyDescent="0.25">
      <c r="A143" s="306"/>
      <c r="B143" s="307"/>
      <c r="C143" s="306"/>
      <c r="D143" s="306"/>
      <c r="E143" s="308"/>
    </row>
    <row r="144" spans="1:5" ht="31.5" x14ac:dyDescent="0.25">
      <c r="A144" s="310" t="s">
        <v>156</v>
      </c>
      <c r="B144" s="298">
        <v>348863000</v>
      </c>
      <c r="C144" s="299" t="s">
        <v>157</v>
      </c>
      <c r="D144" s="299" t="s">
        <v>154</v>
      </c>
      <c r="E144" s="300">
        <v>83746.28</v>
      </c>
    </row>
    <row r="145" spans="1:5" x14ac:dyDescent="0.25">
      <c r="A145" s="299"/>
      <c r="B145" s="303"/>
      <c r="C145" s="299" t="s">
        <v>56</v>
      </c>
      <c r="D145" s="299" t="s">
        <v>159</v>
      </c>
      <c r="E145" s="300">
        <v>23544.29</v>
      </c>
    </row>
    <row r="146" spans="1:5" x14ac:dyDescent="0.25">
      <c r="A146" s="299"/>
      <c r="B146" s="303"/>
      <c r="C146" s="299" t="s">
        <v>161</v>
      </c>
      <c r="D146" s="299" t="s">
        <v>162</v>
      </c>
      <c r="E146" s="300">
        <v>97734.16</v>
      </c>
    </row>
    <row r="147" spans="1:5" x14ac:dyDescent="0.25">
      <c r="A147" s="299"/>
      <c r="B147" s="303"/>
      <c r="C147" s="299" t="s">
        <v>79</v>
      </c>
      <c r="D147" s="299" t="s">
        <v>163</v>
      </c>
      <c r="E147" s="300">
        <v>159348</v>
      </c>
    </row>
    <row r="148" spans="1:5" x14ac:dyDescent="0.25">
      <c r="A148" s="306"/>
      <c r="B148" s="307"/>
      <c r="C148" s="306"/>
      <c r="D148" s="306"/>
      <c r="E148" s="308"/>
    </row>
    <row r="149" spans="1:5" ht="31.5" x14ac:dyDescent="0.25">
      <c r="A149" s="310" t="s">
        <v>1638</v>
      </c>
      <c r="B149" s="298">
        <v>845470493</v>
      </c>
      <c r="C149" s="299" t="s">
        <v>7</v>
      </c>
      <c r="D149" s="299" t="s">
        <v>1631</v>
      </c>
      <c r="E149" s="300">
        <v>314649.42</v>
      </c>
    </row>
    <row r="150" spans="1:5" x14ac:dyDescent="0.25">
      <c r="A150" s="299"/>
      <c r="B150" s="303"/>
      <c r="C150" s="299" t="s">
        <v>4634</v>
      </c>
      <c r="D150" s="299" t="s">
        <v>9026</v>
      </c>
      <c r="E150" s="300">
        <v>114131</v>
      </c>
    </row>
    <row r="151" spans="1:5" x14ac:dyDescent="0.25">
      <c r="A151" s="306"/>
      <c r="B151" s="307"/>
      <c r="C151" s="306"/>
      <c r="D151" s="306"/>
      <c r="E151" s="308"/>
    </row>
    <row r="152" spans="1:5" ht="31.5" x14ac:dyDescent="0.25">
      <c r="A152" s="310" t="s">
        <v>165</v>
      </c>
      <c r="B152" s="298">
        <v>8920616000</v>
      </c>
      <c r="C152" s="299" t="s">
        <v>166</v>
      </c>
      <c r="D152" s="299" t="s">
        <v>167</v>
      </c>
      <c r="E152" s="300">
        <v>114271.86</v>
      </c>
    </row>
    <row r="153" spans="1:5" x14ac:dyDescent="0.25">
      <c r="A153" s="299"/>
      <c r="B153" s="303"/>
      <c r="C153" s="299" t="s">
        <v>166</v>
      </c>
      <c r="D153" s="299" t="s">
        <v>7443</v>
      </c>
      <c r="E153" s="300" t="s">
        <v>10798</v>
      </c>
    </row>
    <row r="154" spans="1:5" x14ac:dyDescent="0.25">
      <c r="A154" s="299"/>
      <c r="B154" s="303"/>
      <c r="C154" s="299" t="s">
        <v>168</v>
      </c>
      <c r="D154" s="299" t="s">
        <v>90</v>
      </c>
      <c r="E154" s="300">
        <v>312009</v>
      </c>
    </row>
    <row r="155" spans="1:5" x14ac:dyDescent="0.25">
      <c r="A155" s="299"/>
      <c r="B155" s="303"/>
      <c r="C155" s="299" t="s">
        <v>168</v>
      </c>
      <c r="D155" s="299" t="s">
        <v>170</v>
      </c>
      <c r="E155" s="300">
        <v>486994</v>
      </c>
    </row>
    <row r="156" spans="1:5" x14ac:dyDescent="0.25">
      <c r="A156" s="299"/>
      <c r="B156" s="303"/>
      <c r="C156" s="299" t="s">
        <v>166</v>
      </c>
      <c r="D156" s="299" t="s">
        <v>8906</v>
      </c>
      <c r="E156" s="300">
        <v>248948.29</v>
      </c>
    </row>
    <row r="157" spans="1:5" x14ac:dyDescent="0.25">
      <c r="A157" s="299"/>
      <c r="B157" s="303"/>
      <c r="C157" s="299" t="s">
        <v>166</v>
      </c>
      <c r="D157" s="299" t="s">
        <v>9026</v>
      </c>
      <c r="E157" s="300" t="s">
        <v>10798</v>
      </c>
    </row>
    <row r="158" spans="1:5" x14ac:dyDescent="0.25">
      <c r="A158" s="299"/>
      <c r="B158" s="303"/>
      <c r="C158" s="299" t="s">
        <v>166</v>
      </c>
      <c r="D158" s="299" t="s">
        <v>8884</v>
      </c>
      <c r="E158" s="300" t="s">
        <v>10798</v>
      </c>
    </row>
    <row r="159" spans="1:5" x14ac:dyDescent="0.25">
      <c r="A159" s="306"/>
      <c r="B159" s="307"/>
      <c r="C159" s="306"/>
      <c r="D159" s="306"/>
      <c r="E159" s="308"/>
    </row>
    <row r="160" spans="1:5" ht="31.5" x14ac:dyDescent="0.25">
      <c r="A160" s="310" t="s">
        <v>172</v>
      </c>
      <c r="B160" s="298">
        <v>17215534971</v>
      </c>
      <c r="C160" s="299" t="s">
        <v>1</v>
      </c>
      <c r="D160" s="299" t="s">
        <v>74</v>
      </c>
      <c r="E160" s="300">
        <v>7766749.8399999999</v>
      </c>
    </row>
    <row r="161" spans="1:5" x14ac:dyDescent="0.25">
      <c r="A161" s="299"/>
      <c r="B161" s="303"/>
      <c r="C161" s="299" t="s">
        <v>1</v>
      </c>
      <c r="D161" s="299" t="s">
        <v>3948</v>
      </c>
      <c r="E161" s="300">
        <v>2925150.66</v>
      </c>
    </row>
    <row r="162" spans="1:5" x14ac:dyDescent="0.25">
      <c r="A162" s="299"/>
      <c r="B162" s="303"/>
      <c r="C162" s="299" t="s">
        <v>196</v>
      </c>
      <c r="D162" s="299" t="s">
        <v>3637</v>
      </c>
      <c r="E162" s="300">
        <v>2467510</v>
      </c>
    </row>
    <row r="163" spans="1:5" x14ac:dyDescent="0.25">
      <c r="A163" s="299"/>
      <c r="B163" s="303"/>
      <c r="C163" s="299" t="s">
        <v>56</v>
      </c>
      <c r="D163" s="299" t="s">
        <v>132</v>
      </c>
      <c r="E163" s="300">
        <v>1284592.46</v>
      </c>
    </row>
    <row r="164" spans="1:5" x14ac:dyDescent="0.25">
      <c r="A164" s="306"/>
      <c r="B164" s="307"/>
      <c r="C164" s="306"/>
      <c r="D164" s="306"/>
      <c r="E164" s="308"/>
    </row>
    <row r="165" spans="1:5" ht="31.5" x14ac:dyDescent="0.25">
      <c r="A165" s="310" t="s">
        <v>4146</v>
      </c>
      <c r="B165" s="311">
        <v>6126844604</v>
      </c>
      <c r="C165" s="299" t="s">
        <v>56</v>
      </c>
      <c r="D165" s="299" t="s">
        <v>4137</v>
      </c>
      <c r="E165" s="300">
        <v>111358.31</v>
      </c>
    </row>
    <row r="166" spans="1:5" x14ac:dyDescent="0.25">
      <c r="A166" s="299"/>
      <c r="B166" s="303"/>
      <c r="C166" s="299" t="s">
        <v>161</v>
      </c>
      <c r="D166" s="299" t="s">
        <v>7266</v>
      </c>
      <c r="E166" s="300">
        <v>177040</v>
      </c>
    </row>
    <row r="167" spans="1:5" x14ac:dyDescent="0.25">
      <c r="A167" s="306"/>
      <c r="B167" s="307"/>
      <c r="C167" s="306"/>
      <c r="D167" s="306"/>
      <c r="E167" s="308"/>
    </row>
    <row r="168" spans="1:5" ht="31.5" x14ac:dyDescent="0.25">
      <c r="A168" s="299" t="s">
        <v>175</v>
      </c>
      <c r="B168" s="313">
        <v>71977427000</v>
      </c>
      <c r="C168" s="299" t="s">
        <v>739</v>
      </c>
      <c r="D168" s="299" t="s">
        <v>176</v>
      </c>
      <c r="E168" s="300">
        <v>2122805.2200000002</v>
      </c>
    </row>
    <row r="169" spans="1:5" x14ac:dyDescent="0.25">
      <c r="A169" s="299"/>
      <c r="B169" s="303"/>
      <c r="C169" s="299" t="s">
        <v>161</v>
      </c>
      <c r="D169" s="299" t="s">
        <v>138</v>
      </c>
      <c r="E169" s="300">
        <v>2832503.04</v>
      </c>
    </row>
    <row r="170" spans="1:5" x14ac:dyDescent="0.25">
      <c r="A170" s="299"/>
      <c r="B170" s="303"/>
      <c r="C170" s="299" t="s">
        <v>161</v>
      </c>
      <c r="D170" s="299" t="s">
        <v>180</v>
      </c>
      <c r="E170" s="300">
        <v>371038.5</v>
      </c>
    </row>
    <row r="171" spans="1:5" x14ac:dyDescent="0.25">
      <c r="A171" s="299"/>
      <c r="B171" s="303"/>
      <c r="C171" s="299" t="s">
        <v>161</v>
      </c>
      <c r="D171" s="299" t="s">
        <v>77</v>
      </c>
      <c r="E171" s="300">
        <v>382312</v>
      </c>
    </row>
    <row r="172" spans="1:5" x14ac:dyDescent="0.25">
      <c r="A172" s="299"/>
      <c r="B172" s="303"/>
      <c r="C172" s="299" t="s">
        <v>161</v>
      </c>
      <c r="D172" s="299" t="s">
        <v>182</v>
      </c>
      <c r="E172" s="300">
        <v>2266558.56</v>
      </c>
    </row>
    <row r="173" spans="1:5" x14ac:dyDescent="0.25">
      <c r="A173" s="299"/>
      <c r="B173" s="303"/>
      <c r="C173" s="299" t="s">
        <v>161</v>
      </c>
      <c r="D173" s="299" t="s">
        <v>8786</v>
      </c>
      <c r="E173" s="300">
        <v>1376602</v>
      </c>
    </row>
    <row r="174" spans="1:5" x14ac:dyDescent="0.25">
      <c r="A174" s="299"/>
      <c r="B174" s="303"/>
      <c r="C174" s="299" t="s">
        <v>161</v>
      </c>
      <c r="D174" s="299" t="s">
        <v>8812</v>
      </c>
      <c r="E174" s="300">
        <v>646585.74</v>
      </c>
    </row>
    <row r="175" spans="1:5" x14ac:dyDescent="0.25">
      <c r="A175" s="299"/>
      <c r="B175" s="303"/>
      <c r="C175" s="299" t="s">
        <v>161</v>
      </c>
      <c r="D175" s="299" t="s">
        <v>8818</v>
      </c>
      <c r="E175" s="300">
        <v>4259153.37</v>
      </c>
    </row>
    <row r="176" spans="1:5" x14ac:dyDescent="0.25">
      <c r="A176" s="306"/>
      <c r="B176" s="307"/>
      <c r="C176" s="306"/>
      <c r="D176" s="306"/>
      <c r="E176" s="308"/>
    </row>
    <row r="177" spans="1:5" ht="31.5" x14ac:dyDescent="0.25">
      <c r="A177" s="299" t="s">
        <v>1021</v>
      </c>
      <c r="B177" s="316" t="s">
        <v>10798</v>
      </c>
      <c r="C177" s="299" t="s">
        <v>56</v>
      </c>
      <c r="D177" s="299" t="s">
        <v>138</v>
      </c>
      <c r="E177" s="300">
        <v>1404255.84</v>
      </c>
    </row>
    <row r="178" spans="1:5" x14ac:dyDescent="0.25">
      <c r="A178" s="299"/>
      <c r="B178" s="303"/>
      <c r="C178" s="299" t="s">
        <v>56</v>
      </c>
      <c r="D178" s="299" t="s">
        <v>7475</v>
      </c>
      <c r="E178" s="300">
        <v>225351</v>
      </c>
    </row>
    <row r="179" spans="1:5" x14ac:dyDescent="0.25">
      <c r="A179" s="306"/>
      <c r="B179" s="307"/>
      <c r="C179" s="306"/>
      <c r="D179" s="306"/>
      <c r="E179" s="308"/>
    </row>
    <row r="180" spans="1:5" ht="31.5" x14ac:dyDescent="0.25">
      <c r="A180" s="310" t="s">
        <v>184</v>
      </c>
      <c r="B180" s="309">
        <v>4371150147</v>
      </c>
      <c r="C180" s="299" t="s">
        <v>185</v>
      </c>
      <c r="D180" s="299" t="s">
        <v>22</v>
      </c>
      <c r="E180" s="300">
        <v>2521284</v>
      </c>
    </row>
    <row r="181" spans="1:5" x14ac:dyDescent="0.25">
      <c r="A181" s="299"/>
      <c r="B181" s="303"/>
      <c r="C181" s="299" t="s">
        <v>1</v>
      </c>
      <c r="D181" s="299" t="s">
        <v>187</v>
      </c>
      <c r="E181" s="300">
        <v>471529.17</v>
      </c>
    </row>
    <row r="182" spans="1:5" x14ac:dyDescent="0.25">
      <c r="A182" s="306"/>
      <c r="B182" s="307"/>
      <c r="C182" s="306"/>
      <c r="D182" s="306"/>
      <c r="E182" s="308"/>
    </row>
    <row r="183" spans="1:5" ht="31.5" x14ac:dyDescent="0.25">
      <c r="A183" s="310" t="s">
        <v>3226</v>
      </c>
      <c r="B183" s="309">
        <v>65885338</v>
      </c>
      <c r="C183" s="299" t="s">
        <v>161</v>
      </c>
      <c r="D183" s="299" t="s">
        <v>77</v>
      </c>
      <c r="E183" s="300">
        <v>650415</v>
      </c>
    </row>
    <row r="184" spans="1:5" x14ac:dyDescent="0.25">
      <c r="A184" s="299"/>
      <c r="B184" s="303"/>
      <c r="C184" s="299" t="s">
        <v>166</v>
      </c>
      <c r="D184" s="299" t="s">
        <v>8818</v>
      </c>
      <c r="E184" s="300" t="s">
        <v>10798</v>
      </c>
    </row>
    <row r="185" spans="1:5" x14ac:dyDescent="0.25">
      <c r="A185" s="306"/>
      <c r="B185" s="307"/>
      <c r="C185" s="306"/>
      <c r="D185" s="306"/>
      <c r="E185" s="308"/>
    </row>
    <row r="186" spans="1:5" ht="31.5" x14ac:dyDescent="0.25">
      <c r="A186" s="310" t="s">
        <v>1197</v>
      </c>
      <c r="B186" s="309">
        <v>819290000</v>
      </c>
      <c r="C186" s="299" t="s">
        <v>56</v>
      </c>
      <c r="D186" s="299" t="s">
        <v>1192</v>
      </c>
      <c r="E186" s="300">
        <v>85792.92</v>
      </c>
    </row>
    <row r="187" spans="1:5" x14ac:dyDescent="0.25">
      <c r="A187" s="299"/>
      <c r="B187" s="303"/>
      <c r="C187" s="299" t="s">
        <v>7</v>
      </c>
      <c r="D187" s="299" t="s">
        <v>1814</v>
      </c>
      <c r="E187" s="300">
        <v>54831.47</v>
      </c>
    </row>
    <row r="188" spans="1:5" x14ac:dyDescent="0.25">
      <c r="A188" s="299"/>
      <c r="B188" s="303"/>
      <c r="C188" s="299" t="s">
        <v>56</v>
      </c>
      <c r="D188" s="299" t="s">
        <v>8905</v>
      </c>
      <c r="E188" s="300">
        <v>573898.73</v>
      </c>
    </row>
    <row r="189" spans="1:5" x14ac:dyDescent="0.25">
      <c r="A189" s="306"/>
      <c r="B189" s="307"/>
      <c r="C189" s="306"/>
      <c r="D189" s="306"/>
      <c r="E189" s="308"/>
    </row>
    <row r="190" spans="1:5" ht="31.5" x14ac:dyDescent="0.25">
      <c r="A190" s="299" t="s">
        <v>742</v>
      </c>
      <c r="B190" s="309">
        <v>1130755000</v>
      </c>
      <c r="C190" s="299" t="s">
        <v>7</v>
      </c>
      <c r="D190" s="299" t="s">
        <v>176</v>
      </c>
      <c r="E190" s="300">
        <v>1219956.07</v>
      </c>
    </row>
    <row r="191" spans="1:5" x14ac:dyDescent="0.25">
      <c r="A191" s="299"/>
      <c r="B191" s="303"/>
      <c r="C191" s="299" t="s">
        <v>7</v>
      </c>
      <c r="D191" s="299" t="s">
        <v>8884</v>
      </c>
      <c r="E191" s="300">
        <v>980253.32</v>
      </c>
    </row>
    <row r="192" spans="1:5" x14ac:dyDescent="0.25">
      <c r="A192" s="306"/>
      <c r="B192" s="307"/>
      <c r="C192" s="306"/>
      <c r="D192" s="306"/>
      <c r="E192" s="308"/>
    </row>
    <row r="193" spans="1:5" ht="47.25" x14ac:dyDescent="0.25">
      <c r="A193" s="310" t="s">
        <v>189</v>
      </c>
      <c r="B193" s="309">
        <v>376630000</v>
      </c>
      <c r="C193" s="299" t="s">
        <v>7</v>
      </c>
      <c r="D193" s="299" t="s">
        <v>190</v>
      </c>
      <c r="E193" s="300">
        <v>162625.68</v>
      </c>
    </row>
    <row r="194" spans="1:5" x14ac:dyDescent="0.25">
      <c r="A194" s="299"/>
      <c r="B194" s="303"/>
      <c r="C194" s="299" t="s">
        <v>192</v>
      </c>
      <c r="D194" s="299" t="s">
        <v>193</v>
      </c>
      <c r="E194" s="300">
        <v>339133.77</v>
      </c>
    </row>
    <row r="195" spans="1:5" x14ac:dyDescent="0.25">
      <c r="A195" s="299"/>
      <c r="B195" s="303"/>
      <c r="C195" s="299" t="s">
        <v>7</v>
      </c>
      <c r="D195" s="299" t="s">
        <v>8780</v>
      </c>
      <c r="E195" s="300">
        <v>180622.34</v>
      </c>
    </row>
    <row r="196" spans="1:5" x14ac:dyDescent="0.25">
      <c r="A196" s="299"/>
      <c r="B196" s="303"/>
      <c r="C196" s="299" t="s">
        <v>192</v>
      </c>
      <c r="D196" s="299" t="s">
        <v>8897</v>
      </c>
      <c r="E196" s="300">
        <v>595744.09</v>
      </c>
    </row>
    <row r="197" spans="1:5" x14ac:dyDescent="0.25">
      <c r="A197" s="306"/>
      <c r="B197" s="307"/>
      <c r="C197" s="306"/>
      <c r="D197" s="306"/>
      <c r="E197" s="308"/>
    </row>
    <row r="198" spans="1:5" ht="31.5" x14ac:dyDescent="0.25">
      <c r="A198" s="297" t="s">
        <v>839</v>
      </c>
      <c r="B198" s="311">
        <v>2491966000</v>
      </c>
      <c r="C198" s="299" t="s">
        <v>104</v>
      </c>
      <c r="D198" s="299" t="s">
        <v>66</v>
      </c>
      <c r="E198" s="300">
        <v>894552.73</v>
      </c>
    </row>
    <row r="199" spans="1:5" x14ac:dyDescent="0.25">
      <c r="A199" s="299"/>
      <c r="B199" s="303"/>
      <c r="C199" s="299" t="s">
        <v>104</v>
      </c>
      <c r="D199" s="299" t="s">
        <v>8897</v>
      </c>
      <c r="E199" s="300">
        <v>694174.71999999997</v>
      </c>
    </row>
    <row r="200" spans="1:5" x14ac:dyDescent="0.25">
      <c r="A200" s="306"/>
      <c r="B200" s="307"/>
      <c r="C200" s="306"/>
      <c r="D200" s="306"/>
      <c r="E200" s="308"/>
    </row>
    <row r="201" spans="1:5" ht="63" x14ac:dyDescent="0.25">
      <c r="A201" s="297" t="s">
        <v>1993</v>
      </c>
      <c r="B201" s="317" t="s">
        <v>10798</v>
      </c>
      <c r="C201" s="299" t="s">
        <v>7</v>
      </c>
      <c r="D201" s="299" t="s">
        <v>1989</v>
      </c>
      <c r="E201" s="300">
        <v>193034.37</v>
      </c>
    </row>
    <row r="202" spans="1:5" x14ac:dyDescent="0.25">
      <c r="A202" s="299"/>
      <c r="B202" s="303"/>
      <c r="C202" s="299" t="s">
        <v>7</v>
      </c>
      <c r="D202" s="299" t="s">
        <v>8244</v>
      </c>
      <c r="E202" s="300">
        <v>83828.59</v>
      </c>
    </row>
    <row r="203" spans="1:5" x14ac:dyDescent="0.25">
      <c r="A203" s="306"/>
      <c r="B203" s="307"/>
      <c r="C203" s="306"/>
      <c r="D203" s="306"/>
      <c r="E203" s="308"/>
    </row>
    <row r="204" spans="1:5" ht="31.5" x14ac:dyDescent="0.25">
      <c r="A204" s="297" t="s">
        <v>2932</v>
      </c>
      <c r="B204" s="317" t="s">
        <v>10798</v>
      </c>
      <c r="C204" s="299" t="s">
        <v>7</v>
      </c>
      <c r="D204" s="299" t="s">
        <v>2917</v>
      </c>
      <c r="E204" s="300">
        <v>24251.94</v>
      </c>
    </row>
    <row r="205" spans="1:5" x14ac:dyDescent="0.25">
      <c r="A205" s="297"/>
      <c r="B205" s="311"/>
      <c r="C205" s="299" t="s">
        <v>34</v>
      </c>
      <c r="D205" s="299" t="s">
        <v>8857</v>
      </c>
      <c r="E205" s="300">
        <v>30560.47</v>
      </c>
    </row>
    <row r="206" spans="1:5" x14ac:dyDescent="0.25">
      <c r="A206" s="299"/>
      <c r="B206" s="303"/>
      <c r="C206" s="299" t="s">
        <v>7</v>
      </c>
      <c r="D206" s="299" t="s">
        <v>8784</v>
      </c>
      <c r="E206" s="300">
        <v>34536.839999999997</v>
      </c>
    </row>
    <row r="207" spans="1:5" x14ac:dyDescent="0.25">
      <c r="A207" s="306"/>
      <c r="B207" s="307"/>
      <c r="C207" s="306"/>
      <c r="D207" s="306"/>
      <c r="E207" s="308"/>
    </row>
    <row r="208" spans="1:5" ht="47.25" x14ac:dyDescent="0.25">
      <c r="A208" s="310" t="s">
        <v>195</v>
      </c>
      <c r="B208" s="313">
        <v>661260000</v>
      </c>
      <c r="C208" s="299" t="s">
        <v>196</v>
      </c>
      <c r="D208" s="299" t="s">
        <v>197</v>
      </c>
      <c r="E208" s="300">
        <v>141641</v>
      </c>
    </row>
    <row r="209" spans="1:5" x14ac:dyDescent="0.25">
      <c r="A209" s="299"/>
      <c r="B209" s="303"/>
      <c r="C209" s="299" t="s">
        <v>199</v>
      </c>
      <c r="D209" s="299" t="s">
        <v>66</v>
      </c>
      <c r="E209" s="300">
        <v>199927.17</v>
      </c>
    </row>
    <row r="210" spans="1:5" x14ac:dyDescent="0.25">
      <c r="A210" s="306"/>
      <c r="B210" s="307"/>
      <c r="C210" s="306"/>
      <c r="D210" s="306"/>
      <c r="E210" s="308"/>
    </row>
    <row r="211" spans="1:5" ht="47.25" x14ac:dyDescent="0.25">
      <c r="A211" s="310" t="s">
        <v>201</v>
      </c>
      <c r="B211" s="309">
        <v>365401448</v>
      </c>
      <c r="C211" s="299" t="s">
        <v>4392</v>
      </c>
      <c r="D211" s="299" t="s">
        <v>204</v>
      </c>
      <c r="E211" s="300">
        <v>123862</v>
      </c>
    </row>
    <row r="212" spans="1:5" x14ac:dyDescent="0.25">
      <c r="A212" s="299"/>
      <c r="B212" s="303"/>
      <c r="C212" s="299" t="s">
        <v>4392</v>
      </c>
      <c r="D212" s="299" t="s">
        <v>202</v>
      </c>
      <c r="E212" s="300">
        <v>335053.02</v>
      </c>
    </row>
    <row r="213" spans="1:5" x14ac:dyDescent="0.25">
      <c r="A213" s="299"/>
      <c r="B213" s="303"/>
      <c r="C213" s="299" t="s">
        <v>682</v>
      </c>
      <c r="D213" s="299" t="s">
        <v>7266</v>
      </c>
      <c r="E213" s="300">
        <v>486053.75</v>
      </c>
    </row>
    <row r="214" spans="1:5" ht="31.5" x14ac:dyDescent="0.25">
      <c r="A214" s="299"/>
      <c r="B214" s="303"/>
      <c r="C214" s="299" t="s">
        <v>8996</v>
      </c>
      <c r="D214" s="299" t="s">
        <v>8791</v>
      </c>
      <c r="E214" s="300">
        <v>175302.13</v>
      </c>
    </row>
    <row r="215" spans="1:5" x14ac:dyDescent="0.25">
      <c r="A215" s="299"/>
      <c r="B215" s="303"/>
      <c r="C215" s="299" t="s">
        <v>4392</v>
      </c>
      <c r="D215" s="299" t="s">
        <v>8874</v>
      </c>
      <c r="E215" s="300">
        <v>246302.81</v>
      </c>
    </row>
    <row r="216" spans="1:5" x14ac:dyDescent="0.25">
      <c r="A216" s="306"/>
      <c r="B216" s="307"/>
      <c r="C216" s="306"/>
      <c r="D216" s="306"/>
      <c r="E216" s="308"/>
    </row>
    <row r="217" spans="1:5" ht="31.5" x14ac:dyDescent="0.25">
      <c r="A217" s="297" t="s">
        <v>206</v>
      </c>
      <c r="B217" s="309">
        <v>395220000</v>
      </c>
      <c r="C217" s="299" t="s">
        <v>207</v>
      </c>
      <c r="D217" s="299" t="s">
        <v>204</v>
      </c>
      <c r="E217" s="300">
        <v>601702.18000000005</v>
      </c>
    </row>
    <row r="218" spans="1:5" x14ac:dyDescent="0.25">
      <c r="A218" s="299"/>
      <c r="B218" s="303"/>
      <c r="C218" s="299" t="s">
        <v>79</v>
      </c>
      <c r="D218" s="299" t="s">
        <v>107</v>
      </c>
      <c r="E218" s="300">
        <v>1684612</v>
      </c>
    </row>
    <row r="219" spans="1:5" x14ac:dyDescent="0.25">
      <c r="A219" s="299"/>
      <c r="B219" s="303"/>
      <c r="C219" s="299" t="s">
        <v>79</v>
      </c>
      <c r="D219" s="299" t="s">
        <v>7201</v>
      </c>
      <c r="E219" s="300">
        <v>320889</v>
      </c>
    </row>
    <row r="220" spans="1:5" x14ac:dyDescent="0.25">
      <c r="A220" s="299"/>
      <c r="B220" s="303"/>
      <c r="C220" s="299" t="s">
        <v>10877</v>
      </c>
      <c r="D220" s="299" t="s">
        <v>7389</v>
      </c>
      <c r="E220" s="300">
        <v>616622</v>
      </c>
    </row>
    <row r="221" spans="1:5" x14ac:dyDescent="0.25">
      <c r="A221" s="299"/>
      <c r="B221" s="303"/>
      <c r="C221" s="299" t="s">
        <v>79</v>
      </c>
      <c r="D221" s="299" t="s">
        <v>8915</v>
      </c>
      <c r="E221" s="300">
        <v>124360</v>
      </c>
    </row>
    <row r="222" spans="1:5" x14ac:dyDescent="0.25">
      <c r="A222" s="306"/>
      <c r="B222" s="307"/>
      <c r="C222" s="306"/>
      <c r="D222" s="306"/>
      <c r="E222" s="308"/>
    </row>
    <row r="223" spans="1:5" ht="31.5" x14ac:dyDescent="0.25">
      <c r="A223" s="310" t="s">
        <v>210</v>
      </c>
      <c r="B223" s="309">
        <v>517000</v>
      </c>
      <c r="C223" s="299" t="s">
        <v>7</v>
      </c>
      <c r="D223" s="299" t="s">
        <v>211</v>
      </c>
      <c r="E223" s="300">
        <v>97003.14</v>
      </c>
    </row>
    <row r="224" spans="1:5" x14ac:dyDescent="0.25">
      <c r="A224" s="299"/>
      <c r="B224" s="303"/>
      <c r="C224" s="299" t="s">
        <v>7</v>
      </c>
      <c r="D224" s="299" t="s">
        <v>187</v>
      </c>
      <c r="E224" s="300">
        <v>72196.53</v>
      </c>
    </row>
    <row r="225" spans="1:5" x14ac:dyDescent="0.25">
      <c r="A225" s="299"/>
      <c r="B225" s="303"/>
      <c r="C225" s="299" t="s">
        <v>1</v>
      </c>
      <c r="D225" s="299" t="s">
        <v>8868</v>
      </c>
      <c r="E225" s="300" t="s">
        <v>10798</v>
      </c>
    </row>
    <row r="226" spans="1:5" x14ac:dyDescent="0.25">
      <c r="A226" s="306"/>
      <c r="B226" s="307"/>
      <c r="C226" s="306"/>
      <c r="D226" s="306"/>
      <c r="E226" s="308"/>
    </row>
    <row r="227" spans="1:5" x14ac:dyDescent="0.25">
      <c r="A227" s="297" t="s">
        <v>1334</v>
      </c>
      <c r="B227" s="316" t="s">
        <v>10798</v>
      </c>
      <c r="C227" s="299" t="s">
        <v>79</v>
      </c>
      <c r="D227" s="299" t="s">
        <v>107</v>
      </c>
      <c r="E227" s="300">
        <v>1526000</v>
      </c>
    </row>
    <row r="228" spans="1:5" x14ac:dyDescent="0.25">
      <c r="A228" s="299"/>
      <c r="B228" s="303"/>
      <c r="C228" s="299" t="s">
        <v>79</v>
      </c>
      <c r="D228" s="299" t="s">
        <v>7201</v>
      </c>
      <c r="E228" s="300">
        <v>152925</v>
      </c>
    </row>
    <row r="229" spans="1:5" x14ac:dyDescent="0.25">
      <c r="A229" s="299"/>
      <c r="B229" s="303"/>
      <c r="C229" s="299" t="s">
        <v>10877</v>
      </c>
      <c r="D229" s="299" t="s">
        <v>7389</v>
      </c>
      <c r="E229" s="300">
        <v>539992</v>
      </c>
    </row>
    <row r="230" spans="1:5" x14ac:dyDescent="0.25">
      <c r="A230" s="299"/>
      <c r="B230" s="303"/>
      <c r="C230" s="299" t="s">
        <v>79</v>
      </c>
      <c r="D230" s="299" t="s">
        <v>8867</v>
      </c>
      <c r="E230" s="300">
        <v>266683</v>
      </c>
    </row>
    <row r="231" spans="1:5" x14ac:dyDescent="0.25">
      <c r="A231" s="299"/>
      <c r="B231" s="303"/>
      <c r="C231" s="299" t="s">
        <v>79</v>
      </c>
      <c r="D231" s="299" t="s">
        <v>8915</v>
      </c>
      <c r="E231" s="300">
        <v>58598</v>
      </c>
    </row>
    <row r="232" spans="1:5" x14ac:dyDescent="0.25">
      <c r="A232" s="306"/>
      <c r="B232" s="307"/>
      <c r="C232" s="306"/>
      <c r="D232" s="306"/>
      <c r="E232" s="308"/>
    </row>
    <row r="233" spans="1:5" ht="31.5" x14ac:dyDescent="0.25">
      <c r="A233" s="310" t="s">
        <v>214</v>
      </c>
      <c r="B233" s="313">
        <v>1623000000</v>
      </c>
      <c r="C233" s="299" t="s">
        <v>104</v>
      </c>
      <c r="D233" s="299" t="s">
        <v>170</v>
      </c>
      <c r="E233" s="300">
        <v>1943593.45</v>
      </c>
    </row>
    <row r="234" spans="1:5" x14ac:dyDescent="0.25">
      <c r="A234" s="299"/>
      <c r="B234" s="303"/>
      <c r="C234" s="299" t="s">
        <v>109</v>
      </c>
      <c r="D234" s="299" t="s">
        <v>216</v>
      </c>
      <c r="E234" s="300">
        <v>290856</v>
      </c>
    </row>
    <row r="235" spans="1:5" x14ac:dyDescent="0.25">
      <c r="A235" s="306"/>
      <c r="B235" s="307"/>
      <c r="C235" s="306"/>
      <c r="D235" s="306"/>
      <c r="E235" s="308"/>
    </row>
    <row r="236" spans="1:5" x14ac:dyDescent="0.25">
      <c r="A236" s="299" t="s">
        <v>218</v>
      </c>
      <c r="B236" s="313">
        <v>242262242175</v>
      </c>
      <c r="C236" s="299" t="s">
        <v>161</v>
      </c>
      <c r="D236" s="299" t="s">
        <v>7227</v>
      </c>
      <c r="E236" s="300">
        <v>3926958.93</v>
      </c>
    </row>
    <row r="237" spans="1:5" x14ac:dyDescent="0.25">
      <c r="A237" s="299"/>
      <c r="B237" s="303"/>
      <c r="C237" s="299" t="s">
        <v>161</v>
      </c>
      <c r="D237" s="299" t="s">
        <v>30</v>
      </c>
      <c r="E237" s="300">
        <v>1248176.04</v>
      </c>
    </row>
    <row r="238" spans="1:5" x14ac:dyDescent="0.25">
      <c r="A238" s="299"/>
      <c r="B238" s="303"/>
      <c r="C238" s="299" t="s">
        <v>161</v>
      </c>
      <c r="D238" s="299" t="s">
        <v>221</v>
      </c>
      <c r="E238" s="300">
        <v>9799353.5500000007</v>
      </c>
    </row>
    <row r="239" spans="1:5" x14ac:dyDescent="0.25">
      <c r="A239" s="299"/>
      <c r="B239" s="303"/>
      <c r="C239" s="299" t="s">
        <v>161</v>
      </c>
      <c r="D239" s="299" t="s">
        <v>7090</v>
      </c>
      <c r="E239" s="300">
        <v>13166113.43</v>
      </c>
    </row>
    <row r="240" spans="1:5" x14ac:dyDescent="0.25">
      <c r="A240" s="299"/>
      <c r="B240" s="303"/>
      <c r="C240" s="299" t="s">
        <v>161</v>
      </c>
      <c r="D240" s="299" t="s">
        <v>7155</v>
      </c>
      <c r="E240" s="300">
        <v>320934.02</v>
      </c>
    </row>
    <row r="241" spans="1:5" x14ac:dyDescent="0.25">
      <c r="A241" s="299"/>
      <c r="B241" s="303"/>
      <c r="C241" s="299" t="s">
        <v>161</v>
      </c>
      <c r="D241" s="299" t="s">
        <v>182</v>
      </c>
      <c r="E241" s="300">
        <v>242278.66</v>
      </c>
    </row>
    <row r="242" spans="1:5" x14ac:dyDescent="0.25">
      <c r="A242" s="299"/>
      <c r="B242" s="303"/>
      <c r="C242" s="299" t="s">
        <v>161</v>
      </c>
      <c r="D242" s="299" t="s">
        <v>8867</v>
      </c>
      <c r="E242" s="300">
        <v>9099753.6699999999</v>
      </c>
    </row>
    <row r="243" spans="1:5" x14ac:dyDescent="0.25">
      <c r="A243" s="306"/>
      <c r="B243" s="307"/>
      <c r="C243" s="306"/>
      <c r="D243" s="306"/>
      <c r="E243" s="308"/>
    </row>
    <row r="244" spans="1:5" ht="31.5" x14ac:dyDescent="0.25">
      <c r="A244" s="310" t="s">
        <v>1461</v>
      </c>
      <c r="B244" s="309">
        <v>2072954439</v>
      </c>
      <c r="C244" s="299" t="s">
        <v>56</v>
      </c>
      <c r="D244" s="299" t="s">
        <v>16</v>
      </c>
      <c r="E244" s="300">
        <v>318274.53999999998</v>
      </c>
    </row>
    <row r="245" spans="1:5" x14ac:dyDescent="0.25">
      <c r="A245" s="299"/>
      <c r="B245" s="303"/>
      <c r="C245" s="299" t="s">
        <v>7</v>
      </c>
      <c r="D245" s="299" t="s">
        <v>6921</v>
      </c>
      <c r="E245" s="300">
        <v>3344034.11</v>
      </c>
    </row>
    <row r="246" spans="1:5" x14ac:dyDescent="0.25">
      <c r="A246" s="306"/>
      <c r="B246" s="307"/>
      <c r="C246" s="306"/>
      <c r="D246" s="306"/>
      <c r="E246" s="308"/>
    </row>
    <row r="247" spans="1:5" ht="31.5" x14ac:dyDescent="0.25">
      <c r="A247" s="310" t="s">
        <v>223</v>
      </c>
      <c r="B247" s="311">
        <v>5000000000</v>
      </c>
      <c r="C247" s="299" t="s">
        <v>224</v>
      </c>
      <c r="D247" s="299" t="s">
        <v>40</v>
      </c>
      <c r="E247" s="300">
        <v>365183.24</v>
      </c>
    </row>
    <row r="248" spans="1:5" x14ac:dyDescent="0.25">
      <c r="A248" s="299"/>
      <c r="B248" s="303"/>
      <c r="C248" s="299" t="s">
        <v>7</v>
      </c>
      <c r="D248" s="299" t="s">
        <v>159</v>
      </c>
      <c r="E248" s="300">
        <v>85520.33</v>
      </c>
    </row>
    <row r="249" spans="1:5" ht="31.5" x14ac:dyDescent="0.25">
      <c r="A249" s="299"/>
      <c r="B249" s="303"/>
      <c r="C249" s="299" t="s">
        <v>9819</v>
      </c>
      <c r="D249" s="299" t="s">
        <v>8867</v>
      </c>
      <c r="E249" s="300">
        <v>1659520.47</v>
      </c>
    </row>
    <row r="250" spans="1:5" x14ac:dyDescent="0.25">
      <c r="A250" s="306"/>
      <c r="B250" s="307"/>
      <c r="C250" s="306"/>
      <c r="D250" s="306"/>
      <c r="E250" s="308"/>
    </row>
    <row r="251" spans="1:5" ht="31.5" x14ac:dyDescent="0.25">
      <c r="A251" s="310" t="s">
        <v>10861</v>
      </c>
      <c r="B251" s="311">
        <v>460477201</v>
      </c>
      <c r="C251" s="299" t="s">
        <v>70</v>
      </c>
      <c r="D251" s="299" t="s">
        <v>71</v>
      </c>
      <c r="E251" s="300">
        <v>202681.74</v>
      </c>
    </row>
    <row r="252" spans="1:5" x14ac:dyDescent="0.25">
      <c r="A252" s="299"/>
      <c r="B252" s="303"/>
      <c r="C252" s="299" t="s">
        <v>682</v>
      </c>
      <c r="D252" s="299" t="s">
        <v>8812</v>
      </c>
      <c r="E252" s="300">
        <v>260518.02</v>
      </c>
    </row>
    <row r="253" spans="1:5" x14ac:dyDescent="0.25">
      <c r="A253" s="299"/>
      <c r="B253" s="303"/>
      <c r="C253" s="299" t="s">
        <v>7</v>
      </c>
      <c r="D253" s="299" t="s">
        <v>8915</v>
      </c>
      <c r="E253" s="300">
        <v>155731.41</v>
      </c>
    </row>
    <row r="254" spans="1:5" x14ac:dyDescent="0.25">
      <c r="A254" s="306"/>
      <c r="B254" s="307"/>
      <c r="C254" s="306"/>
      <c r="D254" s="306"/>
      <c r="E254" s="308"/>
    </row>
    <row r="255" spans="1:5" ht="63" x14ac:dyDescent="0.25">
      <c r="A255" s="310" t="s">
        <v>227</v>
      </c>
      <c r="B255" s="313">
        <v>5700000000</v>
      </c>
      <c r="C255" s="299" t="s">
        <v>56</v>
      </c>
      <c r="D255" s="299" t="s">
        <v>90</v>
      </c>
      <c r="E255" s="300">
        <v>231937.55</v>
      </c>
    </row>
    <row r="256" spans="1:5" x14ac:dyDescent="0.25">
      <c r="A256" s="299"/>
      <c r="B256" s="303"/>
      <c r="C256" s="299" t="s">
        <v>56</v>
      </c>
      <c r="D256" s="299" t="s">
        <v>6957</v>
      </c>
      <c r="E256" s="300">
        <v>371023.15</v>
      </c>
    </row>
    <row r="257" spans="1:5" x14ac:dyDescent="0.25">
      <c r="A257" s="299"/>
      <c r="B257" s="303"/>
      <c r="C257" s="299" t="s">
        <v>7</v>
      </c>
      <c r="D257" s="299" t="s">
        <v>42</v>
      </c>
      <c r="E257" s="300">
        <v>367454.57</v>
      </c>
    </row>
    <row r="258" spans="1:5" x14ac:dyDescent="0.25">
      <c r="A258" s="306"/>
      <c r="B258" s="307"/>
      <c r="C258" s="306"/>
      <c r="D258" s="306"/>
      <c r="E258" s="308"/>
    </row>
    <row r="259" spans="1:5" ht="31.5" x14ac:dyDescent="0.25">
      <c r="A259" s="299" t="s">
        <v>230</v>
      </c>
      <c r="B259" s="309">
        <v>3844157</v>
      </c>
      <c r="C259" s="299" t="s">
        <v>79</v>
      </c>
      <c r="D259" s="299" t="s">
        <v>163</v>
      </c>
      <c r="E259" s="300">
        <v>50020</v>
      </c>
    </row>
    <row r="260" spans="1:5" x14ac:dyDescent="0.25">
      <c r="A260" s="299"/>
      <c r="C260" s="299" t="s">
        <v>79</v>
      </c>
      <c r="D260" s="299" t="s">
        <v>71</v>
      </c>
      <c r="E260" s="300">
        <v>52823</v>
      </c>
    </row>
    <row r="261" spans="1:5" x14ac:dyDescent="0.25">
      <c r="A261" s="306"/>
      <c r="B261" s="307"/>
      <c r="C261" s="306"/>
      <c r="D261" s="306"/>
      <c r="E261" s="308"/>
    </row>
    <row r="262" spans="1:5" ht="31.5" x14ac:dyDescent="0.25">
      <c r="A262" s="299" t="s">
        <v>233</v>
      </c>
      <c r="B262" s="309">
        <v>2910465956</v>
      </c>
      <c r="C262" s="299" t="s">
        <v>1</v>
      </c>
      <c r="D262" s="299" t="s">
        <v>234</v>
      </c>
      <c r="E262" s="300">
        <v>198570.14</v>
      </c>
    </row>
    <row r="263" spans="1:5" x14ac:dyDescent="0.25">
      <c r="A263" s="299"/>
      <c r="B263" s="303"/>
      <c r="C263" s="299" t="s">
        <v>1</v>
      </c>
      <c r="D263" s="299" t="s">
        <v>197</v>
      </c>
      <c r="E263" s="300">
        <v>283462.5</v>
      </c>
    </row>
    <row r="264" spans="1:5" x14ac:dyDescent="0.25">
      <c r="A264" s="299"/>
      <c r="B264" s="303"/>
      <c r="C264" s="299" t="s">
        <v>1</v>
      </c>
      <c r="D264" s="299" t="s">
        <v>8849</v>
      </c>
      <c r="E264" s="300">
        <v>67658</v>
      </c>
    </row>
    <row r="265" spans="1:5" x14ac:dyDescent="0.25">
      <c r="A265" s="299"/>
      <c r="B265" s="303"/>
      <c r="C265" s="299" t="s">
        <v>1</v>
      </c>
      <c r="D265" s="299" t="s">
        <v>8812</v>
      </c>
      <c r="E265" s="300">
        <v>1292324.54</v>
      </c>
    </row>
    <row r="266" spans="1:5" x14ac:dyDescent="0.25">
      <c r="A266" s="306"/>
      <c r="B266" s="307"/>
      <c r="C266" s="306"/>
      <c r="D266" s="306"/>
      <c r="E266" s="308"/>
    </row>
    <row r="267" spans="1:5" ht="31.5" x14ac:dyDescent="0.25">
      <c r="A267" s="297" t="s">
        <v>237</v>
      </c>
      <c r="B267" s="309">
        <v>13368876480</v>
      </c>
      <c r="C267" s="299" t="s">
        <v>5040</v>
      </c>
      <c r="D267" s="299" t="s">
        <v>239</v>
      </c>
      <c r="E267" s="300">
        <v>9913168</v>
      </c>
    </row>
    <row r="268" spans="1:5" x14ac:dyDescent="0.25">
      <c r="A268" s="299"/>
      <c r="B268" s="303"/>
      <c r="C268" s="299" t="s">
        <v>79</v>
      </c>
      <c r="D268" s="299" t="s">
        <v>241</v>
      </c>
      <c r="E268" s="300">
        <v>12855132</v>
      </c>
    </row>
    <row r="269" spans="1:5" x14ac:dyDescent="0.25">
      <c r="A269" s="306"/>
      <c r="B269" s="307"/>
      <c r="C269" s="306"/>
      <c r="D269" s="306"/>
      <c r="E269" s="308"/>
    </row>
    <row r="270" spans="1:5" x14ac:dyDescent="0.25">
      <c r="A270" s="299" t="s">
        <v>243</v>
      </c>
      <c r="B270" s="309">
        <v>84117650000</v>
      </c>
      <c r="C270" s="299" t="s">
        <v>161</v>
      </c>
      <c r="D270" s="299" t="s">
        <v>246</v>
      </c>
      <c r="E270" s="300">
        <v>2719251.99</v>
      </c>
    </row>
    <row r="271" spans="1:5" x14ac:dyDescent="0.25">
      <c r="A271" s="299"/>
      <c r="B271" s="303"/>
      <c r="C271" s="299" t="s">
        <v>161</v>
      </c>
      <c r="D271" s="299" t="s">
        <v>138</v>
      </c>
      <c r="E271" s="300">
        <v>2037041.09</v>
      </c>
    </row>
    <row r="272" spans="1:5" x14ac:dyDescent="0.25">
      <c r="A272" s="299"/>
      <c r="B272" s="303"/>
      <c r="C272" s="299" t="s">
        <v>161</v>
      </c>
      <c r="D272" s="299" t="s">
        <v>246</v>
      </c>
      <c r="E272" s="300">
        <v>1105481.8899999999</v>
      </c>
    </row>
    <row r="273" spans="1:5" ht="31.5" x14ac:dyDescent="0.25">
      <c r="A273" s="299"/>
      <c r="B273" s="303"/>
      <c r="C273" s="299" t="s">
        <v>119</v>
      </c>
      <c r="D273" s="299" t="s">
        <v>40</v>
      </c>
      <c r="E273" s="300">
        <v>1633650.84</v>
      </c>
    </row>
    <row r="274" spans="1:5" ht="31.5" x14ac:dyDescent="0.25">
      <c r="A274" s="299"/>
      <c r="B274" s="303"/>
      <c r="C274" s="299" t="s">
        <v>15</v>
      </c>
      <c r="D274" s="299" t="s">
        <v>246</v>
      </c>
      <c r="E274" s="300">
        <v>2719251.99</v>
      </c>
    </row>
    <row r="275" spans="1:5" x14ac:dyDescent="0.25">
      <c r="A275" s="306"/>
      <c r="B275" s="307"/>
      <c r="C275" s="306"/>
      <c r="D275" s="306"/>
      <c r="E275" s="308"/>
    </row>
    <row r="276" spans="1:5" ht="31.5" x14ac:dyDescent="0.25">
      <c r="A276" s="310" t="s">
        <v>249</v>
      </c>
      <c r="B276" s="309">
        <v>28766141000</v>
      </c>
      <c r="C276" s="299" t="s">
        <v>4634</v>
      </c>
      <c r="D276" s="299" t="s">
        <v>252</v>
      </c>
      <c r="E276" s="300">
        <v>796029</v>
      </c>
    </row>
    <row r="277" spans="1:5" ht="31.5" x14ac:dyDescent="0.25">
      <c r="A277" s="299"/>
      <c r="B277" s="303"/>
      <c r="C277" s="299" t="s">
        <v>10878</v>
      </c>
      <c r="D277" s="299" t="s">
        <v>120</v>
      </c>
      <c r="E277" s="300">
        <v>1963181.72</v>
      </c>
    </row>
    <row r="278" spans="1:5" x14ac:dyDescent="0.25">
      <c r="A278" s="299"/>
      <c r="B278" s="303"/>
      <c r="C278" s="299" t="s">
        <v>1</v>
      </c>
      <c r="D278" s="299" t="s">
        <v>3411</v>
      </c>
      <c r="E278" s="300">
        <v>3610647.72</v>
      </c>
    </row>
    <row r="279" spans="1:5" x14ac:dyDescent="0.25">
      <c r="A279" s="299"/>
      <c r="B279" s="303"/>
      <c r="C279" s="299" t="s">
        <v>1</v>
      </c>
      <c r="D279" s="299" t="s">
        <v>44</v>
      </c>
      <c r="E279" s="300">
        <v>11603934.529999999</v>
      </c>
    </row>
    <row r="280" spans="1:5" x14ac:dyDescent="0.25">
      <c r="A280" s="299"/>
      <c r="B280" s="303"/>
      <c r="C280" s="299" t="s">
        <v>4392</v>
      </c>
      <c r="D280" s="299" t="s">
        <v>257</v>
      </c>
      <c r="E280" s="300">
        <v>6441574.3799999999</v>
      </c>
    </row>
    <row r="281" spans="1:5" ht="31.5" x14ac:dyDescent="0.25">
      <c r="A281" s="299"/>
      <c r="B281" s="303"/>
      <c r="C281" s="299" t="s">
        <v>10842</v>
      </c>
      <c r="D281" s="299" t="s">
        <v>246</v>
      </c>
      <c r="E281" s="300">
        <v>10697807.74</v>
      </c>
    </row>
    <row r="282" spans="1:5" x14ac:dyDescent="0.25">
      <c r="A282" s="299"/>
      <c r="B282" s="303"/>
      <c r="C282" s="299" t="s">
        <v>56</v>
      </c>
      <c r="D282" s="299" t="s">
        <v>6751</v>
      </c>
      <c r="E282" s="300">
        <v>2828044.92</v>
      </c>
    </row>
    <row r="283" spans="1:5" x14ac:dyDescent="0.25">
      <c r="A283" s="299"/>
      <c r="B283" s="303"/>
      <c r="C283" s="299" t="s">
        <v>168</v>
      </c>
      <c r="D283" s="299" t="s">
        <v>259</v>
      </c>
      <c r="E283" s="300">
        <v>5439420</v>
      </c>
    </row>
    <row r="284" spans="1:5" ht="31.5" x14ac:dyDescent="0.25">
      <c r="A284" s="299"/>
      <c r="B284" s="303"/>
      <c r="C284" s="299" t="s">
        <v>10842</v>
      </c>
      <c r="D284" s="299" t="s">
        <v>8786</v>
      </c>
      <c r="E284" s="300">
        <v>1894661.44</v>
      </c>
    </row>
    <row r="285" spans="1:5" x14ac:dyDescent="0.25">
      <c r="A285" s="299"/>
      <c r="B285" s="303"/>
      <c r="C285" s="299" t="s">
        <v>4392</v>
      </c>
      <c r="D285" s="299" t="s">
        <v>8789</v>
      </c>
      <c r="E285" s="300">
        <v>2183026.4900000002</v>
      </c>
    </row>
    <row r="286" spans="1:5" x14ac:dyDescent="0.25">
      <c r="A286" s="299"/>
      <c r="B286" s="303"/>
      <c r="C286" s="299" t="s">
        <v>4634</v>
      </c>
      <c r="D286" s="299" t="s">
        <v>9026</v>
      </c>
      <c r="E286" s="300">
        <v>1702598</v>
      </c>
    </row>
    <row r="287" spans="1:5" x14ac:dyDescent="0.25">
      <c r="A287" s="299"/>
      <c r="B287" s="303"/>
      <c r="C287" s="299" t="s">
        <v>1</v>
      </c>
      <c r="D287" s="299" t="s">
        <v>1819</v>
      </c>
      <c r="E287" s="300">
        <v>1548943</v>
      </c>
    </row>
    <row r="288" spans="1:5" x14ac:dyDescent="0.25">
      <c r="A288" s="299"/>
      <c r="B288" s="303"/>
      <c r="C288" s="299" t="s">
        <v>1</v>
      </c>
      <c r="D288" s="299" t="s">
        <v>8864</v>
      </c>
      <c r="E288" s="300">
        <v>3232688.67</v>
      </c>
    </row>
    <row r="289" spans="1:5" x14ac:dyDescent="0.25">
      <c r="A289" s="306"/>
      <c r="B289" s="307"/>
      <c r="C289" s="306"/>
      <c r="D289" s="306"/>
      <c r="E289" s="308"/>
    </row>
    <row r="290" spans="1:5" x14ac:dyDescent="0.25">
      <c r="A290" s="297" t="s">
        <v>7255</v>
      </c>
      <c r="B290" s="298">
        <v>38095542</v>
      </c>
      <c r="C290" s="299" t="s">
        <v>7</v>
      </c>
      <c r="D290" s="299" t="s">
        <v>3411</v>
      </c>
      <c r="E290" s="300">
        <v>1513194.4</v>
      </c>
    </row>
    <row r="291" spans="1:5" x14ac:dyDescent="0.25">
      <c r="A291" s="299"/>
      <c r="B291" s="303"/>
      <c r="C291" s="299" t="s">
        <v>7</v>
      </c>
      <c r="D291" s="299" t="s">
        <v>8778</v>
      </c>
      <c r="E291" s="300">
        <v>444947.5</v>
      </c>
    </row>
    <row r="292" spans="1:5" x14ac:dyDescent="0.25">
      <c r="A292" s="306"/>
      <c r="B292" s="307"/>
      <c r="C292" s="306"/>
      <c r="D292" s="306"/>
      <c r="E292" s="308"/>
    </row>
    <row r="293" spans="1:5" ht="31.5" x14ac:dyDescent="0.25">
      <c r="A293" s="299" t="s">
        <v>264</v>
      </c>
      <c r="B293" s="298">
        <v>9086035761</v>
      </c>
      <c r="C293" s="299" t="s">
        <v>265</v>
      </c>
      <c r="D293" s="299" t="s">
        <v>22</v>
      </c>
      <c r="E293" s="300">
        <v>1532303.25</v>
      </c>
    </row>
    <row r="294" spans="1:5" x14ac:dyDescent="0.25">
      <c r="A294" s="299"/>
      <c r="B294" s="303"/>
      <c r="C294" s="299" t="s">
        <v>265</v>
      </c>
      <c r="D294" s="299" t="s">
        <v>74</v>
      </c>
      <c r="E294" s="300">
        <v>8328633.21</v>
      </c>
    </row>
    <row r="295" spans="1:5" x14ac:dyDescent="0.25">
      <c r="A295" s="306"/>
      <c r="B295" s="307"/>
      <c r="C295" s="306"/>
      <c r="D295" s="306"/>
      <c r="E295" s="308"/>
    </row>
    <row r="296" spans="1:5" ht="31.5" x14ac:dyDescent="0.25">
      <c r="A296" s="299" t="s">
        <v>2647</v>
      </c>
      <c r="B296" s="298">
        <v>5178331000</v>
      </c>
      <c r="C296" s="299" t="s">
        <v>10879</v>
      </c>
      <c r="D296" s="299" t="s">
        <v>19</v>
      </c>
      <c r="E296" s="300">
        <v>227140</v>
      </c>
    </row>
    <row r="297" spans="1:5" x14ac:dyDescent="0.25">
      <c r="A297" s="299"/>
      <c r="B297" s="303"/>
      <c r="C297" s="299" t="s">
        <v>79</v>
      </c>
      <c r="D297" s="299" t="s">
        <v>8791</v>
      </c>
      <c r="E297" s="300">
        <v>543620</v>
      </c>
    </row>
    <row r="298" spans="1:5" x14ac:dyDescent="0.25">
      <c r="A298" s="306"/>
      <c r="B298" s="307"/>
      <c r="C298" s="306"/>
      <c r="D298" s="306"/>
      <c r="E298" s="308"/>
    </row>
    <row r="299" spans="1:5" ht="47.25" x14ac:dyDescent="0.25">
      <c r="A299" s="310" t="s">
        <v>268</v>
      </c>
      <c r="B299" s="298">
        <v>1074301315</v>
      </c>
      <c r="C299" s="299" t="s">
        <v>10876</v>
      </c>
      <c r="D299" s="299" t="s">
        <v>270</v>
      </c>
      <c r="E299" s="300">
        <v>431373</v>
      </c>
    </row>
    <row r="300" spans="1:5" ht="31.5" x14ac:dyDescent="0.25">
      <c r="A300" s="299"/>
      <c r="B300" s="303"/>
      <c r="C300" s="299" t="s">
        <v>272</v>
      </c>
      <c r="D300" s="299" t="s">
        <v>170</v>
      </c>
      <c r="E300" s="300">
        <v>106091.32</v>
      </c>
    </row>
    <row r="301" spans="1:5" x14ac:dyDescent="0.25">
      <c r="A301" s="306"/>
      <c r="B301" s="307"/>
      <c r="C301" s="306"/>
      <c r="D301" s="306"/>
      <c r="E301" s="308"/>
    </row>
    <row r="302" spans="1:5" ht="31.5" x14ac:dyDescent="0.25">
      <c r="A302" s="310" t="s">
        <v>274</v>
      </c>
      <c r="B302" s="298">
        <v>2594738556</v>
      </c>
      <c r="C302" s="299" t="s">
        <v>70</v>
      </c>
      <c r="D302" s="299" t="s">
        <v>71</v>
      </c>
      <c r="E302" s="300">
        <v>972889.98</v>
      </c>
    </row>
    <row r="303" spans="1:5" x14ac:dyDescent="0.25">
      <c r="A303" s="299"/>
      <c r="B303" s="303"/>
      <c r="C303" s="299" t="s">
        <v>196</v>
      </c>
      <c r="D303" s="299" t="s">
        <v>8</v>
      </c>
      <c r="E303" s="300">
        <v>128952</v>
      </c>
    </row>
    <row r="304" spans="1:5" ht="31.5" x14ac:dyDescent="0.25">
      <c r="A304" s="299"/>
      <c r="B304" s="303"/>
      <c r="C304" s="299" t="s">
        <v>10842</v>
      </c>
      <c r="D304" s="299" t="s">
        <v>30</v>
      </c>
      <c r="E304" s="300">
        <v>479279.77</v>
      </c>
    </row>
    <row r="305" spans="1:5" x14ac:dyDescent="0.25">
      <c r="A305" s="299"/>
      <c r="B305" s="303"/>
      <c r="C305" s="299" t="s">
        <v>56</v>
      </c>
      <c r="D305" s="299" t="s">
        <v>6971</v>
      </c>
      <c r="E305" s="300">
        <v>156029.82999999999</v>
      </c>
    </row>
    <row r="306" spans="1:5" x14ac:dyDescent="0.25">
      <c r="A306" s="299"/>
      <c r="B306" s="303"/>
      <c r="C306" s="299" t="s">
        <v>56</v>
      </c>
      <c r="D306" s="299" t="s">
        <v>278</v>
      </c>
      <c r="E306" s="300">
        <v>431940.9</v>
      </c>
    </row>
    <row r="307" spans="1:5" x14ac:dyDescent="0.25">
      <c r="A307" s="299"/>
      <c r="B307" s="303"/>
      <c r="C307" s="299" t="s">
        <v>34</v>
      </c>
      <c r="D307" s="299" t="s">
        <v>8909</v>
      </c>
      <c r="E307" s="300">
        <v>107969.93</v>
      </c>
    </row>
    <row r="308" spans="1:5" x14ac:dyDescent="0.25">
      <c r="A308" s="299"/>
      <c r="B308" s="303"/>
      <c r="C308" s="299" t="s">
        <v>56</v>
      </c>
      <c r="D308" s="299" t="s">
        <v>8812</v>
      </c>
      <c r="E308" s="300">
        <v>615179.54</v>
      </c>
    </row>
    <row r="309" spans="1:5" x14ac:dyDescent="0.25">
      <c r="A309" s="306"/>
      <c r="B309" s="307"/>
      <c r="C309" s="306"/>
      <c r="D309" s="306"/>
      <c r="E309" s="308"/>
    </row>
    <row r="310" spans="1:5" ht="31.5" x14ac:dyDescent="0.25">
      <c r="A310" s="310" t="s">
        <v>3402</v>
      </c>
      <c r="B310" s="298">
        <v>984827952</v>
      </c>
      <c r="C310" s="299" t="s">
        <v>3398</v>
      </c>
      <c r="D310" s="299" t="s">
        <v>180</v>
      </c>
      <c r="E310" s="300">
        <v>220719.5</v>
      </c>
    </row>
    <row r="311" spans="1:5" x14ac:dyDescent="0.25">
      <c r="A311" s="299"/>
      <c r="B311" s="303"/>
      <c r="C311" s="299" t="s">
        <v>104</v>
      </c>
      <c r="D311" s="299" t="s">
        <v>8806</v>
      </c>
      <c r="E311" s="300">
        <v>145074.79999999999</v>
      </c>
    </row>
    <row r="312" spans="1:5" x14ac:dyDescent="0.25">
      <c r="A312" s="299"/>
      <c r="B312" s="303"/>
      <c r="C312" s="299" t="s">
        <v>7</v>
      </c>
      <c r="D312" s="299" t="s">
        <v>8905</v>
      </c>
      <c r="E312" s="300">
        <v>695854.38</v>
      </c>
    </row>
    <row r="313" spans="1:5" x14ac:dyDescent="0.25">
      <c r="A313" s="306"/>
      <c r="B313" s="307"/>
      <c r="C313" s="306"/>
      <c r="D313" s="306"/>
      <c r="E313" s="308"/>
    </row>
    <row r="314" spans="1:5" ht="31.5" x14ac:dyDescent="0.25">
      <c r="A314" s="310" t="s">
        <v>280</v>
      </c>
      <c r="B314" s="298">
        <v>2395400000</v>
      </c>
      <c r="C314" s="299" t="s">
        <v>104</v>
      </c>
      <c r="D314" s="299" t="s">
        <v>170</v>
      </c>
      <c r="E314" s="300">
        <v>1166502.24</v>
      </c>
    </row>
    <row r="315" spans="1:5" x14ac:dyDescent="0.25">
      <c r="A315" s="299"/>
      <c r="B315" s="303"/>
      <c r="C315" s="299" t="s">
        <v>196</v>
      </c>
      <c r="D315" s="299" t="s">
        <v>8</v>
      </c>
      <c r="E315" s="300">
        <v>71061</v>
      </c>
    </row>
    <row r="316" spans="1:5" x14ac:dyDescent="0.25">
      <c r="A316" s="299"/>
      <c r="B316" s="303"/>
      <c r="C316" s="299" t="s">
        <v>56</v>
      </c>
      <c r="D316" s="299" t="s">
        <v>3708</v>
      </c>
      <c r="E316" s="300">
        <v>37833.58</v>
      </c>
    </row>
    <row r="317" spans="1:5" x14ac:dyDescent="0.25">
      <c r="A317" s="299"/>
      <c r="B317" s="303"/>
      <c r="C317" s="299" t="s">
        <v>7</v>
      </c>
      <c r="D317" s="299" t="s">
        <v>7201</v>
      </c>
      <c r="E317" s="300">
        <v>57198.96</v>
      </c>
    </row>
    <row r="318" spans="1:5" ht="31.5" x14ac:dyDescent="0.25">
      <c r="A318" s="299"/>
      <c r="B318" s="303"/>
      <c r="C318" s="299" t="s">
        <v>9817</v>
      </c>
      <c r="D318" s="299" t="s">
        <v>8780</v>
      </c>
      <c r="E318" s="300">
        <v>172826</v>
      </c>
    </row>
    <row r="319" spans="1:5" x14ac:dyDescent="0.25">
      <c r="A319" s="299"/>
      <c r="B319" s="303"/>
      <c r="C319" s="299" t="s">
        <v>109</v>
      </c>
      <c r="D319" s="299" t="s">
        <v>8912</v>
      </c>
      <c r="E319" s="300">
        <v>274057</v>
      </c>
    </row>
    <row r="320" spans="1:5" x14ac:dyDescent="0.25">
      <c r="A320" s="306"/>
      <c r="B320" s="307"/>
      <c r="C320" s="306"/>
      <c r="D320" s="306"/>
      <c r="E320" s="308"/>
    </row>
    <row r="321" spans="1:5" ht="47.25" x14ac:dyDescent="0.25">
      <c r="A321" s="310" t="s">
        <v>2557</v>
      </c>
      <c r="B321" s="316" t="s">
        <v>10798</v>
      </c>
      <c r="C321" s="299" t="s">
        <v>7</v>
      </c>
      <c r="D321" s="299" t="s">
        <v>204</v>
      </c>
      <c r="E321" s="300">
        <v>87584.94</v>
      </c>
    </row>
    <row r="322" spans="1:5" x14ac:dyDescent="0.25">
      <c r="A322" s="299"/>
      <c r="B322" s="303"/>
      <c r="C322" s="299" t="s">
        <v>196</v>
      </c>
      <c r="D322" s="299" t="s">
        <v>9026</v>
      </c>
      <c r="E322" s="300">
        <v>224912</v>
      </c>
    </row>
    <row r="323" spans="1:5" x14ac:dyDescent="0.25">
      <c r="A323" s="306"/>
      <c r="B323" s="307"/>
      <c r="C323" s="306"/>
      <c r="D323" s="306"/>
      <c r="E323" s="308"/>
    </row>
    <row r="324" spans="1:5" ht="31.5" x14ac:dyDescent="0.25">
      <c r="A324" s="310" t="s">
        <v>285</v>
      </c>
      <c r="B324" s="298">
        <v>71764000000</v>
      </c>
      <c r="C324" s="299" t="s">
        <v>286</v>
      </c>
      <c r="D324" s="299" t="s">
        <v>287</v>
      </c>
      <c r="E324" s="300">
        <v>9888467.0899999999</v>
      </c>
    </row>
    <row r="325" spans="1:5" x14ac:dyDescent="0.25">
      <c r="A325" s="299"/>
      <c r="B325" s="303"/>
      <c r="C325" s="299" t="s">
        <v>265</v>
      </c>
      <c r="D325" s="299" t="s">
        <v>289</v>
      </c>
      <c r="E325" s="300">
        <v>5642096.6200000001</v>
      </c>
    </row>
    <row r="326" spans="1:5" x14ac:dyDescent="0.25">
      <c r="A326" s="306"/>
      <c r="B326" s="307"/>
      <c r="C326" s="306"/>
      <c r="D326" s="306"/>
      <c r="E326" s="308"/>
    </row>
    <row r="327" spans="1:5" ht="31.5" x14ac:dyDescent="0.25">
      <c r="A327" s="297" t="s">
        <v>7019</v>
      </c>
      <c r="B327" s="298">
        <v>600151747</v>
      </c>
      <c r="C327" s="299" t="s">
        <v>109</v>
      </c>
      <c r="D327" s="299" t="s">
        <v>7013</v>
      </c>
      <c r="E327" s="300">
        <v>516400</v>
      </c>
    </row>
    <row r="328" spans="1:5" x14ac:dyDescent="0.25">
      <c r="A328" s="299"/>
      <c r="B328" s="303"/>
      <c r="C328" s="299" t="s">
        <v>109</v>
      </c>
      <c r="D328" s="299" t="s">
        <v>8884</v>
      </c>
      <c r="E328" s="300">
        <v>299414</v>
      </c>
    </row>
    <row r="329" spans="1:5" x14ac:dyDescent="0.25">
      <c r="A329" s="306"/>
      <c r="B329" s="307"/>
      <c r="C329" s="306"/>
      <c r="D329" s="306"/>
      <c r="E329" s="308"/>
    </row>
    <row r="330" spans="1:5" ht="31.5" x14ac:dyDescent="0.25">
      <c r="A330" s="310" t="s">
        <v>1626</v>
      </c>
      <c r="B330" s="298">
        <v>1700000000</v>
      </c>
      <c r="C330" s="299" t="s">
        <v>56</v>
      </c>
      <c r="D330" s="299" t="s">
        <v>7285</v>
      </c>
      <c r="E330" s="300" t="s">
        <v>158</v>
      </c>
    </row>
    <row r="331" spans="1:5" x14ac:dyDescent="0.25">
      <c r="A331" s="299"/>
      <c r="B331" s="303"/>
      <c r="C331" s="299" t="s">
        <v>109</v>
      </c>
      <c r="D331" s="299" t="s">
        <v>382</v>
      </c>
      <c r="E331" s="300">
        <v>142016</v>
      </c>
    </row>
    <row r="332" spans="1:5" x14ac:dyDescent="0.25">
      <c r="A332" s="306"/>
      <c r="B332" s="307"/>
      <c r="C332" s="306"/>
      <c r="D332" s="306"/>
      <c r="E332" s="308"/>
    </row>
    <row r="333" spans="1:5" ht="31.5" x14ac:dyDescent="0.25">
      <c r="A333" s="310" t="s">
        <v>291</v>
      </c>
      <c r="B333" s="298">
        <v>6057443691</v>
      </c>
      <c r="C333" s="299" t="s">
        <v>34</v>
      </c>
      <c r="D333" s="299" t="s">
        <v>292</v>
      </c>
      <c r="E333" s="300">
        <v>928077.31</v>
      </c>
    </row>
    <row r="334" spans="1:5" x14ac:dyDescent="0.25">
      <c r="A334" s="299"/>
      <c r="B334" s="303"/>
      <c r="C334" s="299" t="s">
        <v>7</v>
      </c>
      <c r="D334" s="299" t="s">
        <v>154</v>
      </c>
      <c r="E334" s="300">
        <v>2953426.02</v>
      </c>
    </row>
    <row r="335" spans="1:5" x14ac:dyDescent="0.25">
      <c r="A335" s="299"/>
      <c r="B335" s="303"/>
      <c r="C335" s="299" t="s">
        <v>7</v>
      </c>
      <c r="D335" s="299" t="s">
        <v>6957</v>
      </c>
      <c r="E335" s="300">
        <v>1413202.66</v>
      </c>
    </row>
    <row r="336" spans="1:5" x14ac:dyDescent="0.25">
      <c r="A336" s="306"/>
      <c r="B336" s="307"/>
      <c r="C336" s="306"/>
      <c r="D336" s="306"/>
      <c r="E336" s="308"/>
    </row>
    <row r="337" spans="1:5" x14ac:dyDescent="0.25">
      <c r="A337" s="310" t="s">
        <v>295</v>
      </c>
      <c r="B337" s="298">
        <v>884718824.19000006</v>
      </c>
      <c r="C337" s="299" t="s">
        <v>10876</v>
      </c>
      <c r="D337" s="299" t="s">
        <v>270</v>
      </c>
      <c r="E337" s="300">
        <v>148934</v>
      </c>
    </row>
    <row r="338" spans="1:5" x14ac:dyDescent="0.25">
      <c r="A338" s="299"/>
      <c r="B338" s="303"/>
      <c r="C338" s="299" t="s">
        <v>34</v>
      </c>
      <c r="D338" s="299" t="s">
        <v>6940</v>
      </c>
      <c r="E338" s="300">
        <v>168154.74</v>
      </c>
    </row>
    <row r="339" spans="1:5" x14ac:dyDescent="0.25">
      <c r="A339" s="299"/>
      <c r="B339" s="303"/>
      <c r="C339" s="299" t="s">
        <v>8986</v>
      </c>
      <c r="D339" s="299" t="s">
        <v>296</v>
      </c>
      <c r="E339" s="300">
        <v>502683.95</v>
      </c>
    </row>
    <row r="340" spans="1:5" x14ac:dyDescent="0.25">
      <c r="A340" s="299"/>
      <c r="B340" s="303"/>
      <c r="C340" s="299" t="s">
        <v>8986</v>
      </c>
      <c r="D340" s="299" t="s">
        <v>6921</v>
      </c>
      <c r="E340" s="300">
        <v>446288.81</v>
      </c>
    </row>
    <row r="341" spans="1:5" x14ac:dyDescent="0.25">
      <c r="A341" s="299"/>
      <c r="B341" s="303"/>
      <c r="C341" s="299" t="s">
        <v>9832</v>
      </c>
      <c r="D341" s="299" t="s">
        <v>8802</v>
      </c>
      <c r="E341" s="300">
        <v>351462</v>
      </c>
    </row>
    <row r="342" spans="1:5" x14ac:dyDescent="0.25">
      <c r="A342" s="299"/>
      <c r="B342" s="303"/>
      <c r="C342" s="299" t="s">
        <v>109</v>
      </c>
      <c r="D342" s="299" t="s">
        <v>8884</v>
      </c>
      <c r="E342" s="300">
        <v>393233</v>
      </c>
    </row>
    <row r="343" spans="1:5" x14ac:dyDescent="0.25">
      <c r="A343" s="306"/>
      <c r="B343" s="307"/>
      <c r="C343" s="306"/>
      <c r="D343" s="306"/>
      <c r="E343" s="308"/>
    </row>
    <row r="344" spans="1:5" ht="31.5" x14ac:dyDescent="0.25">
      <c r="A344" s="310" t="s">
        <v>2535</v>
      </c>
      <c r="B344" s="298">
        <v>3247579403</v>
      </c>
      <c r="C344" s="299" t="s">
        <v>309</v>
      </c>
      <c r="D344" s="299" t="s">
        <v>2534</v>
      </c>
      <c r="E344" s="300">
        <v>197110</v>
      </c>
    </row>
    <row r="345" spans="1:5" x14ac:dyDescent="0.25">
      <c r="A345" s="299"/>
      <c r="B345" s="303"/>
      <c r="C345" s="299" t="s">
        <v>10880</v>
      </c>
      <c r="D345" s="299" t="s">
        <v>7090</v>
      </c>
      <c r="E345" s="300">
        <v>600640.69999999995</v>
      </c>
    </row>
    <row r="346" spans="1:5" x14ac:dyDescent="0.25">
      <c r="A346" s="299"/>
      <c r="B346" s="303"/>
      <c r="C346" s="299" t="s">
        <v>10881</v>
      </c>
      <c r="D346" s="299" t="s">
        <v>9026</v>
      </c>
      <c r="E346" s="300">
        <v>178032</v>
      </c>
    </row>
    <row r="347" spans="1:5" x14ac:dyDescent="0.25">
      <c r="A347" s="306"/>
      <c r="B347" s="307"/>
      <c r="C347" s="306"/>
      <c r="D347" s="306"/>
      <c r="E347" s="308"/>
    </row>
    <row r="348" spans="1:5" ht="31.5" x14ac:dyDescent="0.25">
      <c r="A348" s="310" t="s">
        <v>298</v>
      </c>
      <c r="B348" s="298">
        <v>2865018804</v>
      </c>
      <c r="C348" s="299" t="s">
        <v>1</v>
      </c>
      <c r="D348" s="299" t="s">
        <v>13</v>
      </c>
      <c r="E348" s="300">
        <v>577268.01</v>
      </c>
    </row>
    <row r="349" spans="1:5" x14ac:dyDescent="0.25">
      <c r="A349" s="299"/>
      <c r="B349" s="303"/>
      <c r="C349" s="297" t="s">
        <v>7</v>
      </c>
      <c r="D349" s="297" t="s">
        <v>300</v>
      </c>
      <c r="E349" s="319">
        <v>1407110.19</v>
      </c>
    </row>
    <row r="350" spans="1:5" x14ac:dyDescent="0.25">
      <c r="A350" s="299"/>
      <c r="B350" s="303"/>
      <c r="C350" s="299" t="s">
        <v>265</v>
      </c>
      <c r="D350" s="299" t="s">
        <v>257</v>
      </c>
      <c r="E350" s="300">
        <v>1223044.21</v>
      </c>
    </row>
    <row r="351" spans="1:5" x14ac:dyDescent="0.25">
      <c r="A351" s="306"/>
      <c r="B351" s="307"/>
      <c r="C351" s="306"/>
      <c r="D351" s="306"/>
      <c r="E351" s="308"/>
    </row>
    <row r="352" spans="1:5" ht="31.5" x14ac:dyDescent="0.25">
      <c r="A352" s="310" t="s">
        <v>9258</v>
      </c>
      <c r="B352" s="298">
        <v>16022318279</v>
      </c>
      <c r="C352" s="299" t="s">
        <v>4634</v>
      </c>
      <c r="D352" s="299" t="s">
        <v>9026</v>
      </c>
      <c r="E352" s="300">
        <v>623090</v>
      </c>
    </row>
    <row r="353" spans="1:5" x14ac:dyDescent="0.25">
      <c r="A353" s="299"/>
      <c r="B353" s="303"/>
      <c r="C353" s="299" t="s">
        <v>56</v>
      </c>
      <c r="D353" s="299" t="s">
        <v>8885</v>
      </c>
      <c r="E353" s="300">
        <v>3921415.95</v>
      </c>
    </row>
    <row r="354" spans="1:5" x14ac:dyDescent="0.25">
      <c r="A354" s="306"/>
      <c r="B354" s="307"/>
      <c r="C354" s="306"/>
      <c r="D354" s="306"/>
      <c r="E354" s="308"/>
    </row>
    <row r="355" spans="1:5" ht="31.5" x14ac:dyDescent="0.25">
      <c r="A355" s="310" t="s">
        <v>303</v>
      </c>
      <c r="B355" s="309">
        <v>11062469039</v>
      </c>
      <c r="C355" s="299" t="s">
        <v>1</v>
      </c>
      <c r="D355" s="299" t="s">
        <v>42</v>
      </c>
      <c r="E355" s="300">
        <v>1888671.67</v>
      </c>
    </row>
    <row r="356" spans="1:5" x14ac:dyDescent="0.25">
      <c r="A356" s="299"/>
      <c r="B356" s="303"/>
      <c r="C356" s="299" t="s">
        <v>286</v>
      </c>
      <c r="D356" s="299" t="s">
        <v>287</v>
      </c>
      <c r="E356" s="300">
        <v>7553220.96</v>
      </c>
    </row>
    <row r="357" spans="1:5" ht="31.5" x14ac:dyDescent="0.25">
      <c r="A357" s="299"/>
      <c r="B357" s="303"/>
      <c r="C357" s="299" t="s">
        <v>224</v>
      </c>
      <c r="D357" s="299" t="s">
        <v>40</v>
      </c>
      <c r="E357" s="300">
        <v>1271104.72</v>
      </c>
    </row>
    <row r="358" spans="1:5" x14ac:dyDescent="0.25">
      <c r="A358" s="299"/>
      <c r="B358" s="303"/>
      <c r="C358" s="299" t="s">
        <v>265</v>
      </c>
      <c r="D358" s="299" t="s">
        <v>257</v>
      </c>
      <c r="E358" s="300">
        <v>2472959.11</v>
      </c>
    </row>
    <row r="359" spans="1:5" x14ac:dyDescent="0.25">
      <c r="A359" s="306"/>
      <c r="B359" s="307"/>
      <c r="C359" s="306"/>
      <c r="D359" s="306"/>
      <c r="E359" s="308"/>
    </row>
    <row r="360" spans="1:5" ht="31.5" x14ac:dyDescent="0.25">
      <c r="A360" s="299" t="s">
        <v>308</v>
      </c>
      <c r="B360" s="313">
        <v>202000000</v>
      </c>
      <c r="C360" s="299" t="s">
        <v>2862</v>
      </c>
      <c r="D360" s="299" t="s">
        <v>311</v>
      </c>
      <c r="E360" s="300">
        <v>539153.05000000005</v>
      </c>
    </row>
    <row r="361" spans="1:5" x14ac:dyDescent="0.25">
      <c r="A361" s="299"/>
      <c r="B361" s="303"/>
      <c r="C361" s="299" t="s">
        <v>309</v>
      </c>
      <c r="D361" s="299" t="s">
        <v>77</v>
      </c>
      <c r="E361" s="300">
        <v>931119</v>
      </c>
    </row>
    <row r="362" spans="1:5" x14ac:dyDescent="0.25">
      <c r="A362" s="299"/>
      <c r="B362" s="303"/>
      <c r="C362" s="299" t="s">
        <v>309</v>
      </c>
      <c r="D362" s="299" t="s">
        <v>8789</v>
      </c>
      <c r="E362" s="300">
        <v>466073.85</v>
      </c>
    </row>
    <row r="363" spans="1:5" x14ac:dyDescent="0.25">
      <c r="A363" s="306"/>
      <c r="B363" s="307"/>
      <c r="C363" s="306"/>
      <c r="D363" s="306"/>
      <c r="E363" s="308"/>
    </row>
    <row r="364" spans="1:5" x14ac:dyDescent="0.25">
      <c r="A364" s="299" t="s">
        <v>313</v>
      </c>
      <c r="B364" s="309">
        <v>216910000</v>
      </c>
      <c r="C364" s="299" t="s">
        <v>7</v>
      </c>
      <c r="D364" s="299" t="s">
        <v>314</v>
      </c>
      <c r="E364" s="300">
        <v>114762.22</v>
      </c>
    </row>
    <row r="365" spans="1:5" x14ac:dyDescent="0.25">
      <c r="A365" s="299"/>
      <c r="B365" s="303"/>
      <c r="C365" s="299" t="s">
        <v>7</v>
      </c>
      <c r="D365" s="299" t="s">
        <v>316</v>
      </c>
      <c r="E365" s="300">
        <v>60445.59</v>
      </c>
    </row>
    <row r="366" spans="1:5" x14ac:dyDescent="0.25">
      <c r="A366" s="306"/>
      <c r="B366" s="307"/>
      <c r="C366" s="306"/>
      <c r="D366" s="306"/>
      <c r="E366" s="308"/>
    </row>
    <row r="367" spans="1:5" ht="31.5" x14ac:dyDescent="0.25">
      <c r="A367" s="310" t="s">
        <v>1646</v>
      </c>
      <c r="B367" s="309">
        <v>2766000000</v>
      </c>
      <c r="C367" s="299" t="s">
        <v>1</v>
      </c>
      <c r="D367" s="299" t="s">
        <v>162</v>
      </c>
      <c r="E367" s="300" t="s">
        <v>10798</v>
      </c>
    </row>
    <row r="368" spans="1:5" x14ac:dyDescent="0.25">
      <c r="A368" s="299"/>
      <c r="B368" s="303"/>
      <c r="C368" s="299" t="s">
        <v>34</v>
      </c>
      <c r="D368" s="299" t="s">
        <v>7013</v>
      </c>
      <c r="E368" s="300">
        <v>117363.79</v>
      </c>
    </row>
    <row r="369" spans="1:5" x14ac:dyDescent="0.25">
      <c r="A369" s="299"/>
      <c r="B369" s="303"/>
      <c r="C369" s="299" t="s">
        <v>7</v>
      </c>
      <c r="D369" s="299" t="s">
        <v>6944</v>
      </c>
      <c r="E369" s="300">
        <v>114675.54</v>
      </c>
    </row>
    <row r="370" spans="1:5" x14ac:dyDescent="0.25">
      <c r="A370" s="306"/>
      <c r="B370" s="307"/>
      <c r="C370" s="306"/>
      <c r="D370" s="306"/>
      <c r="E370" s="308"/>
    </row>
    <row r="371" spans="1:5" ht="47.25" x14ac:dyDescent="0.25">
      <c r="A371" s="297" t="s">
        <v>318</v>
      </c>
      <c r="B371" s="316" t="s">
        <v>10798</v>
      </c>
      <c r="C371" s="299" t="s">
        <v>10882</v>
      </c>
      <c r="D371" s="299" t="s">
        <v>262</v>
      </c>
      <c r="E371" s="300">
        <v>33350.33</v>
      </c>
    </row>
    <row r="372" spans="1:5" x14ac:dyDescent="0.25">
      <c r="A372" s="299"/>
      <c r="B372" s="303"/>
      <c r="C372" s="299" t="s">
        <v>3671</v>
      </c>
      <c r="D372" s="299" t="s">
        <v>321</v>
      </c>
      <c r="E372" s="300">
        <v>16160.11</v>
      </c>
    </row>
    <row r="373" spans="1:5" x14ac:dyDescent="0.25">
      <c r="A373" s="306"/>
      <c r="B373" s="307"/>
      <c r="C373" s="306"/>
      <c r="D373" s="306"/>
      <c r="E373" s="308"/>
    </row>
    <row r="374" spans="1:5" x14ac:dyDescent="0.25">
      <c r="A374" s="310" t="s">
        <v>6831</v>
      </c>
      <c r="B374" s="309">
        <v>168100000</v>
      </c>
      <c r="C374" s="299" t="s">
        <v>4392</v>
      </c>
      <c r="D374" s="299" t="s">
        <v>51</v>
      </c>
      <c r="E374" s="300">
        <v>14238109.76</v>
      </c>
    </row>
    <row r="375" spans="1:5" x14ac:dyDescent="0.25">
      <c r="A375" s="299"/>
      <c r="B375" s="303"/>
      <c r="C375" s="299" t="s">
        <v>1</v>
      </c>
      <c r="D375" s="299" t="s">
        <v>8778</v>
      </c>
      <c r="E375" s="300">
        <v>6108444.5599999996</v>
      </c>
    </row>
    <row r="376" spans="1:5" x14ac:dyDescent="0.25">
      <c r="A376" s="306"/>
      <c r="B376" s="307"/>
      <c r="C376" s="306"/>
      <c r="D376" s="306"/>
      <c r="E376" s="308"/>
    </row>
    <row r="377" spans="1:5" ht="31.5" x14ac:dyDescent="0.25">
      <c r="A377" s="310" t="s">
        <v>323</v>
      </c>
      <c r="B377" s="309">
        <v>407000000000</v>
      </c>
      <c r="C377" s="299" t="s">
        <v>15</v>
      </c>
      <c r="D377" s="299" t="s">
        <v>246</v>
      </c>
      <c r="E377" s="300">
        <v>7026313.5300000003</v>
      </c>
    </row>
    <row r="378" spans="1:5" x14ac:dyDescent="0.25">
      <c r="A378" s="299"/>
      <c r="B378" s="303"/>
      <c r="C378" s="299" t="s">
        <v>4392</v>
      </c>
      <c r="D378" s="299" t="s">
        <v>289</v>
      </c>
      <c r="E378" s="300">
        <v>3027824.65</v>
      </c>
    </row>
    <row r="379" spans="1:5" x14ac:dyDescent="0.25">
      <c r="A379" s="299"/>
      <c r="B379" s="303"/>
      <c r="C379" s="299" t="s">
        <v>10852</v>
      </c>
      <c r="D379" s="299" t="s">
        <v>22</v>
      </c>
      <c r="E379" s="300">
        <v>20847078.41</v>
      </c>
    </row>
    <row r="380" spans="1:5" x14ac:dyDescent="0.25">
      <c r="A380" s="299"/>
      <c r="B380" s="303"/>
      <c r="C380" s="299" t="s">
        <v>4392</v>
      </c>
      <c r="D380" s="299" t="s">
        <v>8838</v>
      </c>
      <c r="E380" s="300">
        <v>21233875</v>
      </c>
    </row>
    <row r="381" spans="1:5" x14ac:dyDescent="0.25">
      <c r="A381" s="306"/>
      <c r="B381" s="307"/>
      <c r="C381" s="306"/>
      <c r="D381" s="306"/>
      <c r="E381" s="308"/>
    </row>
    <row r="382" spans="1:5" ht="31.5" x14ac:dyDescent="0.25">
      <c r="A382" s="299" t="s">
        <v>327</v>
      </c>
      <c r="B382" s="309">
        <v>135270275000</v>
      </c>
      <c r="C382" s="299" t="s">
        <v>161</v>
      </c>
      <c r="D382" s="299" t="s">
        <v>328</v>
      </c>
      <c r="E382" s="300">
        <v>990918.58</v>
      </c>
    </row>
    <row r="383" spans="1:5" ht="31.5" x14ac:dyDescent="0.25">
      <c r="A383" s="299"/>
      <c r="B383" s="303"/>
      <c r="C383" s="299" t="s">
        <v>119</v>
      </c>
      <c r="D383" s="299" t="s">
        <v>120</v>
      </c>
      <c r="E383" s="300">
        <v>1605496.09</v>
      </c>
    </row>
    <row r="384" spans="1:5" x14ac:dyDescent="0.25">
      <c r="A384" s="299"/>
      <c r="B384" s="303"/>
      <c r="C384" s="299" t="s">
        <v>161</v>
      </c>
      <c r="D384" s="299" t="s">
        <v>154</v>
      </c>
      <c r="E384" s="300">
        <v>4124236.12</v>
      </c>
    </row>
    <row r="385" spans="1:5" x14ac:dyDescent="0.25">
      <c r="A385" s="306"/>
      <c r="B385" s="307"/>
      <c r="C385" s="306"/>
      <c r="D385" s="306"/>
      <c r="E385" s="308"/>
    </row>
    <row r="386" spans="1:5" ht="47.25" x14ac:dyDescent="0.25">
      <c r="A386" s="310" t="s">
        <v>332</v>
      </c>
      <c r="B386" s="309">
        <v>4545541000</v>
      </c>
      <c r="C386" s="299" t="s">
        <v>10839</v>
      </c>
      <c r="D386" s="299" t="s">
        <v>107</v>
      </c>
      <c r="E386" s="300">
        <v>899452.65</v>
      </c>
    </row>
    <row r="387" spans="1:5" ht="31.5" x14ac:dyDescent="0.25">
      <c r="A387" s="299"/>
      <c r="B387" s="303"/>
      <c r="C387" s="299" t="s">
        <v>10871</v>
      </c>
      <c r="D387" s="299" t="s">
        <v>113</v>
      </c>
      <c r="E387" s="300">
        <v>266740.65999999997</v>
      </c>
    </row>
    <row r="388" spans="1:5" x14ac:dyDescent="0.25">
      <c r="A388" s="299"/>
      <c r="B388" s="303"/>
      <c r="C388" s="299" t="s">
        <v>73</v>
      </c>
      <c r="D388" s="299" t="s">
        <v>35</v>
      </c>
      <c r="E388" s="300">
        <v>44430.15</v>
      </c>
    </row>
    <row r="389" spans="1:5" x14ac:dyDescent="0.25">
      <c r="A389" s="299"/>
      <c r="B389" s="303"/>
      <c r="C389" s="299" t="s">
        <v>338</v>
      </c>
      <c r="D389" s="299" t="s">
        <v>339</v>
      </c>
      <c r="E389" s="300">
        <v>124992.74</v>
      </c>
    </row>
    <row r="390" spans="1:5" x14ac:dyDescent="0.25">
      <c r="A390" s="306"/>
      <c r="B390" s="307"/>
      <c r="C390" s="306"/>
      <c r="D390" s="306"/>
      <c r="E390" s="308"/>
    </row>
    <row r="391" spans="1:5" ht="31.5" x14ac:dyDescent="0.25">
      <c r="A391" s="310" t="s">
        <v>341</v>
      </c>
      <c r="B391" s="309">
        <v>961822000</v>
      </c>
      <c r="C391" s="299" t="s">
        <v>185</v>
      </c>
      <c r="D391" s="299" t="s">
        <v>44</v>
      </c>
      <c r="E391" s="300">
        <v>205357</v>
      </c>
    </row>
    <row r="392" spans="1:5" x14ac:dyDescent="0.25">
      <c r="A392" s="299"/>
      <c r="B392" s="303"/>
      <c r="C392" s="299" t="s">
        <v>1</v>
      </c>
      <c r="D392" s="299" t="s">
        <v>344</v>
      </c>
      <c r="E392" s="300">
        <v>895774.83</v>
      </c>
    </row>
    <row r="393" spans="1:5" ht="31.5" x14ac:dyDescent="0.25">
      <c r="A393" s="299"/>
      <c r="B393" s="303"/>
      <c r="C393" s="299" t="s">
        <v>95</v>
      </c>
      <c r="D393" s="299" t="s">
        <v>96</v>
      </c>
      <c r="E393" s="300">
        <v>63636.12</v>
      </c>
    </row>
    <row r="394" spans="1:5" x14ac:dyDescent="0.25">
      <c r="A394" s="306"/>
      <c r="B394" s="307"/>
      <c r="C394" s="306"/>
      <c r="D394" s="306"/>
      <c r="E394" s="308"/>
    </row>
    <row r="395" spans="1:5" ht="31.5" x14ac:dyDescent="0.25">
      <c r="A395" s="297" t="s">
        <v>3950</v>
      </c>
      <c r="B395" s="309">
        <v>23351741</v>
      </c>
      <c r="C395" s="299" t="s">
        <v>1</v>
      </c>
      <c r="D395" s="299" t="s">
        <v>3948</v>
      </c>
      <c r="E395" s="300">
        <v>437721</v>
      </c>
    </row>
    <row r="396" spans="1:5" ht="31.5" x14ac:dyDescent="0.25">
      <c r="A396" s="299"/>
      <c r="B396" s="303"/>
      <c r="C396" s="299" t="s">
        <v>95</v>
      </c>
      <c r="D396" s="299" t="s">
        <v>7443</v>
      </c>
      <c r="E396" s="300">
        <v>166765.26</v>
      </c>
    </row>
    <row r="397" spans="1:5" x14ac:dyDescent="0.25">
      <c r="A397" s="306"/>
      <c r="B397" s="307"/>
      <c r="C397" s="306"/>
      <c r="D397" s="306"/>
      <c r="E397" s="308"/>
    </row>
    <row r="398" spans="1:5" ht="31.5" x14ac:dyDescent="0.25">
      <c r="A398" s="299" t="s">
        <v>3952</v>
      </c>
      <c r="B398" s="309">
        <v>23351741</v>
      </c>
      <c r="C398" s="299" t="s">
        <v>1</v>
      </c>
      <c r="D398" s="299" t="s">
        <v>3948</v>
      </c>
      <c r="E398" s="300">
        <v>952715.77</v>
      </c>
    </row>
    <row r="399" spans="1:5" ht="31.5" x14ac:dyDescent="0.25">
      <c r="A399" s="299"/>
      <c r="B399" s="303"/>
      <c r="C399" s="299" t="s">
        <v>95</v>
      </c>
      <c r="D399" s="299" t="s">
        <v>7443</v>
      </c>
      <c r="E399" s="300">
        <v>1947527.75</v>
      </c>
    </row>
    <row r="400" spans="1:5" x14ac:dyDescent="0.25">
      <c r="A400" s="306"/>
      <c r="B400" s="307"/>
      <c r="C400" s="306"/>
      <c r="D400" s="306"/>
      <c r="E400" s="308"/>
    </row>
    <row r="401" spans="1:5" x14ac:dyDescent="0.25">
      <c r="A401" s="310" t="s">
        <v>355</v>
      </c>
      <c r="B401" s="309">
        <v>22706909410</v>
      </c>
      <c r="C401" s="299" t="s">
        <v>4634</v>
      </c>
      <c r="D401" s="299" t="s">
        <v>6823</v>
      </c>
      <c r="E401" s="300">
        <v>1601663</v>
      </c>
    </row>
    <row r="402" spans="1:5" x14ac:dyDescent="0.25">
      <c r="A402" s="299"/>
      <c r="B402" s="303"/>
      <c r="C402" s="299" t="s">
        <v>4634</v>
      </c>
      <c r="D402" s="299" t="s">
        <v>132</v>
      </c>
      <c r="E402" s="300">
        <v>1095791</v>
      </c>
    </row>
    <row r="403" spans="1:5" x14ac:dyDescent="0.25">
      <c r="A403" s="299"/>
      <c r="B403" s="303"/>
      <c r="C403" s="299" t="s">
        <v>7</v>
      </c>
      <c r="D403" s="299" t="s">
        <v>22</v>
      </c>
      <c r="E403" s="300">
        <v>11815139.140000001</v>
      </c>
    </row>
    <row r="404" spans="1:5" x14ac:dyDescent="0.25">
      <c r="A404" s="299"/>
      <c r="B404" s="303"/>
      <c r="C404" s="299" t="s">
        <v>7</v>
      </c>
      <c r="D404" s="299" t="s">
        <v>170</v>
      </c>
      <c r="E404" s="300">
        <v>2096045.22</v>
      </c>
    </row>
    <row r="405" spans="1:5" x14ac:dyDescent="0.25">
      <c r="A405" s="306"/>
      <c r="B405" s="307"/>
      <c r="C405" s="306"/>
      <c r="D405" s="306"/>
      <c r="E405" s="308"/>
    </row>
    <row r="406" spans="1:5" x14ac:dyDescent="0.25">
      <c r="A406" s="299" t="s">
        <v>359</v>
      </c>
      <c r="B406" s="313">
        <v>189025093</v>
      </c>
      <c r="C406" s="299" t="s">
        <v>109</v>
      </c>
      <c r="D406" s="299" t="s">
        <v>159</v>
      </c>
      <c r="E406" s="300">
        <v>32481</v>
      </c>
    </row>
    <row r="407" spans="1:5" x14ac:dyDescent="0.25">
      <c r="A407" s="299"/>
      <c r="B407" s="303"/>
      <c r="C407" s="299" t="s">
        <v>109</v>
      </c>
      <c r="D407" s="299" t="s">
        <v>96</v>
      </c>
      <c r="E407" s="300">
        <v>33927</v>
      </c>
    </row>
    <row r="408" spans="1:5" x14ac:dyDescent="0.25">
      <c r="A408" s="299"/>
      <c r="B408" s="303"/>
      <c r="C408" s="299" t="s">
        <v>9830</v>
      </c>
      <c r="D408" s="299" t="s">
        <v>8824</v>
      </c>
      <c r="E408" s="300">
        <v>133730</v>
      </c>
    </row>
    <row r="409" spans="1:5" x14ac:dyDescent="0.25">
      <c r="A409" s="306"/>
      <c r="B409" s="307"/>
      <c r="C409" s="306"/>
      <c r="D409" s="306"/>
      <c r="E409" s="308"/>
    </row>
    <row r="410" spans="1:5" x14ac:dyDescent="0.25">
      <c r="A410" s="299" t="s">
        <v>4022</v>
      </c>
      <c r="B410" s="316" t="s">
        <v>10798</v>
      </c>
      <c r="C410" s="299" t="s">
        <v>109</v>
      </c>
      <c r="D410" s="299" t="s">
        <v>159</v>
      </c>
      <c r="E410" s="300">
        <v>138419</v>
      </c>
    </row>
    <row r="411" spans="1:5" x14ac:dyDescent="0.25">
      <c r="A411" s="299"/>
      <c r="B411" s="303"/>
      <c r="C411" s="299" t="s">
        <v>9830</v>
      </c>
      <c r="D411" s="299" t="s">
        <v>8824</v>
      </c>
      <c r="E411" s="300">
        <v>85281</v>
      </c>
    </row>
    <row r="412" spans="1:5" x14ac:dyDescent="0.25">
      <c r="A412" s="306"/>
      <c r="B412" s="307"/>
      <c r="C412" s="306"/>
      <c r="D412" s="306"/>
      <c r="E412" s="308"/>
    </row>
    <row r="413" spans="1:5" x14ac:dyDescent="0.25">
      <c r="A413" s="310" t="s">
        <v>1782</v>
      </c>
      <c r="B413" s="313">
        <v>801120</v>
      </c>
      <c r="C413" s="299" t="s">
        <v>7</v>
      </c>
      <c r="D413" s="299" t="s">
        <v>366</v>
      </c>
      <c r="E413" s="300">
        <v>721033.63</v>
      </c>
    </row>
    <row r="414" spans="1:5" x14ac:dyDescent="0.25">
      <c r="A414" s="299"/>
      <c r="B414" s="303"/>
      <c r="C414" s="299" t="s">
        <v>9830</v>
      </c>
      <c r="D414" s="299" t="s">
        <v>8824</v>
      </c>
      <c r="E414" s="300">
        <v>528979</v>
      </c>
    </row>
    <row r="415" spans="1:5" x14ac:dyDescent="0.25">
      <c r="A415" s="299"/>
      <c r="B415" s="303"/>
      <c r="C415" s="299" t="s">
        <v>7</v>
      </c>
      <c r="D415" s="299" t="s">
        <v>8789</v>
      </c>
      <c r="E415" s="300">
        <v>564100.92000000004</v>
      </c>
    </row>
    <row r="416" spans="1:5" x14ac:dyDescent="0.25">
      <c r="A416" s="299"/>
      <c r="B416" s="303"/>
      <c r="C416" s="299" t="s">
        <v>7</v>
      </c>
      <c r="D416" s="299" t="s">
        <v>8650</v>
      </c>
      <c r="E416" s="300">
        <v>1415364.75</v>
      </c>
    </row>
    <row r="417" spans="1:5" x14ac:dyDescent="0.25">
      <c r="A417" s="306"/>
      <c r="B417" s="307"/>
      <c r="C417" s="306"/>
      <c r="D417" s="306"/>
      <c r="E417" s="308"/>
    </row>
    <row r="418" spans="1:5" x14ac:dyDescent="0.25">
      <c r="A418" s="299" t="s">
        <v>2739</v>
      </c>
      <c r="B418" s="313">
        <v>21300000000</v>
      </c>
      <c r="C418" s="299" t="s">
        <v>79</v>
      </c>
      <c r="D418" s="299" t="s">
        <v>241</v>
      </c>
      <c r="E418" s="300">
        <v>11351169</v>
      </c>
    </row>
    <row r="419" spans="1:5" x14ac:dyDescent="0.25">
      <c r="A419" s="299"/>
      <c r="B419" s="303"/>
      <c r="C419" s="299" t="s">
        <v>79</v>
      </c>
      <c r="D419" s="299" t="s">
        <v>1819</v>
      </c>
      <c r="E419" s="300">
        <v>40922</v>
      </c>
    </row>
    <row r="420" spans="1:5" x14ac:dyDescent="0.25">
      <c r="A420" s="299"/>
      <c r="B420" s="303"/>
      <c r="C420" s="299" t="s">
        <v>79</v>
      </c>
      <c r="D420" s="299" t="s">
        <v>8881</v>
      </c>
      <c r="E420" s="300">
        <v>4725022</v>
      </c>
    </row>
    <row r="421" spans="1:5" x14ac:dyDescent="0.25">
      <c r="A421" s="306"/>
      <c r="B421" s="307"/>
      <c r="C421" s="306"/>
      <c r="D421" s="306"/>
      <c r="E421" s="308"/>
    </row>
    <row r="422" spans="1:5" x14ac:dyDescent="0.25">
      <c r="A422" s="310" t="s">
        <v>362</v>
      </c>
      <c r="B422" s="313">
        <v>1031792331</v>
      </c>
      <c r="C422" s="299" t="s">
        <v>1</v>
      </c>
      <c r="D422" s="299" t="s">
        <v>132</v>
      </c>
      <c r="E422" s="300">
        <v>50123636.979999997</v>
      </c>
    </row>
    <row r="423" spans="1:5" x14ac:dyDescent="0.25">
      <c r="A423" s="299"/>
      <c r="B423" s="303"/>
      <c r="C423" s="299" t="s">
        <v>7</v>
      </c>
      <c r="D423" s="299" t="s">
        <v>287</v>
      </c>
      <c r="E423" s="300">
        <v>42525806.719999999</v>
      </c>
    </row>
    <row r="424" spans="1:5" x14ac:dyDescent="0.25">
      <c r="A424" s="306"/>
      <c r="B424" s="307"/>
      <c r="C424" s="306"/>
      <c r="D424" s="306"/>
      <c r="E424" s="308"/>
    </row>
    <row r="425" spans="1:5" x14ac:dyDescent="0.25">
      <c r="A425" s="299" t="s">
        <v>365</v>
      </c>
      <c r="B425" s="309">
        <v>147945927</v>
      </c>
      <c r="C425" s="299" t="s">
        <v>1</v>
      </c>
      <c r="D425" s="299" t="s">
        <v>366</v>
      </c>
      <c r="E425" s="300">
        <v>165837.10999999999</v>
      </c>
    </row>
    <row r="426" spans="1:5" x14ac:dyDescent="0.25">
      <c r="A426" s="299"/>
      <c r="B426" s="303"/>
      <c r="C426" s="299" t="s">
        <v>1</v>
      </c>
      <c r="D426" s="299" t="s">
        <v>8</v>
      </c>
      <c r="E426" s="300">
        <v>111790.66</v>
      </c>
    </row>
    <row r="427" spans="1:5" x14ac:dyDescent="0.25">
      <c r="A427" s="306"/>
      <c r="B427" s="307"/>
      <c r="C427" s="306"/>
      <c r="D427" s="306"/>
      <c r="E427" s="308"/>
    </row>
    <row r="428" spans="1:5" x14ac:dyDescent="0.25">
      <c r="A428" s="299" t="s">
        <v>369</v>
      </c>
      <c r="B428" s="313">
        <f>231.8*1000000</f>
        <v>231800000</v>
      </c>
      <c r="C428" s="299" t="s">
        <v>7</v>
      </c>
      <c r="D428" s="299" t="s">
        <v>234</v>
      </c>
      <c r="E428" s="300">
        <v>45468.86</v>
      </c>
    </row>
    <row r="429" spans="1:5" x14ac:dyDescent="0.25">
      <c r="A429" s="299"/>
      <c r="B429" s="303"/>
      <c r="C429" s="299" t="s">
        <v>7</v>
      </c>
      <c r="D429" s="299" t="s">
        <v>371</v>
      </c>
      <c r="E429" s="300">
        <v>175974.71</v>
      </c>
    </row>
    <row r="430" spans="1:5" x14ac:dyDescent="0.25">
      <c r="A430" s="306"/>
      <c r="B430" s="307"/>
      <c r="C430" s="306"/>
      <c r="D430" s="306"/>
      <c r="E430" s="308"/>
    </row>
    <row r="431" spans="1:5" x14ac:dyDescent="0.25">
      <c r="A431" s="310" t="s">
        <v>373</v>
      </c>
      <c r="B431" s="313">
        <v>363752000000</v>
      </c>
      <c r="C431" s="299" t="s">
        <v>1</v>
      </c>
      <c r="D431" s="299" t="s">
        <v>7475</v>
      </c>
      <c r="E431" s="300">
        <v>2973692.22</v>
      </c>
    </row>
    <row r="432" spans="1:5" ht="31.5" x14ac:dyDescent="0.25">
      <c r="A432" s="299"/>
      <c r="B432" s="303"/>
      <c r="C432" s="299" t="s">
        <v>15</v>
      </c>
      <c r="D432" s="299" t="s">
        <v>16</v>
      </c>
      <c r="E432" s="300">
        <v>27047956.370000001</v>
      </c>
    </row>
    <row r="433" spans="1:5" x14ac:dyDescent="0.25">
      <c r="A433" s="299"/>
      <c r="B433" s="303"/>
      <c r="C433" s="299" t="s">
        <v>10852</v>
      </c>
      <c r="D433" s="299" t="s">
        <v>22</v>
      </c>
      <c r="E433" s="300">
        <v>34226005.310000002</v>
      </c>
    </row>
    <row r="434" spans="1:5" x14ac:dyDescent="0.25">
      <c r="A434" s="299"/>
      <c r="B434" s="303"/>
      <c r="C434" s="299" t="s">
        <v>161</v>
      </c>
      <c r="D434" s="299" t="s">
        <v>289</v>
      </c>
      <c r="E434" s="300">
        <v>11041699.35</v>
      </c>
    </row>
    <row r="435" spans="1:5" x14ac:dyDescent="0.25">
      <c r="A435" s="299"/>
      <c r="B435" s="303"/>
      <c r="C435" s="299" t="s">
        <v>79</v>
      </c>
      <c r="D435" s="299" t="s">
        <v>8886</v>
      </c>
      <c r="E435" s="300">
        <v>6488425</v>
      </c>
    </row>
    <row r="436" spans="1:5" x14ac:dyDescent="0.25">
      <c r="A436" s="306"/>
      <c r="B436" s="307"/>
      <c r="C436" s="306"/>
      <c r="D436" s="306"/>
      <c r="E436" s="308"/>
    </row>
    <row r="437" spans="1:5" ht="31.5" x14ac:dyDescent="0.25">
      <c r="A437" s="299" t="s">
        <v>377</v>
      </c>
      <c r="B437" s="309">
        <v>1525266163</v>
      </c>
      <c r="C437" s="299" t="s">
        <v>166</v>
      </c>
      <c r="D437" s="299" t="s">
        <v>7443</v>
      </c>
      <c r="E437" s="300" t="s">
        <v>10798</v>
      </c>
    </row>
    <row r="438" spans="1:5" x14ac:dyDescent="0.25">
      <c r="A438" s="299"/>
      <c r="B438" s="303"/>
      <c r="C438" s="299" t="s">
        <v>166</v>
      </c>
      <c r="D438" s="299" t="s">
        <v>204</v>
      </c>
      <c r="E438" s="300">
        <v>237943.77</v>
      </c>
    </row>
    <row r="439" spans="1:5" x14ac:dyDescent="0.25">
      <c r="A439" s="299"/>
      <c r="B439" s="303"/>
      <c r="C439" s="299" t="s">
        <v>166</v>
      </c>
      <c r="D439" s="299" t="s">
        <v>278</v>
      </c>
      <c r="E439" s="300" t="s">
        <v>10798</v>
      </c>
    </row>
    <row r="440" spans="1:5" x14ac:dyDescent="0.25">
      <c r="A440" s="299"/>
      <c r="B440" s="303"/>
      <c r="C440" s="299" t="s">
        <v>166</v>
      </c>
      <c r="D440" s="299" t="s">
        <v>2901</v>
      </c>
      <c r="E440" s="300">
        <v>131758.64000000001</v>
      </c>
    </row>
    <row r="441" spans="1:5" x14ac:dyDescent="0.25">
      <c r="A441" s="299"/>
      <c r="B441" s="303"/>
      <c r="C441" s="299" t="s">
        <v>166</v>
      </c>
      <c r="D441" s="299" t="s">
        <v>8789</v>
      </c>
      <c r="E441" s="300">
        <v>193738.2</v>
      </c>
    </row>
    <row r="442" spans="1:5" x14ac:dyDescent="0.25">
      <c r="A442" s="299"/>
      <c r="B442" s="303"/>
      <c r="C442" s="299" t="s">
        <v>166</v>
      </c>
      <c r="D442" s="299" t="s">
        <v>8884</v>
      </c>
      <c r="E442" s="300" t="s">
        <v>10798</v>
      </c>
    </row>
    <row r="443" spans="1:5" x14ac:dyDescent="0.25">
      <c r="A443" s="306"/>
      <c r="B443" s="307"/>
      <c r="C443" s="306"/>
      <c r="D443" s="306"/>
      <c r="E443" s="308"/>
    </row>
    <row r="444" spans="1:5" x14ac:dyDescent="0.25">
      <c r="A444" s="310" t="s">
        <v>378</v>
      </c>
      <c r="B444" s="313">
        <f>28916200*1000</f>
        <v>28916200000</v>
      </c>
      <c r="C444" s="299" t="s">
        <v>185</v>
      </c>
      <c r="D444" s="299" t="s">
        <v>22</v>
      </c>
      <c r="E444" s="300">
        <v>8866687</v>
      </c>
    </row>
    <row r="445" spans="1:5" x14ac:dyDescent="0.25">
      <c r="A445" s="299"/>
      <c r="B445" s="303"/>
      <c r="C445" s="299" t="s">
        <v>265</v>
      </c>
      <c r="D445" s="299" t="s">
        <v>380</v>
      </c>
      <c r="E445" s="300">
        <v>11577603.26</v>
      </c>
    </row>
    <row r="446" spans="1:5" x14ac:dyDescent="0.25">
      <c r="A446" s="299"/>
      <c r="B446" s="303"/>
      <c r="C446" s="299" t="s">
        <v>265</v>
      </c>
      <c r="D446" s="299" t="s">
        <v>382</v>
      </c>
      <c r="E446" s="300">
        <v>7206832.9500000002</v>
      </c>
    </row>
    <row r="447" spans="1:5" x14ac:dyDescent="0.25">
      <c r="A447" s="299"/>
      <c r="B447" s="303"/>
      <c r="C447" s="299" t="s">
        <v>6882</v>
      </c>
      <c r="D447" s="299" t="s">
        <v>8791</v>
      </c>
      <c r="E447" s="300">
        <v>3636175</v>
      </c>
    </row>
    <row r="448" spans="1:5" x14ac:dyDescent="0.25">
      <c r="A448" s="306"/>
      <c r="B448" s="307"/>
      <c r="C448" s="306"/>
      <c r="D448" s="306"/>
      <c r="E448" s="308"/>
    </row>
    <row r="449" spans="1:5" x14ac:dyDescent="0.25">
      <c r="A449" s="310" t="s">
        <v>9193</v>
      </c>
      <c r="B449" s="316" t="s">
        <v>10798</v>
      </c>
      <c r="C449" s="299" t="s">
        <v>56</v>
      </c>
      <c r="D449" s="299" t="s">
        <v>8795</v>
      </c>
      <c r="E449" s="300">
        <v>2818895.64</v>
      </c>
    </row>
    <row r="450" spans="1:5" x14ac:dyDescent="0.25">
      <c r="A450" s="299"/>
      <c r="B450" s="303"/>
      <c r="C450" s="299" t="s">
        <v>9721</v>
      </c>
      <c r="D450" s="299" t="s">
        <v>8782</v>
      </c>
      <c r="E450" s="300">
        <v>819065.15</v>
      </c>
    </row>
    <row r="451" spans="1:5" x14ac:dyDescent="0.25">
      <c r="A451" s="306"/>
      <c r="B451" s="307"/>
      <c r="C451" s="306"/>
      <c r="D451" s="306"/>
      <c r="E451" s="308"/>
    </row>
    <row r="452" spans="1:5" ht="31.5" x14ac:dyDescent="0.25">
      <c r="A452" s="310" t="s">
        <v>3754</v>
      </c>
      <c r="B452" s="313">
        <v>62792241</v>
      </c>
      <c r="C452" s="299" t="s">
        <v>7</v>
      </c>
      <c r="D452" s="299" t="s">
        <v>7061</v>
      </c>
      <c r="E452" s="300">
        <v>48909.89</v>
      </c>
    </row>
    <row r="453" spans="1:5" x14ac:dyDescent="0.25">
      <c r="A453" s="299"/>
      <c r="B453" s="303"/>
      <c r="C453" s="299" t="s">
        <v>386</v>
      </c>
      <c r="D453" s="299" t="s">
        <v>287</v>
      </c>
      <c r="E453" s="300">
        <v>99600.09</v>
      </c>
    </row>
    <row r="454" spans="1:5" x14ac:dyDescent="0.25">
      <c r="A454" s="306"/>
      <c r="B454" s="307"/>
      <c r="C454" s="306"/>
      <c r="D454" s="306"/>
      <c r="E454" s="308"/>
    </row>
    <row r="455" spans="1:5" ht="31.5" x14ac:dyDescent="0.25">
      <c r="A455" s="310" t="s">
        <v>384</v>
      </c>
      <c r="B455" s="309">
        <v>883861879</v>
      </c>
      <c r="C455" s="299" t="s">
        <v>56</v>
      </c>
      <c r="D455" s="299" t="s">
        <v>136</v>
      </c>
      <c r="E455" s="300">
        <v>252517.86</v>
      </c>
    </row>
    <row r="456" spans="1:5" x14ac:dyDescent="0.25">
      <c r="A456" s="299"/>
      <c r="B456" s="303"/>
      <c r="C456" s="299" t="s">
        <v>7</v>
      </c>
      <c r="D456" s="299" t="s">
        <v>7406</v>
      </c>
      <c r="E456" s="300">
        <v>309939.77</v>
      </c>
    </row>
    <row r="457" spans="1:5" x14ac:dyDescent="0.25">
      <c r="A457" s="299"/>
      <c r="B457" s="303"/>
      <c r="C457" s="299" t="s">
        <v>7</v>
      </c>
      <c r="D457" s="299" t="s">
        <v>7461</v>
      </c>
      <c r="E457" s="300">
        <v>35790.379999999997</v>
      </c>
    </row>
    <row r="458" spans="1:5" x14ac:dyDescent="0.25">
      <c r="A458" s="299"/>
      <c r="B458" s="303"/>
      <c r="C458" s="299" t="s">
        <v>386</v>
      </c>
      <c r="D458" s="299" t="s">
        <v>6921</v>
      </c>
      <c r="E458" s="300">
        <v>352544.6</v>
      </c>
    </row>
    <row r="459" spans="1:5" x14ac:dyDescent="0.25">
      <c r="A459" s="299"/>
      <c r="B459" s="303"/>
      <c r="C459" s="299" t="s">
        <v>386</v>
      </c>
      <c r="D459" s="299" t="s">
        <v>66</v>
      </c>
      <c r="E459" s="300">
        <v>202798.45</v>
      </c>
    </row>
    <row r="460" spans="1:5" x14ac:dyDescent="0.25">
      <c r="A460" s="299"/>
      <c r="B460" s="303"/>
      <c r="C460" s="299" t="s">
        <v>386</v>
      </c>
      <c r="D460" s="299" t="s">
        <v>287</v>
      </c>
      <c r="E460" s="300">
        <v>575670.89</v>
      </c>
    </row>
    <row r="461" spans="1:5" x14ac:dyDescent="0.25">
      <c r="A461" s="299"/>
      <c r="B461" s="303"/>
      <c r="C461" s="299" t="s">
        <v>7</v>
      </c>
      <c r="D461" s="299" t="s">
        <v>8834</v>
      </c>
      <c r="E461" s="300">
        <v>214183.14</v>
      </c>
    </row>
    <row r="462" spans="1:5" x14ac:dyDescent="0.25">
      <c r="A462" s="306"/>
      <c r="B462" s="307"/>
      <c r="C462" s="306"/>
      <c r="D462" s="306"/>
      <c r="E462" s="308"/>
    </row>
    <row r="463" spans="1:5" ht="47.25" x14ac:dyDescent="0.25">
      <c r="A463" s="297" t="s">
        <v>1055</v>
      </c>
      <c r="B463" s="317" t="s">
        <v>10798</v>
      </c>
      <c r="C463" s="297" t="s">
        <v>109</v>
      </c>
      <c r="D463" s="297" t="s">
        <v>96</v>
      </c>
      <c r="E463" s="319">
        <v>32033</v>
      </c>
    </row>
    <row r="464" spans="1:5" x14ac:dyDescent="0.25">
      <c r="A464" s="297"/>
      <c r="B464" s="315"/>
      <c r="C464" s="297" t="s">
        <v>9830</v>
      </c>
      <c r="D464" s="297" t="s">
        <v>8824</v>
      </c>
      <c r="E464" s="319">
        <v>123654</v>
      </c>
    </row>
    <row r="465" spans="1:5" x14ac:dyDescent="0.25">
      <c r="A465" s="306"/>
      <c r="B465" s="307"/>
      <c r="C465" s="306"/>
      <c r="D465" s="306"/>
      <c r="E465" s="308"/>
    </row>
    <row r="466" spans="1:5" ht="31.5" x14ac:dyDescent="0.25">
      <c r="A466" s="310" t="s">
        <v>10865</v>
      </c>
      <c r="B466" s="317" t="s">
        <v>10798</v>
      </c>
      <c r="C466" s="297" t="s">
        <v>34</v>
      </c>
      <c r="D466" s="297" t="s">
        <v>7111</v>
      </c>
      <c r="E466" s="319">
        <v>203546.93</v>
      </c>
    </row>
    <row r="467" spans="1:5" x14ac:dyDescent="0.25">
      <c r="A467" s="297"/>
      <c r="B467" s="315"/>
      <c r="C467" s="297" t="s">
        <v>196</v>
      </c>
      <c r="D467" s="297" t="s">
        <v>8812</v>
      </c>
      <c r="E467" s="319">
        <v>742299</v>
      </c>
    </row>
  </sheetData>
  <mergeCells count="1">
    <mergeCell ref="A1:E1"/>
  </mergeCells>
  <conditionalFormatting sqref="D38">
    <cfRule type="containsBlanks" dxfId="972" priority="5">
      <formula>LEN(TRIM(D38))=0</formula>
    </cfRule>
  </conditionalFormatting>
  <conditionalFormatting sqref="D39">
    <cfRule type="containsBlanks" dxfId="971" priority="4">
      <formula>LEN(TRIM(D39))=0</formula>
    </cfRule>
  </conditionalFormatting>
  <conditionalFormatting sqref="D40">
    <cfRule type="containsBlanks" dxfId="970" priority="3">
      <formula>LEN(TRIM(D40))=0</formula>
    </cfRule>
  </conditionalFormatting>
  <conditionalFormatting sqref="D214:D215">
    <cfRule type="containsBlanks" dxfId="969" priority="2">
      <formula>LEN(TRIM(D214))=0</formula>
    </cfRule>
  </conditionalFormatting>
  <conditionalFormatting sqref="D230:D231">
    <cfRule type="containsBlanks" dxfId="968" priority="1">
      <formula>LEN(TRIM(D230))=0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646"/>
  <sheetViews>
    <sheetView tabSelected="1" topLeftCell="A400" workbookViewId="0">
      <selection activeCell="A405" sqref="A405"/>
    </sheetView>
  </sheetViews>
  <sheetFormatPr defaultRowHeight="15.75" x14ac:dyDescent="0.25"/>
  <cols>
    <col min="1" max="1" width="37.42578125" style="343" customWidth="1"/>
    <col min="2" max="2" width="20.28515625" style="340" bestFit="1" customWidth="1"/>
    <col min="3" max="3" width="20.28515625" style="340" customWidth="1"/>
    <col min="4" max="4" width="11.42578125" style="293" bestFit="1" customWidth="1"/>
    <col min="5" max="6" width="9.140625" style="293"/>
    <col min="7" max="7" width="12" style="293" bestFit="1" customWidth="1"/>
    <col min="8" max="16384" width="9.140625" style="293"/>
  </cols>
  <sheetData>
    <row r="1" spans="1:4" x14ac:dyDescent="0.25">
      <c r="A1" s="341" t="s">
        <v>10941</v>
      </c>
      <c r="B1" s="337" t="s">
        <v>10867</v>
      </c>
      <c r="C1" s="347"/>
      <c r="D1" s="293" t="s">
        <v>10943</v>
      </c>
    </row>
    <row r="2" spans="1:4" x14ac:dyDescent="0.25">
      <c r="A2" s="17" t="s">
        <v>9653</v>
      </c>
      <c r="B2" s="338" t="s">
        <v>10798</v>
      </c>
      <c r="C2" s="348"/>
      <c r="D2" s="350">
        <f>COUNTIF($B$2:$B$427,"NA")/COUNT($B$2:$B$427)</f>
        <v>0.4391891891891892</v>
      </c>
    </row>
    <row r="3" spans="1:4" x14ac:dyDescent="0.25">
      <c r="A3" s="17" t="s">
        <v>3683</v>
      </c>
      <c r="B3" s="338" t="s">
        <v>10798</v>
      </c>
      <c r="C3" s="348"/>
    </row>
    <row r="4" spans="1:4" x14ac:dyDescent="0.25">
      <c r="A4" s="17" t="s">
        <v>9444</v>
      </c>
      <c r="B4" s="338" t="s">
        <v>10798</v>
      </c>
      <c r="C4" s="348"/>
    </row>
    <row r="5" spans="1:4" x14ac:dyDescent="0.25">
      <c r="A5" s="17" t="s">
        <v>4072</v>
      </c>
      <c r="B5" s="338" t="s">
        <v>10798</v>
      </c>
      <c r="C5" s="348"/>
    </row>
    <row r="6" spans="1:4" x14ac:dyDescent="0.25">
      <c r="A6" s="17" t="s">
        <v>1332</v>
      </c>
      <c r="B6" s="338" t="s">
        <v>10798</v>
      </c>
      <c r="C6" s="348"/>
    </row>
    <row r="7" spans="1:4" x14ac:dyDescent="0.25">
      <c r="A7" s="17" t="s">
        <v>629</v>
      </c>
      <c r="B7" s="338" t="s">
        <v>10798</v>
      </c>
      <c r="C7" s="348"/>
    </row>
    <row r="8" spans="1:4" x14ac:dyDescent="0.25">
      <c r="A8" s="17" t="s">
        <v>1390</v>
      </c>
      <c r="B8" s="338" t="s">
        <v>10798</v>
      </c>
      <c r="C8" s="348"/>
    </row>
    <row r="9" spans="1:4" x14ac:dyDescent="0.25">
      <c r="A9" s="17" t="s">
        <v>9455</v>
      </c>
      <c r="B9" s="338" t="s">
        <v>10798</v>
      </c>
      <c r="C9" s="348"/>
    </row>
    <row r="10" spans="1:4" x14ac:dyDescent="0.25">
      <c r="A10" s="23" t="s">
        <v>7419</v>
      </c>
      <c r="B10" s="338" t="s">
        <v>10798</v>
      </c>
      <c r="C10" s="348"/>
    </row>
    <row r="11" spans="1:4" x14ac:dyDescent="0.25">
      <c r="A11" s="23" t="s">
        <v>11407</v>
      </c>
      <c r="B11" s="338" t="s">
        <v>10798</v>
      </c>
      <c r="C11" s="348"/>
    </row>
    <row r="12" spans="1:4" x14ac:dyDescent="0.25">
      <c r="A12" s="23" t="s">
        <v>7316</v>
      </c>
      <c r="B12" s="338" t="s">
        <v>10798</v>
      </c>
      <c r="C12" s="348"/>
    </row>
    <row r="13" spans="1:4" x14ac:dyDescent="0.25">
      <c r="A13" s="17" t="s">
        <v>1318</v>
      </c>
      <c r="B13" s="338" t="s">
        <v>10798</v>
      </c>
      <c r="C13" s="348"/>
    </row>
    <row r="14" spans="1:4" x14ac:dyDescent="0.25">
      <c r="A14" s="17" t="s">
        <v>1326</v>
      </c>
      <c r="B14" s="338" t="s">
        <v>10798</v>
      </c>
      <c r="C14" s="348"/>
    </row>
    <row r="15" spans="1:4" ht="30" x14ac:dyDescent="0.25">
      <c r="A15" s="23" t="s">
        <v>730</v>
      </c>
      <c r="B15" s="338" t="s">
        <v>10798</v>
      </c>
      <c r="C15" s="348"/>
    </row>
    <row r="16" spans="1:4" x14ac:dyDescent="0.25">
      <c r="A16" s="17" t="s">
        <v>9453</v>
      </c>
      <c r="B16" s="338" t="s">
        <v>10798</v>
      </c>
      <c r="C16" s="348"/>
    </row>
    <row r="17" spans="1:3" ht="30" x14ac:dyDescent="0.25">
      <c r="A17" s="23" t="s">
        <v>11115</v>
      </c>
      <c r="B17" s="344" t="s">
        <v>10798</v>
      </c>
      <c r="C17" s="348"/>
    </row>
    <row r="18" spans="1:3" x14ac:dyDescent="0.25">
      <c r="A18" s="17" t="s">
        <v>773</v>
      </c>
      <c r="B18" s="338" t="s">
        <v>10798</v>
      </c>
      <c r="C18" s="348"/>
    </row>
    <row r="19" spans="1:3" x14ac:dyDescent="0.25">
      <c r="A19" s="17" t="s">
        <v>85</v>
      </c>
      <c r="B19" s="338" t="s">
        <v>10798</v>
      </c>
      <c r="C19" s="348"/>
    </row>
    <row r="20" spans="1:3" x14ac:dyDescent="0.25">
      <c r="A20" s="17" t="s">
        <v>3897</v>
      </c>
      <c r="B20" s="338" t="s">
        <v>10798</v>
      </c>
      <c r="C20" s="348"/>
    </row>
    <row r="21" spans="1:3" x14ac:dyDescent="0.25">
      <c r="A21" s="23" t="s">
        <v>11470</v>
      </c>
      <c r="B21" s="338" t="s">
        <v>10798</v>
      </c>
      <c r="C21" s="348"/>
    </row>
    <row r="22" spans="1:3" ht="30" x14ac:dyDescent="0.25">
      <c r="A22" s="23" t="s">
        <v>9472</v>
      </c>
      <c r="B22" s="338" t="s">
        <v>10798</v>
      </c>
      <c r="C22" s="348"/>
    </row>
    <row r="23" spans="1:3" ht="30" x14ac:dyDescent="0.25">
      <c r="A23" s="23" t="s">
        <v>9607</v>
      </c>
      <c r="B23" s="338" t="s">
        <v>10798</v>
      </c>
      <c r="C23" s="348"/>
    </row>
    <row r="24" spans="1:3" x14ac:dyDescent="0.25">
      <c r="A24" s="23" t="s">
        <v>9547</v>
      </c>
      <c r="B24" s="338" t="s">
        <v>10798</v>
      </c>
      <c r="C24" s="348"/>
    </row>
    <row r="25" spans="1:3" ht="30" x14ac:dyDescent="0.25">
      <c r="A25" s="23" t="s">
        <v>11156</v>
      </c>
      <c r="B25" s="344" t="s">
        <v>10798</v>
      </c>
      <c r="C25" s="348"/>
    </row>
    <row r="26" spans="1:3" x14ac:dyDescent="0.25">
      <c r="A26" s="23" t="s">
        <v>11157</v>
      </c>
      <c r="B26" s="344" t="s">
        <v>10798</v>
      </c>
      <c r="C26" s="348"/>
    </row>
    <row r="27" spans="1:3" x14ac:dyDescent="0.25">
      <c r="A27" s="17" t="s">
        <v>9515</v>
      </c>
      <c r="B27" s="338" t="s">
        <v>10798</v>
      </c>
      <c r="C27" s="348"/>
    </row>
    <row r="28" spans="1:3" x14ac:dyDescent="0.25">
      <c r="A28" s="23" t="s">
        <v>9478</v>
      </c>
      <c r="B28" s="338" t="s">
        <v>10798</v>
      </c>
      <c r="C28" s="348"/>
    </row>
    <row r="29" spans="1:3" x14ac:dyDescent="0.25">
      <c r="A29" s="17" t="s">
        <v>9254</v>
      </c>
      <c r="B29" s="338" t="s">
        <v>10798</v>
      </c>
      <c r="C29" s="348"/>
    </row>
    <row r="30" spans="1:3" x14ac:dyDescent="0.25">
      <c r="A30" s="17" t="s">
        <v>2621</v>
      </c>
      <c r="B30" s="338" t="s">
        <v>10798</v>
      </c>
      <c r="C30" s="348"/>
    </row>
    <row r="31" spans="1:3" x14ac:dyDescent="0.25">
      <c r="A31" s="17" t="s">
        <v>9184</v>
      </c>
      <c r="B31" s="338" t="s">
        <v>10798</v>
      </c>
      <c r="C31" s="348"/>
    </row>
    <row r="32" spans="1:3" x14ac:dyDescent="0.25">
      <c r="A32" s="17" t="s">
        <v>2242</v>
      </c>
      <c r="B32" s="338" t="s">
        <v>10798</v>
      </c>
      <c r="C32" s="348"/>
    </row>
    <row r="33" spans="1:3" ht="30" x14ac:dyDescent="0.25">
      <c r="A33" s="23" t="s">
        <v>11367</v>
      </c>
      <c r="B33" s="338" t="s">
        <v>10798</v>
      </c>
      <c r="C33" s="348"/>
    </row>
    <row r="34" spans="1:3" x14ac:dyDescent="0.25">
      <c r="A34" s="23" t="s">
        <v>9249</v>
      </c>
      <c r="B34" s="338" t="s">
        <v>10798</v>
      </c>
      <c r="C34" s="348"/>
    </row>
    <row r="35" spans="1:3" ht="30" x14ac:dyDescent="0.25">
      <c r="A35" s="17" t="s">
        <v>1018</v>
      </c>
      <c r="B35" s="338" t="s">
        <v>10798</v>
      </c>
      <c r="C35" s="348"/>
    </row>
    <row r="36" spans="1:3" ht="30" x14ac:dyDescent="0.25">
      <c r="A36" s="17" t="s">
        <v>1021</v>
      </c>
      <c r="B36" s="338" t="s">
        <v>10798</v>
      </c>
      <c r="C36" s="348"/>
    </row>
    <row r="37" spans="1:3" x14ac:dyDescent="0.25">
      <c r="A37" s="17" t="s">
        <v>3519</v>
      </c>
      <c r="B37" s="338" t="s">
        <v>10798</v>
      </c>
      <c r="C37" s="348"/>
    </row>
    <row r="38" spans="1:3" x14ac:dyDescent="0.25">
      <c r="A38" s="17" t="s">
        <v>868</v>
      </c>
      <c r="B38" s="338" t="s">
        <v>10798</v>
      </c>
      <c r="C38" s="348"/>
    </row>
    <row r="39" spans="1:3" x14ac:dyDescent="0.25">
      <c r="A39" s="17" t="s">
        <v>9526</v>
      </c>
      <c r="B39" s="338" t="s">
        <v>10798</v>
      </c>
      <c r="C39" s="348"/>
    </row>
    <row r="40" spans="1:3" x14ac:dyDescent="0.25">
      <c r="A40" s="17" t="s">
        <v>9580</v>
      </c>
      <c r="B40" s="338" t="s">
        <v>10798</v>
      </c>
      <c r="C40" s="348"/>
    </row>
    <row r="41" spans="1:3" x14ac:dyDescent="0.25">
      <c r="A41" s="23" t="s">
        <v>7187</v>
      </c>
      <c r="B41" s="338" t="s">
        <v>10798</v>
      </c>
      <c r="C41" s="348"/>
    </row>
    <row r="42" spans="1:3" x14ac:dyDescent="0.25">
      <c r="A42" s="23" t="s">
        <v>11508</v>
      </c>
      <c r="B42" s="338" t="s">
        <v>10798</v>
      </c>
      <c r="C42" s="348"/>
    </row>
    <row r="43" spans="1:3" x14ac:dyDescent="0.25">
      <c r="A43" s="17" t="s">
        <v>717</v>
      </c>
      <c r="B43" s="338" t="s">
        <v>10798</v>
      </c>
      <c r="C43" s="348"/>
    </row>
    <row r="44" spans="1:3" ht="30" x14ac:dyDescent="0.25">
      <c r="A44" s="17" t="s">
        <v>1473</v>
      </c>
      <c r="B44" s="338" t="s">
        <v>10798</v>
      </c>
      <c r="C44" s="348"/>
    </row>
    <row r="45" spans="1:3" x14ac:dyDescent="0.25">
      <c r="A45" s="289" t="s">
        <v>9624</v>
      </c>
      <c r="B45" s="338" t="s">
        <v>10798</v>
      </c>
      <c r="C45" s="348"/>
    </row>
    <row r="46" spans="1:3" ht="30" x14ac:dyDescent="0.25">
      <c r="A46" s="289" t="s">
        <v>9388</v>
      </c>
      <c r="B46" s="338" t="s">
        <v>10798</v>
      </c>
      <c r="C46" s="348"/>
    </row>
    <row r="47" spans="1:3" x14ac:dyDescent="0.25">
      <c r="A47" s="17" t="s">
        <v>9327</v>
      </c>
      <c r="B47" s="338" t="s">
        <v>10798</v>
      </c>
      <c r="C47" s="348"/>
    </row>
    <row r="48" spans="1:3" x14ac:dyDescent="0.25">
      <c r="A48" s="17" t="s">
        <v>9524</v>
      </c>
      <c r="B48" s="338" t="s">
        <v>10798</v>
      </c>
      <c r="C48" s="348"/>
    </row>
    <row r="49" spans="1:3" x14ac:dyDescent="0.25">
      <c r="A49" s="23" t="s">
        <v>9459</v>
      </c>
      <c r="B49" s="338" t="s">
        <v>10798</v>
      </c>
      <c r="C49" s="348"/>
    </row>
    <row r="50" spans="1:3" ht="45" x14ac:dyDescent="0.25">
      <c r="A50" s="23" t="s">
        <v>1993</v>
      </c>
      <c r="B50" s="338" t="s">
        <v>10798</v>
      </c>
      <c r="C50" s="348"/>
    </row>
    <row r="51" spans="1:3" x14ac:dyDescent="0.25">
      <c r="A51" s="23" t="s">
        <v>7327</v>
      </c>
      <c r="B51" s="338" t="s">
        <v>10798</v>
      </c>
      <c r="C51" s="348"/>
    </row>
    <row r="52" spans="1:3" ht="30" x14ac:dyDescent="0.25">
      <c r="A52" s="23" t="s">
        <v>2932</v>
      </c>
      <c r="B52" s="338" t="s">
        <v>10798</v>
      </c>
      <c r="C52" s="348"/>
    </row>
    <row r="53" spans="1:3" ht="30" x14ac:dyDescent="0.25">
      <c r="A53" s="17" t="s">
        <v>3144</v>
      </c>
      <c r="B53" s="338" t="s">
        <v>10798</v>
      </c>
      <c r="C53" s="348"/>
    </row>
    <row r="54" spans="1:3" x14ac:dyDescent="0.25">
      <c r="A54" s="23" t="s">
        <v>1334</v>
      </c>
      <c r="B54" s="338" t="s">
        <v>10798</v>
      </c>
      <c r="C54" s="348"/>
    </row>
    <row r="55" spans="1:3" x14ac:dyDescent="0.25">
      <c r="A55" s="17" t="s">
        <v>3296</v>
      </c>
      <c r="B55" s="338" t="s">
        <v>10798</v>
      </c>
      <c r="C55" s="348"/>
    </row>
    <row r="56" spans="1:3" x14ac:dyDescent="0.25">
      <c r="A56" s="17" t="s">
        <v>9299</v>
      </c>
      <c r="B56" s="338" t="s">
        <v>10798</v>
      </c>
      <c r="C56" s="348"/>
    </row>
    <row r="57" spans="1:3" x14ac:dyDescent="0.25">
      <c r="A57" s="17" t="s">
        <v>859</v>
      </c>
      <c r="B57" s="338" t="s">
        <v>10798</v>
      </c>
      <c r="C57" s="348"/>
    </row>
    <row r="58" spans="1:3" x14ac:dyDescent="0.25">
      <c r="A58" s="17" t="s">
        <v>9657</v>
      </c>
      <c r="B58" s="338" t="s">
        <v>10798</v>
      </c>
      <c r="C58" s="348"/>
    </row>
    <row r="59" spans="1:3" x14ac:dyDescent="0.25">
      <c r="A59" s="17" t="s">
        <v>9353</v>
      </c>
      <c r="B59" s="338" t="s">
        <v>10798</v>
      </c>
      <c r="C59" s="348"/>
    </row>
    <row r="60" spans="1:3" x14ac:dyDescent="0.25">
      <c r="A60" s="23" t="s">
        <v>6989</v>
      </c>
      <c r="B60" s="338" t="s">
        <v>10798</v>
      </c>
      <c r="C60" s="348"/>
    </row>
    <row r="61" spans="1:3" x14ac:dyDescent="0.25">
      <c r="A61" s="17" t="s">
        <v>2112</v>
      </c>
      <c r="B61" s="338" t="s">
        <v>10798</v>
      </c>
      <c r="C61" s="348"/>
    </row>
    <row r="62" spans="1:3" x14ac:dyDescent="0.25">
      <c r="A62" s="23" t="s">
        <v>659</v>
      </c>
      <c r="B62" s="338" t="s">
        <v>10798</v>
      </c>
      <c r="C62" s="348"/>
    </row>
    <row r="63" spans="1:3" x14ac:dyDescent="0.25">
      <c r="A63" s="17" t="s">
        <v>1872</v>
      </c>
      <c r="B63" s="338" t="s">
        <v>10798</v>
      </c>
      <c r="C63" s="348"/>
    </row>
    <row r="64" spans="1:3" x14ac:dyDescent="0.25">
      <c r="A64" s="17" t="s">
        <v>9689</v>
      </c>
      <c r="B64" s="338" t="s">
        <v>10798</v>
      </c>
      <c r="C64" s="348"/>
    </row>
    <row r="65" spans="1:3" ht="45" x14ac:dyDescent="0.25">
      <c r="A65" s="23" t="s">
        <v>9679</v>
      </c>
      <c r="B65" s="338" t="s">
        <v>10798</v>
      </c>
      <c r="C65" s="348"/>
    </row>
    <row r="66" spans="1:3" x14ac:dyDescent="0.25">
      <c r="A66" s="23" t="s">
        <v>11155</v>
      </c>
      <c r="B66" s="344" t="s">
        <v>10798</v>
      </c>
      <c r="C66" s="348"/>
    </row>
    <row r="67" spans="1:3" ht="30" x14ac:dyDescent="0.25">
      <c r="A67" s="17" t="s">
        <v>3701</v>
      </c>
      <c r="B67" s="338" t="s">
        <v>10798</v>
      </c>
      <c r="C67" s="348"/>
    </row>
    <row r="68" spans="1:3" x14ac:dyDescent="0.25">
      <c r="A68" s="17" t="s">
        <v>2165</v>
      </c>
      <c r="B68" s="338" t="s">
        <v>10798</v>
      </c>
      <c r="C68" s="348"/>
    </row>
    <row r="69" spans="1:3" x14ac:dyDescent="0.25">
      <c r="A69" s="23" t="s">
        <v>11420</v>
      </c>
      <c r="B69" s="338" t="s">
        <v>10798</v>
      </c>
      <c r="C69" s="348"/>
    </row>
    <row r="70" spans="1:3" x14ac:dyDescent="0.25">
      <c r="A70" s="23" t="s">
        <v>9533</v>
      </c>
      <c r="B70" s="338" t="s">
        <v>10798</v>
      </c>
      <c r="C70" s="348"/>
    </row>
    <row r="71" spans="1:3" x14ac:dyDescent="0.25">
      <c r="A71" s="17" t="s">
        <v>3750</v>
      </c>
      <c r="B71" s="338" t="s">
        <v>10798</v>
      </c>
      <c r="C71" s="348"/>
    </row>
    <row r="72" spans="1:3" x14ac:dyDescent="0.25">
      <c r="A72" s="17" t="s">
        <v>3900</v>
      </c>
      <c r="B72" s="338" t="s">
        <v>10798</v>
      </c>
      <c r="C72" s="348"/>
    </row>
    <row r="73" spans="1:3" x14ac:dyDescent="0.25">
      <c r="A73" s="23" t="s">
        <v>9252</v>
      </c>
      <c r="B73" s="338" t="s">
        <v>10798</v>
      </c>
      <c r="C73" s="348"/>
    </row>
    <row r="74" spans="1:3" x14ac:dyDescent="0.25">
      <c r="A74" s="17" t="s">
        <v>3042</v>
      </c>
      <c r="B74" s="338" t="s">
        <v>10798</v>
      </c>
      <c r="C74" s="348"/>
    </row>
    <row r="75" spans="1:3" x14ac:dyDescent="0.25">
      <c r="A75" s="17" t="s">
        <v>1357</v>
      </c>
      <c r="B75" s="338" t="s">
        <v>10798</v>
      </c>
      <c r="C75" s="348"/>
    </row>
    <row r="76" spans="1:3" ht="30" x14ac:dyDescent="0.25">
      <c r="A76" s="23" t="s">
        <v>2557</v>
      </c>
      <c r="B76" s="338" t="s">
        <v>10798</v>
      </c>
      <c r="C76" s="348"/>
    </row>
    <row r="77" spans="1:3" x14ac:dyDescent="0.25">
      <c r="A77" s="23" t="s">
        <v>10451</v>
      </c>
      <c r="B77" s="338" t="s">
        <v>10798</v>
      </c>
      <c r="C77" s="348"/>
    </row>
    <row r="78" spans="1:3" x14ac:dyDescent="0.25">
      <c r="A78" s="23" t="s">
        <v>11107</v>
      </c>
      <c r="B78" s="344" t="s">
        <v>10798</v>
      </c>
      <c r="C78" s="348"/>
    </row>
    <row r="79" spans="1:3" ht="30" x14ac:dyDescent="0.25">
      <c r="A79" s="23" t="s">
        <v>7374</v>
      </c>
      <c r="B79" s="338" t="s">
        <v>10798</v>
      </c>
      <c r="C79" s="348"/>
    </row>
    <row r="80" spans="1:3" x14ac:dyDescent="0.25">
      <c r="A80" s="23" t="s">
        <v>11547</v>
      </c>
      <c r="B80" s="338" t="s">
        <v>10798</v>
      </c>
      <c r="C80" s="348"/>
    </row>
    <row r="81" spans="1:3" x14ac:dyDescent="0.25">
      <c r="A81" s="23" t="s">
        <v>9549</v>
      </c>
      <c r="B81" s="338" t="s">
        <v>10798</v>
      </c>
      <c r="C81" s="348"/>
    </row>
    <row r="82" spans="1:3" x14ac:dyDescent="0.25">
      <c r="A82" s="23" t="s">
        <v>9557</v>
      </c>
      <c r="B82" s="338" t="s">
        <v>10798</v>
      </c>
      <c r="C82" s="348"/>
    </row>
    <row r="83" spans="1:3" x14ac:dyDescent="0.25">
      <c r="A83" s="17" t="s">
        <v>9456</v>
      </c>
      <c r="B83" s="338" t="s">
        <v>10798</v>
      </c>
      <c r="C83" s="348"/>
    </row>
    <row r="84" spans="1:3" x14ac:dyDescent="0.25">
      <c r="A84" s="23" t="s">
        <v>7323</v>
      </c>
      <c r="B84" s="338" t="s">
        <v>10798</v>
      </c>
      <c r="C84" s="348"/>
    </row>
    <row r="85" spans="1:3" x14ac:dyDescent="0.25">
      <c r="A85" s="17" t="s">
        <v>2037</v>
      </c>
      <c r="B85" s="338" t="s">
        <v>10798</v>
      </c>
      <c r="C85" s="348"/>
    </row>
    <row r="86" spans="1:3" ht="30" x14ac:dyDescent="0.25">
      <c r="A86" s="23" t="s">
        <v>11111</v>
      </c>
      <c r="B86" s="344" t="s">
        <v>10798</v>
      </c>
      <c r="C86" s="348"/>
    </row>
    <row r="87" spans="1:3" ht="30" x14ac:dyDescent="0.25">
      <c r="A87" s="23" t="s">
        <v>11441</v>
      </c>
      <c r="B87" s="344" t="s">
        <v>10798</v>
      </c>
      <c r="C87" s="348"/>
    </row>
    <row r="88" spans="1:3" x14ac:dyDescent="0.25">
      <c r="A88" s="17" t="s">
        <v>9514</v>
      </c>
      <c r="B88" s="338" t="s">
        <v>10798</v>
      </c>
      <c r="C88" s="348"/>
    </row>
    <row r="89" spans="1:3" x14ac:dyDescent="0.25">
      <c r="A89" s="17" t="s">
        <v>2624</v>
      </c>
      <c r="B89" s="338" t="s">
        <v>10798</v>
      </c>
      <c r="C89" s="348"/>
    </row>
    <row r="90" spans="1:3" ht="30" x14ac:dyDescent="0.25">
      <c r="A90" s="17" t="s">
        <v>2865</v>
      </c>
      <c r="B90" s="338" t="s">
        <v>10798</v>
      </c>
      <c r="C90" s="348"/>
    </row>
    <row r="91" spans="1:3" x14ac:dyDescent="0.25">
      <c r="A91" s="17" t="s">
        <v>2086</v>
      </c>
      <c r="B91" s="338" t="s">
        <v>10798</v>
      </c>
      <c r="C91" s="348"/>
    </row>
    <row r="92" spans="1:3" x14ac:dyDescent="0.25">
      <c r="A92" s="17" t="s">
        <v>3788</v>
      </c>
      <c r="B92" s="338" t="s">
        <v>10798</v>
      </c>
      <c r="C92" s="348"/>
    </row>
    <row r="93" spans="1:3" x14ac:dyDescent="0.25">
      <c r="A93" s="17" t="s">
        <v>3514</v>
      </c>
      <c r="B93" s="338" t="s">
        <v>10798</v>
      </c>
      <c r="C93" s="348"/>
    </row>
    <row r="94" spans="1:3" x14ac:dyDescent="0.25">
      <c r="A94" s="17" t="s">
        <v>3170</v>
      </c>
      <c r="B94" s="338" t="s">
        <v>10798</v>
      </c>
      <c r="C94" s="348"/>
    </row>
    <row r="95" spans="1:3" x14ac:dyDescent="0.25">
      <c r="A95" s="17" t="s">
        <v>9648</v>
      </c>
      <c r="B95" s="338" t="s">
        <v>10798</v>
      </c>
      <c r="C95" s="348"/>
    </row>
    <row r="96" spans="1:3" x14ac:dyDescent="0.25">
      <c r="A96" s="17" t="s">
        <v>9300</v>
      </c>
      <c r="B96" s="338" t="s">
        <v>10798</v>
      </c>
      <c r="C96" s="348"/>
    </row>
    <row r="97" spans="1:3" ht="30" x14ac:dyDescent="0.25">
      <c r="A97" s="17" t="s">
        <v>318</v>
      </c>
      <c r="B97" s="338" t="s">
        <v>10798</v>
      </c>
      <c r="C97" s="348"/>
    </row>
    <row r="98" spans="1:3" x14ac:dyDescent="0.25">
      <c r="A98" s="17" t="s">
        <v>9447</v>
      </c>
      <c r="B98" s="338" t="s">
        <v>10798</v>
      </c>
      <c r="C98" s="348"/>
    </row>
    <row r="99" spans="1:3" x14ac:dyDescent="0.25">
      <c r="A99" s="23" t="s">
        <v>9250</v>
      </c>
      <c r="B99" s="338" t="s">
        <v>10798</v>
      </c>
      <c r="C99" s="348"/>
    </row>
    <row r="100" spans="1:3" x14ac:dyDescent="0.25">
      <c r="A100" s="23" t="s">
        <v>7089</v>
      </c>
      <c r="B100" s="338" t="s">
        <v>10798</v>
      </c>
      <c r="C100" s="348"/>
    </row>
    <row r="101" spans="1:3" x14ac:dyDescent="0.25">
      <c r="A101" s="17" t="s">
        <v>9202</v>
      </c>
      <c r="B101" s="338" t="s">
        <v>10798</v>
      </c>
      <c r="C101" s="348"/>
    </row>
    <row r="102" spans="1:3" x14ac:dyDescent="0.25">
      <c r="A102" s="17" t="s">
        <v>3936</v>
      </c>
      <c r="B102" s="338" t="s">
        <v>10798</v>
      </c>
      <c r="C102" s="348"/>
    </row>
    <row r="103" spans="1:3" x14ac:dyDescent="0.25">
      <c r="A103" s="23" t="s">
        <v>6840</v>
      </c>
      <c r="B103" s="338" t="s">
        <v>10798</v>
      </c>
      <c r="C103" s="348"/>
    </row>
    <row r="104" spans="1:3" ht="30" x14ac:dyDescent="0.25">
      <c r="A104" s="23" t="s">
        <v>10864</v>
      </c>
      <c r="B104" s="338" t="s">
        <v>10798</v>
      </c>
      <c r="C104" s="348"/>
    </row>
    <row r="105" spans="1:3" ht="30" x14ac:dyDescent="0.25">
      <c r="A105" s="23" t="s">
        <v>9480</v>
      </c>
      <c r="B105" s="338" t="s">
        <v>10798</v>
      </c>
      <c r="C105" s="348"/>
    </row>
    <row r="106" spans="1:3" x14ac:dyDescent="0.25">
      <c r="A106" s="23" t="s">
        <v>1658</v>
      </c>
      <c r="B106" s="338" t="s">
        <v>10798</v>
      </c>
      <c r="C106" s="348"/>
    </row>
    <row r="107" spans="1:3" x14ac:dyDescent="0.25">
      <c r="A107" s="17" t="s">
        <v>4181</v>
      </c>
      <c r="B107" s="338" t="s">
        <v>10798</v>
      </c>
      <c r="C107" s="348"/>
    </row>
    <row r="108" spans="1:3" ht="60" x14ac:dyDescent="0.25">
      <c r="A108" s="23" t="s">
        <v>7297</v>
      </c>
      <c r="B108" s="338" t="s">
        <v>10798</v>
      </c>
      <c r="C108" s="348"/>
    </row>
    <row r="109" spans="1:3" x14ac:dyDescent="0.25">
      <c r="A109" s="23" t="s">
        <v>4022</v>
      </c>
      <c r="B109" s="338" t="s">
        <v>10798</v>
      </c>
      <c r="C109" s="348"/>
    </row>
    <row r="110" spans="1:3" x14ac:dyDescent="0.25">
      <c r="A110" s="23" t="s">
        <v>11108</v>
      </c>
      <c r="B110" s="344" t="s">
        <v>10798</v>
      </c>
      <c r="C110" s="348"/>
    </row>
    <row r="111" spans="1:3" x14ac:dyDescent="0.25">
      <c r="A111" s="17" t="s">
        <v>2184</v>
      </c>
      <c r="B111" s="338" t="s">
        <v>10798</v>
      </c>
      <c r="C111" s="348"/>
    </row>
    <row r="112" spans="1:3" x14ac:dyDescent="0.25">
      <c r="A112" s="17" t="s">
        <v>9208</v>
      </c>
      <c r="B112" s="338" t="s">
        <v>10798</v>
      </c>
      <c r="C112" s="348"/>
    </row>
    <row r="113" spans="1:3" ht="30" x14ac:dyDescent="0.25">
      <c r="A113" s="23" t="s">
        <v>3625</v>
      </c>
      <c r="B113" s="338" t="s">
        <v>10798</v>
      </c>
      <c r="C113" s="348"/>
    </row>
    <row r="114" spans="1:3" x14ac:dyDescent="0.25">
      <c r="A114" s="17" t="s">
        <v>3903</v>
      </c>
      <c r="B114" s="338" t="s">
        <v>10798</v>
      </c>
      <c r="C114" s="348"/>
    </row>
    <row r="115" spans="1:3" ht="30" x14ac:dyDescent="0.25">
      <c r="A115" s="23" t="s">
        <v>7110</v>
      </c>
      <c r="B115" s="338" t="s">
        <v>10798</v>
      </c>
      <c r="C115" s="348"/>
    </row>
    <row r="116" spans="1:3" x14ac:dyDescent="0.25">
      <c r="A116" s="23" t="s">
        <v>9426</v>
      </c>
      <c r="B116" s="338" t="s">
        <v>10798</v>
      </c>
      <c r="C116" s="349"/>
    </row>
    <row r="117" spans="1:3" x14ac:dyDescent="0.25">
      <c r="A117" s="17" t="s">
        <v>1601</v>
      </c>
      <c r="B117" s="338" t="s">
        <v>10798</v>
      </c>
      <c r="C117" s="349"/>
    </row>
    <row r="118" spans="1:3" ht="30" x14ac:dyDescent="0.25">
      <c r="A118" s="23" t="s">
        <v>11394</v>
      </c>
      <c r="B118" s="338" t="s">
        <v>10798</v>
      </c>
      <c r="C118" s="348"/>
    </row>
    <row r="119" spans="1:3" ht="30" x14ac:dyDescent="0.25">
      <c r="A119" s="23" t="s">
        <v>11412</v>
      </c>
      <c r="B119" s="338" t="s">
        <v>10798</v>
      </c>
      <c r="C119" s="348"/>
    </row>
    <row r="120" spans="1:3" ht="45" x14ac:dyDescent="0.25">
      <c r="A120" s="23" t="s">
        <v>1055</v>
      </c>
      <c r="B120" s="338" t="s">
        <v>10798</v>
      </c>
      <c r="C120" s="348"/>
    </row>
    <row r="121" spans="1:3" ht="30" x14ac:dyDescent="0.25">
      <c r="A121" s="23" t="s">
        <v>10865</v>
      </c>
      <c r="B121" s="338" t="s">
        <v>10798</v>
      </c>
      <c r="C121" s="348"/>
    </row>
    <row r="122" spans="1:3" x14ac:dyDescent="0.25">
      <c r="A122" s="23" t="s">
        <v>11634</v>
      </c>
      <c r="B122" s="338" t="s">
        <v>10798</v>
      </c>
      <c r="C122" s="348"/>
    </row>
    <row r="123" spans="1:3" x14ac:dyDescent="0.25">
      <c r="A123" s="23" t="s">
        <v>4056</v>
      </c>
      <c r="B123" s="338" t="s">
        <v>10798</v>
      </c>
      <c r="C123" s="348"/>
    </row>
    <row r="124" spans="1:3" x14ac:dyDescent="0.25">
      <c r="A124" s="23" t="s">
        <v>1316</v>
      </c>
      <c r="B124" s="344" t="s">
        <v>10798</v>
      </c>
      <c r="C124" s="348"/>
    </row>
    <row r="125" spans="1:3" x14ac:dyDescent="0.25">
      <c r="A125" s="23" t="s">
        <v>6868</v>
      </c>
      <c r="B125" s="338" t="s">
        <v>10798</v>
      </c>
      <c r="C125" s="348"/>
    </row>
    <row r="126" spans="1:3" x14ac:dyDescent="0.25">
      <c r="A126" s="23" t="s">
        <v>9442</v>
      </c>
      <c r="B126" s="338" t="s">
        <v>10798</v>
      </c>
      <c r="C126" s="348"/>
    </row>
    <row r="127" spans="1:3" x14ac:dyDescent="0.25">
      <c r="A127" s="23" t="s">
        <v>9441</v>
      </c>
      <c r="B127" s="338" t="s">
        <v>10798</v>
      </c>
      <c r="C127" s="348"/>
    </row>
    <row r="128" spans="1:3" x14ac:dyDescent="0.25">
      <c r="A128" s="23" t="s">
        <v>11442</v>
      </c>
      <c r="B128" s="338" t="s">
        <v>10798</v>
      </c>
      <c r="C128" s="348"/>
    </row>
    <row r="129" spans="1:3" x14ac:dyDescent="0.25">
      <c r="A129" s="23" t="s">
        <v>2166</v>
      </c>
      <c r="B129" s="338" t="s">
        <v>10798</v>
      </c>
      <c r="C129" s="348"/>
    </row>
    <row r="130" spans="1:3" x14ac:dyDescent="0.25">
      <c r="A130" s="17" t="s">
        <v>3246</v>
      </c>
      <c r="B130" s="338" t="s">
        <v>10798</v>
      </c>
      <c r="C130" s="348"/>
    </row>
    <row r="131" spans="1:3" x14ac:dyDescent="0.25">
      <c r="A131" s="23" t="s">
        <v>210</v>
      </c>
      <c r="B131" s="344" t="s">
        <v>10798</v>
      </c>
      <c r="C131" s="348"/>
    </row>
    <row r="132" spans="1:3" x14ac:dyDescent="0.25">
      <c r="A132" s="17" t="s">
        <v>1458</v>
      </c>
      <c r="B132" s="338">
        <v>1515000000000</v>
      </c>
      <c r="C132" s="348"/>
    </row>
    <row r="133" spans="1:3" ht="30" x14ac:dyDescent="0.25">
      <c r="A133" s="17" t="s">
        <v>2966</v>
      </c>
      <c r="B133" s="338">
        <v>777000000000</v>
      </c>
      <c r="C133" s="348"/>
    </row>
    <row r="134" spans="1:3" x14ac:dyDescent="0.25">
      <c r="A134" s="17" t="s">
        <v>323</v>
      </c>
      <c r="B134" s="338">
        <v>407000000000</v>
      </c>
      <c r="C134" s="348"/>
    </row>
    <row r="135" spans="1:3" x14ac:dyDescent="0.25">
      <c r="A135" s="17" t="s">
        <v>373</v>
      </c>
      <c r="B135" s="338">
        <v>363752000000</v>
      </c>
      <c r="C135" s="348"/>
    </row>
    <row r="136" spans="1:3" x14ac:dyDescent="0.25">
      <c r="A136" s="17" t="s">
        <v>218</v>
      </c>
      <c r="B136" s="338">
        <v>242262242175</v>
      </c>
      <c r="C136" s="348"/>
    </row>
    <row r="137" spans="1:3" x14ac:dyDescent="0.25">
      <c r="A137" s="17" t="s">
        <v>3753</v>
      </c>
      <c r="B137" s="338">
        <v>211900000000</v>
      </c>
      <c r="C137" s="348"/>
    </row>
    <row r="138" spans="1:3" x14ac:dyDescent="0.25">
      <c r="A138" s="23" t="s">
        <v>9476</v>
      </c>
      <c r="B138" s="338">
        <v>200238000000</v>
      </c>
      <c r="C138" s="348"/>
    </row>
    <row r="139" spans="1:3" x14ac:dyDescent="0.25">
      <c r="A139" s="17" t="s">
        <v>3085</v>
      </c>
      <c r="B139" s="338">
        <v>169237000000</v>
      </c>
      <c r="C139" s="348"/>
    </row>
    <row r="140" spans="1:3" x14ac:dyDescent="0.25">
      <c r="A140" s="23" t="s">
        <v>3078</v>
      </c>
      <c r="B140" s="338">
        <v>152051000000</v>
      </c>
      <c r="C140" s="348"/>
    </row>
    <row r="141" spans="1:3" ht="30" x14ac:dyDescent="0.25">
      <c r="A141" s="17" t="s">
        <v>327</v>
      </c>
      <c r="B141" s="338">
        <v>135270275000</v>
      </c>
      <c r="C141" s="348"/>
    </row>
    <row r="142" spans="1:3" x14ac:dyDescent="0.25">
      <c r="A142" s="17" t="s">
        <v>243</v>
      </c>
      <c r="B142" s="338">
        <v>84117650000</v>
      </c>
      <c r="C142" s="348"/>
    </row>
    <row r="143" spans="1:3" ht="30" x14ac:dyDescent="0.25">
      <c r="A143" s="23" t="s">
        <v>9482</v>
      </c>
      <c r="B143" s="338">
        <v>79933237579</v>
      </c>
      <c r="C143" s="348"/>
    </row>
    <row r="144" spans="1:3" ht="30" x14ac:dyDescent="0.25">
      <c r="A144" s="23" t="s">
        <v>175</v>
      </c>
      <c r="B144" s="338">
        <v>71977427000</v>
      </c>
      <c r="C144" s="348"/>
    </row>
    <row r="145" spans="1:3" x14ac:dyDescent="0.25">
      <c r="A145" s="17" t="s">
        <v>285</v>
      </c>
      <c r="B145" s="338">
        <v>71764000000</v>
      </c>
      <c r="C145" s="348"/>
    </row>
    <row r="146" spans="1:3" ht="30" x14ac:dyDescent="0.25">
      <c r="A146" s="23" t="s">
        <v>7097</v>
      </c>
      <c r="B146" s="338">
        <v>71764000000</v>
      </c>
      <c r="C146" s="348"/>
    </row>
    <row r="147" spans="1:3" ht="30" x14ac:dyDescent="0.25">
      <c r="A147" s="17" t="s">
        <v>2637</v>
      </c>
      <c r="B147" s="338">
        <v>71360000000</v>
      </c>
      <c r="C147" s="348"/>
    </row>
    <row r="148" spans="1:3" ht="30" x14ac:dyDescent="0.25">
      <c r="A148" s="17" t="s">
        <v>3082</v>
      </c>
      <c r="B148" s="338">
        <v>71303000000</v>
      </c>
      <c r="C148" s="348"/>
    </row>
    <row r="149" spans="1:3" x14ac:dyDescent="0.25">
      <c r="A149" s="23" t="s">
        <v>11747</v>
      </c>
      <c r="B149" s="338">
        <v>69541957800</v>
      </c>
      <c r="C149" s="348"/>
    </row>
    <row r="150" spans="1:3" x14ac:dyDescent="0.25">
      <c r="A150" s="17" t="s">
        <v>723</v>
      </c>
      <c r="B150" s="338">
        <v>67000000000</v>
      </c>
      <c r="C150" s="348"/>
    </row>
    <row r="151" spans="1:3" x14ac:dyDescent="0.25">
      <c r="A151" s="17" t="s">
        <v>26</v>
      </c>
      <c r="B151" s="338">
        <v>65712874431</v>
      </c>
      <c r="C151" s="348"/>
    </row>
    <row r="152" spans="1:3" ht="30" x14ac:dyDescent="0.25">
      <c r="A152" s="23" t="s">
        <v>9481</v>
      </c>
      <c r="B152" s="338">
        <v>48800000000</v>
      </c>
      <c r="C152" s="348"/>
    </row>
    <row r="153" spans="1:3" ht="45" x14ac:dyDescent="0.25">
      <c r="A153" s="23" t="s">
        <v>10441</v>
      </c>
      <c r="B153" s="344">
        <v>46038887996</v>
      </c>
      <c r="C153" s="348"/>
    </row>
    <row r="154" spans="1:3" ht="30" x14ac:dyDescent="0.25">
      <c r="A154" s="17" t="s">
        <v>3365</v>
      </c>
      <c r="B154" s="338">
        <v>45134800000</v>
      </c>
      <c r="C154" s="348"/>
    </row>
    <row r="155" spans="1:3" x14ac:dyDescent="0.25">
      <c r="A155" s="23" t="s">
        <v>3075</v>
      </c>
      <c r="B155" s="338">
        <v>33431000000</v>
      </c>
      <c r="C155" s="348"/>
    </row>
    <row r="156" spans="1:3" x14ac:dyDescent="0.25">
      <c r="A156" s="23" t="s">
        <v>11166</v>
      </c>
      <c r="B156" s="344">
        <v>32000000000</v>
      </c>
      <c r="C156" s="348"/>
    </row>
    <row r="157" spans="1:3" ht="30" x14ac:dyDescent="0.25">
      <c r="A157" s="17" t="s">
        <v>1711</v>
      </c>
      <c r="B157" s="338">
        <v>31833061000</v>
      </c>
      <c r="C157" s="348"/>
    </row>
    <row r="158" spans="1:3" x14ac:dyDescent="0.25">
      <c r="A158" s="17" t="s">
        <v>378</v>
      </c>
      <c r="B158" s="338">
        <v>28916200000</v>
      </c>
      <c r="C158" s="348"/>
    </row>
    <row r="159" spans="1:3" ht="30" x14ac:dyDescent="0.25">
      <c r="A159" s="17" t="s">
        <v>249</v>
      </c>
      <c r="B159" s="338">
        <v>28766141000</v>
      </c>
      <c r="C159" s="348"/>
    </row>
    <row r="160" spans="1:3" x14ac:dyDescent="0.25">
      <c r="A160" s="23" t="s">
        <v>9470</v>
      </c>
      <c r="B160" s="344">
        <v>25834178831</v>
      </c>
      <c r="C160" s="348"/>
    </row>
    <row r="161" spans="1:3" ht="30" x14ac:dyDescent="0.25">
      <c r="A161" s="17" t="s">
        <v>1973</v>
      </c>
      <c r="B161" s="338">
        <v>23220350795.419998</v>
      </c>
      <c r="C161" s="348"/>
    </row>
    <row r="162" spans="1:3" x14ac:dyDescent="0.25">
      <c r="A162" s="17" t="s">
        <v>355</v>
      </c>
      <c r="B162" s="338">
        <v>22706909410</v>
      </c>
      <c r="C162" s="348"/>
    </row>
    <row r="163" spans="1:3" x14ac:dyDescent="0.25">
      <c r="A163" s="17" t="s">
        <v>2739</v>
      </c>
      <c r="B163" s="338">
        <v>21300000000</v>
      </c>
      <c r="C163" s="348"/>
    </row>
    <row r="164" spans="1:3" x14ac:dyDescent="0.25">
      <c r="A164" s="23" t="s">
        <v>9259</v>
      </c>
      <c r="B164" s="338">
        <v>20828332000</v>
      </c>
      <c r="C164" s="348"/>
    </row>
    <row r="165" spans="1:3" ht="30" x14ac:dyDescent="0.25">
      <c r="A165" s="23" t="s">
        <v>172</v>
      </c>
      <c r="B165" s="338">
        <v>17215534971</v>
      </c>
      <c r="C165" s="348"/>
    </row>
    <row r="166" spans="1:3" ht="30" x14ac:dyDescent="0.25">
      <c r="A166" s="23" t="s">
        <v>9258</v>
      </c>
      <c r="B166" s="338">
        <v>16022318279</v>
      </c>
      <c r="C166" s="348"/>
    </row>
    <row r="167" spans="1:3" ht="30" x14ac:dyDescent="0.25">
      <c r="A167" s="17" t="s">
        <v>740</v>
      </c>
      <c r="B167" s="338">
        <v>15243668353</v>
      </c>
      <c r="C167" s="348"/>
    </row>
    <row r="168" spans="1:3" x14ac:dyDescent="0.25">
      <c r="A168" s="17" t="s">
        <v>39</v>
      </c>
      <c r="B168" s="338">
        <v>14406000000</v>
      </c>
      <c r="C168" s="348"/>
    </row>
    <row r="169" spans="1:3" x14ac:dyDescent="0.25">
      <c r="A169" s="23" t="s">
        <v>1216</v>
      </c>
      <c r="B169" s="338">
        <v>13500000000</v>
      </c>
      <c r="C169" s="348"/>
    </row>
    <row r="170" spans="1:3" ht="30" x14ac:dyDescent="0.25">
      <c r="A170" s="17" t="s">
        <v>237</v>
      </c>
      <c r="B170" s="338">
        <v>13368876480</v>
      </c>
      <c r="C170" s="348"/>
    </row>
    <row r="171" spans="1:3" ht="30" x14ac:dyDescent="0.25">
      <c r="A171" s="17" t="s">
        <v>4029</v>
      </c>
      <c r="B171" s="338">
        <v>13106000000</v>
      </c>
      <c r="C171" s="348"/>
    </row>
    <row r="172" spans="1:3" ht="30" x14ac:dyDescent="0.25">
      <c r="A172" s="17" t="s">
        <v>12</v>
      </c>
      <c r="B172" s="338">
        <v>13000000000</v>
      </c>
      <c r="C172" s="348"/>
    </row>
    <row r="173" spans="1:3" ht="30" x14ac:dyDescent="0.25">
      <c r="A173" s="17" t="s">
        <v>3072</v>
      </c>
      <c r="B173" s="338">
        <v>12600000000</v>
      </c>
      <c r="C173" s="348"/>
    </row>
    <row r="174" spans="1:3" ht="60" x14ac:dyDescent="0.25">
      <c r="A174" s="23" t="s">
        <v>9576</v>
      </c>
      <c r="B174" s="338">
        <v>12584845000</v>
      </c>
      <c r="C174" s="348"/>
    </row>
    <row r="175" spans="1:3" ht="30" x14ac:dyDescent="0.25">
      <c r="A175" s="17" t="s">
        <v>1174</v>
      </c>
      <c r="B175" s="338">
        <v>11685000000</v>
      </c>
      <c r="C175" s="348"/>
    </row>
    <row r="176" spans="1:3" ht="45" x14ac:dyDescent="0.25">
      <c r="A176" s="17" t="s">
        <v>2569</v>
      </c>
      <c r="B176" s="338">
        <v>11133708386</v>
      </c>
      <c r="C176" s="348"/>
    </row>
    <row r="177" spans="1:3" ht="30" x14ac:dyDescent="0.25">
      <c r="A177" s="17" t="s">
        <v>303</v>
      </c>
      <c r="B177" s="338">
        <v>11062469039</v>
      </c>
      <c r="C177" s="348"/>
    </row>
    <row r="178" spans="1:3" x14ac:dyDescent="0.25">
      <c r="A178" s="17" t="s">
        <v>2789</v>
      </c>
      <c r="B178" s="338">
        <v>9596213189</v>
      </c>
      <c r="C178" s="348"/>
    </row>
    <row r="179" spans="1:3" ht="30" x14ac:dyDescent="0.25">
      <c r="A179" s="17" t="s">
        <v>264</v>
      </c>
      <c r="B179" s="338">
        <v>9086035761</v>
      </c>
      <c r="C179" s="348"/>
    </row>
    <row r="180" spans="1:3" ht="30" x14ac:dyDescent="0.25">
      <c r="A180" s="23" t="s">
        <v>165</v>
      </c>
      <c r="B180" s="338">
        <v>8920616000</v>
      </c>
      <c r="C180" s="348"/>
    </row>
    <row r="181" spans="1:3" ht="30" x14ac:dyDescent="0.25">
      <c r="A181" s="17" t="s">
        <v>3558</v>
      </c>
      <c r="B181" s="338">
        <v>8483000000</v>
      </c>
      <c r="C181" s="348"/>
    </row>
    <row r="182" spans="1:3" ht="45" x14ac:dyDescent="0.25">
      <c r="A182" s="23" t="s">
        <v>9247</v>
      </c>
      <c r="B182" s="338">
        <v>8397213000</v>
      </c>
      <c r="C182" s="348"/>
    </row>
    <row r="183" spans="1:3" ht="30" x14ac:dyDescent="0.25">
      <c r="A183" s="17" t="s">
        <v>65</v>
      </c>
      <c r="B183" s="338">
        <v>8155716355</v>
      </c>
      <c r="C183" s="348"/>
    </row>
    <row r="184" spans="1:3" ht="30" x14ac:dyDescent="0.25">
      <c r="A184" s="17" t="s">
        <v>0</v>
      </c>
      <c r="B184" s="338">
        <v>8116687768</v>
      </c>
      <c r="C184" s="348"/>
    </row>
    <row r="185" spans="1:3" ht="30" x14ac:dyDescent="0.25">
      <c r="A185" s="17" t="s">
        <v>32</v>
      </c>
      <c r="B185" s="338">
        <v>7624000000</v>
      </c>
      <c r="C185" s="348"/>
    </row>
    <row r="186" spans="1:3" ht="30" x14ac:dyDescent="0.25">
      <c r="A186" s="17" t="s">
        <v>9204</v>
      </c>
      <c r="B186" s="338">
        <v>7100000000</v>
      </c>
      <c r="C186" s="348"/>
    </row>
    <row r="187" spans="1:3" ht="30" x14ac:dyDescent="0.25">
      <c r="A187" s="17" t="s">
        <v>2564</v>
      </c>
      <c r="B187" s="338">
        <v>6780000000</v>
      </c>
      <c r="C187" s="348"/>
    </row>
    <row r="188" spans="1:3" x14ac:dyDescent="0.25">
      <c r="A188" s="17" t="s">
        <v>2793</v>
      </c>
      <c r="B188" s="338">
        <v>6755708252</v>
      </c>
      <c r="C188" s="348"/>
    </row>
    <row r="189" spans="1:3" x14ac:dyDescent="0.25">
      <c r="A189" s="17" t="s">
        <v>3944</v>
      </c>
      <c r="B189" s="338">
        <v>6487281759</v>
      </c>
      <c r="C189" s="348"/>
    </row>
    <row r="190" spans="1:3" ht="30" x14ac:dyDescent="0.25">
      <c r="A190" s="23" t="s">
        <v>4146</v>
      </c>
      <c r="B190" s="338">
        <v>6126844604</v>
      </c>
      <c r="C190" s="348"/>
    </row>
    <row r="191" spans="1:3" ht="30" x14ac:dyDescent="0.25">
      <c r="A191" s="17" t="s">
        <v>291</v>
      </c>
      <c r="B191" s="338">
        <v>6057443691</v>
      </c>
      <c r="C191" s="348"/>
    </row>
    <row r="192" spans="1:3" ht="45" x14ac:dyDescent="0.25">
      <c r="A192" s="17" t="s">
        <v>227</v>
      </c>
      <c r="B192" s="338">
        <v>5700000000</v>
      </c>
      <c r="C192" s="348"/>
    </row>
    <row r="193" spans="1:3" ht="30" x14ac:dyDescent="0.25">
      <c r="A193" s="17" t="s">
        <v>2647</v>
      </c>
      <c r="B193" s="338">
        <v>5178331000</v>
      </c>
      <c r="C193" s="348"/>
    </row>
    <row r="194" spans="1:3" ht="30" x14ac:dyDescent="0.25">
      <c r="A194" s="17" t="s">
        <v>223</v>
      </c>
      <c r="B194" s="338">
        <v>5000000000</v>
      </c>
      <c r="C194" s="348"/>
    </row>
    <row r="195" spans="1:3" ht="30" x14ac:dyDescent="0.25">
      <c r="A195" s="23" t="s">
        <v>7449</v>
      </c>
      <c r="B195" s="338">
        <v>4750737000</v>
      </c>
      <c r="C195" s="348"/>
    </row>
    <row r="196" spans="1:3" ht="30" x14ac:dyDescent="0.25">
      <c r="A196" s="17" t="s">
        <v>332</v>
      </c>
      <c r="B196" s="338">
        <v>4545541000</v>
      </c>
      <c r="C196" s="348"/>
    </row>
    <row r="197" spans="1:3" x14ac:dyDescent="0.25">
      <c r="A197" s="23" t="s">
        <v>3572</v>
      </c>
      <c r="B197" s="338">
        <v>4500000000</v>
      </c>
      <c r="C197" s="348"/>
    </row>
    <row r="198" spans="1:3" ht="30" x14ac:dyDescent="0.25">
      <c r="A198" s="17" t="s">
        <v>184</v>
      </c>
      <c r="B198" s="338">
        <v>4371150147</v>
      </c>
      <c r="C198" s="348"/>
    </row>
    <row r="199" spans="1:3" ht="30" x14ac:dyDescent="0.25">
      <c r="A199" s="23" t="s">
        <v>1448</v>
      </c>
      <c r="B199" s="338">
        <v>4302289564</v>
      </c>
      <c r="C199" s="348"/>
    </row>
    <row r="200" spans="1:3" x14ac:dyDescent="0.25">
      <c r="A200" s="23" t="s">
        <v>9193</v>
      </c>
      <c r="B200" s="338">
        <v>4273132427</v>
      </c>
      <c r="C200" s="348"/>
    </row>
    <row r="201" spans="1:3" x14ac:dyDescent="0.25">
      <c r="A201" s="17" t="s">
        <v>69</v>
      </c>
      <c r="B201" s="338">
        <v>4171000000</v>
      </c>
      <c r="C201" s="348"/>
    </row>
    <row r="202" spans="1:3" x14ac:dyDescent="0.25">
      <c r="A202" s="23" t="s">
        <v>9479</v>
      </c>
      <c r="B202" s="338">
        <v>4000000000</v>
      </c>
      <c r="C202" s="348"/>
    </row>
    <row r="203" spans="1:3" ht="45" x14ac:dyDescent="0.25">
      <c r="A203" s="17" t="s">
        <v>3986</v>
      </c>
      <c r="B203" s="338">
        <v>3814700000</v>
      </c>
      <c r="C203" s="348"/>
    </row>
    <row r="204" spans="1:3" ht="30" x14ac:dyDescent="0.25">
      <c r="A204" s="23" t="s">
        <v>9460</v>
      </c>
      <c r="B204" s="338">
        <v>3730000000</v>
      </c>
      <c r="C204" s="348"/>
    </row>
    <row r="205" spans="1:3" x14ac:dyDescent="0.25">
      <c r="A205" s="17" t="s">
        <v>4173</v>
      </c>
      <c r="B205" s="338">
        <v>3707831612</v>
      </c>
      <c r="C205" s="348"/>
    </row>
    <row r="206" spans="1:3" x14ac:dyDescent="0.25">
      <c r="A206" s="17" t="s">
        <v>1805</v>
      </c>
      <c r="B206" s="338">
        <v>3600000000</v>
      </c>
      <c r="C206" s="348"/>
    </row>
    <row r="207" spans="1:3" ht="30" x14ac:dyDescent="0.25">
      <c r="A207" s="17" t="s">
        <v>2791</v>
      </c>
      <c r="B207" s="338">
        <v>3439482942</v>
      </c>
      <c r="C207" s="348"/>
    </row>
    <row r="208" spans="1:3" ht="30" x14ac:dyDescent="0.25">
      <c r="A208" s="17" t="s">
        <v>2535</v>
      </c>
      <c r="B208" s="338">
        <v>3247579403</v>
      </c>
      <c r="C208" s="349"/>
    </row>
    <row r="209" spans="1:3" ht="30" x14ac:dyDescent="0.25">
      <c r="A209" s="17" t="s">
        <v>89</v>
      </c>
      <c r="B209" s="338">
        <v>3244749584</v>
      </c>
      <c r="C209" s="348"/>
    </row>
    <row r="210" spans="1:3" x14ac:dyDescent="0.25">
      <c r="A210" s="23" t="s">
        <v>11499</v>
      </c>
      <c r="B210" s="338">
        <v>3161283805</v>
      </c>
      <c r="C210" s="348"/>
    </row>
    <row r="211" spans="1:3" ht="30" x14ac:dyDescent="0.25">
      <c r="A211" s="17" t="s">
        <v>233</v>
      </c>
      <c r="B211" s="338">
        <v>2910465956</v>
      </c>
      <c r="C211" s="348"/>
    </row>
    <row r="212" spans="1:3" ht="30" x14ac:dyDescent="0.25">
      <c r="A212" s="17" t="s">
        <v>298</v>
      </c>
      <c r="B212" s="338">
        <v>2865018804</v>
      </c>
      <c r="C212" s="348"/>
    </row>
    <row r="213" spans="1:3" x14ac:dyDescent="0.25">
      <c r="A213" s="23" t="s">
        <v>1646</v>
      </c>
      <c r="B213" s="338">
        <v>2766000000</v>
      </c>
      <c r="C213" s="348"/>
    </row>
    <row r="214" spans="1:3" ht="30" x14ac:dyDescent="0.25">
      <c r="A214" s="17" t="s">
        <v>274</v>
      </c>
      <c r="B214" s="338">
        <v>2594738556</v>
      </c>
      <c r="C214" s="348"/>
    </row>
    <row r="215" spans="1:3" ht="45" x14ac:dyDescent="0.25">
      <c r="A215" s="23" t="s">
        <v>11509</v>
      </c>
      <c r="B215" s="338">
        <v>2500000000</v>
      </c>
      <c r="C215" s="348"/>
    </row>
    <row r="216" spans="1:3" ht="30" x14ac:dyDescent="0.25">
      <c r="A216" s="17" t="s">
        <v>839</v>
      </c>
      <c r="B216" s="338">
        <v>2491966000</v>
      </c>
      <c r="C216" s="348"/>
    </row>
    <row r="217" spans="1:3" x14ac:dyDescent="0.25">
      <c r="A217" s="17" t="s">
        <v>1807</v>
      </c>
      <c r="B217" s="338">
        <v>2467592000</v>
      </c>
      <c r="C217" s="348"/>
    </row>
    <row r="218" spans="1:3" ht="30" x14ac:dyDescent="0.25">
      <c r="A218" s="17" t="s">
        <v>280</v>
      </c>
      <c r="B218" s="338">
        <v>2395400000</v>
      </c>
      <c r="C218" s="348"/>
    </row>
    <row r="219" spans="1:3" ht="60" x14ac:dyDescent="0.25">
      <c r="A219" s="17" t="s">
        <v>1713</v>
      </c>
      <c r="B219" s="338">
        <v>2242569000</v>
      </c>
      <c r="C219" s="348"/>
    </row>
    <row r="220" spans="1:3" ht="30" x14ac:dyDescent="0.25">
      <c r="A220" s="17" t="s">
        <v>3760</v>
      </c>
      <c r="B220" s="338">
        <v>2237706525</v>
      </c>
      <c r="C220" s="348"/>
    </row>
    <row r="221" spans="1:3" x14ac:dyDescent="0.25">
      <c r="A221" s="23" t="s">
        <v>1782</v>
      </c>
      <c r="B221" s="344">
        <v>2228409958</v>
      </c>
      <c r="C221" s="348"/>
    </row>
    <row r="222" spans="1:3" ht="30" x14ac:dyDescent="0.25">
      <c r="A222" s="23" t="s">
        <v>11153</v>
      </c>
      <c r="B222" s="344">
        <v>2130049570</v>
      </c>
      <c r="C222" s="348"/>
    </row>
    <row r="223" spans="1:3" ht="30" x14ac:dyDescent="0.25">
      <c r="A223" s="17" t="s">
        <v>863</v>
      </c>
      <c r="B223" s="338">
        <v>2100000000</v>
      </c>
      <c r="C223" s="348"/>
    </row>
    <row r="224" spans="1:3" ht="30" x14ac:dyDescent="0.25">
      <c r="A224" s="17" t="s">
        <v>1461</v>
      </c>
      <c r="B224" s="338">
        <v>2072954439</v>
      </c>
      <c r="C224" s="348"/>
    </row>
    <row r="225" spans="1:3" ht="30" x14ac:dyDescent="0.25">
      <c r="A225" s="17" t="s">
        <v>1177</v>
      </c>
      <c r="B225" s="338">
        <v>1975000000</v>
      </c>
      <c r="C225" s="348"/>
    </row>
    <row r="226" spans="1:3" x14ac:dyDescent="0.25">
      <c r="A226" s="17" t="s">
        <v>3675</v>
      </c>
      <c r="B226" s="338">
        <v>1954356640</v>
      </c>
      <c r="C226" s="348"/>
    </row>
    <row r="227" spans="1:3" x14ac:dyDescent="0.25">
      <c r="A227" s="17" t="s">
        <v>6</v>
      </c>
      <c r="B227" s="338">
        <v>1936000000</v>
      </c>
      <c r="C227" s="348"/>
    </row>
    <row r="228" spans="1:3" x14ac:dyDescent="0.25">
      <c r="A228" s="23" t="s">
        <v>1648</v>
      </c>
      <c r="B228" s="338">
        <v>1898000000</v>
      </c>
      <c r="C228" s="348"/>
    </row>
    <row r="229" spans="1:3" x14ac:dyDescent="0.25">
      <c r="A229" s="23" t="s">
        <v>9469</v>
      </c>
      <c r="B229" s="344">
        <v>1889803255</v>
      </c>
      <c r="C229" s="348"/>
    </row>
    <row r="230" spans="1:3" ht="30" x14ac:dyDescent="0.25">
      <c r="A230" s="23" t="s">
        <v>135</v>
      </c>
      <c r="B230" s="338">
        <v>1865318604</v>
      </c>
      <c r="C230" s="348"/>
    </row>
    <row r="231" spans="1:3" ht="30" x14ac:dyDescent="0.25">
      <c r="A231" s="23" t="s">
        <v>9248</v>
      </c>
      <c r="B231" s="338">
        <v>1816000000</v>
      </c>
      <c r="C231" s="348"/>
    </row>
    <row r="232" spans="1:3" ht="30" x14ac:dyDescent="0.25">
      <c r="A232" s="17" t="s">
        <v>1626</v>
      </c>
      <c r="B232" s="338">
        <v>1700000000</v>
      </c>
      <c r="C232" s="348"/>
    </row>
    <row r="233" spans="1:3" ht="30" x14ac:dyDescent="0.25">
      <c r="A233" s="23" t="s">
        <v>9463</v>
      </c>
      <c r="B233" s="338">
        <v>1696000000</v>
      </c>
      <c r="C233" s="348"/>
    </row>
    <row r="234" spans="1:3" x14ac:dyDescent="0.25">
      <c r="A234" s="17" t="s">
        <v>905</v>
      </c>
      <c r="B234" s="338">
        <v>1690678389</v>
      </c>
      <c r="C234" s="348"/>
    </row>
    <row r="235" spans="1:3" x14ac:dyDescent="0.25">
      <c r="A235" s="17" t="s">
        <v>3804</v>
      </c>
      <c r="B235" s="338">
        <v>1668000000</v>
      </c>
      <c r="C235" s="348"/>
    </row>
    <row r="236" spans="1:3" x14ac:dyDescent="0.25">
      <c r="A236" s="17" t="s">
        <v>214</v>
      </c>
      <c r="B236" s="338">
        <v>1623000000</v>
      </c>
      <c r="C236" s="348"/>
    </row>
    <row r="237" spans="1:3" ht="30" x14ac:dyDescent="0.25">
      <c r="A237" s="17" t="s">
        <v>377</v>
      </c>
      <c r="B237" s="338">
        <v>1525266163</v>
      </c>
      <c r="C237" s="348"/>
    </row>
    <row r="238" spans="1:3" ht="30" x14ac:dyDescent="0.25">
      <c r="A238" s="17" t="s">
        <v>754</v>
      </c>
      <c r="B238" s="338">
        <v>1500000000</v>
      </c>
      <c r="C238" s="348"/>
    </row>
    <row r="239" spans="1:3" ht="30" x14ac:dyDescent="0.25">
      <c r="A239" s="23" t="s">
        <v>11748</v>
      </c>
      <c r="B239" s="338">
        <v>1494559000</v>
      </c>
      <c r="C239" s="348"/>
    </row>
    <row r="240" spans="1:3" x14ac:dyDescent="0.25">
      <c r="A240" s="23" t="s">
        <v>9292</v>
      </c>
      <c r="B240" s="344">
        <v>1400000000</v>
      </c>
      <c r="C240" s="348"/>
    </row>
    <row r="241" spans="1:3" x14ac:dyDescent="0.25">
      <c r="A241" s="17" t="s">
        <v>2224</v>
      </c>
      <c r="B241" s="338">
        <v>1386000000</v>
      </c>
      <c r="C241" s="348"/>
    </row>
    <row r="242" spans="1:3" ht="30" x14ac:dyDescent="0.25">
      <c r="A242" s="23" t="s">
        <v>6933</v>
      </c>
      <c r="B242" s="338">
        <v>1371181712</v>
      </c>
      <c r="C242" s="348"/>
    </row>
    <row r="243" spans="1:3" ht="45" x14ac:dyDescent="0.25">
      <c r="A243" s="23" t="s">
        <v>9661</v>
      </c>
      <c r="B243" s="338">
        <v>1335000000</v>
      </c>
      <c r="C243" s="348"/>
    </row>
    <row r="244" spans="1:3" x14ac:dyDescent="0.25">
      <c r="A244" s="17" t="s">
        <v>4050</v>
      </c>
      <c r="B244" s="338">
        <v>1300000000</v>
      </c>
      <c r="C244" s="348"/>
    </row>
    <row r="245" spans="1:3" x14ac:dyDescent="0.25">
      <c r="A245" s="17" t="s">
        <v>712</v>
      </c>
      <c r="B245" s="338">
        <v>1295745000</v>
      </c>
      <c r="C245" s="348"/>
    </row>
    <row r="246" spans="1:3" ht="30" x14ac:dyDescent="0.25">
      <c r="A246" s="23" t="s">
        <v>9432</v>
      </c>
      <c r="B246" s="338">
        <v>1255000000</v>
      </c>
      <c r="C246" s="348"/>
    </row>
    <row r="247" spans="1:3" ht="30" x14ac:dyDescent="0.25">
      <c r="A247" s="17" t="s">
        <v>152</v>
      </c>
      <c r="B247" s="338">
        <v>1218952520</v>
      </c>
      <c r="C247" s="348"/>
    </row>
    <row r="248" spans="1:3" ht="45" x14ac:dyDescent="0.25">
      <c r="A248" s="23" t="s">
        <v>10859</v>
      </c>
      <c r="B248" s="338">
        <v>1182095116</v>
      </c>
      <c r="C248" s="348"/>
    </row>
    <row r="249" spans="1:3" x14ac:dyDescent="0.25">
      <c r="A249" s="23" t="s">
        <v>6934</v>
      </c>
      <c r="B249" s="338">
        <v>1180000000</v>
      </c>
      <c r="C249" s="348"/>
    </row>
    <row r="250" spans="1:3" ht="30" x14ac:dyDescent="0.25">
      <c r="A250" s="23" t="s">
        <v>9464</v>
      </c>
      <c r="B250" s="338">
        <v>1167869000</v>
      </c>
      <c r="C250" s="348"/>
    </row>
    <row r="251" spans="1:3" x14ac:dyDescent="0.25">
      <c r="A251" s="17" t="s">
        <v>1183</v>
      </c>
      <c r="B251" s="338">
        <v>1159000000</v>
      </c>
      <c r="C251" s="348"/>
    </row>
    <row r="252" spans="1:3" ht="30" x14ac:dyDescent="0.25">
      <c r="A252" s="17" t="s">
        <v>742</v>
      </c>
      <c r="B252" s="338">
        <v>1130755000</v>
      </c>
      <c r="C252" s="348"/>
    </row>
    <row r="253" spans="1:3" ht="45" x14ac:dyDescent="0.25">
      <c r="A253" s="17" t="s">
        <v>268</v>
      </c>
      <c r="B253" s="338">
        <v>1074301315</v>
      </c>
      <c r="C253" s="348"/>
    </row>
    <row r="254" spans="1:3" ht="30" x14ac:dyDescent="0.25">
      <c r="A254" s="23" t="s">
        <v>111</v>
      </c>
      <c r="B254" s="338">
        <v>1060839000</v>
      </c>
      <c r="C254" s="348"/>
    </row>
    <row r="255" spans="1:3" ht="30" x14ac:dyDescent="0.25">
      <c r="A255" s="23" t="s">
        <v>118</v>
      </c>
      <c r="B255" s="338">
        <v>1054379464</v>
      </c>
      <c r="C255" s="348"/>
    </row>
    <row r="256" spans="1:3" x14ac:dyDescent="0.25">
      <c r="A256" s="17" t="s">
        <v>261</v>
      </c>
      <c r="B256" s="338">
        <v>1046472269</v>
      </c>
      <c r="C256" s="348"/>
    </row>
    <row r="257" spans="1:3" ht="30" x14ac:dyDescent="0.25">
      <c r="A257" s="23" t="s">
        <v>11368</v>
      </c>
      <c r="B257" s="338">
        <v>1044235058</v>
      </c>
      <c r="C257" s="348"/>
    </row>
    <row r="258" spans="1:3" ht="30" x14ac:dyDescent="0.25">
      <c r="A258" s="17" t="s">
        <v>2792</v>
      </c>
      <c r="B258" s="338">
        <v>1033029429</v>
      </c>
      <c r="C258" s="348"/>
    </row>
    <row r="259" spans="1:3" x14ac:dyDescent="0.25">
      <c r="A259" s="17" t="s">
        <v>362</v>
      </c>
      <c r="B259" s="338">
        <v>1031792331</v>
      </c>
      <c r="C259" s="348"/>
    </row>
    <row r="260" spans="1:3" x14ac:dyDescent="0.25">
      <c r="A260" s="17" t="s">
        <v>3798</v>
      </c>
      <c r="B260" s="338">
        <v>1013288083</v>
      </c>
      <c r="C260" s="348"/>
    </row>
    <row r="261" spans="1:3" ht="30" x14ac:dyDescent="0.25">
      <c r="A261" s="17" t="s">
        <v>3402</v>
      </c>
      <c r="B261" s="338">
        <v>984827952</v>
      </c>
      <c r="C261" s="348"/>
    </row>
    <row r="262" spans="1:3" ht="30" x14ac:dyDescent="0.25">
      <c r="A262" s="17" t="s">
        <v>2652</v>
      </c>
      <c r="B262" s="338">
        <v>970700000</v>
      </c>
      <c r="C262" s="348"/>
    </row>
    <row r="263" spans="1:3" ht="30" x14ac:dyDescent="0.25">
      <c r="A263" s="17" t="s">
        <v>2968</v>
      </c>
      <c r="B263" s="338">
        <v>965239767</v>
      </c>
      <c r="C263" s="348"/>
    </row>
    <row r="264" spans="1:3" ht="30" x14ac:dyDescent="0.25">
      <c r="A264" s="17" t="s">
        <v>341</v>
      </c>
      <c r="B264" s="338">
        <v>961822000</v>
      </c>
      <c r="C264" s="348"/>
    </row>
    <row r="265" spans="1:3" x14ac:dyDescent="0.25">
      <c r="A265" s="17" t="s">
        <v>1897</v>
      </c>
      <c r="B265" s="338">
        <v>959778497</v>
      </c>
      <c r="C265" s="348"/>
    </row>
    <row r="266" spans="1:3" x14ac:dyDescent="0.25">
      <c r="A266" s="17" t="s">
        <v>295</v>
      </c>
      <c r="B266" s="338">
        <v>884718824.19000006</v>
      </c>
      <c r="C266" s="348"/>
    </row>
    <row r="267" spans="1:3" ht="30" x14ac:dyDescent="0.25">
      <c r="A267" s="17" t="s">
        <v>384</v>
      </c>
      <c r="B267" s="338">
        <v>883861879</v>
      </c>
      <c r="C267" s="348"/>
    </row>
    <row r="268" spans="1:3" x14ac:dyDescent="0.25">
      <c r="A268" s="17" t="s">
        <v>2029</v>
      </c>
      <c r="B268" s="338">
        <v>853744010</v>
      </c>
      <c r="C268" s="348"/>
    </row>
    <row r="269" spans="1:3" x14ac:dyDescent="0.25">
      <c r="A269" s="17" t="s">
        <v>10433</v>
      </c>
      <c r="B269" s="338">
        <v>851267156</v>
      </c>
      <c r="C269" s="348"/>
    </row>
    <row r="270" spans="1:3" ht="30" x14ac:dyDescent="0.25">
      <c r="A270" s="23" t="s">
        <v>1638</v>
      </c>
      <c r="B270" s="338">
        <v>845470493</v>
      </c>
      <c r="C270" s="348"/>
    </row>
    <row r="271" spans="1:3" ht="30" x14ac:dyDescent="0.25">
      <c r="A271" s="17" t="s">
        <v>1197</v>
      </c>
      <c r="B271" s="338">
        <v>819290000</v>
      </c>
      <c r="C271" s="348"/>
    </row>
    <row r="272" spans="1:3" x14ac:dyDescent="0.25">
      <c r="A272" s="17" t="s">
        <v>9349</v>
      </c>
      <c r="B272" s="338">
        <v>817000000</v>
      </c>
      <c r="C272" s="348"/>
    </row>
    <row r="273" spans="1:3" ht="45" x14ac:dyDescent="0.25">
      <c r="A273" s="23" t="s">
        <v>7018</v>
      </c>
      <c r="B273" s="338">
        <v>808084506</v>
      </c>
      <c r="C273" s="348"/>
    </row>
    <row r="274" spans="1:3" x14ac:dyDescent="0.25">
      <c r="A274" s="17" t="s">
        <v>9355</v>
      </c>
      <c r="B274" s="338">
        <v>781035000</v>
      </c>
      <c r="C274" s="348"/>
    </row>
    <row r="275" spans="1:3" x14ac:dyDescent="0.25">
      <c r="A275" s="23" t="s">
        <v>9662</v>
      </c>
      <c r="B275" s="338">
        <v>778347914</v>
      </c>
      <c r="C275" s="348"/>
    </row>
    <row r="276" spans="1:3" x14ac:dyDescent="0.25">
      <c r="A276" s="17" t="s">
        <v>656</v>
      </c>
      <c r="B276" s="338">
        <v>762562834</v>
      </c>
      <c r="C276" s="348"/>
    </row>
    <row r="277" spans="1:3" ht="30" x14ac:dyDescent="0.25">
      <c r="A277" s="17" t="s">
        <v>745</v>
      </c>
      <c r="B277" s="338">
        <v>761100000</v>
      </c>
      <c r="C277" s="348"/>
    </row>
    <row r="278" spans="1:3" x14ac:dyDescent="0.25">
      <c r="A278" s="17" t="s">
        <v>1109</v>
      </c>
      <c r="B278" s="338">
        <v>750000000</v>
      </c>
      <c r="C278" s="348"/>
    </row>
    <row r="279" spans="1:3" ht="30" x14ac:dyDescent="0.25">
      <c r="A279" s="17" t="s">
        <v>145</v>
      </c>
      <c r="B279" s="338">
        <v>742560753</v>
      </c>
      <c r="C279" s="348"/>
    </row>
    <row r="280" spans="1:3" ht="30" x14ac:dyDescent="0.25">
      <c r="A280" s="23" t="s">
        <v>141</v>
      </c>
      <c r="B280" s="338">
        <v>723883830</v>
      </c>
      <c r="C280" s="348"/>
    </row>
    <row r="281" spans="1:3" ht="30" x14ac:dyDescent="0.25">
      <c r="A281" s="17" t="s">
        <v>3273</v>
      </c>
      <c r="B281" s="338">
        <v>722121510</v>
      </c>
      <c r="C281" s="348"/>
    </row>
    <row r="282" spans="1:3" ht="30" x14ac:dyDescent="0.25">
      <c r="A282" s="17" t="s">
        <v>1610</v>
      </c>
      <c r="B282" s="338">
        <v>708802281</v>
      </c>
      <c r="C282" s="348"/>
    </row>
    <row r="283" spans="1:3" ht="30" x14ac:dyDescent="0.25">
      <c r="A283" s="17" t="s">
        <v>9291</v>
      </c>
      <c r="B283" s="338">
        <v>699995613</v>
      </c>
      <c r="C283" s="348"/>
    </row>
    <row r="284" spans="1:3" ht="30" x14ac:dyDescent="0.25">
      <c r="A284" s="17" t="s">
        <v>81</v>
      </c>
      <c r="B284" s="338">
        <v>687066948</v>
      </c>
      <c r="C284" s="348"/>
    </row>
    <row r="285" spans="1:3" x14ac:dyDescent="0.25">
      <c r="A285" s="17" t="s">
        <v>9333</v>
      </c>
      <c r="B285" s="338">
        <v>685800000</v>
      </c>
      <c r="C285" s="348"/>
    </row>
    <row r="286" spans="1:3" x14ac:dyDescent="0.25">
      <c r="A286" s="17" t="s">
        <v>10860</v>
      </c>
      <c r="B286" s="338">
        <v>674733000</v>
      </c>
      <c r="C286" s="348"/>
    </row>
    <row r="287" spans="1:3" ht="30" x14ac:dyDescent="0.25">
      <c r="A287" s="17" t="s">
        <v>2550</v>
      </c>
      <c r="B287" s="338">
        <v>673740000</v>
      </c>
      <c r="C287" s="348"/>
    </row>
    <row r="288" spans="1:3" ht="30" x14ac:dyDescent="0.25">
      <c r="A288" s="23" t="s">
        <v>9467</v>
      </c>
      <c r="B288" s="338">
        <v>673571000</v>
      </c>
      <c r="C288" s="348"/>
    </row>
    <row r="289" spans="1:3" ht="45" x14ac:dyDescent="0.25">
      <c r="A289" s="17" t="s">
        <v>195</v>
      </c>
      <c r="B289" s="338">
        <v>661260000</v>
      </c>
      <c r="C289" s="348"/>
    </row>
    <row r="290" spans="1:3" ht="30" x14ac:dyDescent="0.25">
      <c r="A290" s="23" t="s">
        <v>3764</v>
      </c>
      <c r="B290" s="338">
        <v>659655034</v>
      </c>
      <c r="C290" s="348"/>
    </row>
    <row r="291" spans="1:3" x14ac:dyDescent="0.25">
      <c r="A291" s="23" t="s">
        <v>9553</v>
      </c>
      <c r="B291" s="338">
        <v>634842209</v>
      </c>
      <c r="C291" s="348"/>
    </row>
    <row r="292" spans="1:3" ht="30" x14ac:dyDescent="0.25">
      <c r="A292" s="17" t="s">
        <v>1599</v>
      </c>
      <c r="B292" s="338">
        <v>632703756</v>
      </c>
      <c r="C292" s="348"/>
    </row>
    <row r="293" spans="1:3" ht="30" x14ac:dyDescent="0.25">
      <c r="A293" s="23" t="s">
        <v>7019</v>
      </c>
      <c r="B293" s="338">
        <v>600151747</v>
      </c>
      <c r="C293" s="348"/>
    </row>
    <row r="294" spans="1:3" x14ac:dyDescent="0.25">
      <c r="A294" s="23" t="s">
        <v>131</v>
      </c>
      <c r="B294" s="338">
        <v>577954287</v>
      </c>
      <c r="C294" s="348"/>
    </row>
    <row r="295" spans="1:3" ht="30" x14ac:dyDescent="0.25">
      <c r="A295" s="23" t="s">
        <v>7092</v>
      </c>
      <c r="B295" s="338">
        <v>564290000</v>
      </c>
      <c r="C295" s="348"/>
    </row>
    <row r="296" spans="1:3" x14ac:dyDescent="0.25">
      <c r="A296" s="23" t="s">
        <v>9564</v>
      </c>
      <c r="B296" s="338">
        <v>560989695</v>
      </c>
      <c r="C296" s="348"/>
    </row>
    <row r="297" spans="1:3" ht="30" x14ac:dyDescent="0.25">
      <c r="A297" s="23" t="s">
        <v>9461</v>
      </c>
      <c r="B297" s="338">
        <v>543177652</v>
      </c>
      <c r="C297" s="348"/>
    </row>
    <row r="298" spans="1:3" ht="30" x14ac:dyDescent="0.25">
      <c r="A298" s="23" t="s">
        <v>1556</v>
      </c>
      <c r="B298" s="338">
        <v>536044869.64999998</v>
      </c>
      <c r="C298" s="348"/>
    </row>
    <row r="299" spans="1:3" ht="30" x14ac:dyDescent="0.25">
      <c r="A299" s="23" t="s">
        <v>9670</v>
      </c>
      <c r="B299" s="338">
        <v>528803372</v>
      </c>
      <c r="C299" s="348"/>
    </row>
    <row r="300" spans="1:3" x14ac:dyDescent="0.25">
      <c r="A300" s="23" t="s">
        <v>9552</v>
      </c>
      <c r="B300" s="338">
        <v>507000000</v>
      </c>
      <c r="C300" s="348"/>
    </row>
    <row r="301" spans="1:3" x14ac:dyDescent="0.25">
      <c r="A301" s="23" t="s">
        <v>7220</v>
      </c>
      <c r="B301" s="338">
        <v>489161000</v>
      </c>
      <c r="C301" s="348"/>
    </row>
    <row r="302" spans="1:3" ht="30" x14ac:dyDescent="0.25">
      <c r="A302" s="23" t="s">
        <v>3361</v>
      </c>
      <c r="B302" s="338">
        <v>483370401</v>
      </c>
      <c r="C302" s="348"/>
    </row>
    <row r="303" spans="1:3" ht="30" x14ac:dyDescent="0.25">
      <c r="A303" s="17" t="s">
        <v>1329</v>
      </c>
      <c r="B303" s="338">
        <v>474240000</v>
      </c>
      <c r="C303" s="348"/>
    </row>
    <row r="304" spans="1:3" ht="30" x14ac:dyDescent="0.25">
      <c r="A304" s="23" t="s">
        <v>11416</v>
      </c>
      <c r="B304" s="338">
        <v>472690964</v>
      </c>
      <c r="C304" s="348"/>
    </row>
    <row r="305" spans="1:3" ht="30" x14ac:dyDescent="0.25">
      <c r="A305" s="17" t="s">
        <v>3751</v>
      </c>
      <c r="B305" s="338">
        <v>466097500</v>
      </c>
      <c r="C305" s="348"/>
    </row>
    <row r="306" spans="1:3" ht="30" x14ac:dyDescent="0.25">
      <c r="A306" s="17" t="s">
        <v>1323</v>
      </c>
      <c r="B306" s="338">
        <v>461400000</v>
      </c>
      <c r="C306" s="348"/>
    </row>
    <row r="307" spans="1:3" ht="30" x14ac:dyDescent="0.25">
      <c r="A307" s="17" t="s">
        <v>10861</v>
      </c>
      <c r="B307" s="338">
        <v>460477201</v>
      </c>
      <c r="C307" s="348"/>
    </row>
    <row r="308" spans="1:3" x14ac:dyDescent="0.25">
      <c r="A308" s="23" t="s">
        <v>6856</v>
      </c>
      <c r="B308" s="338">
        <v>459440000</v>
      </c>
      <c r="C308" s="348"/>
    </row>
    <row r="309" spans="1:3" ht="30" x14ac:dyDescent="0.25">
      <c r="A309" s="23" t="s">
        <v>6855</v>
      </c>
      <c r="B309" s="338">
        <v>454960000</v>
      </c>
      <c r="C309" s="348"/>
    </row>
    <row r="310" spans="1:3" ht="30" x14ac:dyDescent="0.25">
      <c r="A310" s="23" t="s">
        <v>9697</v>
      </c>
      <c r="B310" s="338">
        <v>438527980</v>
      </c>
      <c r="C310" s="348"/>
    </row>
    <row r="311" spans="1:3" x14ac:dyDescent="0.25">
      <c r="A311" s="17" t="s">
        <v>918</v>
      </c>
      <c r="B311" s="338">
        <v>423510000</v>
      </c>
      <c r="C311" s="348"/>
    </row>
    <row r="312" spans="1:3" ht="30" x14ac:dyDescent="0.25">
      <c r="A312" s="23" t="s">
        <v>9680</v>
      </c>
      <c r="B312" s="338">
        <v>417616120</v>
      </c>
      <c r="C312" s="348"/>
    </row>
    <row r="313" spans="1:3" ht="30" x14ac:dyDescent="0.25">
      <c r="A313" s="23" t="s">
        <v>9420</v>
      </c>
      <c r="B313" s="338">
        <v>402747647</v>
      </c>
      <c r="C313" s="348"/>
    </row>
    <row r="314" spans="1:3" ht="30" x14ac:dyDescent="0.25">
      <c r="A314" s="23" t="s">
        <v>1401</v>
      </c>
      <c r="B314" s="338">
        <v>401682516</v>
      </c>
      <c r="C314" s="348"/>
    </row>
    <row r="315" spans="1:3" ht="30" x14ac:dyDescent="0.25">
      <c r="A315" s="17" t="s">
        <v>2730</v>
      </c>
      <c r="B315" s="338">
        <v>400387157</v>
      </c>
      <c r="C315" s="348"/>
    </row>
    <row r="316" spans="1:3" x14ac:dyDescent="0.25">
      <c r="A316" s="17" t="s">
        <v>346</v>
      </c>
      <c r="B316" s="338">
        <v>396168593</v>
      </c>
      <c r="C316" s="348"/>
    </row>
    <row r="317" spans="1:3" ht="30" x14ac:dyDescent="0.25">
      <c r="A317" s="17" t="s">
        <v>206</v>
      </c>
      <c r="B317" s="338">
        <v>395220000</v>
      </c>
      <c r="C317" s="348"/>
    </row>
    <row r="318" spans="1:3" x14ac:dyDescent="0.25">
      <c r="A318" s="17" t="s">
        <v>1074</v>
      </c>
      <c r="B318" s="338">
        <v>388160000</v>
      </c>
      <c r="C318" s="348"/>
    </row>
    <row r="319" spans="1:3" ht="30" x14ac:dyDescent="0.25">
      <c r="A319" s="17" t="s">
        <v>94</v>
      </c>
      <c r="B319" s="338">
        <v>386000000</v>
      </c>
      <c r="C319" s="348"/>
    </row>
    <row r="320" spans="1:3" ht="30" x14ac:dyDescent="0.25">
      <c r="A320" s="17" t="s">
        <v>2695</v>
      </c>
      <c r="B320" s="338">
        <v>382690000</v>
      </c>
      <c r="C320" s="348"/>
    </row>
    <row r="321" spans="1:3" ht="45" x14ac:dyDescent="0.25">
      <c r="A321" s="17" t="s">
        <v>189</v>
      </c>
      <c r="B321" s="338">
        <v>376630000</v>
      </c>
      <c r="C321" s="348"/>
    </row>
    <row r="322" spans="1:3" ht="30" x14ac:dyDescent="0.25">
      <c r="A322" s="23" t="s">
        <v>6881</v>
      </c>
      <c r="B322" s="338">
        <v>371178885</v>
      </c>
      <c r="C322" s="348"/>
    </row>
    <row r="323" spans="1:3" ht="30" x14ac:dyDescent="0.25">
      <c r="A323" s="17" t="s">
        <v>2632</v>
      </c>
      <c r="B323" s="338">
        <v>365560000</v>
      </c>
      <c r="C323" s="348"/>
    </row>
    <row r="324" spans="1:3" ht="45" x14ac:dyDescent="0.25">
      <c r="A324" s="17" t="s">
        <v>201</v>
      </c>
      <c r="B324" s="338">
        <v>365401448</v>
      </c>
      <c r="C324" s="348"/>
    </row>
    <row r="325" spans="1:3" x14ac:dyDescent="0.25">
      <c r="A325" s="17" t="s">
        <v>719</v>
      </c>
      <c r="B325" s="338">
        <v>365000000</v>
      </c>
      <c r="C325" s="348"/>
    </row>
    <row r="326" spans="1:3" ht="30" x14ac:dyDescent="0.25">
      <c r="A326" s="17" t="s">
        <v>1911</v>
      </c>
      <c r="B326" s="338">
        <v>362000000</v>
      </c>
      <c r="C326" s="348"/>
    </row>
    <row r="327" spans="1:3" ht="30" x14ac:dyDescent="0.25">
      <c r="A327" s="23" t="s">
        <v>156</v>
      </c>
      <c r="B327" s="338">
        <v>348863000</v>
      </c>
      <c r="C327" s="348"/>
    </row>
    <row r="328" spans="1:3" ht="30" x14ac:dyDescent="0.25">
      <c r="A328" s="23" t="s">
        <v>1641</v>
      </c>
      <c r="B328" s="338">
        <v>348426000</v>
      </c>
      <c r="C328" s="348"/>
    </row>
    <row r="329" spans="1:3" x14ac:dyDescent="0.25">
      <c r="A329" s="23" t="s">
        <v>9477</v>
      </c>
      <c r="B329" s="338">
        <v>345600000</v>
      </c>
      <c r="C329" s="348"/>
    </row>
    <row r="330" spans="1:3" ht="30" x14ac:dyDescent="0.25">
      <c r="A330" s="17" t="s">
        <v>3976</v>
      </c>
      <c r="B330" s="338">
        <v>340880000</v>
      </c>
      <c r="C330" s="348"/>
    </row>
    <row r="331" spans="1:3" x14ac:dyDescent="0.25">
      <c r="A331" s="17" t="s">
        <v>2549</v>
      </c>
      <c r="B331" s="338">
        <v>327203710</v>
      </c>
      <c r="C331" s="348"/>
    </row>
    <row r="332" spans="1:3" x14ac:dyDescent="0.25">
      <c r="A332" s="17" t="s">
        <v>3080</v>
      </c>
      <c r="B332" s="338">
        <v>326200000</v>
      </c>
      <c r="C332" s="348"/>
    </row>
    <row r="333" spans="1:3" ht="30" x14ac:dyDescent="0.25">
      <c r="A333" s="17" t="s">
        <v>3451</v>
      </c>
      <c r="B333" s="338">
        <v>323086400</v>
      </c>
      <c r="C333" s="348"/>
    </row>
    <row r="334" spans="1:3" ht="30" x14ac:dyDescent="0.25">
      <c r="A334" s="17" t="s">
        <v>2530</v>
      </c>
      <c r="B334" s="338">
        <v>321300000</v>
      </c>
      <c r="C334" s="348"/>
    </row>
    <row r="335" spans="1:3" x14ac:dyDescent="0.25">
      <c r="A335" s="17" t="s">
        <v>2286</v>
      </c>
      <c r="B335" s="338">
        <v>314823000</v>
      </c>
      <c r="C335" s="348"/>
    </row>
    <row r="336" spans="1:3" ht="30" x14ac:dyDescent="0.25">
      <c r="A336" s="23" t="s">
        <v>2547</v>
      </c>
      <c r="B336" s="338">
        <v>313184730</v>
      </c>
      <c r="C336" s="348"/>
    </row>
    <row r="337" spans="1:3" ht="30" x14ac:dyDescent="0.25">
      <c r="A337" s="17" t="s">
        <v>1751</v>
      </c>
      <c r="B337" s="338">
        <v>302890000</v>
      </c>
      <c r="C337" s="348"/>
    </row>
    <row r="338" spans="1:3" ht="30" x14ac:dyDescent="0.25">
      <c r="A338" s="23" t="s">
        <v>7109</v>
      </c>
      <c r="B338" s="338">
        <v>293730000</v>
      </c>
      <c r="C338" s="348"/>
    </row>
    <row r="339" spans="1:3" x14ac:dyDescent="0.25">
      <c r="A339" s="17" t="s">
        <v>831</v>
      </c>
      <c r="B339" s="338">
        <v>283300000</v>
      </c>
      <c r="C339" s="348"/>
    </row>
    <row r="340" spans="1:3" x14ac:dyDescent="0.25">
      <c r="A340" s="17" t="s">
        <v>9344</v>
      </c>
      <c r="B340" s="338">
        <v>279903197</v>
      </c>
      <c r="C340" s="348"/>
    </row>
    <row r="341" spans="1:3" ht="30" x14ac:dyDescent="0.25">
      <c r="A341" s="23" t="s">
        <v>7020</v>
      </c>
      <c r="B341" s="338">
        <v>254240000</v>
      </c>
      <c r="C341" s="348"/>
    </row>
    <row r="342" spans="1:3" x14ac:dyDescent="0.25">
      <c r="A342" s="23" t="s">
        <v>1644</v>
      </c>
      <c r="B342" s="338">
        <v>254000000</v>
      </c>
      <c r="C342" s="348"/>
    </row>
    <row r="343" spans="1:3" ht="30" x14ac:dyDescent="0.25">
      <c r="A343" s="17" t="s">
        <v>350</v>
      </c>
      <c r="B343" s="338">
        <v>248419372</v>
      </c>
      <c r="C343" s="348"/>
    </row>
    <row r="344" spans="1:3" x14ac:dyDescent="0.25">
      <c r="A344" s="17" t="s">
        <v>352</v>
      </c>
      <c r="B344" s="338">
        <v>248419372</v>
      </c>
      <c r="C344" s="348"/>
    </row>
    <row r="345" spans="1:3" x14ac:dyDescent="0.25">
      <c r="A345" s="17" t="s">
        <v>9194</v>
      </c>
      <c r="B345" s="338">
        <v>246659596</v>
      </c>
      <c r="C345" s="348"/>
    </row>
    <row r="346" spans="1:3" x14ac:dyDescent="0.25">
      <c r="A346" s="17" t="s">
        <v>369</v>
      </c>
      <c r="B346" s="338">
        <v>231800000</v>
      </c>
      <c r="C346" s="348"/>
    </row>
    <row r="347" spans="1:3" x14ac:dyDescent="0.25">
      <c r="A347" s="17" t="s">
        <v>1105</v>
      </c>
      <c r="B347" s="338">
        <v>223287679</v>
      </c>
      <c r="C347" s="348"/>
    </row>
    <row r="348" spans="1:3" ht="30" x14ac:dyDescent="0.25">
      <c r="A348" s="23" t="s">
        <v>9578</v>
      </c>
      <c r="B348" s="338">
        <v>219680159</v>
      </c>
      <c r="C348" s="348"/>
    </row>
    <row r="349" spans="1:3" x14ac:dyDescent="0.25">
      <c r="A349" s="17" t="s">
        <v>313</v>
      </c>
      <c r="B349" s="338">
        <v>216910000</v>
      </c>
      <c r="C349" s="348"/>
    </row>
    <row r="350" spans="1:3" x14ac:dyDescent="0.25">
      <c r="A350" s="23" t="s">
        <v>128</v>
      </c>
      <c r="B350" s="338">
        <v>214890752</v>
      </c>
      <c r="C350" s="348"/>
    </row>
    <row r="351" spans="1:3" ht="30" x14ac:dyDescent="0.25">
      <c r="A351" s="23" t="s">
        <v>6889</v>
      </c>
      <c r="B351" s="338">
        <v>212821743.84999999</v>
      </c>
      <c r="C351" s="348"/>
    </row>
    <row r="352" spans="1:3" ht="30" x14ac:dyDescent="0.25">
      <c r="A352" s="23" t="s">
        <v>11369</v>
      </c>
      <c r="B352" s="338">
        <v>207083235</v>
      </c>
      <c r="C352" s="348"/>
    </row>
    <row r="353" spans="1:3" ht="30" x14ac:dyDescent="0.25">
      <c r="A353" s="17" t="s">
        <v>348</v>
      </c>
      <c r="B353" s="338">
        <v>206030000</v>
      </c>
      <c r="C353" s="348"/>
    </row>
    <row r="354" spans="1:3" ht="30" x14ac:dyDescent="0.25">
      <c r="A354" s="17" t="s">
        <v>308</v>
      </c>
      <c r="B354" s="338">
        <v>202000000</v>
      </c>
      <c r="C354" s="348"/>
    </row>
    <row r="355" spans="1:3" x14ac:dyDescent="0.25">
      <c r="A355" s="17" t="s">
        <v>359</v>
      </c>
      <c r="B355" s="338">
        <v>189025093</v>
      </c>
      <c r="C355" s="348"/>
    </row>
    <row r="356" spans="1:3" ht="30" x14ac:dyDescent="0.25">
      <c r="A356" s="23" t="s">
        <v>7016</v>
      </c>
      <c r="B356" s="338">
        <v>176781293</v>
      </c>
      <c r="C356" s="348"/>
    </row>
    <row r="357" spans="1:3" ht="30" x14ac:dyDescent="0.25">
      <c r="A357" s="23" t="s">
        <v>2121</v>
      </c>
      <c r="B357" s="338">
        <v>176526821</v>
      </c>
      <c r="C357" s="348"/>
    </row>
    <row r="358" spans="1:3" x14ac:dyDescent="0.25">
      <c r="A358" s="23" t="s">
        <v>6831</v>
      </c>
      <c r="B358" s="338">
        <v>168100000</v>
      </c>
      <c r="C358" s="348"/>
    </row>
    <row r="359" spans="1:3" ht="30" x14ac:dyDescent="0.25">
      <c r="A359" s="23" t="s">
        <v>7124</v>
      </c>
      <c r="B359" s="338">
        <v>165728218</v>
      </c>
      <c r="C359" s="348"/>
    </row>
    <row r="360" spans="1:3" ht="30" x14ac:dyDescent="0.25">
      <c r="A360" s="17" t="s">
        <v>1107</v>
      </c>
      <c r="B360" s="338">
        <v>161028847</v>
      </c>
      <c r="C360" s="348"/>
    </row>
    <row r="361" spans="1:3" ht="30" x14ac:dyDescent="0.25">
      <c r="A361" s="17" t="s">
        <v>3800</v>
      </c>
      <c r="B361" s="338">
        <v>154300000</v>
      </c>
      <c r="C361" s="348"/>
    </row>
    <row r="362" spans="1:3" ht="30" x14ac:dyDescent="0.25">
      <c r="A362" s="23" t="s">
        <v>1747</v>
      </c>
      <c r="B362" s="338">
        <v>150360113</v>
      </c>
      <c r="C362" s="348"/>
    </row>
    <row r="363" spans="1:3" ht="30" x14ac:dyDescent="0.25">
      <c r="A363" s="23" t="s">
        <v>7492</v>
      </c>
      <c r="B363" s="338">
        <v>149107054</v>
      </c>
      <c r="C363" s="348"/>
    </row>
    <row r="364" spans="1:3" x14ac:dyDescent="0.25">
      <c r="A364" s="17" t="s">
        <v>365</v>
      </c>
      <c r="B364" s="338">
        <v>147945927</v>
      </c>
      <c r="C364" s="348"/>
    </row>
    <row r="365" spans="1:3" x14ac:dyDescent="0.25">
      <c r="A365" s="17" t="s">
        <v>3419</v>
      </c>
      <c r="B365" s="338">
        <v>139810268</v>
      </c>
      <c r="C365" s="348"/>
    </row>
    <row r="366" spans="1:3" x14ac:dyDescent="0.25">
      <c r="A366" s="17" t="s">
        <v>2537</v>
      </c>
      <c r="B366" s="338">
        <v>137505123</v>
      </c>
      <c r="C366" s="348"/>
    </row>
    <row r="367" spans="1:3" x14ac:dyDescent="0.25">
      <c r="A367" s="23" t="s">
        <v>11410</v>
      </c>
      <c r="B367" s="338">
        <v>136430000</v>
      </c>
      <c r="C367" s="348"/>
    </row>
    <row r="368" spans="1:3" ht="30" x14ac:dyDescent="0.25">
      <c r="A368" s="23" t="s">
        <v>9274</v>
      </c>
      <c r="B368" s="338">
        <v>130374990.56</v>
      </c>
      <c r="C368" s="348"/>
    </row>
    <row r="369" spans="1:3" ht="30" x14ac:dyDescent="0.25">
      <c r="A369" s="23" t="s">
        <v>3755</v>
      </c>
      <c r="B369" s="338">
        <v>127299104</v>
      </c>
      <c r="C369" s="348"/>
    </row>
    <row r="370" spans="1:3" ht="30" x14ac:dyDescent="0.25">
      <c r="A370" s="23" t="s">
        <v>1744</v>
      </c>
      <c r="B370" s="338">
        <v>123369786</v>
      </c>
      <c r="C370" s="348"/>
    </row>
    <row r="371" spans="1:3" ht="30" x14ac:dyDescent="0.25">
      <c r="A371" s="23" t="s">
        <v>6968</v>
      </c>
      <c r="B371" s="338">
        <v>122481035</v>
      </c>
      <c r="C371" s="348"/>
    </row>
    <row r="372" spans="1:3" ht="30" x14ac:dyDescent="0.25">
      <c r="A372" s="17" t="s">
        <v>2088</v>
      </c>
      <c r="B372" s="338">
        <v>118000000</v>
      </c>
      <c r="C372" s="348"/>
    </row>
    <row r="373" spans="1:3" ht="30" x14ac:dyDescent="0.25">
      <c r="A373" s="23" t="s">
        <v>9612</v>
      </c>
      <c r="B373" s="338">
        <v>116143534</v>
      </c>
      <c r="C373" s="348"/>
    </row>
    <row r="374" spans="1:3" x14ac:dyDescent="0.25">
      <c r="A374" s="17" t="s">
        <v>150</v>
      </c>
      <c r="B374" s="338">
        <v>113800000</v>
      </c>
      <c r="C374" s="348"/>
    </row>
    <row r="375" spans="1:3" ht="30" x14ac:dyDescent="0.25">
      <c r="A375" s="23" t="s">
        <v>7229</v>
      </c>
      <c r="B375" s="338">
        <v>112475888</v>
      </c>
      <c r="C375" s="348"/>
    </row>
    <row r="376" spans="1:3" x14ac:dyDescent="0.25">
      <c r="A376" s="23" t="s">
        <v>1311</v>
      </c>
      <c r="B376" s="338">
        <v>105044000</v>
      </c>
      <c r="C376" s="348"/>
    </row>
    <row r="377" spans="1:3" x14ac:dyDescent="0.25">
      <c r="A377" s="23" t="s">
        <v>3802</v>
      </c>
      <c r="B377" s="344">
        <v>104211456</v>
      </c>
      <c r="C377" s="348"/>
    </row>
    <row r="378" spans="1:3" ht="30" x14ac:dyDescent="0.25">
      <c r="A378" s="17" t="s">
        <v>3131</v>
      </c>
      <c r="B378" s="338">
        <v>101174376</v>
      </c>
      <c r="C378" s="348"/>
    </row>
    <row r="379" spans="1:3" x14ac:dyDescent="0.25">
      <c r="A379" s="23" t="s">
        <v>11437</v>
      </c>
      <c r="B379" s="338">
        <v>100000000</v>
      </c>
      <c r="C379" s="348"/>
    </row>
    <row r="380" spans="1:3" x14ac:dyDescent="0.25">
      <c r="A380" s="23" t="s">
        <v>11113</v>
      </c>
      <c r="B380" s="344">
        <v>97187971</v>
      </c>
      <c r="C380" s="348"/>
    </row>
    <row r="381" spans="1:3" ht="30" x14ac:dyDescent="0.25">
      <c r="A381" s="23" t="s">
        <v>3920</v>
      </c>
      <c r="B381" s="338">
        <v>94383506</v>
      </c>
      <c r="C381" s="348"/>
    </row>
    <row r="382" spans="1:3" x14ac:dyDescent="0.25">
      <c r="A382" s="23" t="s">
        <v>7336</v>
      </c>
      <c r="B382" s="338">
        <v>94370000</v>
      </c>
      <c r="C382" s="348"/>
    </row>
    <row r="383" spans="1:3" ht="30" x14ac:dyDescent="0.25">
      <c r="A383" s="23" t="s">
        <v>11467</v>
      </c>
      <c r="B383" s="338">
        <v>90920000</v>
      </c>
      <c r="C383" s="348"/>
    </row>
    <row r="384" spans="1:3" x14ac:dyDescent="0.25">
      <c r="A384" s="17" t="s">
        <v>148</v>
      </c>
      <c r="B384" s="338">
        <v>81400000</v>
      </c>
      <c r="C384" s="348"/>
    </row>
    <row r="385" spans="1:3" s="345" customFormat="1" ht="30" x14ac:dyDescent="0.25">
      <c r="A385" s="23" t="s">
        <v>9269</v>
      </c>
      <c r="B385" s="338">
        <v>77274199</v>
      </c>
      <c r="C385" s="349"/>
    </row>
    <row r="386" spans="1:3" ht="30" x14ac:dyDescent="0.25">
      <c r="A386" s="23" t="s">
        <v>3918</v>
      </c>
      <c r="B386" s="338">
        <v>76555716</v>
      </c>
      <c r="C386" s="348"/>
    </row>
    <row r="387" spans="1:3" x14ac:dyDescent="0.25">
      <c r="A387" s="17" t="s">
        <v>3240</v>
      </c>
      <c r="B387" s="338">
        <v>76440000</v>
      </c>
      <c r="C387" s="348"/>
    </row>
    <row r="388" spans="1:3" x14ac:dyDescent="0.25">
      <c r="A388" s="17" t="s">
        <v>1902</v>
      </c>
      <c r="B388" s="338">
        <v>75110000</v>
      </c>
      <c r="C388" s="348"/>
    </row>
    <row r="389" spans="1:3" ht="30" x14ac:dyDescent="0.25">
      <c r="A389" s="23" t="s">
        <v>4178</v>
      </c>
      <c r="B389" s="338">
        <v>71918610</v>
      </c>
      <c r="C389" s="348"/>
    </row>
    <row r="390" spans="1:3" x14ac:dyDescent="0.25">
      <c r="A390" s="23" t="s">
        <v>6927</v>
      </c>
      <c r="B390" s="338">
        <v>68600696</v>
      </c>
      <c r="C390" s="348"/>
    </row>
    <row r="391" spans="1:3" ht="30" x14ac:dyDescent="0.25">
      <c r="A391" s="17" t="s">
        <v>3226</v>
      </c>
      <c r="B391" s="338">
        <v>65885338</v>
      </c>
      <c r="C391" s="348"/>
    </row>
    <row r="392" spans="1:3" ht="30" x14ac:dyDescent="0.25">
      <c r="A392" s="17" t="s">
        <v>1003</v>
      </c>
      <c r="B392" s="338">
        <v>65763439</v>
      </c>
      <c r="C392" s="348"/>
    </row>
    <row r="393" spans="1:3" x14ac:dyDescent="0.25">
      <c r="A393" s="23" t="s">
        <v>9551</v>
      </c>
      <c r="B393" s="338">
        <v>65364311</v>
      </c>
      <c r="C393" s="339"/>
    </row>
    <row r="394" spans="1:3" x14ac:dyDescent="0.25">
      <c r="A394" s="17" t="s">
        <v>721</v>
      </c>
      <c r="B394" s="338">
        <v>63400000</v>
      </c>
      <c r="C394" s="339"/>
    </row>
    <row r="395" spans="1:3" ht="30" x14ac:dyDescent="0.25">
      <c r="A395" s="17" t="s">
        <v>3754</v>
      </c>
      <c r="B395" s="338">
        <v>62792241</v>
      </c>
      <c r="C395" s="339"/>
    </row>
    <row r="396" spans="1:3" s="345" customFormat="1" x14ac:dyDescent="0.25">
      <c r="A396" s="17" t="s">
        <v>715</v>
      </c>
      <c r="B396" s="338">
        <v>57600000</v>
      </c>
      <c r="C396" s="371"/>
    </row>
    <row r="397" spans="1:3" x14ac:dyDescent="0.25">
      <c r="A397" s="23" t="s">
        <v>9563</v>
      </c>
      <c r="B397" s="338">
        <v>50363000</v>
      </c>
      <c r="C397" s="339"/>
    </row>
    <row r="398" spans="1:3" s="345" customFormat="1" ht="30" x14ac:dyDescent="0.25">
      <c r="A398" s="23" t="s">
        <v>2288</v>
      </c>
      <c r="B398" s="338">
        <v>47561244</v>
      </c>
      <c r="C398" s="371"/>
    </row>
    <row r="399" spans="1:3" x14ac:dyDescent="0.25">
      <c r="A399" s="23" t="s">
        <v>11413</v>
      </c>
      <c r="B399" s="338">
        <v>47107952</v>
      </c>
      <c r="C399" s="339"/>
    </row>
    <row r="400" spans="1:3" ht="30" x14ac:dyDescent="0.25">
      <c r="A400" s="23" t="s">
        <v>115</v>
      </c>
      <c r="B400" s="338">
        <v>44331695</v>
      </c>
      <c r="C400" s="339"/>
    </row>
    <row r="401" spans="1:3" x14ac:dyDescent="0.25">
      <c r="A401" s="23" t="s">
        <v>7255</v>
      </c>
      <c r="B401" s="338">
        <v>38095542</v>
      </c>
      <c r="C401" s="339"/>
    </row>
    <row r="402" spans="1:3" s="345" customFormat="1" x14ac:dyDescent="0.25">
      <c r="A402" s="17" t="s">
        <v>9449</v>
      </c>
      <c r="B402" s="338">
        <v>37500000</v>
      </c>
      <c r="C402" s="371"/>
    </row>
    <row r="403" spans="1:3" x14ac:dyDescent="0.25">
      <c r="A403" s="17" t="s">
        <v>3417</v>
      </c>
      <c r="B403" s="338">
        <v>32000000</v>
      </c>
      <c r="C403" s="339"/>
    </row>
    <row r="404" spans="1:3" ht="30" x14ac:dyDescent="0.25">
      <c r="A404" s="17" t="s">
        <v>3849</v>
      </c>
      <c r="B404" s="338">
        <v>29548659</v>
      </c>
      <c r="C404" s="339"/>
    </row>
    <row r="405" spans="1:3" ht="45" x14ac:dyDescent="0.25">
      <c r="A405" s="17" t="s">
        <v>4093</v>
      </c>
      <c r="B405" s="338">
        <v>28372000</v>
      </c>
      <c r="C405" s="339"/>
    </row>
    <row r="406" spans="1:3" ht="30" x14ac:dyDescent="0.25">
      <c r="A406" s="17" t="s">
        <v>3421</v>
      </c>
      <c r="B406" s="338">
        <v>24000000</v>
      </c>
      <c r="C406" s="339"/>
    </row>
    <row r="407" spans="1:3" ht="30" x14ac:dyDescent="0.25">
      <c r="A407" s="17" t="s">
        <v>3950</v>
      </c>
      <c r="B407" s="338">
        <v>23351741</v>
      </c>
      <c r="C407" s="339"/>
    </row>
    <row r="408" spans="1:3" ht="30" x14ac:dyDescent="0.25">
      <c r="A408" s="17" t="s">
        <v>3952</v>
      </c>
      <c r="B408" s="338">
        <v>23351741</v>
      </c>
      <c r="C408" s="339"/>
    </row>
    <row r="409" spans="1:3" ht="30" x14ac:dyDescent="0.25">
      <c r="A409" s="23" t="s">
        <v>9314</v>
      </c>
      <c r="B409" s="338">
        <v>18655000</v>
      </c>
      <c r="C409" s="339"/>
    </row>
    <row r="410" spans="1:3" x14ac:dyDescent="0.25">
      <c r="A410" s="17" t="s">
        <v>9443</v>
      </c>
      <c r="B410" s="338">
        <v>18472029</v>
      </c>
      <c r="C410" s="339"/>
    </row>
    <row r="411" spans="1:3" ht="30" x14ac:dyDescent="0.25">
      <c r="A411" s="17" t="s">
        <v>2898</v>
      </c>
      <c r="B411" s="338">
        <v>17258790</v>
      </c>
      <c r="C411" s="339"/>
    </row>
    <row r="412" spans="1:3" x14ac:dyDescent="0.25">
      <c r="A412" s="17" t="s">
        <v>861</v>
      </c>
      <c r="B412" s="338">
        <v>17257298</v>
      </c>
      <c r="C412" s="339"/>
    </row>
    <row r="413" spans="1:3" ht="30" x14ac:dyDescent="0.25">
      <c r="A413" s="23" t="s">
        <v>9315</v>
      </c>
      <c r="B413" s="338">
        <v>17062000</v>
      </c>
      <c r="C413" s="339"/>
    </row>
    <row r="414" spans="1:3" x14ac:dyDescent="0.25">
      <c r="A414" s="17" t="s">
        <v>2650</v>
      </c>
      <c r="B414" s="338">
        <v>15880000</v>
      </c>
      <c r="C414" s="339"/>
    </row>
    <row r="415" spans="1:3" ht="45" x14ac:dyDescent="0.25">
      <c r="A415" s="17" t="s">
        <v>1341</v>
      </c>
      <c r="B415" s="338">
        <v>12000000</v>
      </c>
      <c r="C415" s="339"/>
    </row>
    <row r="416" spans="1:3" x14ac:dyDescent="0.25">
      <c r="A416" s="17" t="s">
        <v>3423</v>
      </c>
      <c r="B416" s="338">
        <v>11500000</v>
      </c>
      <c r="C416" s="339"/>
    </row>
    <row r="417" spans="1:3" x14ac:dyDescent="0.25">
      <c r="A417" s="17" t="s">
        <v>2027</v>
      </c>
      <c r="B417" s="338">
        <v>11430000</v>
      </c>
      <c r="C417" s="339"/>
    </row>
    <row r="418" spans="1:3" ht="30" x14ac:dyDescent="0.25">
      <c r="A418" s="23" t="s">
        <v>11440</v>
      </c>
      <c r="B418" s="338">
        <v>9071418.1099999994</v>
      </c>
      <c r="C418" s="339"/>
    </row>
    <row r="419" spans="1:3" x14ac:dyDescent="0.25">
      <c r="A419" s="23" t="s">
        <v>11425</v>
      </c>
      <c r="B419" s="338">
        <v>8945810</v>
      </c>
      <c r="C419" s="339"/>
    </row>
    <row r="420" spans="1:3" x14ac:dyDescent="0.25">
      <c r="A420" s="17" t="s">
        <v>2330</v>
      </c>
      <c r="B420" s="338">
        <v>8570653</v>
      </c>
      <c r="C420" s="339"/>
    </row>
    <row r="421" spans="1:3" x14ac:dyDescent="0.25">
      <c r="A421" s="23" t="s">
        <v>7318</v>
      </c>
      <c r="B421" s="338">
        <v>6700000</v>
      </c>
      <c r="C421" s="339"/>
    </row>
    <row r="422" spans="1:3" x14ac:dyDescent="0.25">
      <c r="A422" s="17" t="s">
        <v>3796</v>
      </c>
      <c r="B422" s="338">
        <v>6685248</v>
      </c>
      <c r="C422" s="339"/>
    </row>
    <row r="423" spans="1:3" ht="30" x14ac:dyDescent="0.25">
      <c r="A423" s="17" t="s">
        <v>230</v>
      </c>
      <c r="B423" s="338">
        <v>3844157</v>
      </c>
      <c r="C423" s="339"/>
    </row>
    <row r="424" spans="1:3" x14ac:dyDescent="0.25">
      <c r="A424" s="17" t="s">
        <v>59</v>
      </c>
      <c r="B424" s="338">
        <v>2991783.69</v>
      </c>
      <c r="C424" s="339"/>
    </row>
    <row r="425" spans="1:3" ht="30" x14ac:dyDescent="0.25">
      <c r="A425" s="17" t="s">
        <v>1404</v>
      </c>
      <c r="B425" s="338">
        <v>2880000</v>
      </c>
      <c r="C425" s="339"/>
    </row>
    <row r="426" spans="1:3" x14ac:dyDescent="0.25">
      <c r="A426" s="23" t="s">
        <v>6826</v>
      </c>
      <c r="B426" s="338">
        <v>1486000</v>
      </c>
      <c r="C426" s="339"/>
    </row>
    <row r="427" spans="1:3" x14ac:dyDescent="0.25">
      <c r="A427" s="17" t="s">
        <v>2291</v>
      </c>
      <c r="B427" s="338">
        <v>1001358</v>
      </c>
      <c r="C427" s="339"/>
    </row>
    <row r="428" spans="1:3" x14ac:dyDescent="0.25">
      <c r="A428" s="342"/>
      <c r="B428" s="339"/>
      <c r="C428" s="339"/>
    </row>
    <row r="429" spans="1:3" x14ac:dyDescent="0.25">
      <c r="A429" s="342"/>
      <c r="B429" s="339"/>
      <c r="C429" s="339"/>
    </row>
    <row r="430" spans="1:3" x14ac:dyDescent="0.25">
      <c r="A430" s="342"/>
      <c r="B430" s="339"/>
      <c r="C430" s="339"/>
    </row>
    <row r="431" spans="1:3" x14ac:dyDescent="0.25">
      <c r="A431" s="342"/>
      <c r="B431" s="339"/>
      <c r="C431" s="339"/>
    </row>
    <row r="432" spans="1:3" x14ac:dyDescent="0.25">
      <c r="A432" s="342"/>
      <c r="B432" s="339"/>
      <c r="C432" s="339"/>
    </row>
    <row r="433" spans="1:3" x14ac:dyDescent="0.25">
      <c r="A433" s="342"/>
      <c r="B433" s="339"/>
      <c r="C433" s="339"/>
    </row>
    <row r="434" spans="1:3" x14ac:dyDescent="0.25">
      <c r="A434" s="342"/>
      <c r="B434" s="339"/>
      <c r="C434" s="339"/>
    </row>
    <row r="435" spans="1:3" x14ac:dyDescent="0.25">
      <c r="A435" s="342"/>
      <c r="B435" s="339"/>
      <c r="C435" s="339"/>
    </row>
    <row r="436" spans="1:3" x14ac:dyDescent="0.25">
      <c r="A436" s="342"/>
      <c r="B436" s="339"/>
      <c r="C436" s="339"/>
    </row>
    <row r="437" spans="1:3" x14ac:dyDescent="0.25">
      <c r="A437" s="342"/>
      <c r="B437" s="339"/>
      <c r="C437" s="339"/>
    </row>
    <row r="438" spans="1:3" x14ac:dyDescent="0.25">
      <c r="A438" s="342"/>
      <c r="B438" s="339"/>
      <c r="C438" s="339"/>
    </row>
    <row r="439" spans="1:3" x14ac:dyDescent="0.25">
      <c r="A439" s="342"/>
      <c r="B439" s="339"/>
      <c r="C439" s="339"/>
    </row>
    <row r="440" spans="1:3" x14ac:dyDescent="0.25">
      <c r="A440" s="342"/>
      <c r="B440" s="339"/>
      <c r="C440" s="339"/>
    </row>
    <row r="441" spans="1:3" x14ac:dyDescent="0.25">
      <c r="A441" s="342"/>
      <c r="B441" s="339"/>
      <c r="C441" s="339"/>
    </row>
    <row r="442" spans="1:3" x14ac:dyDescent="0.25">
      <c r="A442" s="342"/>
      <c r="B442" s="339"/>
      <c r="C442" s="339"/>
    </row>
    <row r="443" spans="1:3" x14ac:dyDescent="0.25">
      <c r="A443" s="342"/>
      <c r="B443" s="339"/>
      <c r="C443" s="339"/>
    </row>
    <row r="444" spans="1:3" x14ac:dyDescent="0.25">
      <c r="A444" s="342"/>
      <c r="B444" s="339"/>
      <c r="C444" s="339"/>
    </row>
    <row r="445" spans="1:3" x14ac:dyDescent="0.25">
      <c r="A445" s="342"/>
      <c r="B445" s="339"/>
      <c r="C445" s="339"/>
    </row>
    <row r="446" spans="1:3" x14ac:dyDescent="0.25">
      <c r="A446" s="342"/>
      <c r="B446" s="339"/>
      <c r="C446" s="339"/>
    </row>
    <row r="447" spans="1:3" x14ac:dyDescent="0.25">
      <c r="A447" s="342"/>
      <c r="B447" s="339"/>
      <c r="C447" s="339"/>
    </row>
    <row r="448" spans="1:3" x14ac:dyDescent="0.25">
      <c r="A448" s="342"/>
      <c r="B448" s="339"/>
      <c r="C448" s="339"/>
    </row>
    <row r="449" spans="1:3" x14ac:dyDescent="0.25">
      <c r="A449" s="342"/>
      <c r="B449" s="339"/>
      <c r="C449" s="339"/>
    </row>
    <row r="450" spans="1:3" x14ac:dyDescent="0.25">
      <c r="A450" s="342"/>
      <c r="B450" s="339"/>
      <c r="C450" s="339"/>
    </row>
    <row r="451" spans="1:3" x14ac:dyDescent="0.25">
      <c r="A451" s="342"/>
      <c r="B451" s="339"/>
      <c r="C451" s="339"/>
    </row>
    <row r="452" spans="1:3" x14ac:dyDescent="0.25">
      <c r="A452" s="342"/>
      <c r="B452" s="339"/>
      <c r="C452" s="339"/>
    </row>
    <row r="453" spans="1:3" x14ac:dyDescent="0.25">
      <c r="A453" s="342"/>
      <c r="B453" s="339"/>
      <c r="C453" s="339"/>
    </row>
    <row r="454" spans="1:3" x14ac:dyDescent="0.25">
      <c r="A454" s="342"/>
      <c r="B454" s="339"/>
      <c r="C454" s="339"/>
    </row>
    <row r="455" spans="1:3" x14ac:dyDescent="0.25">
      <c r="A455" s="342"/>
      <c r="B455" s="339"/>
      <c r="C455" s="339"/>
    </row>
    <row r="456" spans="1:3" x14ac:dyDescent="0.25">
      <c r="A456" s="342"/>
      <c r="B456" s="339"/>
      <c r="C456" s="339"/>
    </row>
    <row r="457" spans="1:3" x14ac:dyDescent="0.25">
      <c r="A457" s="342"/>
      <c r="B457" s="339"/>
      <c r="C457" s="339"/>
    </row>
    <row r="458" spans="1:3" x14ac:dyDescent="0.25">
      <c r="A458" s="342"/>
      <c r="B458" s="339"/>
      <c r="C458" s="339"/>
    </row>
    <row r="459" spans="1:3" x14ac:dyDescent="0.25">
      <c r="A459" s="342"/>
      <c r="B459" s="339"/>
      <c r="C459" s="339"/>
    </row>
    <row r="460" spans="1:3" x14ac:dyDescent="0.25">
      <c r="A460" s="342"/>
      <c r="B460" s="339"/>
      <c r="C460" s="339"/>
    </row>
    <row r="461" spans="1:3" x14ac:dyDescent="0.25">
      <c r="A461" s="342"/>
      <c r="B461" s="339"/>
      <c r="C461" s="339"/>
    </row>
    <row r="462" spans="1:3" x14ac:dyDescent="0.25">
      <c r="A462" s="342"/>
      <c r="B462" s="339"/>
      <c r="C462" s="339"/>
    </row>
    <row r="463" spans="1:3" x14ac:dyDescent="0.25">
      <c r="A463" s="342"/>
      <c r="B463" s="339"/>
      <c r="C463" s="339"/>
    </row>
    <row r="464" spans="1:3" x14ac:dyDescent="0.25">
      <c r="A464" s="342"/>
      <c r="B464" s="339"/>
      <c r="C464" s="339"/>
    </row>
    <row r="465" spans="1:3" x14ac:dyDescent="0.25">
      <c r="A465" s="342"/>
      <c r="B465" s="339"/>
      <c r="C465" s="339"/>
    </row>
    <row r="466" spans="1:3" x14ac:dyDescent="0.25">
      <c r="A466" s="342"/>
      <c r="B466" s="339"/>
      <c r="C466" s="339"/>
    </row>
    <row r="467" spans="1:3" x14ac:dyDescent="0.25">
      <c r="A467" s="342"/>
      <c r="B467" s="339"/>
      <c r="C467" s="339"/>
    </row>
    <row r="468" spans="1:3" x14ac:dyDescent="0.25">
      <c r="A468" s="342"/>
      <c r="B468" s="339"/>
      <c r="C468" s="339"/>
    </row>
    <row r="469" spans="1:3" x14ac:dyDescent="0.25">
      <c r="A469" s="342"/>
      <c r="B469" s="339"/>
      <c r="C469" s="339"/>
    </row>
    <row r="470" spans="1:3" x14ac:dyDescent="0.25">
      <c r="A470" s="342"/>
      <c r="B470" s="339"/>
      <c r="C470" s="339"/>
    </row>
    <row r="471" spans="1:3" x14ac:dyDescent="0.25">
      <c r="A471" s="342"/>
      <c r="B471" s="339"/>
      <c r="C471" s="339"/>
    </row>
    <row r="472" spans="1:3" x14ac:dyDescent="0.25">
      <c r="A472" s="342"/>
      <c r="B472" s="339"/>
      <c r="C472" s="339"/>
    </row>
    <row r="473" spans="1:3" x14ac:dyDescent="0.25">
      <c r="A473" s="342"/>
      <c r="B473" s="339"/>
      <c r="C473" s="339"/>
    </row>
    <row r="474" spans="1:3" x14ac:dyDescent="0.25">
      <c r="A474" s="342"/>
      <c r="B474" s="339"/>
      <c r="C474" s="339"/>
    </row>
    <row r="475" spans="1:3" x14ac:dyDescent="0.25">
      <c r="A475" s="342"/>
      <c r="B475" s="339"/>
      <c r="C475" s="339"/>
    </row>
    <row r="476" spans="1:3" x14ac:dyDescent="0.25">
      <c r="A476" s="342"/>
      <c r="B476" s="339"/>
      <c r="C476" s="339"/>
    </row>
    <row r="477" spans="1:3" x14ac:dyDescent="0.25">
      <c r="A477" s="342"/>
      <c r="B477" s="339"/>
      <c r="C477" s="339"/>
    </row>
    <row r="478" spans="1:3" x14ac:dyDescent="0.25">
      <c r="A478" s="342"/>
      <c r="B478" s="339"/>
      <c r="C478" s="339"/>
    </row>
    <row r="479" spans="1:3" x14ac:dyDescent="0.25">
      <c r="A479" s="342"/>
      <c r="B479" s="339"/>
      <c r="C479" s="339"/>
    </row>
    <row r="480" spans="1:3" x14ac:dyDescent="0.25">
      <c r="A480" s="342"/>
      <c r="B480" s="339"/>
      <c r="C480" s="339"/>
    </row>
    <row r="481" spans="1:3" x14ac:dyDescent="0.25">
      <c r="A481" s="342"/>
      <c r="B481" s="339"/>
      <c r="C481" s="339"/>
    </row>
    <row r="482" spans="1:3" x14ac:dyDescent="0.25">
      <c r="A482" s="342"/>
      <c r="B482" s="339"/>
      <c r="C482" s="339"/>
    </row>
    <row r="483" spans="1:3" x14ac:dyDescent="0.25">
      <c r="A483" s="342"/>
      <c r="B483" s="339"/>
      <c r="C483" s="339"/>
    </row>
    <row r="484" spans="1:3" x14ac:dyDescent="0.25">
      <c r="A484" s="342"/>
      <c r="B484" s="339"/>
      <c r="C484" s="339"/>
    </row>
    <row r="485" spans="1:3" x14ac:dyDescent="0.25">
      <c r="A485" s="342"/>
      <c r="B485" s="339"/>
      <c r="C485" s="339"/>
    </row>
    <row r="486" spans="1:3" x14ac:dyDescent="0.25">
      <c r="A486" s="342"/>
      <c r="B486" s="339"/>
      <c r="C486" s="339"/>
    </row>
    <row r="487" spans="1:3" x14ac:dyDescent="0.25">
      <c r="A487" s="342"/>
      <c r="B487" s="339"/>
      <c r="C487" s="339"/>
    </row>
    <row r="488" spans="1:3" x14ac:dyDescent="0.25">
      <c r="A488" s="342"/>
      <c r="B488" s="339"/>
      <c r="C488" s="339"/>
    </row>
    <row r="489" spans="1:3" x14ac:dyDescent="0.25">
      <c r="A489" s="342"/>
      <c r="B489" s="339"/>
      <c r="C489" s="339"/>
    </row>
    <row r="490" spans="1:3" x14ac:dyDescent="0.25">
      <c r="A490" s="342"/>
      <c r="B490" s="339"/>
      <c r="C490" s="339"/>
    </row>
    <row r="491" spans="1:3" x14ac:dyDescent="0.25">
      <c r="A491" s="342"/>
      <c r="B491" s="339"/>
      <c r="C491" s="339"/>
    </row>
    <row r="492" spans="1:3" x14ac:dyDescent="0.25">
      <c r="A492" s="342"/>
      <c r="B492" s="339"/>
      <c r="C492" s="339"/>
    </row>
    <row r="493" spans="1:3" x14ac:dyDescent="0.25">
      <c r="A493" s="342"/>
      <c r="B493" s="339"/>
      <c r="C493" s="339"/>
    </row>
    <row r="494" spans="1:3" x14ac:dyDescent="0.25">
      <c r="A494" s="342"/>
      <c r="B494" s="339"/>
      <c r="C494" s="339"/>
    </row>
    <row r="495" spans="1:3" x14ac:dyDescent="0.25">
      <c r="A495" s="342"/>
      <c r="B495" s="339"/>
      <c r="C495" s="339"/>
    </row>
    <row r="496" spans="1:3" x14ac:dyDescent="0.25">
      <c r="A496" s="342"/>
      <c r="B496" s="339"/>
      <c r="C496" s="339"/>
    </row>
    <row r="497" spans="1:3" x14ac:dyDescent="0.25">
      <c r="A497" s="342"/>
      <c r="B497" s="339"/>
      <c r="C497" s="339"/>
    </row>
    <row r="498" spans="1:3" x14ac:dyDescent="0.25">
      <c r="A498" s="342"/>
      <c r="B498" s="339"/>
      <c r="C498" s="339"/>
    </row>
    <row r="499" spans="1:3" x14ac:dyDescent="0.25">
      <c r="A499" s="342"/>
      <c r="B499" s="339"/>
      <c r="C499" s="339"/>
    </row>
    <row r="500" spans="1:3" x14ac:dyDescent="0.25">
      <c r="A500" s="342"/>
      <c r="B500" s="339"/>
      <c r="C500" s="339"/>
    </row>
    <row r="501" spans="1:3" x14ac:dyDescent="0.25">
      <c r="A501" s="342"/>
      <c r="B501" s="339"/>
      <c r="C501" s="339"/>
    </row>
    <row r="502" spans="1:3" x14ac:dyDescent="0.25">
      <c r="A502" s="342"/>
      <c r="B502" s="339"/>
      <c r="C502" s="339"/>
    </row>
    <row r="503" spans="1:3" x14ac:dyDescent="0.25">
      <c r="A503" s="342"/>
      <c r="B503" s="339"/>
      <c r="C503" s="339"/>
    </row>
    <row r="504" spans="1:3" x14ac:dyDescent="0.25">
      <c r="A504" s="342"/>
      <c r="B504" s="339"/>
      <c r="C504" s="339"/>
    </row>
    <row r="505" spans="1:3" x14ac:dyDescent="0.25">
      <c r="A505" s="342"/>
      <c r="B505" s="339"/>
      <c r="C505" s="339"/>
    </row>
    <row r="506" spans="1:3" x14ac:dyDescent="0.25">
      <c r="A506" s="342"/>
      <c r="B506" s="339"/>
      <c r="C506" s="339"/>
    </row>
    <row r="507" spans="1:3" x14ac:dyDescent="0.25">
      <c r="A507" s="342"/>
      <c r="B507" s="339"/>
      <c r="C507" s="339"/>
    </row>
    <row r="508" spans="1:3" x14ac:dyDescent="0.25">
      <c r="A508" s="342"/>
      <c r="B508" s="339"/>
      <c r="C508" s="339"/>
    </row>
    <row r="509" spans="1:3" x14ac:dyDescent="0.25">
      <c r="A509" s="342"/>
      <c r="B509" s="339"/>
      <c r="C509" s="339"/>
    </row>
    <row r="510" spans="1:3" x14ac:dyDescent="0.25">
      <c r="A510" s="342"/>
      <c r="B510" s="339"/>
      <c r="C510" s="339"/>
    </row>
    <row r="511" spans="1:3" x14ac:dyDescent="0.25">
      <c r="A511" s="342"/>
      <c r="B511" s="339"/>
      <c r="C511" s="339"/>
    </row>
    <row r="512" spans="1:3" x14ac:dyDescent="0.25">
      <c r="A512" s="342"/>
      <c r="B512" s="339"/>
      <c r="C512" s="339"/>
    </row>
    <row r="513" spans="1:3" x14ac:dyDescent="0.25">
      <c r="A513" s="342"/>
      <c r="B513" s="339"/>
      <c r="C513" s="339"/>
    </row>
    <row r="514" spans="1:3" x14ac:dyDescent="0.25">
      <c r="A514" s="342"/>
      <c r="B514" s="339"/>
      <c r="C514" s="339"/>
    </row>
    <row r="515" spans="1:3" x14ac:dyDescent="0.25">
      <c r="A515" s="342"/>
      <c r="B515" s="339"/>
      <c r="C515" s="339"/>
    </row>
    <row r="516" spans="1:3" x14ac:dyDescent="0.25">
      <c r="A516" s="342"/>
      <c r="B516" s="339"/>
      <c r="C516" s="339"/>
    </row>
    <row r="517" spans="1:3" x14ac:dyDescent="0.25">
      <c r="A517" s="342"/>
      <c r="B517" s="339"/>
      <c r="C517" s="339"/>
    </row>
    <row r="518" spans="1:3" x14ac:dyDescent="0.25">
      <c r="A518" s="342"/>
      <c r="B518" s="339"/>
      <c r="C518" s="339"/>
    </row>
    <row r="519" spans="1:3" x14ac:dyDescent="0.25">
      <c r="A519" s="342"/>
      <c r="B519" s="339"/>
      <c r="C519" s="339"/>
    </row>
    <row r="520" spans="1:3" x14ac:dyDescent="0.25">
      <c r="A520" s="342"/>
      <c r="B520" s="339"/>
      <c r="C520" s="339"/>
    </row>
    <row r="521" spans="1:3" x14ac:dyDescent="0.25">
      <c r="A521" s="342"/>
      <c r="B521" s="339"/>
      <c r="C521" s="339"/>
    </row>
    <row r="522" spans="1:3" x14ac:dyDescent="0.25">
      <c r="A522" s="342"/>
      <c r="B522" s="339"/>
      <c r="C522" s="339"/>
    </row>
    <row r="523" spans="1:3" x14ac:dyDescent="0.25">
      <c r="A523" s="342"/>
      <c r="B523" s="339"/>
      <c r="C523" s="339"/>
    </row>
    <row r="524" spans="1:3" x14ac:dyDescent="0.25">
      <c r="A524" s="342"/>
      <c r="B524" s="339"/>
      <c r="C524" s="339"/>
    </row>
    <row r="525" spans="1:3" x14ac:dyDescent="0.25">
      <c r="A525" s="342"/>
      <c r="B525" s="339"/>
      <c r="C525" s="339"/>
    </row>
    <row r="526" spans="1:3" x14ac:dyDescent="0.25">
      <c r="A526" s="342"/>
      <c r="B526" s="339"/>
      <c r="C526" s="339"/>
    </row>
    <row r="527" spans="1:3" x14ac:dyDescent="0.25">
      <c r="A527" s="342"/>
      <c r="B527" s="339"/>
      <c r="C527" s="339"/>
    </row>
    <row r="528" spans="1:3" x14ac:dyDescent="0.25">
      <c r="A528" s="342"/>
      <c r="B528" s="339"/>
      <c r="C528" s="339"/>
    </row>
    <row r="529" spans="1:3" x14ac:dyDescent="0.25">
      <c r="A529" s="342"/>
      <c r="B529" s="339"/>
      <c r="C529" s="339"/>
    </row>
    <row r="530" spans="1:3" x14ac:dyDescent="0.25">
      <c r="A530" s="342"/>
      <c r="B530" s="339"/>
      <c r="C530" s="339"/>
    </row>
    <row r="531" spans="1:3" x14ac:dyDescent="0.25">
      <c r="A531" s="342"/>
      <c r="B531" s="339"/>
      <c r="C531" s="339"/>
    </row>
    <row r="532" spans="1:3" x14ac:dyDescent="0.25">
      <c r="A532" s="342"/>
      <c r="B532" s="339"/>
      <c r="C532" s="339"/>
    </row>
    <row r="533" spans="1:3" x14ac:dyDescent="0.25">
      <c r="A533" s="342"/>
      <c r="B533" s="339"/>
      <c r="C533" s="339"/>
    </row>
    <row r="534" spans="1:3" x14ac:dyDescent="0.25">
      <c r="A534" s="342"/>
      <c r="B534" s="339"/>
      <c r="C534" s="339"/>
    </row>
    <row r="535" spans="1:3" x14ac:dyDescent="0.25">
      <c r="A535" s="342"/>
      <c r="B535" s="339"/>
      <c r="C535" s="339"/>
    </row>
    <row r="536" spans="1:3" x14ac:dyDescent="0.25">
      <c r="A536" s="342"/>
      <c r="B536" s="339"/>
      <c r="C536" s="339"/>
    </row>
    <row r="537" spans="1:3" x14ac:dyDescent="0.25">
      <c r="A537" s="342"/>
      <c r="B537" s="339"/>
      <c r="C537" s="339"/>
    </row>
    <row r="538" spans="1:3" x14ac:dyDescent="0.25">
      <c r="A538" s="342"/>
      <c r="B538" s="339"/>
      <c r="C538" s="339"/>
    </row>
    <row r="539" spans="1:3" x14ac:dyDescent="0.25">
      <c r="A539" s="342"/>
      <c r="B539" s="339"/>
      <c r="C539" s="339"/>
    </row>
    <row r="540" spans="1:3" x14ac:dyDescent="0.25">
      <c r="A540" s="342"/>
      <c r="B540" s="339"/>
      <c r="C540" s="339"/>
    </row>
    <row r="541" spans="1:3" x14ac:dyDescent="0.25">
      <c r="A541" s="342"/>
      <c r="B541" s="339"/>
      <c r="C541" s="339"/>
    </row>
    <row r="542" spans="1:3" x14ac:dyDescent="0.25">
      <c r="A542" s="342"/>
      <c r="B542" s="339"/>
      <c r="C542" s="339"/>
    </row>
    <row r="543" spans="1:3" x14ac:dyDescent="0.25">
      <c r="A543" s="342"/>
      <c r="B543" s="339"/>
      <c r="C543" s="339"/>
    </row>
    <row r="544" spans="1:3" x14ac:dyDescent="0.25">
      <c r="A544" s="342"/>
      <c r="B544" s="339"/>
      <c r="C544" s="339"/>
    </row>
    <row r="545" spans="1:3" x14ac:dyDescent="0.25">
      <c r="A545" s="342"/>
      <c r="B545" s="339"/>
      <c r="C545" s="339"/>
    </row>
    <row r="546" spans="1:3" x14ac:dyDescent="0.25">
      <c r="A546" s="342"/>
      <c r="B546" s="339"/>
      <c r="C546" s="339"/>
    </row>
    <row r="547" spans="1:3" x14ac:dyDescent="0.25">
      <c r="A547" s="342"/>
      <c r="B547" s="339"/>
      <c r="C547" s="339"/>
    </row>
    <row r="548" spans="1:3" x14ac:dyDescent="0.25">
      <c r="A548" s="342"/>
      <c r="B548" s="339"/>
      <c r="C548" s="339"/>
    </row>
    <row r="549" spans="1:3" x14ac:dyDescent="0.25">
      <c r="A549" s="342"/>
      <c r="B549" s="339"/>
      <c r="C549" s="339"/>
    </row>
    <row r="550" spans="1:3" x14ac:dyDescent="0.25">
      <c r="A550" s="342"/>
      <c r="B550" s="339"/>
      <c r="C550" s="339"/>
    </row>
    <row r="551" spans="1:3" x14ac:dyDescent="0.25">
      <c r="A551" s="342"/>
      <c r="B551" s="339"/>
      <c r="C551" s="339"/>
    </row>
    <row r="552" spans="1:3" x14ac:dyDescent="0.25">
      <c r="A552" s="342"/>
      <c r="B552" s="339"/>
      <c r="C552" s="339"/>
    </row>
    <row r="553" spans="1:3" x14ac:dyDescent="0.25">
      <c r="A553" s="342"/>
      <c r="B553" s="339"/>
      <c r="C553" s="339"/>
    </row>
    <row r="554" spans="1:3" x14ac:dyDescent="0.25">
      <c r="A554" s="342"/>
      <c r="B554" s="339"/>
      <c r="C554" s="339"/>
    </row>
    <row r="555" spans="1:3" x14ac:dyDescent="0.25">
      <c r="A555" s="342"/>
      <c r="B555" s="339"/>
      <c r="C555" s="339"/>
    </row>
    <row r="556" spans="1:3" x14ac:dyDescent="0.25">
      <c r="A556" s="342"/>
      <c r="B556" s="339"/>
      <c r="C556" s="339"/>
    </row>
    <row r="557" spans="1:3" x14ac:dyDescent="0.25">
      <c r="A557" s="342"/>
      <c r="B557" s="339"/>
      <c r="C557" s="339"/>
    </row>
    <row r="558" spans="1:3" x14ac:dyDescent="0.25">
      <c r="A558" s="342"/>
      <c r="B558" s="339"/>
      <c r="C558" s="339"/>
    </row>
    <row r="559" spans="1:3" x14ac:dyDescent="0.25">
      <c r="A559" s="342"/>
      <c r="B559" s="339"/>
      <c r="C559" s="339"/>
    </row>
    <row r="560" spans="1:3" x14ac:dyDescent="0.25">
      <c r="A560" s="342"/>
      <c r="B560" s="339"/>
      <c r="C560" s="339"/>
    </row>
    <row r="561" spans="1:3" x14ac:dyDescent="0.25">
      <c r="A561" s="342"/>
      <c r="B561" s="339"/>
      <c r="C561" s="339"/>
    </row>
    <row r="562" spans="1:3" x14ac:dyDescent="0.25">
      <c r="A562" s="342"/>
      <c r="B562" s="339"/>
      <c r="C562" s="339"/>
    </row>
    <row r="563" spans="1:3" x14ac:dyDescent="0.25">
      <c r="A563" s="342"/>
      <c r="B563" s="339"/>
      <c r="C563" s="339"/>
    </row>
    <row r="564" spans="1:3" x14ac:dyDescent="0.25">
      <c r="A564" s="342"/>
      <c r="B564" s="339"/>
      <c r="C564" s="339"/>
    </row>
    <row r="565" spans="1:3" x14ac:dyDescent="0.25">
      <c r="A565" s="342"/>
      <c r="B565" s="339"/>
      <c r="C565" s="339"/>
    </row>
    <row r="566" spans="1:3" x14ac:dyDescent="0.25">
      <c r="A566" s="342"/>
      <c r="B566" s="339"/>
      <c r="C566" s="339"/>
    </row>
    <row r="567" spans="1:3" x14ac:dyDescent="0.25">
      <c r="A567" s="342"/>
      <c r="B567" s="339"/>
      <c r="C567" s="339"/>
    </row>
    <row r="568" spans="1:3" x14ac:dyDescent="0.25">
      <c r="A568" s="342"/>
      <c r="B568" s="339"/>
      <c r="C568" s="339"/>
    </row>
    <row r="569" spans="1:3" x14ac:dyDescent="0.25">
      <c r="A569" s="342"/>
      <c r="B569" s="339"/>
      <c r="C569" s="339"/>
    </row>
    <row r="570" spans="1:3" x14ac:dyDescent="0.25">
      <c r="A570" s="342"/>
      <c r="B570" s="339"/>
      <c r="C570" s="339"/>
    </row>
    <row r="571" spans="1:3" x14ac:dyDescent="0.25">
      <c r="A571" s="342"/>
      <c r="B571" s="339"/>
      <c r="C571" s="339"/>
    </row>
    <row r="572" spans="1:3" x14ac:dyDescent="0.25">
      <c r="A572" s="342"/>
      <c r="B572" s="339"/>
      <c r="C572" s="339"/>
    </row>
    <row r="573" spans="1:3" x14ac:dyDescent="0.25">
      <c r="A573" s="342"/>
      <c r="B573" s="339"/>
      <c r="C573" s="339"/>
    </row>
    <row r="574" spans="1:3" x14ac:dyDescent="0.25">
      <c r="A574" s="342"/>
      <c r="B574" s="339"/>
      <c r="C574" s="339"/>
    </row>
    <row r="575" spans="1:3" x14ac:dyDescent="0.25">
      <c r="A575" s="342"/>
      <c r="B575" s="339"/>
      <c r="C575" s="339"/>
    </row>
    <row r="576" spans="1:3" x14ac:dyDescent="0.25">
      <c r="A576" s="342"/>
      <c r="B576" s="339"/>
      <c r="C576" s="339"/>
    </row>
    <row r="577" spans="1:3" x14ac:dyDescent="0.25">
      <c r="A577" s="342"/>
      <c r="B577" s="339"/>
      <c r="C577" s="339"/>
    </row>
    <row r="578" spans="1:3" x14ac:dyDescent="0.25">
      <c r="A578" s="342"/>
      <c r="B578" s="339"/>
      <c r="C578" s="339"/>
    </row>
    <row r="579" spans="1:3" x14ac:dyDescent="0.25">
      <c r="A579" s="342"/>
      <c r="B579" s="339"/>
      <c r="C579" s="339"/>
    </row>
    <row r="580" spans="1:3" x14ac:dyDescent="0.25">
      <c r="A580" s="342"/>
      <c r="B580" s="339"/>
      <c r="C580" s="339"/>
    </row>
    <row r="581" spans="1:3" x14ac:dyDescent="0.25">
      <c r="A581" s="342"/>
      <c r="B581" s="339"/>
      <c r="C581" s="339"/>
    </row>
    <row r="582" spans="1:3" x14ac:dyDescent="0.25">
      <c r="A582" s="342"/>
      <c r="B582" s="339"/>
      <c r="C582" s="339"/>
    </row>
    <row r="583" spans="1:3" x14ac:dyDescent="0.25">
      <c r="A583" s="342"/>
      <c r="B583" s="339"/>
      <c r="C583" s="339"/>
    </row>
    <row r="584" spans="1:3" x14ac:dyDescent="0.25">
      <c r="A584" s="342"/>
      <c r="B584" s="339"/>
      <c r="C584" s="339"/>
    </row>
    <row r="585" spans="1:3" x14ac:dyDescent="0.25">
      <c r="A585" s="342"/>
      <c r="B585" s="339"/>
      <c r="C585" s="339"/>
    </row>
    <row r="586" spans="1:3" x14ac:dyDescent="0.25">
      <c r="A586" s="342"/>
      <c r="B586" s="339"/>
      <c r="C586" s="339"/>
    </row>
    <row r="587" spans="1:3" x14ac:dyDescent="0.25">
      <c r="A587" s="342"/>
      <c r="B587" s="339"/>
      <c r="C587" s="339"/>
    </row>
    <row r="588" spans="1:3" x14ac:dyDescent="0.25">
      <c r="A588" s="342"/>
      <c r="B588" s="339"/>
      <c r="C588" s="339"/>
    </row>
    <row r="589" spans="1:3" x14ac:dyDescent="0.25">
      <c r="A589" s="342"/>
      <c r="B589" s="339"/>
      <c r="C589" s="339"/>
    </row>
    <row r="590" spans="1:3" x14ac:dyDescent="0.25">
      <c r="A590" s="342"/>
      <c r="B590" s="339"/>
      <c r="C590" s="339"/>
    </row>
    <row r="591" spans="1:3" x14ac:dyDescent="0.25">
      <c r="A591" s="342"/>
      <c r="B591" s="339"/>
      <c r="C591" s="339"/>
    </row>
    <row r="592" spans="1:3" x14ac:dyDescent="0.25">
      <c r="A592" s="342"/>
      <c r="B592" s="339"/>
      <c r="C592" s="339"/>
    </row>
    <row r="593" spans="1:3" x14ac:dyDescent="0.25">
      <c r="A593" s="342"/>
      <c r="B593" s="339"/>
      <c r="C593" s="339"/>
    </row>
    <row r="594" spans="1:3" x14ac:dyDescent="0.25">
      <c r="A594" s="342"/>
      <c r="B594" s="339"/>
      <c r="C594" s="339"/>
    </row>
    <row r="595" spans="1:3" x14ac:dyDescent="0.25">
      <c r="A595" s="342"/>
      <c r="B595" s="339"/>
      <c r="C595" s="339"/>
    </row>
    <row r="596" spans="1:3" x14ac:dyDescent="0.25">
      <c r="A596" s="342"/>
      <c r="B596" s="339"/>
      <c r="C596" s="339"/>
    </row>
    <row r="597" spans="1:3" x14ac:dyDescent="0.25">
      <c r="A597" s="342"/>
      <c r="B597" s="339"/>
      <c r="C597" s="339"/>
    </row>
    <row r="598" spans="1:3" x14ac:dyDescent="0.25">
      <c r="A598" s="342"/>
      <c r="B598" s="339"/>
      <c r="C598" s="339"/>
    </row>
    <row r="599" spans="1:3" x14ac:dyDescent="0.25">
      <c r="A599" s="342"/>
      <c r="B599" s="339"/>
      <c r="C599" s="339"/>
    </row>
    <row r="600" spans="1:3" x14ac:dyDescent="0.25">
      <c r="A600" s="342"/>
      <c r="B600" s="339"/>
      <c r="C600" s="339"/>
    </row>
    <row r="601" spans="1:3" x14ac:dyDescent="0.25">
      <c r="A601" s="342"/>
      <c r="B601" s="339"/>
      <c r="C601" s="339"/>
    </row>
    <row r="602" spans="1:3" x14ac:dyDescent="0.25">
      <c r="A602" s="342"/>
      <c r="B602" s="339"/>
      <c r="C602" s="339"/>
    </row>
    <row r="603" spans="1:3" x14ac:dyDescent="0.25">
      <c r="A603" s="342"/>
      <c r="B603" s="339"/>
      <c r="C603" s="339"/>
    </row>
    <row r="604" spans="1:3" x14ac:dyDescent="0.25">
      <c r="A604" s="342"/>
      <c r="B604" s="339"/>
      <c r="C604" s="339"/>
    </row>
    <row r="605" spans="1:3" x14ac:dyDescent="0.25">
      <c r="A605" s="342"/>
      <c r="B605" s="339"/>
      <c r="C605" s="339"/>
    </row>
    <row r="606" spans="1:3" x14ac:dyDescent="0.25">
      <c r="A606" s="342"/>
      <c r="B606" s="339"/>
      <c r="C606" s="339"/>
    </row>
    <row r="607" spans="1:3" x14ac:dyDescent="0.25">
      <c r="A607" s="342"/>
      <c r="B607" s="339"/>
      <c r="C607" s="339"/>
    </row>
    <row r="608" spans="1:3" x14ac:dyDescent="0.25">
      <c r="A608" s="342"/>
      <c r="B608" s="339"/>
      <c r="C608" s="339"/>
    </row>
    <row r="609" spans="1:3" x14ac:dyDescent="0.25">
      <c r="A609" s="342"/>
      <c r="B609" s="339"/>
      <c r="C609" s="339"/>
    </row>
    <row r="610" spans="1:3" x14ac:dyDescent="0.25">
      <c r="A610" s="342"/>
      <c r="B610" s="339"/>
      <c r="C610" s="339"/>
    </row>
    <row r="611" spans="1:3" x14ac:dyDescent="0.25">
      <c r="A611" s="342"/>
      <c r="B611" s="339"/>
      <c r="C611" s="339"/>
    </row>
    <row r="612" spans="1:3" x14ac:dyDescent="0.25">
      <c r="A612" s="342"/>
      <c r="B612" s="339"/>
      <c r="C612" s="339"/>
    </row>
    <row r="613" spans="1:3" x14ac:dyDescent="0.25">
      <c r="A613" s="342"/>
      <c r="B613" s="339"/>
      <c r="C613" s="339"/>
    </row>
    <row r="614" spans="1:3" x14ac:dyDescent="0.25">
      <c r="A614" s="342"/>
      <c r="B614" s="339"/>
      <c r="C614" s="339"/>
    </row>
    <row r="615" spans="1:3" x14ac:dyDescent="0.25">
      <c r="A615" s="342"/>
      <c r="B615" s="339"/>
      <c r="C615" s="339"/>
    </row>
    <row r="616" spans="1:3" x14ac:dyDescent="0.25">
      <c r="A616" s="342"/>
      <c r="B616" s="339"/>
      <c r="C616" s="339"/>
    </row>
    <row r="617" spans="1:3" x14ac:dyDescent="0.25">
      <c r="A617" s="342"/>
      <c r="B617" s="339"/>
      <c r="C617" s="339"/>
    </row>
    <row r="618" spans="1:3" x14ac:dyDescent="0.25">
      <c r="A618" s="342"/>
      <c r="B618" s="339"/>
      <c r="C618" s="339"/>
    </row>
    <row r="619" spans="1:3" x14ac:dyDescent="0.25">
      <c r="A619" s="342"/>
      <c r="B619" s="339"/>
      <c r="C619" s="339"/>
    </row>
    <row r="620" spans="1:3" x14ac:dyDescent="0.25">
      <c r="A620" s="342"/>
      <c r="B620" s="339"/>
      <c r="C620" s="339"/>
    </row>
    <row r="621" spans="1:3" x14ac:dyDescent="0.25">
      <c r="A621" s="342"/>
      <c r="B621" s="339"/>
      <c r="C621" s="339"/>
    </row>
    <row r="622" spans="1:3" x14ac:dyDescent="0.25">
      <c r="A622" s="342"/>
      <c r="B622" s="339"/>
      <c r="C622" s="339"/>
    </row>
    <row r="623" spans="1:3" x14ac:dyDescent="0.25">
      <c r="A623" s="342"/>
      <c r="B623" s="339"/>
      <c r="C623" s="339"/>
    </row>
    <row r="624" spans="1:3" x14ac:dyDescent="0.25">
      <c r="A624" s="342"/>
      <c r="B624" s="339"/>
      <c r="C624" s="339"/>
    </row>
    <row r="625" spans="1:3" x14ac:dyDescent="0.25">
      <c r="A625" s="342"/>
      <c r="B625" s="339"/>
      <c r="C625" s="339"/>
    </row>
    <row r="626" spans="1:3" x14ac:dyDescent="0.25">
      <c r="A626" s="342"/>
      <c r="B626" s="339"/>
      <c r="C626" s="339"/>
    </row>
    <row r="627" spans="1:3" x14ac:dyDescent="0.25">
      <c r="A627" s="342"/>
      <c r="B627" s="339"/>
      <c r="C627" s="339"/>
    </row>
    <row r="628" spans="1:3" x14ac:dyDescent="0.25">
      <c r="A628" s="342"/>
      <c r="B628" s="339"/>
      <c r="C628" s="339"/>
    </row>
    <row r="629" spans="1:3" x14ac:dyDescent="0.25">
      <c r="A629" s="342"/>
      <c r="B629" s="339"/>
      <c r="C629" s="339"/>
    </row>
    <row r="630" spans="1:3" x14ac:dyDescent="0.25">
      <c r="A630" s="342"/>
      <c r="B630" s="339"/>
      <c r="C630" s="339"/>
    </row>
    <row r="631" spans="1:3" x14ac:dyDescent="0.25">
      <c r="A631" s="342"/>
      <c r="B631" s="339"/>
      <c r="C631" s="339"/>
    </row>
    <row r="632" spans="1:3" x14ac:dyDescent="0.25">
      <c r="A632" s="342"/>
      <c r="B632" s="339"/>
      <c r="C632" s="339"/>
    </row>
    <row r="633" spans="1:3" x14ac:dyDescent="0.25">
      <c r="A633" s="342"/>
      <c r="B633" s="339"/>
      <c r="C633" s="339"/>
    </row>
    <row r="634" spans="1:3" x14ac:dyDescent="0.25">
      <c r="A634" s="342"/>
      <c r="B634" s="339"/>
      <c r="C634" s="339"/>
    </row>
    <row r="635" spans="1:3" x14ac:dyDescent="0.25">
      <c r="A635" s="342"/>
      <c r="B635" s="339"/>
      <c r="C635" s="339"/>
    </row>
    <row r="636" spans="1:3" x14ac:dyDescent="0.25">
      <c r="A636" s="342"/>
      <c r="B636" s="339"/>
      <c r="C636" s="339"/>
    </row>
    <row r="637" spans="1:3" x14ac:dyDescent="0.25">
      <c r="A637" s="342"/>
      <c r="B637" s="339"/>
      <c r="C637" s="339"/>
    </row>
    <row r="638" spans="1:3" x14ac:dyDescent="0.25">
      <c r="A638" s="342"/>
      <c r="B638" s="339"/>
      <c r="C638" s="339"/>
    </row>
    <row r="639" spans="1:3" x14ac:dyDescent="0.25">
      <c r="A639" s="342"/>
      <c r="B639" s="339"/>
      <c r="C639" s="339"/>
    </row>
    <row r="640" spans="1:3" x14ac:dyDescent="0.25">
      <c r="A640" s="342"/>
      <c r="B640" s="339"/>
      <c r="C640" s="339"/>
    </row>
    <row r="641" spans="1:3" x14ac:dyDescent="0.25">
      <c r="A641" s="342"/>
      <c r="B641" s="339"/>
      <c r="C641" s="339"/>
    </row>
    <row r="642" spans="1:3" x14ac:dyDescent="0.25">
      <c r="A642" s="342"/>
      <c r="B642" s="339"/>
      <c r="C642" s="339"/>
    </row>
    <row r="643" spans="1:3" x14ac:dyDescent="0.25">
      <c r="A643" s="342"/>
      <c r="B643" s="339"/>
      <c r="C643" s="339"/>
    </row>
    <row r="644" spans="1:3" x14ac:dyDescent="0.25">
      <c r="A644" s="342"/>
      <c r="B644" s="339"/>
      <c r="C644" s="339"/>
    </row>
    <row r="645" spans="1:3" x14ac:dyDescent="0.25">
      <c r="A645" s="342"/>
      <c r="B645" s="339"/>
      <c r="C645" s="339"/>
    </row>
    <row r="646" spans="1:3" x14ac:dyDescent="0.25">
      <c r="A646" s="342"/>
      <c r="B646" s="339"/>
      <c r="C646" s="339"/>
    </row>
  </sheetData>
  <autoFilter ref="A1:B427" xr:uid="{00000000-0009-0000-0000-000005000000}">
    <sortState xmlns:xlrd2="http://schemas.microsoft.com/office/spreadsheetml/2017/richdata2" ref="A2:B427">
      <sortCondition descending="1" ref="B1:B427"/>
    </sortState>
  </autoFilter>
  <conditionalFormatting sqref="A2:A392">
    <cfRule type="containsBlanks" dxfId="967" priority="17">
      <formula>LEN(TRIM(A2))=0</formula>
    </cfRule>
  </conditionalFormatting>
  <conditionalFormatting sqref="A393:A402">
    <cfRule type="containsBlanks" dxfId="966" priority="3">
      <formula>LEN(TRIM(A393))=0</formula>
    </cfRule>
  </conditionalFormatting>
  <conditionalFormatting sqref="A403:A426">
    <cfRule type="containsBlanks" dxfId="965" priority="2">
      <formula>LEN(TRIM(A403))=0</formula>
    </cfRule>
  </conditionalFormatting>
  <conditionalFormatting sqref="A427">
    <cfRule type="containsBlanks" dxfId="964" priority="1">
      <formula>LEN(TRIM(A427))=0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469"/>
  <sheetViews>
    <sheetView workbookViewId="0">
      <selection activeCell="D12" sqref="D12"/>
    </sheetView>
  </sheetViews>
  <sheetFormatPr defaultRowHeight="15" x14ac:dyDescent="0.25"/>
  <cols>
    <col min="1" max="1" width="8.7109375" bestFit="1" customWidth="1"/>
    <col min="2" max="2" width="12" bestFit="1" customWidth="1"/>
    <col min="3" max="3" width="18.5703125" bestFit="1" customWidth="1"/>
    <col min="5" max="5" width="8.5703125" bestFit="1" customWidth="1"/>
    <col min="6" max="6" width="11.42578125" bestFit="1" customWidth="1"/>
    <col min="7" max="7" width="18.5703125" bestFit="1" customWidth="1"/>
    <col min="9" max="9" width="8.5703125" bestFit="1" customWidth="1"/>
    <col min="10" max="10" width="11.42578125" bestFit="1" customWidth="1"/>
    <col min="11" max="11" width="18.5703125" bestFit="1" customWidth="1"/>
    <col min="13" max="13" width="8.7109375" bestFit="1" customWidth="1"/>
    <col min="14" max="14" width="11.42578125" bestFit="1" customWidth="1"/>
    <col min="15" max="15" width="18.5703125" bestFit="1" customWidth="1"/>
    <col min="17" max="17" width="8.42578125" bestFit="1" customWidth="1"/>
    <col min="18" max="18" width="11.42578125" bestFit="1" customWidth="1"/>
    <col min="19" max="19" width="18.5703125" bestFit="1" customWidth="1"/>
    <col min="21" max="21" width="8.42578125" bestFit="1" customWidth="1"/>
    <col min="22" max="22" width="11.42578125" bestFit="1" customWidth="1"/>
    <col min="23" max="23" width="18.5703125" bestFit="1" customWidth="1"/>
  </cols>
  <sheetData>
    <row r="1" spans="1:23" x14ac:dyDescent="0.25">
      <c r="A1" s="415" t="s">
        <v>11998</v>
      </c>
      <c r="E1" s="415" t="s">
        <v>12000</v>
      </c>
      <c r="F1" s="415"/>
      <c r="G1" s="415"/>
      <c r="I1" s="415" t="s">
        <v>12001</v>
      </c>
      <c r="J1" s="415"/>
      <c r="K1" s="415"/>
      <c r="M1" s="415" t="s">
        <v>12002</v>
      </c>
      <c r="N1" s="415"/>
      <c r="O1" s="415"/>
      <c r="Q1" s="415" t="s">
        <v>12003</v>
      </c>
      <c r="R1" s="415"/>
      <c r="S1" s="415"/>
      <c r="U1" s="415" t="s">
        <v>12004</v>
      </c>
      <c r="V1" s="415"/>
      <c r="W1" s="415"/>
    </row>
    <row r="2" spans="1:23" x14ac:dyDescent="0.25">
      <c r="A2" s="414" t="s">
        <v>619</v>
      </c>
      <c r="B2" s="414" t="s">
        <v>11999</v>
      </c>
      <c r="C2" s="414" t="s">
        <v>12005</v>
      </c>
      <c r="E2" s="414" t="s">
        <v>619</v>
      </c>
      <c r="F2" s="414" t="s">
        <v>11999</v>
      </c>
      <c r="G2" s="414" t="s">
        <v>12005</v>
      </c>
      <c r="I2" s="414" t="s">
        <v>619</v>
      </c>
      <c r="J2" s="414" t="s">
        <v>11999</v>
      </c>
      <c r="K2" s="414" t="s">
        <v>12005</v>
      </c>
      <c r="M2" s="414" t="s">
        <v>619</v>
      </c>
      <c r="N2" s="414" t="s">
        <v>11999</v>
      </c>
      <c r="O2" s="414" t="s">
        <v>12005</v>
      </c>
      <c r="Q2" s="414" t="s">
        <v>619</v>
      </c>
      <c r="R2" s="414" t="s">
        <v>11999</v>
      </c>
      <c r="S2" s="414" t="s">
        <v>12005</v>
      </c>
      <c r="U2" s="414" t="s">
        <v>619</v>
      </c>
      <c r="V2" s="414" t="s">
        <v>11999</v>
      </c>
      <c r="W2" s="414" t="s">
        <v>12005</v>
      </c>
    </row>
    <row r="3" spans="1:23" x14ac:dyDescent="0.25">
      <c r="A3" s="59" t="s">
        <v>7609</v>
      </c>
      <c r="B3" s="413">
        <v>73094.320000000007</v>
      </c>
      <c r="C3" s="413" t="s">
        <v>6732</v>
      </c>
      <c r="E3" s="59" t="s">
        <v>7553</v>
      </c>
      <c r="F3" s="413">
        <v>844886</v>
      </c>
      <c r="G3" s="413" t="s">
        <v>6732</v>
      </c>
      <c r="I3" s="59" t="s">
        <v>10620</v>
      </c>
      <c r="J3" s="413">
        <v>338601.83</v>
      </c>
      <c r="K3" s="413" t="s">
        <v>6732</v>
      </c>
      <c r="M3" s="18" t="s">
        <v>4720</v>
      </c>
      <c r="N3" s="413">
        <v>895774.83</v>
      </c>
      <c r="O3" s="413" t="s">
        <v>6732</v>
      </c>
      <c r="Q3" s="277" t="s">
        <v>4337</v>
      </c>
      <c r="R3" s="413">
        <v>991862.05</v>
      </c>
      <c r="S3" s="413" t="s">
        <v>6732</v>
      </c>
      <c r="U3" s="277" t="s">
        <v>10792</v>
      </c>
      <c r="V3" s="413">
        <v>64910560</v>
      </c>
      <c r="W3" s="413" t="s">
        <v>6732</v>
      </c>
    </row>
    <row r="4" spans="1:23" x14ac:dyDescent="0.25">
      <c r="A4" s="18" t="s">
        <v>8961</v>
      </c>
      <c r="B4" s="413">
        <v>31942</v>
      </c>
      <c r="C4" s="413" t="s">
        <v>6732</v>
      </c>
      <c r="E4" s="277" t="s">
        <v>10775</v>
      </c>
      <c r="F4" s="413">
        <v>597436</v>
      </c>
      <c r="G4" s="413" t="s">
        <v>6732</v>
      </c>
      <c r="I4" s="57" t="b">
        <v>1</v>
      </c>
      <c r="J4" s="413">
        <v>274057</v>
      </c>
      <c r="K4" s="413" t="s">
        <v>6732</v>
      </c>
      <c r="M4" s="18" t="s">
        <v>8592</v>
      </c>
      <c r="N4" s="413">
        <v>107969.93</v>
      </c>
      <c r="O4" s="413" t="s">
        <v>6732</v>
      </c>
      <c r="Q4" s="18" t="s">
        <v>8553</v>
      </c>
      <c r="R4" s="413">
        <v>220774</v>
      </c>
      <c r="S4" s="413" t="s">
        <v>6732</v>
      </c>
      <c r="U4" s="18" t="s">
        <v>5005</v>
      </c>
      <c r="V4" s="413">
        <v>7847117.8600000003</v>
      </c>
      <c r="W4" s="413" t="s">
        <v>6732</v>
      </c>
    </row>
    <row r="5" spans="1:23" x14ac:dyDescent="0.25">
      <c r="A5" s="277" t="s">
        <v>10774</v>
      </c>
      <c r="B5" s="413">
        <v>19803.88</v>
      </c>
      <c r="C5" s="413" t="s">
        <v>6732</v>
      </c>
      <c r="E5" s="59" t="s">
        <v>7506</v>
      </c>
      <c r="F5" s="413">
        <v>106724.5</v>
      </c>
      <c r="G5" s="413" t="s">
        <v>6732</v>
      </c>
      <c r="I5" s="277" t="s">
        <v>5356</v>
      </c>
      <c r="J5" s="413">
        <v>161101</v>
      </c>
      <c r="K5" s="413" t="s">
        <v>6732</v>
      </c>
      <c r="M5" s="18" t="s">
        <v>8509</v>
      </c>
      <c r="N5" s="413">
        <v>98374.99</v>
      </c>
      <c r="O5" s="413" t="s">
        <v>6732</v>
      </c>
      <c r="Q5" s="277" t="s">
        <v>5376</v>
      </c>
      <c r="R5" s="413">
        <v>66552.100000000006</v>
      </c>
      <c r="S5" s="413" t="s">
        <v>6732</v>
      </c>
      <c r="U5" s="59" t="s">
        <v>7608</v>
      </c>
      <c r="V5" s="413">
        <v>2479769.7599999998</v>
      </c>
      <c r="W5" s="413" t="s">
        <v>6732</v>
      </c>
    </row>
    <row r="6" spans="1:23" x14ac:dyDescent="0.25">
      <c r="A6" s="59" t="s">
        <v>7611</v>
      </c>
      <c r="B6" s="413">
        <v>10096.81</v>
      </c>
      <c r="C6" s="413" t="s">
        <v>6732</v>
      </c>
      <c r="E6" s="277" t="s">
        <v>5373</v>
      </c>
      <c r="F6" s="413">
        <v>61765</v>
      </c>
      <c r="G6" s="413" t="s">
        <v>6732</v>
      </c>
      <c r="I6" s="18" t="s">
        <v>8744</v>
      </c>
      <c r="J6" s="413">
        <v>113298.2</v>
      </c>
      <c r="K6" s="413" t="s">
        <v>6732</v>
      </c>
      <c r="M6" s="18" t="s">
        <v>5138</v>
      </c>
      <c r="N6" s="413">
        <v>87662</v>
      </c>
      <c r="O6" s="413" t="s">
        <v>6732</v>
      </c>
      <c r="Q6" s="18" t="s">
        <v>8526</v>
      </c>
      <c r="R6" s="413">
        <v>59295.519999999997</v>
      </c>
      <c r="S6" s="413" t="s">
        <v>6732</v>
      </c>
      <c r="U6" s="59" t="s">
        <v>7563</v>
      </c>
      <c r="V6" s="413">
        <v>358632.77</v>
      </c>
      <c r="W6" s="413" t="s">
        <v>6732</v>
      </c>
    </row>
    <row r="7" spans="1:23" x14ac:dyDescent="0.25">
      <c r="A7" s="277" t="s">
        <v>8572</v>
      </c>
      <c r="B7" s="413">
        <v>4331.45</v>
      </c>
      <c r="C7" s="413" t="s">
        <v>6732</v>
      </c>
      <c r="E7" s="277" t="s">
        <v>4859</v>
      </c>
      <c r="F7" s="413">
        <v>13931.25</v>
      </c>
      <c r="G7" s="413" t="s">
        <v>6732</v>
      </c>
      <c r="I7" s="277" t="s">
        <v>8552</v>
      </c>
      <c r="J7" s="413">
        <v>105857.13</v>
      </c>
      <c r="K7" s="413" t="s">
        <v>6732</v>
      </c>
      <c r="M7" s="18" t="s">
        <v>4874</v>
      </c>
      <c r="N7" s="413">
        <v>78902.179999999993</v>
      </c>
      <c r="O7" s="413" t="s">
        <v>6732</v>
      </c>
      <c r="Q7" s="277" t="s">
        <v>4996</v>
      </c>
      <c r="R7" s="413">
        <v>29732.25</v>
      </c>
      <c r="S7" s="413" t="s">
        <v>6732</v>
      </c>
      <c r="U7" s="277" t="s">
        <v>5244</v>
      </c>
      <c r="V7" s="413">
        <v>282619.56</v>
      </c>
      <c r="W7" s="413" t="s">
        <v>6732</v>
      </c>
    </row>
    <row r="8" spans="1:23" x14ac:dyDescent="0.25">
      <c r="A8" s="277" t="s">
        <v>8530</v>
      </c>
      <c r="B8" s="413">
        <v>1944</v>
      </c>
      <c r="C8" s="413" t="s">
        <v>6732</v>
      </c>
      <c r="E8" s="18" t="s">
        <v>8505</v>
      </c>
      <c r="F8" s="413">
        <v>3954</v>
      </c>
      <c r="G8" s="413" t="s">
        <v>6732</v>
      </c>
      <c r="I8" s="277" t="s">
        <v>11732</v>
      </c>
      <c r="J8" s="413">
        <v>83424.31</v>
      </c>
      <c r="K8" s="413" t="s">
        <v>6732</v>
      </c>
      <c r="M8" s="18" t="s">
        <v>8545</v>
      </c>
      <c r="N8" s="413">
        <v>28878.98</v>
      </c>
      <c r="O8" s="413" t="s">
        <v>6732</v>
      </c>
      <c r="Q8" s="277" t="s">
        <v>5184</v>
      </c>
      <c r="R8" s="413">
        <v>337.5</v>
      </c>
      <c r="S8" s="413" t="s">
        <v>6732</v>
      </c>
      <c r="U8" s="18" t="s">
        <v>8550</v>
      </c>
      <c r="V8" s="413">
        <v>214240</v>
      </c>
      <c r="W8" s="413" t="s">
        <v>6732</v>
      </c>
    </row>
    <row r="9" spans="1:23" x14ac:dyDescent="0.25">
      <c r="A9" s="277" t="s">
        <v>4512</v>
      </c>
      <c r="B9" s="413">
        <v>1833.7</v>
      </c>
      <c r="C9" s="413" t="s">
        <v>6732</v>
      </c>
      <c r="E9" s="277" t="s">
        <v>8546</v>
      </c>
      <c r="F9" s="413">
        <v>3544.05</v>
      </c>
      <c r="G9" s="413" t="s">
        <v>6732</v>
      </c>
      <c r="I9" s="277" t="s">
        <v>8474</v>
      </c>
      <c r="J9" s="413">
        <v>25980.75</v>
      </c>
      <c r="K9" s="413" t="s">
        <v>6732</v>
      </c>
      <c r="M9" s="18" t="s">
        <v>8463</v>
      </c>
      <c r="N9" s="413">
        <v>778</v>
      </c>
      <c r="O9" s="413" t="s">
        <v>6732</v>
      </c>
      <c r="Q9" s="59" t="s">
        <v>7519</v>
      </c>
      <c r="R9" s="413">
        <v>13166113.43</v>
      </c>
      <c r="S9" s="413">
        <v>6894049.8600000003</v>
      </c>
      <c r="U9" s="277" t="s">
        <v>5291</v>
      </c>
      <c r="V9" s="413">
        <v>60445.59</v>
      </c>
      <c r="W9" s="413" t="s">
        <v>6732</v>
      </c>
    </row>
    <row r="10" spans="1:23" x14ac:dyDescent="0.25">
      <c r="A10" s="277" t="s">
        <v>8535</v>
      </c>
      <c r="B10" s="413">
        <v>1556.87</v>
      </c>
      <c r="C10" s="413" t="s">
        <v>6732</v>
      </c>
      <c r="E10" s="18" t="s">
        <v>4696</v>
      </c>
      <c r="F10" s="413">
        <v>0</v>
      </c>
      <c r="G10" s="413" t="s">
        <v>6732</v>
      </c>
      <c r="I10" s="277" t="s">
        <v>4942</v>
      </c>
      <c r="J10" s="413">
        <v>16168</v>
      </c>
      <c r="K10" s="413" t="s">
        <v>6732</v>
      </c>
      <c r="M10" s="18" t="s">
        <v>10677</v>
      </c>
      <c r="N10" s="413">
        <v>622</v>
      </c>
      <c r="O10" s="413" t="s">
        <v>6732</v>
      </c>
      <c r="Q10" s="277" t="s">
        <v>5212</v>
      </c>
      <c r="R10" s="413">
        <v>8319268.9500000002</v>
      </c>
      <c r="S10" s="413">
        <v>4359500.2</v>
      </c>
      <c r="U10" s="277" t="s">
        <v>4609</v>
      </c>
      <c r="V10" s="413">
        <v>54831.47</v>
      </c>
      <c r="W10" s="413" t="s">
        <v>6732</v>
      </c>
    </row>
    <row r="11" spans="1:23" x14ac:dyDescent="0.25">
      <c r="A11" s="277" t="s">
        <v>4799</v>
      </c>
      <c r="B11" s="413">
        <v>286.22000000000003</v>
      </c>
      <c r="C11" s="413" t="s">
        <v>6732</v>
      </c>
      <c r="E11" s="277" t="s">
        <v>4288</v>
      </c>
      <c r="F11" s="413">
        <v>4354548.78</v>
      </c>
      <c r="G11" s="413">
        <v>2522515</v>
      </c>
      <c r="I11" s="59" t="s">
        <v>7582</v>
      </c>
      <c r="J11" s="413">
        <v>7490</v>
      </c>
      <c r="K11" s="413" t="s">
        <v>6732</v>
      </c>
      <c r="M11" s="18" t="s">
        <v>10640</v>
      </c>
      <c r="N11" s="413">
        <v>500</v>
      </c>
      <c r="O11" s="413" t="s">
        <v>6732</v>
      </c>
      <c r="Q11" s="277" t="s">
        <v>10506</v>
      </c>
      <c r="R11" s="413">
        <v>3239923.61</v>
      </c>
      <c r="S11" s="413">
        <v>2053834.8399999999</v>
      </c>
      <c r="U11" s="277" t="s">
        <v>8597</v>
      </c>
      <c r="V11" s="413">
        <v>38588.03</v>
      </c>
      <c r="W11" s="413" t="s">
        <v>6732</v>
      </c>
    </row>
    <row r="12" spans="1:23" x14ac:dyDescent="0.25">
      <c r="A12" s="277" t="s">
        <v>5342</v>
      </c>
      <c r="B12" s="413">
        <v>162.81</v>
      </c>
      <c r="C12" s="413" t="s">
        <v>6732</v>
      </c>
      <c r="E12" s="277" t="s">
        <v>11318</v>
      </c>
      <c r="F12" s="413">
        <v>3176023</v>
      </c>
      <c r="G12" s="413">
        <v>2042896.89</v>
      </c>
      <c r="I12" s="277" t="s">
        <v>8537</v>
      </c>
      <c r="J12" s="413">
        <v>5049.1099999999997</v>
      </c>
      <c r="K12" s="413" t="s">
        <v>6732</v>
      </c>
      <c r="M12" s="18" t="s">
        <v>4435</v>
      </c>
      <c r="N12" s="413">
        <v>6373736.3899999997</v>
      </c>
      <c r="O12" s="413">
        <v>4124236.12</v>
      </c>
      <c r="Q12" s="277" t="s">
        <v>10533</v>
      </c>
      <c r="R12" s="413">
        <v>1968589.4899999998</v>
      </c>
      <c r="S12" s="413">
        <v>1889086</v>
      </c>
      <c r="U12" s="277" t="s">
        <v>10676</v>
      </c>
      <c r="V12" s="413">
        <v>22912</v>
      </c>
      <c r="W12" s="413" t="s">
        <v>6732</v>
      </c>
    </row>
    <row r="13" spans="1:23" x14ac:dyDescent="0.25">
      <c r="A13" s="277" t="s">
        <v>5047</v>
      </c>
      <c r="B13" s="413">
        <v>150</v>
      </c>
      <c r="C13" s="413" t="s">
        <v>6732</v>
      </c>
      <c r="E13" s="277" t="s">
        <v>4373</v>
      </c>
      <c r="F13" s="413">
        <v>1324687.99</v>
      </c>
      <c r="G13" s="413">
        <v>975503.4</v>
      </c>
      <c r="I13" s="277" t="s">
        <v>11729</v>
      </c>
      <c r="J13" s="413">
        <v>4035</v>
      </c>
      <c r="K13" s="413" t="s">
        <v>6732</v>
      </c>
      <c r="M13" s="18" t="s">
        <v>4441</v>
      </c>
      <c r="N13" s="413">
        <v>1490970.47</v>
      </c>
      <c r="O13" s="413">
        <v>1359649</v>
      </c>
      <c r="Q13" s="277" t="s">
        <v>5202</v>
      </c>
      <c r="R13" s="413">
        <v>2280000</v>
      </c>
      <c r="S13" s="413">
        <v>1762886.3</v>
      </c>
      <c r="U13" s="18" t="s">
        <v>8711</v>
      </c>
      <c r="V13" s="413">
        <v>0</v>
      </c>
      <c r="W13" s="413" t="s">
        <v>6732</v>
      </c>
    </row>
    <row r="14" spans="1:23" x14ac:dyDescent="0.25">
      <c r="A14" s="277" t="s">
        <v>4296</v>
      </c>
      <c r="B14" s="413">
        <v>72.72</v>
      </c>
      <c r="C14" s="413" t="s">
        <v>6732</v>
      </c>
      <c r="E14" s="277" t="s">
        <v>4525</v>
      </c>
      <c r="F14" s="413">
        <v>1144164.2</v>
      </c>
      <c r="G14" s="413">
        <v>888392</v>
      </c>
      <c r="I14" s="18" t="s">
        <v>8939</v>
      </c>
      <c r="J14" s="413">
        <v>298</v>
      </c>
      <c r="K14" s="413" t="s">
        <v>6732</v>
      </c>
      <c r="M14" s="59" t="s">
        <v>4594</v>
      </c>
      <c r="N14" s="413">
        <v>3344034.1100000003</v>
      </c>
      <c r="O14" s="413">
        <v>1168347.23</v>
      </c>
      <c r="Q14" s="18" t="s">
        <v>8563</v>
      </c>
      <c r="R14" s="413">
        <v>23785598.209999997</v>
      </c>
      <c r="S14" s="413">
        <v>1671126.26</v>
      </c>
      <c r="U14" s="277" t="s">
        <v>10691</v>
      </c>
      <c r="V14" s="413">
        <v>47843638.240000002</v>
      </c>
      <c r="W14" s="413">
        <v>42525806.719999999</v>
      </c>
    </row>
    <row r="15" spans="1:23" x14ac:dyDescent="0.25">
      <c r="A15" s="277" t="s">
        <v>4668</v>
      </c>
      <c r="B15" s="413">
        <v>8754514.3300000001</v>
      </c>
      <c r="C15" s="413">
        <v>2165815.13</v>
      </c>
      <c r="E15" s="277" t="s">
        <v>4415</v>
      </c>
      <c r="F15" s="413">
        <v>1777534</v>
      </c>
      <c r="G15" s="413">
        <v>789293.15</v>
      </c>
      <c r="I15" s="277" t="s">
        <v>5075</v>
      </c>
      <c r="J15" s="413">
        <v>160.53</v>
      </c>
      <c r="K15" s="413" t="s">
        <v>6732</v>
      </c>
      <c r="M15" s="18" t="s">
        <v>4622</v>
      </c>
      <c r="N15" s="413">
        <v>1123788.18</v>
      </c>
      <c r="O15" s="413">
        <v>1049313.9100000001</v>
      </c>
      <c r="Q15" s="18" t="s">
        <v>11361</v>
      </c>
      <c r="R15" s="413">
        <v>2476025</v>
      </c>
      <c r="S15" s="413">
        <v>1483463.41</v>
      </c>
      <c r="U15" s="18" t="s">
        <v>8523</v>
      </c>
      <c r="V15" s="413">
        <v>56266226.700000003</v>
      </c>
      <c r="W15" s="413">
        <v>30462907</v>
      </c>
    </row>
    <row r="16" spans="1:23" x14ac:dyDescent="0.25">
      <c r="A16" s="18" t="s">
        <v>4912</v>
      </c>
      <c r="B16" s="413">
        <v>6481255.3399999999</v>
      </c>
      <c r="C16" s="413">
        <v>1241315.9099999999</v>
      </c>
      <c r="E16" s="277" t="s">
        <v>8576</v>
      </c>
      <c r="F16" s="413">
        <v>1733507.48</v>
      </c>
      <c r="G16" s="413">
        <v>715015.25</v>
      </c>
      <c r="I16" s="277" t="s">
        <v>4518</v>
      </c>
      <c r="J16" s="413">
        <v>1391359.7</v>
      </c>
      <c r="K16" s="413">
        <v>1218210</v>
      </c>
      <c r="M16" s="18" t="s">
        <v>4461</v>
      </c>
      <c r="N16" s="413">
        <v>11577603.26</v>
      </c>
      <c r="O16" s="413">
        <v>835381</v>
      </c>
      <c r="Q16" s="277" t="s">
        <v>4321</v>
      </c>
      <c r="R16" s="413">
        <v>9679399.5899999999</v>
      </c>
      <c r="S16" s="413">
        <v>1385425.03</v>
      </c>
      <c r="U16" s="277" t="s">
        <v>5037</v>
      </c>
      <c r="V16" s="413">
        <v>68161973</v>
      </c>
      <c r="W16" s="413">
        <v>28630628.02</v>
      </c>
    </row>
    <row r="17" spans="1:23" x14ac:dyDescent="0.25">
      <c r="A17" s="277" t="s">
        <v>4601</v>
      </c>
      <c r="B17" s="413">
        <v>3393877.05</v>
      </c>
      <c r="C17" s="413">
        <v>721033.63</v>
      </c>
      <c r="E17" s="277" t="s">
        <v>4822</v>
      </c>
      <c r="F17" s="413">
        <v>668157.78</v>
      </c>
      <c r="G17" s="413">
        <v>615410</v>
      </c>
      <c r="I17" s="277" t="s">
        <v>4377</v>
      </c>
      <c r="J17" s="413">
        <v>1118394</v>
      </c>
      <c r="K17" s="413">
        <v>937252</v>
      </c>
      <c r="M17" s="18" t="s">
        <v>4556</v>
      </c>
      <c r="N17" s="413">
        <v>1774255.72</v>
      </c>
      <c r="O17" s="413">
        <v>667993.56000000006</v>
      </c>
      <c r="Q17" s="277" t="s">
        <v>5232</v>
      </c>
      <c r="R17" s="413">
        <v>2467510</v>
      </c>
      <c r="S17" s="413">
        <v>1226503</v>
      </c>
      <c r="U17" s="277" t="s">
        <v>4927</v>
      </c>
      <c r="V17" s="413">
        <v>52710653</v>
      </c>
      <c r="W17" s="413">
        <v>21392815.18</v>
      </c>
    </row>
    <row r="18" spans="1:23" x14ac:dyDescent="0.25">
      <c r="A18" s="18" t="s">
        <v>8684</v>
      </c>
      <c r="B18" s="413">
        <v>2565525.73</v>
      </c>
      <c r="C18" s="413">
        <v>693653.24</v>
      </c>
      <c r="E18" s="277" t="s">
        <v>8758</v>
      </c>
      <c r="F18" s="413">
        <v>694174.71999999997</v>
      </c>
      <c r="G18" s="413">
        <v>595744.09</v>
      </c>
      <c r="I18" s="277" t="s">
        <v>5363</v>
      </c>
      <c r="J18" s="413">
        <v>679339.06</v>
      </c>
      <c r="K18" s="413">
        <v>678587.27</v>
      </c>
      <c r="M18" s="18" t="s">
        <v>8497</v>
      </c>
      <c r="N18" s="413">
        <v>695596</v>
      </c>
      <c r="O18" s="413">
        <v>603677.44999999995</v>
      </c>
      <c r="Q18" s="277" t="s">
        <v>5127</v>
      </c>
      <c r="R18" s="413">
        <v>15297748.09</v>
      </c>
      <c r="S18" s="413">
        <v>1024846</v>
      </c>
      <c r="U18" s="18" t="s">
        <v>8655</v>
      </c>
      <c r="V18" s="413">
        <v>14383668.050000001</v>
      </c>
      <c r="W18" s="413">
        <v>12514005.15</v>
      </c>
    </row>
    <row r="19" spans="1:23" x14ac:dyDescent="0.25">
      <c r="A19" s="277" t="s">
        <v>4438</v>
      </c>
      <c r="B19" s="413">
        <v>1073467.54</v>
      </c>
      <c r="C19" s="413">
        <v>465142.93</v>
      </c>
      <c r="E19" s="277" t="s">
        <v>5318</v>
      </c>
      <c r="F19" s="413">
        <v>1745259.0699999998</v>
      </c>
      <c r="G19" s="413">
        <v>452479.22</v>
      </c>
      <c r="I19" s="18" t="s">
        <v>8477</v>
      </c>
      <c r="J19" s="413">
        <v>534478.22</v>
      </c>
      <c r="K19" s="413">
        <v>533682.17000000004</v>
      </c>
      <c r="M19" s="18" t="s">
        <v>10576</v>
      </c>
      <c r="N19" s="413">
        <v>1516139.7400000002</v>
      </c>
      <c r="O19" s="413">
        <v>573519</v>
      </c>
      <c r="Q19" s="277" t="s">
        <v>4350</v>
      </c>
      <c r="R19" s="413">
        <v>1315107.51</v>
      </c>
      <c r="S19" s="413">
        <v>894552.73</v>
      </c>
      <c r="U19" s="277" t="s">
        <v>8503</v>
      </c>
      <c r="V19" s="413">
        <v>25072826.199999999</v>
      </c>
      <c r="W19" s="413">
        <v>12193281.280000001</v>
      </c>
    </row>
    <row r="20" spans="1:23" x14ac:dyDescent="0.25">
      <c r="A20" s="59" t="s">
        <v>7552</v>
      </c>
      <c r="B20" s="413">
        <v>485669</v>
      </c>
      <c r="C20" s="413">
        <v>449972</v>
      </c>
      <c r="E20" s="18" t="s">
        <v>8549</v>
      </c>
      <c r="F20" s="413">
        <v>604569.35</v>
      </c>
      <c r="G20" s="413">
        <v>408762.84</v>
      </c>
      <c r="I20" s="277" t="s">
        <v>8479</v>
      </c>
      <c r="J20" s="413">
        <v>741295</v>
      </c>
      <c r="K20" s="413">
        <v>485136.56</v>
      </c>
      <c r="M20" s="18" t="s">
        <v>5350</v>
      </c>
      <c r="N20" s="413">
        <v>820189.87</v>
      </c>
      <c r="O20" s="413">
        <v>550123.77</v>
      </c>
      <c r="Q20" s="277" t="s">
        <v>5288</v>
      </c>
      <c r="R20" s="413">
        <v>1548333.33</v>
      </c>
      <c r="S20" s="413">
        <v>822519.96</v>
      </c>
      <c r="U20" s="277" t="s">
        <v>4327</v>
      </c>
      <c r="V20" s="413">
        <v>55073083.719999999</v>
      </c>
      <c r="W20" s="413">
        <v>11815139.140000001</v>
      </c>
    </row>
    <row r="21" spans="1:23" x14ac:dyDescent="0.25">
      <c r="A21" s="277" t="s">
        <v>5022</v>
      </c>
      <c r="B21" s="413">
        <v>389776.78</v>
      </c>
      <c r="C21" s="413">
        <v>380227.73</v>
      </c>
      <c r="E21" s="277" t="s">
        <v>8524</v>
      </c>
      <c r="F21" s="413">
        <v>588502.48</v>
      </c>
      <c r="G21" s="413">
        <v>405998.38</v>
      </c>
      <c r="I21" s="277" t="s">
        <v>4707</v>
      </c>
      <c r="J21" s="413">
        <v>364517</v>
      </c>
      <c r="K21" s="413">
        <v>332209.39</v>
      </c>
      <c r="M21" s="18" t="s">
        <v>8731</v>
      </c>
      <c r="N21" s="413">
        <v>1512107</v>
      </c>
      <c r="O21" s="413">
        <v>542193.75</v>
      </c>
      <c r="Q21" s="277" t="s">
        <v>4963</v>
      </c>
      <c r="R21" s="413">
        <v>1177771.58</v>
      </c>
      <c r="S21" s="413">
        <v>576486.43000000005</v>
      </c>
      <c r="U21" s="277" t="s">
        <v>10604</v>
      </c>
      <c r="V21" s="413">
        <v>12927820.08</v>
      </c>
      <c r="W21" s="413">
        <v>11486547</v>
      </c>
    </row>
    <row r="22" spans="1:23" x14ac:dyDescent="0.25">
      <c r="A22" s="59" t="s">
        <v>7530</v>
      </c>
      <c r="B22" s="413">
        <v>303208.42000000004</v>
      </c>
      <c r="C22" s="413">
        <v>294666</v>
      </c>
      <c r="E22" s="277" t="s">
        <v>8561</v>
      </c>
      <c r="F22" s="413">
        <v>868058.58000000007</v>
      </c>
      <c r="G22" s="413">
        <v>350224.82</v>
      </c>
      <c r="I22" s="277" t="s">
        <v>8587</v>
      </c>
      <c r="J22" s="413">
        <v>475449.04000000004</v>
      </c>
      <c r="K22" s="413">
        <v>314163.75</v>
      </c>
      <c r="M22" s="18" t="s">
        <v>4749</v>
      </c>
      <c r="N22" s="413">
        <v>969048.71</v>
      </c>
      <c r="O22" s="413">
        <v>522412</v>
      </c>
      <c r="Q22" s="18" t="s">
        <v>8498</v>
      </c>
      <c r="R22" s="413">
        <v>1076843.58</v>
      </c>
      <c r="S22" s="413">
        <v>460483.13</v>
      </c>
      <c r="U22" s="277" t="s">
        <v>5332</v>
      </c>
      <c r="V22" s="413">
        <v>9799353.5500000007</v>
      </c>
      <c r="W22" s="413">
        <v>7179573.3600000003</v>
      </c>
    </row>
    <row r="23" spans="1:23" x14ac:dyDescent="0.25">
      <c r="A23" s="277" t="s">
        <v>4530</v>
      </c>
      <c r="B23" s="413">
        <v>2718014</v>
      </c>
      <c r="C23" s="413">
        <v>278312.11</v>
      </c>
      <c r="E23" s="277" t="s">
        <v>10537</v>
      </c>
      <c r="F23" s="413">
        <v>1067421.96</v>
      </c>
      <c r="G23" s="413">
        <v>329301.17</v>
      </c>
      <c r="I23" s="277" t="s">
        <v>5002</v>
      </c>
      <c r="J23" s="413">
        <v>702842.81</v>
      </c>
      <c r="K23" s="413">
        <v>289638.28000000003</v>
      </c>
      <c r="M23" s="18" t="s">
        <v>4363</v>
      </c>
      <c r="N23" s="413">
        <v>545742.94999999995</v>
      </c>
      <c r="O23" s="413">
        <v>506283.54</v>
      </c>
      <c r="Q23" s="18" t="s">
        <v>8944</v>
      </c>
      <c r="R23" s="413">
        <v>2439819</v>
      </c>
      <c r="S23" s="413">
        <v>459344.92000000004</v>
      </c>
      <c r="U23" s="277" t="s">
        <v>8751</v>
      </c>
      <c r="V23" s="413">
        <v>15981787.310000001</v>
      </c>
      <c r="W23" s="413">
        <v>7156722.0199999996</v>
      </c>
    </row>
    <row r="24" spans="1:23" x14ac:dyDescent="0.25">
      <c r="A24" s="59" t="s">
        <v>7509</v>
      </c>
      <c r="B24" s="413">
        <v>3937835.84</v>
      </c>
      <c r="C24" s="413">
        <v>257392</v>
      </c>
      <c r="E24" s="277" t="s">
        <v>10534</v>
      </c>
      <c r="F24" s="413">
        <v>327639</v>
      </c>
      <c r="G24" s="413">
        <v>319629.46999999997</v>
      </c>
      <c r="I24" s="277" t="s">
        <v>4768</v>
      </c>
      <c r="J24" s="413">
        <v>773027.91</v>
      </c>
      <c r="K24" s="413">
        <v>183510.36000000002</v>
      </c>
      <c r="M24" s="18" t="s">
        <v>8593</v>
      </c>
      <c r="N24" s="413">
        <v>552075.43000000005</v>
      </c>
      <c r="O24" s="413">
        <v>485972.97000000003</v>
      </c>
      <c r="Q24" s="59" t="s">
        <v>10593</v>
      </c>
      <c r="R24" s="413">
        <v>2453900</v>
      </c>
      <c r="S24" s="413">
        <v>417690</v>
      </c>
      <c r="U24" s="18" t="s">
        <v>8701</v>
      </c>
      <c r="V24" s="413">
        <v>8270159.6000000006</v>
      </c>
      <c r="W24" s="413">
        <v>6923381.5099999998</v>
      </c>
    </row>
    <row r="25" spans="1:23" x14ac:dyDescent="0.25">
      <c r="A25" s="18" t="s">
        <v>8739</v>
      </c>
      <c r="B25" s="413">
        <v>279070.03999999998</v>
      </c>
      <c r="C25" s="413">
        <v>196950.42</v>
      </c>
      <c r="E25" s="277" t="s">
        <v>4968</v>
      </c>
      <c r="F25" s="413">
        <v>269100</v>
      </c>
      <c r="G25" s="413">
        <v>221821</v>
      </c>
      <c r="I25" s="18" t="s">
        <v>10717</v>
      </c>
      <c r="J25" s="413">
        <v>311057.48</v>
      </c>
      <c r="K25" s="413">
        <v>180222.31</v>
      </c>
      <c r="M25" s="18" t="s">
        <v>4383</v>
      </c>
      <c r="N25" s="413">
        <v>5470011.8700000001</v>
      </c>
      <c r="O25" s="413">
        <v>468903.39</v>
      </c>
      <c r="Q25" s="277" t="s">
        <v>8551</v>
      </c>
      <c r="R25" s="413">
        <v>1544109.38</v>
      </c>
      <c r="S25" s="413">
        <v>385547.29</v>
      </c>
      <c r="U25" s="277" t="s">
        <v>10720</v>
      </c>
      <c r="V25" s="413">
        <v>11041699.35</v>
      </c>
      <c r="W25" s="413">
        <v>5642096.6200000001</v>
      </c>
    </row>
    <row r="26" spans="1:23" x14ac:dyDescent="0.25">
      <c r="A26" s="277" t="s">
        <v>4743</v>
      </c>
      <c r="B26" s="413">
        <v>947025.72</v>
      </c>
      <c r="C26" s="413">
        <v>188202.2</v>
      </c>
      <c r="E26" s="277" t="s">
        <v>4938</v>
      </c>
      <c r="F26" s="413">
        <v>234560.39</v>
      </c>
      <c r="G26" s="413">
        <v>203274.51</v>
      </c>
      <c r="I26" s="277" t="s">
        <v>4360</v>
      </c>
      <c r="J26" s="413">
        <v>869253.27</v>
      </c>
      <c r="K26" s="413">
        <v>168553.82</v>
      </c>
      <c r="M26" s="18" t="s">
        <v>8582</v>
      </c>
      <c r="N26" s="413">
        <v>1096857.94</v>
      </c>
      <c r="O26" s="413">
        <v>441433.43</v>
      </c>
      <c r="Q26" s="59" t="s">
        <v>7590</v>
      </c>
      <c r="R26" s="413">
        <v>1017273.01</v>
      </c>
      <c r="S26" s="413">
        <v>373476</v>
      </c>
      <c r="U26" s="18" t="s">
        <v>10689</v>
      </c>
      <c r="V26" s="413">
        <v>15871345.780000001</v>
      </c>
      <c r="W26" s="413">
        <v>4582035.74</v>
      </c>
    </row>
    <row r="27" spans="1:23" x14ac:dyDescent="0.25">
      <c r="A27" s="277" t="s">
        <v>8705</v>
      </c>
      <c r="B27" s="413">
        <v>238365.1</v>
      </c>
      <c r="C27" s="413">
        <v>170480.24</v>
      </c>
      <c r="E27" s="277" t="s">
        <v>8483</v>
      </c>
      <c r="F27" s="413">
        <v>0</v>
      </c>
      <c r="G27" s="413">
        <v>145074.79999999999</v>
      </c>
      <c r="I27" s="277" t="s">
        <v>4631</v>
      </c>
      <c r="J27" s="413">
        <v>723081</v>
      </c>
      <c r="K27" s="413">
        <v>156649.25</v>
      </c>
      <c r="M27" s="18" t="s">
        <v>5215</v>
      </c>
      <c r="N27" s="413">
        <v>455457</v>
      </c>
      <c r="O27" s="413">
        <v>377733.03</v>
      </c>
      <c r="Q27" s="277" t="s">
        <v>5148</v>
      </c>
      <c r="R27" s="413">
        <v>507173.8</v>
      </c>
      <c r="S27" s="413">
        <v>371038.5</v>
      </c>
      <c r="U27" s="277" t="s">
        <v>8542</v>
      </c>
      <c r="V27" s="413">
        <v>14865378.68</v>
      </c>
      <c r="W27" s="413">
        <v>4283014.21</v>
      </c>
    </row>
    <row r="28" spans="1:23" x14ac:dyDescent="0.25">
      <c r="A28" s="59" t="s">
        <v>7499</v>
      </c>
      <c r="B28" s="413">
        <v>197132.61</v>
      </c>
      <c r="C28" s="413">
        <v>159478</v>
      </c>
      <c r="E28" s="18" t="s">
        <v>8732</v>
      </c>
      <c r="F28" s="413">
        <v>187010.27</v>
      </c>
      <c r="G28" s="413">
        <v>134563.60999999999</v>
      </c>
      <c r="I28" s="18" t="s">
        <v>10594</v>
      </c>
      <c r="J28" s="413">
        <v>301544.27</v>
      </c>
      <c r="K28" s="413">
        <v>131349</v>
      </c>
      <c r="M28" s="18" t="s">
        <v>5057</v>
      </c>
      <c r="N28" s="413">
        <v>780479.54</v>
      </c>
      <c r="O28" s="413">
        <v>366731.87</v>
      </c>
      <c r="Q28" s="59" t="s">
        <v>7594</v>
      </c>
      <c r="R28" s="413">
        <v>1822156.3</v>
      </c>
      <c r="S28" s="413">
        <v>338503.23</v>
      </c>
      <c r="U28" s="277" t="s">
        <v>4493</v>
      </c>
      <c r="V28" s="413">
        <v>28241118.580000002</v>
      </c>
      <c r="W28" s="413">
        <v>3872591.3</v>
      </c>
    </row>
    <row r="29" spans="1:23" x14ac:dyDescent="0.25">
      <c r="A29" s="277" t="s">
        <v>5222</v>
      </c>
      <c r="B29" s="413">
        <v>203741</v>
      </c>
      <c r="C29" s="413">
        <v>153219.51999999999</v>
      </c>
      <c r="E29" s="59" t="s">
        <v>7498</v>
      </c>
      <c r="F29" s="413">
        <v>1671281.9</v>
      </c>
      <c r="G29" s="413">
        <v>133000</v>
      </c>
      <c r="I29" s="18" t="s">
        <v>8598</v>
      </c>
      <c r="J29" s="413">
        <v>1996108.28</v>
      </c>
      <c r="K29" s="413">
        <v>128942</v>
      </c>
      <c r="M29" s="18" t="s">
        <v>10763</v>
      </c>
      <c r="N29" s="413">
        <v>549804.07999999996</v>
      </c>
      <c r="O29" s="413">
        <v>340884</v>
      </c>
      <c r="Q29" s="277" t="s">
        <v>4544</v>
      </c>
      <c r="R29" s="413">
        <v>507587.88</v>
      </c>
      <c r="S29" s="413">
        <v>314649.42</v>
      </c>
      <c r="U29" s="277" t="s">
        <v>4389</v>
      </c>
      <c r="V29" s="413">
        <v>6441574.3799999999</v>
      </c>
      <c r="W29" s="413">
        <v>3696003.32</v>
      </c>
    </row>
    <row r="30" spans="1:23" x14ac:dyDescent="0.25">
      <c r="A30" s="277" t="s">
        <v>8525</v>
      </c>
      <c r="B30" s="413">
        <v>1012170.91</v>
      </c>
      <c r="C30" s="413">
        <v>141548.84</v>
      </c>
      <c r="E30" s="277" t="s">
        <v>5303</v>
      </c>
      <c r="F30" s="413">
        <v>185712.7</v>
      </c>
      <c r="G30" s="413">
        <v>132102</v>
      </c>
      <c r="I30" s="277" t="s">
        <v>4628</v>
      </c>
      <c r="J30" s="413">
        <v>215265.25</v>
      </c>
      <c r="K30" s="413">
        <v>128045.84</v>
      </c>
      <c r="M30" s="18" t="s">
        <v>8594</v>
      </c>
      <c r="N30" s="413">
        <v>743372.48</v>
      </c>
      <c r="O30" s="413">
        <v>322297.57999999996</v>
      </c>
      <c r="Q30" s="277" t="s">
        <v>4500</v>
      </c>
      <c r="R30" s="413">
        <v>642559.84</v>
      </c>
      <c r="S30" s="413">
        <v>298963.78999999998</v>
      </c>
      <c r="U30" s="277" t="s">
        <v>4999</v>
      </c>
      <c r="V30" s="413">
        <v>4140587</v>
      </c>
      <c r="W30" s="413">
        <v>3561093</v>
      </c>
    </row>
    <row r="31" spans="1:23" x14ac:dyDescent="0.25">
      <c r="A31" s="277" t="s">
        <v>4444</v>
      </c>
      <c r="B31" s="413">
        <v>409452.38</v>
      </c>
      <c r="C31" s="413">
        <v>136192.02000000002</v>
      </c>
      <c r="E31" s="277" t="s">
        <v>5066</v>
      </c>
      <c r="F31" s="413">
        <v>146856.78</v>
      </c>
      <c r="G31" s="413">
        <v>126883.51000000001</v>
      </c>
      <c r="I31" s="277" t="s">
        <v>8558</v>
      </c>
      <c r="J31" s="413">
        <v>537288.82999999996</v>
      </c>
      <c r="K31" s="413">
        <v>91478.11</v>
      </c>
      <c r="M31" s="18" t="s">
        <v>4730</v>
      </c>
      <c r="N31" s="413">
        <v>524529.23</v>
      </c>
      <c r="O31" s="413">
        <v>312009</v>
      </c>
      <c r="Q31" s="277" t="s">
        <v>4789</v>
      </c>
      <c r="R31" s="413">
        <v>242970.55</v>
      </c>
      <c r="S31" s="413">
        <v>211995.39</v>
      </c>
      <c r="U31" s="277" t="s">
        <v>4467</v>
      </c>
      <c r="V31" s="413">
        <v>3210612</v>
      </c>
      <c r="W31" s="413">
        <v>3076000.83</v>
      </c>
    </row>
    <row r="32" spans="1:23" x14ac:dyDescent="0.25">
      <c r="A32" s="18" t="s">
        <v>8529</v>
      </c>
      <c r="B32" s="413">
        <v>141905.57999999999</v>
      </c>
      <c r="C32" s="413">
        <v>128810.1</v>
      </c>
      <c r="E32" s="277" t="s">
        <v>8467</v>
      </c>
      <c r="F32" s="413">
        <v>177526.65</v>
      </c>
      <c r="G32" s="413">
        <v>117303.58</v>
      </c>
      <c r="I32" s="277" t="s">
        <v>8517</v>
      </c>
      <c r="J32" s="413">
        <v>104253.3</v>
      </c>
      <c r="K32" s="413">
        <v>88514.880000000005</v>
      </c>
      <c r="M32" s="18" t="s">
        <v>10605</v>
      </c>
      <c r="N32" s="413">
        <v>332572</v>
      </c>
      <c r="O32" s="413">
        <v>298394.48</v>
      </c>
      <c r="Q32" s="277" t="s">
        <v>5325</v>
      </c>
      <c r="R32" s="413">
        <v>5439420</v>
      </c>
      <c r="S32" s="413">
        <v>209325.7</v>
      </c>
      <c r="U32" s="59" t="s">
        <v>7539</v>
      </c>
      <c r="V32" s="413">
        <v>7961107.9000000004</v>
      </c>
      <c r="W32" s="413">
        <v>2967277</v>
      </c>
    </row>
    <row r="33" spans="1:23" x14ac:dyDescent="0.25">
      <c r="A33" s="277" t="s">
        <v>4553</v>
      </c>
      <c r="B33" s="413">
        <v>159654</v>
      </c>
      <c r="C33" s="413">
        <v>99698.74</v>
      </c>
      <c r="E33" s="59" t="s">
        <v>7569</v>
      </c>
      <c r="F33" s="413">
        <v>260544</v>
      </c>
      <c r="G33" s="413">
        <v>113822.26000000001</v>
      </c>
      <c r="I33" s="277" t="s">
        <v>8578</v>
      </c>
      <c r="J33" s="413">
        <v>370941.7</v>
      </c>
      <c r="K33" s="413">
        <v>85152.569999999992</v>
      </c>
      <c r="M33" s="18" t="s">
        <v>5205</v>
      </c>
      <c r="N33" s="413">
        <v>3816131.82</v>
      </c>
      <c r="O33" s="413">
        <v>293541.74</v>
      </c>
      <c r="Q33" s="277" t="s">
        <v>11080</v>
      </c>
      <c r="R33" s="413">
        <v>1306744.52</v>
      </c>
      <c r="S33" s="413">
        <v>198000</v>
      </c>
      <c r="U33" s="277" t="s">
        <v>8554</v>
      </c>
      <c r="V33" s="413">
        <v>11041802</v>
      </c>
      <c r="W33" s="413">
        <v>2863681.04</v>
      </c>
    </row>
    <row r="34" spans="1:23" x14ac:dyDescent="0.25">
      <c r="A34" s="277" t="s">
        <v>4930</v>
      </c>
      <c r="B34" s="413">
        <v>455909.32</v>
      </c>
      <c r="C34" s="413">
        <v>97148.43</v>
      </c>
      <c r="E34" s="277" t="s">
        <v>5113</v>
      </c>
      <c r="F34" s="413">
        <v>796029</v>
      </c>
      <c r="G34" s="413">
        <v>100481.7</v>
      </c>
      <c r="I34" s="277" t="s">
        <v>4509</v>
      </c>
      <c r="J34" s="413">
        <v>313942.65999999997</v>
      </c>
      <c r="K34" s="413">
        <v>84057</v>
      </c>
      <c r="M34" s="18" t="s">
        <v>4733</v>
      </c>
      <c r="N34" s="413">
        <v>453447.1</v>
      </c>
      <c r="O34" s="413">
        <v>279473</v>
      </c>
      <c r="Q34" s="59" t="s">
        <v>7599</v>
      </c>
      <c r="R34" s="413">
        <v>1030296.48</v>
      </c>
      <c r="S34" s="413">
        <v>168154.74</v>
      </c>
      <c r="U34" s="277" t="s">
        <v>8493</v>
      </c>
      <c r="V34" s="413">
        <v>3040692.48</v>
      </c>
      <c r="W34" s="413">
        <v>2628758.17</v>
      </c>
    </row>
    <row r="35" spans="1:23" x14ac:dyDescent="0.25">
      <c r="A35" s="59" t="s">
        <v>7619</v>
      </c>
      <c r="B35" s="413">
        <v>139815.78</v>
      </c>
      <c r="C35" s="413">
        <v>95233</v>
      </c>
      <c r="E35" s="18" t="s">
        <v>4470</v>
      </c>
      <c r="F35" s="413">
        <v>935273</v>
      </c>
      <c r="G35" s="413">
        <v>95930.63</v>
      </c>
      <c r="I35" s="277" t="s">
        <v>8678</v>
      </c>
      <c r="J35" s="413">
        <v>91421.46</v>
      </c>
      <c r="K35" s="413">
        <v>83243.77</v>
      </c>
      <c r="M35" s="18" t="s">
        <v>4422</v>
      </c>
      <c r="N35" s="413">
        <v>456106.33999999997</v>
      </c>
      <c r="O35" s="413">
        <v>268918.76</v>
      </c>
      <c r="Q35" s="59" t="s">
        <v>7556</v>
      </c>
      <c r="R35" s="413">
        <v>208278.5</v>
      </c>
      <c r="S35" s="413">
        <v>156029.82999999999</v>
      </c>
      <c r="U35" s="277" t="s">
        <v>10624</v>
      </c>
      <c r="V35" s="413">
        <v>13654122.329999998</v>
      </c>
      <c r="W35" s="413">
        <v>2392693.5299999998</v>
      </c>
    </row>
    <row r="36" spans="1:23" x14ac:dyDescent="0.25">
      <c r="A36" s="277" t="s">
        <v>8559</v>
      </c>
      <c r="B36" s="413">
        <v>83828.59</v>
      </c>
      <c r="C36" s="413">
        <v>83304.759999999995</v>
      </c>
      <c r="E36" s="277" t="s">
        <v>8489</v>
      </c>
      <c r="F36" s="413">
        <v>420806</v>
      </c>
      <c r="G36" s="413">
        <v>95452.17</v>
      </c>
      <c r="I36" s="277" t="s">
        <v>10619</v>
      </c>
      <c r="J36" s="413">
        <v>154709.20000000001</v>
      </c>
      <c r="K36" s="413">
        <v>80480</v>
      </c>
      <c r="M36" s="18" t="s">
        <v>5367</v>
      </c>
      <c r="N36" s="413">
        <v>339133.77</v>
      </c>
      <c r="O36" s="413">
        <v>258951.5</v>
      </c>
      <c r="Q36" s="277" t="s">
        <v>8508</v>
      </c>
      <c r="R36" s="413">
        <v>1282547</v>
      </c>
      <c r="S36" s="413">
        <v>152135.34</v>
      </c>
      <c r="U36" s="59" t="s">
        <v>10516</v>
      </c>
      <c r="V36" s="413">
        <v>14238109.76</v>
      </c>
      <c r="W36" s="413">
        <v>2225875.48</v>
      </c>
    </row>
    <row r="37" spans="1:23" x14ac:dyDescent="0.25">
      <c r="A37" s="277" t="s">
        <v>8515</v>
      </c>
      <c r="B37" s="413">
        <v>280377.03999999998</v>
      </c>
      <c r="C37" s="413">
        <v>74150.759999999995</v>
      </c>
      <c r="E37" s="277" t="s">
        <v>8571</v>
      </c>
      <c r="F37" s="413">
        <v>152455.85</v>
      </c>
      <c r="G37" s="413">
        <v>92453.97</v>
      </c>
      <c r="I37" s="277" t="s">
        <v>5407</v>
      </c>
      <c r="J37" s="413">
        <v>342009</v>
      </c>
      <c r="K37" s="413">
        <v>79776.160000000003</v>
      </c>
      <c r="M37" s="18" t="s">
        <v>8565</v>
      </c>
      <c r="N37" s="413">
        <v>1877083.73</v>
      </c>
      <c r="O37" s="413">
        <v>258610.39</v>
      </c>
      <c r="Q37" s="277" t="s">
        <v>8562</v>
      </c>
      <c r="R37" s="413">
        <v>306966</v>
      </c>
      <c r="S37" s="413">
        <v>141389.69</v>
      </c>
      <c r="U37" s="277" t="s">
        <v>4484</v>
      </c>
      <c r="V37" s="413">
        <v>13436422.289999999</v>
      </c>
      <c r="W37" s="413">
        <v>2189260.31</v>
      </c>
    </row>
    <row r="38" spans="1:23" x14ac:dyDescent="0.25">
      <c r="A38" s="18" t="s">
        <v>8510</v>
      </c>
      <c r="B38" s="413">
        <v>134819.13</v>
      </c>
      <c r="C38" s="413">
        <v>72755.12</v>
      </c>
      <c r="E38" s="277" t="s">
        <v>5011</v>
      </c>
      <c r="F38" s="413">
        <v>97292</v>
      </c>
      <c r="G38" s="413">
        <v>89885.49</v>
      </c>
      <c r="I38" s="277" t="s">
        <v>8462</v>
      </c>
      <c r="J38" s="413">
        <v>246200</v>
      </c>
      <c r="K38" s="413">
        <v>79557.63</v>
      </c>
      <c r="M38" s="18" t="s">
        <v>4503</v>
      </c>
      <c r="N38" s="413">
        <v>375146</v>
      </c>
      <c r="O38" s="413">
        <v>256308.29</v>
      </c>
      <c r="Q38" s="277" t="s">
        <v>10530</v>
      </c>
      <c r="R38" s="413">
        <v>631642</v>
      </c>
      <c r="S38" s="413">
        <v>134631.04999999999</v>
      </c>
      <c r="U38" s="277" t="s">
        <v>5235</v>
      </c>
      <c r="V38" s="413">
        <v>3110095.69</v>
      </c>
      <c r="W38" s="413">
        <v>2096045.22</v>
      </c>
    </row>
    <row r="39" spans="1:23" x14ac:dyDescent="0.25">
      <c r="A39" s="277" t="s">
        <v>4490</v>
      </c>
      <c r="B39" s="413">
        <v>97775.32</v>
      </c>
      <c r="C39" s="413">
        <v>69836.25</v>
      </c>
      <c r="E39" s="277" t="s">
        <v>8501</v>
      </c>
      <c r="F39" s="413">
        <v>119116</v>
      </c>
      <c r="G39" s="413">
        <v>70213.789999999994</v>
      </c>
      <c r="I39" s="277" t="s">
        <v>4704</v>
      </c>
      <c r="J39" s="413">
        <v>81479.709999999992</v>
      </c>
      <c r="K39" s="413">
        <v>76437.38</v>
      </c>
      <c r="M39" s="18" t="s">
        <v>8932</v>
      </c>
      <c r="N39" s="413">
        <v>280611.3</v>
      </c>
      <c r="O39" s="413">
        <v>248948.29</v>
      </c>
      <c r="Q39" s="277" t="s">
        <v>4405</v>
      </c>
      <c r="R39" s="413">
        <v>133491.97</v>
      </c>
      <c r="S39" s="413">
        <v>117721</v>
      </c>
      <c r="U39" s="59" t="s">
        <v>10692</v>
      </c>
      <c r="V39" s="413">
        <v>2326778.65</v>
      </c>
      <c r="W39" s="413">
        <v>2089405</v>
      </c>
    </row>
    <row r="40" spans="1:23" x14ac:dyDescent="0.25">
      <c r="A40" s="277" t="s">
        <v>5060</v>
      </c>
      <c r="B40" s="413">
        <v>153933.34</v>
      </c>
      <c r="C40" s="413">
        <v>63629.11</v>
      </c>
      <c r="E40" s="277" t="s">
        <v>10679</v>
      </c>
      <c r="F40" s="413">
        <v>86238</v>
      </c>
      <c r="G40" s="413">
        <v>64669.23</v>
      </c>
      <c r="I40" s="277" t="s">
        <v>4960</v>
      </c>
      <c r="J40" s="413">
        <v>262680.5</v>
      </c>
      <c r="K40" s="413">
        <v>76173</v>
      </c>
      <c r="M40" s="18" t="s">
        <v>8605</v>
      </c>
      <c r="N40" s="413">
        <v>327690</v>
      </c>
      <c r="O40" s="413">
        <v>216469.26</v>
      </c>
      <c r="Q40" s="18" t="s">
        <v>4547</v>
      </c>
      <c r="R40" s="413">
        <v>258628.04</v>
      </c>
      <c r="S40" s="413">
        <v>97734.16</v>
      </c>
      <c r="U40" s="277" t="s">
        <v>8568</v>
      </c>
      <c r="V40" s="413">
        <v>3921415.95</v>
      </c>
      <c r="W40" s="413">
        <v>1921134.67</v>
      </c>
    </row>
    <row r="41" spans="1:23" x14ac:dyDescent="0.25">
      <c r="A41" s="277" t="s">
        <v>4674</v>
      </c>
      <c r="B41" s="413">
        <v>4379456.1500000004</v>
      </c>
      <c r="C41" s="413">
        <v>54489.120000000003</v>
      </c>
      <c r="E41" s="59" t="s">
        <v>7589</v>
      </c>
      <c r="F41" s="413">
        <v>205201</v>
      </c>
      <c r="G41" s="413">
        <v>60062.069999999992</v>
      </c>
      <c r="I41" s="277" t="s">
        <v>4464</v>
      </c>
      <c r="J41" s="413">
        <v>6120861.5099999998</v>
      </c>
      <c r="K41" s="413">
        <v>69652</v>
      </c>
      <c r="M41" s="18" t="s">
        <v>7604</v>
      </c>
      <c r="N41" s="413">
        <v>5200000</v>
      </c>
      <c r="O41" s="413">
        <v>206995.93</v>
      </c>
      <c r="Q41" s="18" t="s">
        <v>8475</v>
      </c>
      <c r="R41" s="413">
        <v>113471.65</v>
      </c>
      <c r="S41" s="413">
        <v>89686</v>
      </c>
      <c r="U41" s="277" t="s">
        <v>4717</v>
      </c>
      <c r="V41" s="413">
        <v>1963181.72</v>
      </c>
      <c r="W41" s="413">
        <v>1920664.62</v>
      </c>
    </row>
    <row r="42" spans="1:23" x14ac:dyDescent="0.25">
      <c r="A42" s="277" t="s">
        <v>5090</v>
      </c>
      <c r="B42" s="413">
        <v>192177.02000000002</v>
      </c>
      <c r="C42" s="413">
        <v>53766.11</v>
      </c>
      <c r="E42" s="18" t="s">
        <v>7544</v>
      </c>
      <c r="F42" s="413">
        <v>177791.61</v>
      </c>
      <c r="G42" s="413">
        <v>55932.26</v>
      </c>
      <c r="I42" s="277" t="s">
        <v>8772</v>
      </c>
      <c r="J42" s="413">
        <v>190140</v>
      </c>
      <c r="K42" s="413">
        <v>66778.47</v>
      </c>
      <c r="M42" s="18" t="s">
        <v>8504</v>
      </c>
      <c r="N42" s="413">
        <v>621311</v>
      </c>
      <c r="O42" s="413">
        <v>206154.01</v>
      </c>
      <c r="Q42" s="277" t="s">
        <v>4536</v>
      </c>
      <c r="R42" s="413">
        <v>322308.15000000002</v>
      </c>
      <c r="S42" s="413">
        <v>84274.43</v>
      </c>
      <c r="U42" s="277" t="s">
        <v>4652</v>
      </c>
      <c r="V42" s="413">
        <v>5153394.13</v>
      </c>
      <c r="W42" s="413">
        <v>1825289.31</v>
      </c>
    </row>
    <row r="43" spans="1:23" x14ac:dyDescent="0.25">
      <c r="A43" s="277" t="s">
        <v>628</v>
      </c>
      <c r="B43" s="413">
        <v>72994.42</v>
      </c>
      <c r="C43" s="413">
        <v>51587.92</v>
      </c>
      <c r="E43" s="277" t="s">
        <v>4347</v>
      </c>
      <c r="F43" s="413">
        <v>790290</v>
      </c>
      <c r="G43" s="413">
        <v>53137</v>
      </c>
      <c r="I43" s="277" t="s">
        <v>5041</v>
      </c>
      <c r="J43" s="413">
        <v>86537.77</v>
      </c>
      <c r="K43" s="413">
        <v>65489.26</v>
      </c>
      <c r="M43" s="18" t="s">
        <v>5257</v>
      </c>
      <c r="N43" s="413">
        <v>506482.14</v>
      </c>
      <c r="O43" s="413">
        <v>204539.73</v>
      </c>
      <c r="Q43" s="277" t="s">
        <v>4475</v>
      </c>
      <c r="R43" s="413">
        <v>255988.21</v>
      </c>
      <c r="S43" s="413">
        <v>73647</v>
      </c>
      <c r="U43" s="277" t="s">
        <v>4880</v>
      </c>
      <c r="V43" s="413">
        <v>46378080</v>
      </c>
      <c r="W43" s="413">
        <v>1793450.84</v>
      </c>
    </row>
    <row r="44" spans="1:23" x14ac:dyDescent="0.25">
      <c r="A44" s="59" t="s">
        <v>7546</v>
      </c>
      <c r="B44" s="413">
        <v>101484.97</v>
      </c>
      <c r="C44" s="413">
        <v>51426</v>
      </c>
      <c r="E44" s="277" t="s">
        <v>4909</v>
      </c>
      <c r="F44" s="413">
        <v>150859</v>
      </c>
      <c r="G44" s="413">
        <v>44853.27</v>
      </c>
      <c r="I44" s="277" t="s">
        <v>4866</v>
      </c>
      <c r="J44" s="413">
        <v>177583.84</v>
      </c>
      <c r="K44" s="413">
        <v>59709</v>
      </c>
      <c r="M44" s="59" t="s">
        <v>7497</v>
      </c>
      <c r="N44" s="413">
        <v>820939.62</v>
      </c>
      <c r="O44" s="413">
        <v>203546.93</v>
      </c>
      <c r="Q44" s="18" t="s">
        <v>8522</v>
      </c>
      <c r="R44" s="413">
        <v>188361.48</v>
      </c>
      <c r="S44" s="413">
        <v>57475</v>
      </c>
      <c r="U44" s="277" t="s">
        <v>4606</v>
      </c>
      <c r="V44" s="413">
        <v>50123636.979999997</v>
      </c>
      <c r="W44" s="413">
        <v>1764635</v>
      </c>
    </row>
    <row r="45" spans="1:23" x14ac:dyDescent="0.25">
      <c r="A45" s="59" t="s">
        <v>7585</v>
      </c>
      <c r="B45" s="413">
        <v>144271</v>
      </c>
      <c r="C45" s="413">
        <v>45948</v>
      </c>
      <c r="E45" s="277" t="s">
        <v>5347</v>
      </c>
      <c r="F45" s="413">
        <v>1178896.8600000001</v>
      </c>
      <c r="G45" s="413">
        <v>43190</v>
      </c>
      <c r="I45" s="18" t="s">
        <v>8507</v>
      </c>
      <c r="J45" s="413">
        <v>270583.28000000003</v>
      </c>
      <c r="K45" s="413">
        <v>52204.61</v>
      </c>
      <c r="M45" s="18" t="s">
        <v>10577</v>
      </c>
      <c r="N45" s="413">
        <v>480164.18999999994</v>
      </c>
      <c r="O45" s="413">
        <v>200158</v>
      </c>
      <c r="Q45" s="277" t="s">
        <v>4841</v>
      </c>
      <c r="R45" s="413">
        <v>197110</v>
      </c>
      <c r="S45" s="413">
        <v>56608.08</v>
      </c>
      <c r="U45" s="277" t="s">
        <v>4987</v>
      </c>
      <c r="V45" s="413">
        <v>3983836.71</v>
      </c>
      <c r="W45" s="413">
        <v>1698789.64</v>
      </c>
    </row>
    <row r="46" spans="1:23" x14ac:dyDescent="0.25">
      <c r="A46" s="277" t="s">
        <v>5095</v>
      </c>
      <c r="B46" s="413">
        <v>406027.61</v>
      </c>
      <c r="C46" s="413">
        <v>44215.8</v>
      </c>
      <c r="E46" s="277" t="s">
        <v>4825</v>
      </c>
      <c r="F46" s="413">
        <v>1303292.6599999999</v>
      </c>
      <c r="G46" s="413">
        <v>42762.59</v>
      </c>
      <c r="I46" s="59" t="s">
        <v>7503</v>
      </c>
      <c r="J46" s="413">
        <v>61764</v>
      </c>
      <c r="K46" s="413">
        <v>49236.66</v>
      </c>
      <c r="M46" s="18" t="s">
        <v>4643</v>
      </c>
      <c r="N46" s="413">
        <v>226809.08</v>
      </c>
      <c r="O46" s="413">
        <v>200013</v>
      </c>
      <c r="Q46" s="59" t="s">
        <v>7538</v>
      </c>
      <c r="R46" s="413">
        <v>114311.52</v>
      </c>
      <c r="S46" s="413">
        <v>31607.94</v>
      </c>
      <c r="U46" s="277" t="s">
        <v>8547</v>
      </c>
      <c r="V46" s="413">
        <v>9099753.6699999999</v>
      </c>
      <c r="W46" s="413">
        <v>1659520.47</v>
      </c>
    </row>
    <row r="47" spans="1:23" x14ac:dyDescent="0.25">
      <c r="A47" s="277" t="s">
        <v>4972</v>
      </c>
      <c r="B47" s="413">
        <v>129292</v>
      </c>
      <c r="C47" s="413">
        <v>40506.949999999997</v>
      </c>
      <c r="E47" s="277" t="s">
        <v>5248</v>
      </c>
      <c r="F47" s="413">
        <v>166256.29</v>
      </c>
      <c r="G47" s="413">
        <v>41610</v>
      </c>
      <c r="I47" s="277" t="s">
        <v>5087</v>
      </c>
      <c r="J47" s="413">
        <v>162909</v>
      </c>
      <c r="K47" s="413">
        <v>39755.5</v>
      </c>
      <c r="M47" s="18" t="s">
        <v>5382</v>
      </c>
      <c r="N47" s="413">
        <v>452608.67000000004</v>
      </c>
      <c r="O47" s="413">
        <v>193307.51</v>
      </c>
      <c r="Q47" s="277" t="s">
        <v>8603</v>
      </c>
      <c r="R47" s="413">
        <v>56230</v>
      </c>
      <c r="S47" s="413">
        <v>26465</v>
      </c>
      <c r="U47" s="277" t="s">
        <v>10494</v>
      </c>
      <c r="V47" s="413">
        <v>2072857.83</v>
      </c>
      <c r="W47" s="413">
        <v>1636287.96</v>
      </c>
    </row>
    <row r="48" spans="1:23" x14ac:dyDescent="0.25">
      <c r="A48" s="277" t="s">
        <v>8602</v>
      </c>
      <c r="B48" s="413">
        <v>120905</v>
      </c>
      <c r="C48" s="413">
        <v>39982.89</v>
      </c>
      <c r="E48" s="59" t="s">
        <v>7567</v>
      </c>
      <c r="F48" s="413">
        <v>78617</v>
      </c>
      <c r="G48" s="413">
        <v>36366.58</v>
      </c>
      <c r="I48" s="277" t="s">
        <v>4386</v>
      </c>
      <c r="J48" s="413">
        <v>97003.14</v>
      </c>
      <c r="K48" s="413">
        <v>38421.300000000003</v>
      </c>
      <c r="M48" s="18" t="s">
        <v>10529</v>
      </c>
      <c r="N48" s="413">
        <v>223600.58000000002</v>
      </c>
      <c r="O48" s="413">
        <v>191292</v>
      </c>
      <c r="Q48" s="277" t="s">
        <v>5392</v>
      </c>
      <c r="R48" s="413">
        <v>111358.31</v>
      </c>
      <c r="S48" s="413">
        <v>24942.5</v>
      </c>
      <c r="U48" s="18" t="s">
        <v>11639</v>
      </c>
      <c r="V48" s="413">
        <v>4858264.59</v>
      </c>
      <c r="W48" s="413">
        <v>1585148.34</v>
      </c>
    </row>
    <row r="49" spans="1:23" x14ac:dyDescent="0.25">
      <c r="A49" s="277" t="s">
        <v>4655</v>
      </c>
      <c r="B49" s="413">
        <v>555860.24</v>
      </c>
      <c r="C49" s="413">
        <v>35848.879999999997</v>
      </c>
      <c r="E49" s="277" t="s">
        <v>10747</v>
      </c>
      <c r="F49" s="413">
        <v>52350</v>
      </c>
      <c r="G49" s="413">
        <v>35650</v>
      </c>
      <c r="I49" s="277" t="s">
        <v>8564</v>
      </c>
      <c r="J49" s="413">
        <v>4725022</v>
      </c>
      <c r="K49" s="413">
        <v>31416.42</v>
      </c>
      <c r="M49" s="18" t="s">
        <v>4990</v>
      </c>
      <c r="N49" s="413">
        <v>192850.05</v>
      </c>
      <c r="O49" s="413">
        <v>190161.31</v>
      </c>
      <c r="Q49" s="277" t="s">
        <v>4646</v>
      </c>
      <c r="R49" s="413">
        <v>67769.42</v>
      </c>
      <c r="S49" s="413">
        <v>13788</v>
      </c>
      <c r="U49" s="277" t="s">
        <v>8544</v>
      </c>
      <c r="V49" s="413">
        <v>4239580.93</v>
      </c>
      <c r="W49" s="413">
        <v>1534349.46</v>
      </c>
    </row>
    <row r="50" spans="1:23" x14ac:dyDescent="0.25">
      <c r="A50" s="18" t="s">
        <v>8970</v>
      </c>
      <c r="B50" s="413">
        <v>85270</v>
      </c>
      <c r="C50" s="413">
        <v>34627.729999999996</v>
      </c>
      <c r="E50" s="277" t="s">
        <v>4871</v>
      </c>
      <c r="F50" s="413">
        <v>262036</v>
      </c>
      <c r="G50" s="413">
        <v>32617.25</v>
      </c>
      <c r="I50" s="277" t="s">
        <v>8557</v>
      </c>
      <c r="J50" s="413">
        <v>49334.13</v>
      </c>
      <c r="K50" s="413">
        <v>24625.75</v>
      </c>
      <c r="M50" s="59" t="s">
        <v>7524</v>
      </c>
      <c r="N50" s="413">
        <v>473814</v>
      </c>
      <c r="O50" s="413">
        <v>187188.91</v>
      </c>
      <c r="Q50" s="277" t="s">
        <v>4412</v>
      </c>
      <c r="R50" s="413">
        <v>78515.73</v>
      </c>
      <c r="S50" s="413">
        <v>10173.86</v>
      </c>
      <c r="U50" s="277" t="s">
        <v>4398</v>
      </c>
      <c r="V50" s="413">
        <v>2037041.09</v>
      </c>
      <c r="W50" s="413">
        <v>1520055.49</v>
      </c>
    </row>
    <row r="51" spans="1:23" x14ac:dyDescent="0.25">
      <c r="A51" s="277" t="s">
        <v>8756</v>
      </c>
      <c r="B51" s="413">
        <v>161530</v>
      </c>
      <c r="C51" s="413">
        <v>30496</v>
      </c>
      <c r="E51" s="277" t="s">
        <v>8514</v>
      </c>
      <c r="F51" s="413">
        <v>177957.1</v>
      </c>
      <c r="G51" s="413">
        <v>30593.95</v>
      </c>
      <c r="I51" s="277" t="s">
        <v>5293</v>
      </c>
      <c r="J51" s="413">
        <v>49669</v>
      </c>
      <c r="K51" s="413">
        <v>23625</v>
      </c>
      <c r="M51" s="18" t="s">
        <v>8584</v>
      </c>
      <c r="N51" s="413">
        <v>180622.34</v>
      </c>
      <c r="O51" s="413">
        <v>172826</v>
      </c>
      <c r="Q51" s="277" t="s">
        <v>5260</v>
      </c>
      <c r="R51" s="413">
        <v>37833.58</v>
      </c>
      <c r="S51" s="413">
        <v>3681.68</v>
      </c>
      <c r="U51" s="277" t="s">
        <v>5152</v>
      </c>
      <c r="V51" s="413">
        <v>3610647.72</v>
      </c>
      <c r="W51" s="413">
        <v>1513194.4</v>
      </c>
    </row>
    <row r="52" spans="1:23" x14ac:dyDescent="0.25">
      <c r="A52" s="277" t="s">
        <v>4304</v>
      </c>
      <c r="B52" s="413">
        <v>58983.85</v>
      </c>
      <c r="C52" s="413">
        <v>29841.43</v>
      </c>
      <c r="E52" s="277" t="s">
        <v>4356</v>
      </c>
      <c r="F52" s="413">
        <v>36290.949999999997</v>
      </c>
      <c r="G52" s="413">
        <v>29111.919999999998</v>
      </c>
      <c r="I52" s="59" t="s">
        <v>7548</v>
      </c>
      <c r="J52" s="413">
        <v>98482.28</v>
      </c>
      <c r="K52" s="413">
        <v>22505.08</v>
      </c>
      <c r="M52" s="59" t="s">
        <v>7605</v>
      </c>
      <c r="N52" s="413">
        <v>570118.73</v>
      </c>
      <c r="O52" s="413">
        <v>150476</v>
      </c>
      <c r="Q52" s="277" t="s">
        <v>4902</v>
      </c>
      <c r="R52" s="413">
        <v>43798.74</v>
      </c>
      <c r="S52" s="413">
        <v>3678</v>
      </c>
      <c r="U52" s="277" t="s">
        <v>8464</v>
      </c>
      <c r="V52" s="413">
        <v>1894661.44</v>
      </c>
      <c r="W52" s="413">
        <v>1376602</v>
      </c>
    </row>
    <row r="53" spans="1:23" x14ac:dyDescent="0.25">
      <c r="A53" s="277" t="s">
        <v>4665</v>
      </c>
      <c r="B53" s="413">
        <v>108405</v>
      </c>
      <c r="C53" s="413">
        <v>27101.200000000001</v>
      </c>
      <c r="E53" s="277" t="s">
        <v>4877</v>
      </c>
      <c r="F53" s="413">
        <v>77075.12</v>
      </c>
      <c r="G53" s="413">
        <v>25000</v>
      </c>
      <c r="I53" s="277" t="s">
        <v>4478</v>
      </c>
      <c r="J53" s="413">
        <v>33083.279999999999</v>
      </c>
      <c r="K53" s="413">
        <v>12492</v>
      </c>
      <c r="M53" s="18" t="s">
        <v>4687</v>
      </c>
      <c r="N53" s="413">
        <v>1407110.19</v>
      </c>
      <c r="O53" s="413">
        <v>144954.60999999999</v>
      </c>
      <c r="Q53" s="277" t="s">
        <v>4432</v>
      </c>
      <c r="R53" s="413">
        <v>990918.58</v>
      </c>
      <c r="S53" s="413">
        <v>1643</v>
      </c>
      <c r="U53" s="277" t="s">
        <v>5078</v>
      </c>
      <c r="V53" s="413">
        <v>1355286.87</v>
      </c>
      <c r="W53" s="413">
        <v>1285865.56</v>
      </c>
    </row>
    <row r="54" spans="1:23" x14ac:dyDescent="0.25">
      <c r="A54" s="277" t="s">
        <v>5098</v>
      </c>
      <c r="B54" s="413">
        <v>35460</v>
      </c>
      <c r="C54" s="413">
        <v>26969.3</v>
      </c>
      <c r="E54" s="277" t="s">
        <v>4956</v>
      </c>
      <c r="F54" s="413">
        <v>133890</v>
      </c>
      <c r="G54" s="413">
        <v>24725.64</v>
      </c>
      <c r="I54" s="277" t="s">
        <v>4887</v>
      </c>
      <c r="J54" s="413">
        <v>12153</v>
      </c>
      <c r="K54" s="413">
        <v>11799.62</v>
      </c>
      <c r="M54" s="59" t="s">
        <v>7522</v>
      </c>
      <c r="N54" s="413">
        <v>403930.08999999997</v>
      </c>
      <c r="O54" s="413">
        <v>143025.57</v>
      </c>
      <c r="Q54" s="59" t="s">
        <v>7531</v>
      </c>
      <c r="R54" s="413">
        <v>2083.11</v>
      </c>
      <c r="S54" s="413">
        <v>1626.4</v>
      </c>
      <c r="U54" s="59" t="s">
        <v>7593</v>
      </c>
      <c r="V54" s="413">
        <v>1413202.66</v>
      </c>
      <c r="W54" s="413">
        <v>1283757.56</v>
      </c>
    </row>
    <row r="55" spans="1:23" x14ac:dyDescent="0.25">
      <c r="A55" s="277" t="s">
        <v>10680</v>
      </c>
      <c r="B55" s="413">
        <v>27283.87</v>
      </c>
      <c r="C55" s="413">
        <v>25965</v>
      </c>
      <c r="E55" s="277" t="s">
        <v>4680</v>
      </c>
      <c r="F55" s="413">
        <v>85118</v>
      </c>
      <c r="G55" s="413">
        <v>24504</v>
      </c>
      <c r="I55" s="59" t="s">
        <v>7540</v>
      </c>
      <c r="J55" s="413">
        <v>320934.02</v>
      </c>
      <c r="K55" s="413">
        <v>9593.7099999999991</v>
      </c>
      <c r="M55" s="18" t="s">
        <v>4541</v>
      </c>
      <c r="N55" s="413">
        <v>7206832.9500000002</v>
      </c>
      <c r="O55" s="413">
        <v>142016</v>
      </c>
      <c r="Q55" s="277" t="s">
        <v>4576</v>
      </c>
      <c r="R55" s="413">
        <v>209368</v>
      </c>
      <c r="S55" s="413">
        <v>1475.64</v>
      </c>
      <c r="U55" s="277" t="s">
        <v>5063</v>
      </c>
      <c r="V55" s="413">
        <v>3108874.39</v>
      </c>
      <c r="W55" s="413">
        <v>1248176.04</v>
      </c>
    </row>
    <row r="56" spans="1:23" x14ac:dyDescent="0.25">
      <c r="A56" s="59" t="s">
        <v>7601</v>
      </c>
      <c r="B56" s="413">
        <v>51603</v>
      </c>
      <c r="C56" s="413">
        <v>25481.13</v>
      </c>
      <c r="E56" s="277" t="s">
        <v>5174</v>
      </c>
      <c r="F56" s="413">
        <v>930015.78</v>
      </c>
      <c r="G56" s="413">
        <v>23789.06</v>
      </c>
      <c r="I56" s="277" t="s">
        <v>5251</v>
      </c>
      <c r="J56" s="413">
        <v>12474</v>
      </c>
      <c r="K56" s="413">
        <v>9118</v>
      </c>
      <c r="M56" s="18" t="s">
        <v>4690</v>
      </c>
      <c r="N56" s="413">
        <v>190900</v>
      </c>
      <c r="O56" s="413">
        <v>137078.97</v>
      </c>
      <c r="Q56" s="277" t="s">
        <v>8473</v>
      </c>
      <c r="R56" s="413">
        <v>43150.26</v>
      </c>
      <c r="S56" s="413">
        <v>1018</v>
      </c>
      <c r="U56" s="277" t="s">
        <v>4324</v>
      </c>
      <c r="V56" s="413">
        <v>7160339.2200000007</v>
      </c>
      <c r="W56" s="413">
        <v>1219956.07</v>
      </c>
    </row>
    <row r="57" spans="1:23" x14ac:dyDescent="0.25">
      <c r="A57" s="277" t="s">
        <v>4693</v>
      </c>
      <c r="B57" s="413">
        <v>61949.67</v>
      </c>
      <c r="C57" s="413">
        <v>24289.23</v>
      </c>
      <c r="E57" s="277" t="s">
        <v>5398</v>
      </c>
      <c r="F57" s="413">
        <v>737324</v>
      </c>
      <c r="G57" s="413">
        <v>23605.25</v>
      </c>
      <c r="I57" s="277" t="s">
        <v>8481</v>
      </c>
      <c r="J57" s="413">
        <v>27735.48</v>
      </c>
      <c r="K57" s="413">
        <v>8995</v>
      </c>
      <c r="M57" s="18" t="s">
        <v>4834</v>
      </c>
      <c r="N57" s="413">
        <v>310415.67</v>
      </c>
      <c r="O57" s="413">
        <v>109288.7</v>
      </c>
      <c r="Q57" s="59" t="s">
        <v>10625</v>
      </c>
      <c r="R57" s="413">
        <v>3114.58</v>
      </c>
      <c r="S57" s="413">
        <v>479</v>
      </c>
      <c r="U57" s="277" t="s">
        <v>5344</v>
      </c>
      <c r="V57" s="413">
        <v>8956650.5500000007</v>
      </c>
      <c r="W57" s="413">
        <v>1206918</v>
      </c>
    </row>
    <row r="58" spans="1:23" x14ac:dyDescent="0.25">
      <c r="A58" s="277" t="s">
        <v>4568</v>
      </c>
      <c r="B58" s="413">
        <v>30809061.850000001</v>
      </c>
      <c r="C58" s="413">
        <v>23744.98</v>
      </c>
      <c r="E58" s="277" t="s">
        <v>4588</v>
      </c>
      <c r="F58" s="413">
        <v>73751.23</v>
      </c>
      <c r="G58" s="413">
        <v>22818</v>
      </c>
      <c r="I58" s="277" t="s">
        <v>5050</v>
      </c>
      <c r="J58" s="413">
        <v>20447.599999999999</v>
      </c>
      <c r="K58" s="413">
        <v>8625</v>
      </c>
      <c r="M58" s="18" t="s">
        <v>5092</v>
      </c>
      <c r="N58" s="413">
        <v>431940.9</v>
      </c>
      <c r="O58" s="413">
        <v>108334.34</v>
      </c>
      <c r="Q58" s="59" t="s">
        <v>6731</v>
      </c>
      <c r="R58" s="413">
        <v>1269232</v>
      </c>
      <c r="S58" s="413">
        <v>0</v>
      </c>
      <c r="U58" s="277" t="s">
        <v>4565</v>
      </c>
      <c r="V58" s="413">
        <v>1413191.47</v>
      </c>
      <c r="W58" s="413">
        <v>1174799.28</v>
      </c>
    </row>
    <row r="59" spans="1:23" x14ac:dyDescent="0.25">
      <c r="A59" s="277" t="s">
        <v>4380</v>
      </c>
      <c r="B59" s="413">
        <v>118388.95</v>
      </c>
      <c r="C59" s="413">
        <v>23563.21</v>
      </c>
      <c r="E59" s="277" t="s">
        <v>4891</v>
      </c>
      <c r="F59" s="413">
        <v>28695</v>
      </c>
      <c r="G59" s="413">
        <v>21282.55</v>
      </c>
      <c r="I59" s="277" t="s">
        <v>4993</v>
      </c>
      <c r="J59" s="413">
        <v>24251.94</v>
      </c>
      <c r="K59" s="413">
        <v>8521</v>
      </c>
      <c r="M59" s="59" t="s">
        <v>10688</v>
      </c>
      <c r="N59" s="413">
        <v>304204.98</v>
      </c>
      <c r="O59" s="413">
        <v>103368</v>
      </c>
      <c r="Q59" s="59" t="s">
        <v>7504</v>
      </c>
      <c r="R59" s="413">
        <v>1162672</v>
      </c>
      <c r="S59" s="413">
        <v>0</v>
      </c>
      <c r="U59" s="59" t="s">
        <v>7607</v>
      </c>
      <c r="V59" s="413">
        <v>2989482.59</v>
      </c>
      <c r="W59" s="413">
        <v>1169492</v>
      </c>
    </row>
    <row r="60" spans="1:23" x14ac:dyDescent="0.25">
      <c r="A60" s="277" t="s">
        <v>4619</v>
      </c>
      <c r="B60" s="413">
        <v>38362.25</v>
      </c>
      <c r="C60" s="413">
        <v>23091.82</v>
      </c>
      <c r="E60" s="277" t="s">
        <v>5187</v>
      </c>
      <c r="F60" s="413">
        <v>32425.53</v>
      </c>
      <c r="G60" s="413">
        <v>20669.940000000002</v>
      </c>
      <c r="I60" s="59" t="s">
        <v>7612</v>
      </c>
      <c r="J60" s="413">
        <v>43258.83</v>
      </c>
      <c r="K60" s="413">
        <v>8515.5</v>
      </c>
      <c r="M60" s="18" t="s">
        <v>7514</v>
      </c>
      <c r="N60" s="413">
        <v>94049.42</v>
      </c>
      <c r="O60" s="413">
        <v>94038</v>
      </c>
      <c r="Q60" s="277" t="s">
        <v>5410</v>
      </c>
      <c r="R60" s="413">
        <v>5473.37</v>
      </c>
      <c r="S60" s="413">
        <v>0</v>
      </c>
      <c r="U60" s="277" t="s">
        <v>10659</v>
      </c>
      <c r="V60" s="413">
        <v>10697807.74</v>
      </c>
      <c r="W60" s="413">
        <v>1105481.8899999999</v>
      </c>
    </row>
    <row r="61" spans="1:23" x14ac:dyDescent="0.25">
      <c r="A61" s="277" t="s">
        <v>5379</v>
      </c>
      <c r="B61" s="413">
        <v>83796.350000000006</v>
      </c>
      <c r="C61" s="413">
        <v>22456.23</v>
      </c>
      <c r="E61" s="277" t="s">
        <v>4774</v>
      </c>
      <c r="F61" s="413">
        <v>56804.12</v>
      </c>
      <c r="G61" s="413">
        <v>17585</v>
      </c>
      <c r="I61" s="277" t="s">
        <v>4819</v>
      </c>
      <c r="J61" s="413">
        <v>137780.81</v>
      </c>
      <c r="K61" s="413">
        <v>7109</v>
      </c>
      <c r="M61" s="59" t="s">
        <v>7511</v>
      </c>
      <c r="N61" s="413">
        <v>96686.67</v>
      </c>
      <c r="O61" s="413">
        <v>85803.98000000001</v>
      </c>
      <c r="U61" s="277" t="s">
        <v>8567</v>
      </c>
      <c r="V61" s="413">
        <v>1052742</v>
      </c>
      <c r="W61" s="413">
        <v>980253.32</v>
      </c>
    </row>
    <row r="62" spans="1:23" x14ac:dyDescent="0.25">
      <c r="A62" s="277" t="s">
        <v>10737</v>
      </c>
      <c r="B62" s="413">
        <v>64511.17</v>
      </c>
      <c r="C62" s="413">
        <v>19681.75</v>
      </c>
      <c r="E62" s="59" t="s">
        <v>10748</v>
      </c>
      <c r="F62" s="413">
        <v>31327.699999999997</v>
      </c>
      <c r="G62" s="413">
        <v>12819.53</v>
      </c>
      <c r="I62" s="277" t="s">
        <v>4759</v>
      </c>
      <c r="J62" s="413">
        <v>41573.86</v>
      </c>
      <c r="K62" s="413">
        <v>6424</v>
      </c>
      <c r="M62" s="18" t="s">
        <v>8580</v>
      </c>
      <c r="N62" s="413">
        <v>542865</v>
      </c>
      <c r="O62" s="413">
        <v>73121.41</v>
      </c>
      <c r="U62" s="59" t="s">
        <v>7547</v>
      </c>
      <c r="V62" s="413">
        <v>2206711.91</v>
      </c>
      <c r="W62" s="413">
        <v>950736.47</v>
      </c>
    </row>
    <row r="63" spans="1:23" x14ac:dyDescent="0.25">
      <c r="A63" s="18" t="s">
        <v>8948</v>
      </c>
      <c r="B63" s="413">
        <v>536672.17000000004</v>
      </c>
      <c r="C63" s="413">
        <v>19150</v>
      </c>
      <c r="E63" s="277" t="s">
        <v>4737</v>
      </c>
      <c r="F63" s="413">
        <v>99550</v>
      </c>
      <c r="G63" s="413">
        <v>12536.13</v>
      </c>
      <c r="I63" s="18" t="s">
        <v>8528</v>
      </c>
      <c r="J63" s="413">
        <v>13568.11</v>
      </c>
      <c r="K63" s="413">
        <v>6321.88</v>
      </c>
      <c r="M63" s="59" t="s">
        <v>7513</v>
      </c>
      <c r="N63" s="413">
        <v>91654</v>
      </c>
      <c r="O63" s="413">
        <v>67395.5</v>
      </c>
      <c r="U63" s="277" t="s">
        <v>8460</v>
      </c>
      <c r="V63" s="413">
        <v>1783518.46</v>
      </c>
      <c r="W63" s="413">
        <v>819065.15</v>
      </c>
    </row>
    <row r="64" spans="1:23" x14ac:dyDescent="0.25">
      <c r="A64" s="277" t="s">
        <v>8519</v>
      </c>
      <c r="B64" s="413">
        <v>81191</v>
      </c>
      <c r="C64" s="413">
        <v>15514.9</v>
      </c>
      <c r="E64" s="277" t="s">
        <v>4711</v>
      </c>
      <c r="F64" s="413">
        <v>192986</v>
      </c>
      <c r="G64" s="413">
        <v>12074.88</v>
      </c>
      <c r="I64" s="277" t="s">
        <v>5315</v>
      </c>
      <c r="J64" s="413">
        <v>47644.68</v>
      </c>
      <c r="K64" s="413">
        <v>6123</v>
      </c>
      <c r="M64" s="18" t="s">
        <v>4816</v>
      </c>
      <c r="N64" s="413">
        <v>132002</v>
      </c>
      <c r="O64" s="413">
        <v>62884.320000000007</v>
      </c>
      <c r="U64" s="18" t="s">
        <v>8461</v>
      </c>
      <c r="V64" s="413">
        <v>856984.95</v>
      </c>
      <c r="W64" s="413">
        <v>777278.37999999989</v>
      </c>
    </row>
    <row r="65" spans="1:23" x14ac:dyDescent="0.25">
      <c r="A65" s="277" t="s">
        <v>4753</v>
      </c>
      <c r="B65" s="413">
        <v>89692.4</v>
      </c>
      <c r="C65" s="413">
        <v>15098.5</v>
      </c>
      <c r="E65" s="277" t="s">
        <v>8741</v>
      </c>
      <c r="F65" s="413">
        <v>21470</v>
      </c>
      <c r="G65" s="413">
        <v>10783.8</v>
      </c>
      <c r="I65" s="277" t="s">
        <v>4658</v>
      </c>
      <c r="J65" s="413">
        <v>193034.37</v>
      </c>
      <c r="K65" s="413">
        <v>1776</v>
      </c>
      <c r="M65" s="18" t="s">
        <v>4487</v>
      </c>
      <c r="N65" s="413">
        <v>1282556.8399999999</v>
      </c>
      <c r="O65" s="413">
        <v>62643.93</v>
      </c>
      <c r="U65" s="18" t="s">
        <v>8521</v>
      </c>
      <c r="V65" s="413">
        <v>2034806.6</v>
      </c>
      <c r="W65" s="413">
        <v>776860.54</v>
      </c>
    </row>
    <row r="66" spans="1:23" x14ac:dyDescent="0.25">
      <c r="A66" s="277" t="s">
        <v>8480</v>
      </c>
      <c r="B66" s="413">
        <v>34736</v>
      </c>
      <c r="C66" s="413">
        <v>14721</v>
      </c>
      <c r="E66" s="277" t="s">
        <v>4649</v>
      </c>
      <c r="F66" s="413">
        <v>17347.27</v>
      </c>
      <c r="G66" s="413">
        <v>6344</v>
      </c>
      <c r="I66" s="277" t="s">
        <v>8577</v>
      </c>
      <c r="J66" s="413">
        <v>6500</v>
      </c>
      <c r="K66" s="413">
        <v>1559</v>
      </c>
      <c r="M66" s="59" t="s">
        <v>7549</v>
      </c>
      <c r="N66" s="413">
        <v>112547.86</v>
      </c>
      <c r="O66" s="413">
        <v>45224.62</v>
      </c>
      <c r="U66" s="18" t="s">
        <v>8556</v>
      </c>
      <c r="V66" s="413">
        <v>4536195.21</v>
      </c>
      <c r="W66" s="413">
        <v>754766.23</v>
      </c>
    </row>
    <row r="67" spans="1:23" x14ac:dyDescent="0.25">
      <c r="A67" s="277" t="s">
        <v>5395</v>
      </c>
      <c r="B67" s="413">
        <v>156075.24</v>
      </c>
      <c r="C67" s="413">
        <v>13976.33</v>
      </c>
      <c r="E67" s="277" t="s">
        <v>4370</v>
      </c>
      <c r="F67" s="413">
        <v>74044.209999999992</v>
      </c>
      <c r="G67" s="413">
        <v>5465</v>
      </c>
      <c r="I67" s="277" t="s">
        <v>5069</v>
      </c>
      <c r="J67" s="413">
        <v>77222.789999999994</v>
      </c>
      <c r="K67" s="413">
        <v>0</v>
      </c>
      <c r="M67" s="18" t="s">
        <v>5335</v>
      </c>
      <c r="N67" s="413">
        <v>4315587.43</v>
      </c>
      <c r="O67" s="413">
        <v>43604</v>
      </c>
      <c r="U67" s="277" t="s">
        <v>8492</v>
      </c>
      <c r="V67" s="413">
        <v>879276.97</v>
      </c>
      <c r="W67" s="413">
        <v>749857.61</v>
      </c>
    </row>
    <row r="68" spans="1:23" x14ac:dyDescent="0.25">
      <c r="A68" s="277" t="s">
        <v>8499</v>
      </c>
      <c r="B68" s="413">
        <v>75750</v>
      </c>
      <c r="C68" s="413">
        <v>13890</v>
      </c>
      <c r="E68" s="277" t="s">
        <v>4453</v>
      </c>
      <c r="F68" s="413">
        <v>6853.51</v>
      </c>
      <c r="G68" s="413">
        <v>4792.9399999999996</v>
      </c>
      <c r="I68" s="277" t="s">
        <v>10716</v>
      </c>
      <c r="J68" s="413">
        <v>64531.48</v>
      </c>
      <c r="K68" s="413">
        <v>0</v>
      </c>
      <c r="M68" s="18" t="s">
        <v>5034</v>
      </c>
      <c r="N68" s="413">
        <v>928077.31</v>
      </c>
      <c r="O68" s="413">
        <v>39750</v>
      </c>
      <c r="U68" s="277" t="s">
        <v>8585</v>
      </c>
      <c r="V68" s="413">
        <v>6108444.5599999996</v>
      </c>
      <c r="W68" s="413">
        <v>743327.49</v>
      </c>
    </row>
    <row r="69" spans="1:23" x14ac:dyDescent="0.25">
      <c r="A69" s="277" t="s">
        <v>5107</v>
      </c>
      <c r="B69" s="413">
        <v>18096.48</v>
      </c>
      <c r="C69" s="413">
        <v>13631.05</v>
      </c>
      <c r="E69" s="59" t="s">
        <v>7575</v>
      </c>
      <c r="F69" s="413">
        <v>14386</v>
      </c>
      <c r="G69" s="413">
        <v>4396.92</v>
      </c>
      <c r="I69" s="277" t="s">
        <v>4318</v>
      </c>
      <c r="J69" s="413">
        <v>19085</v>
      </c>
      <c r="K69" s="413">
        <v>0</v>
      </c>
      <c r="M69" s="18" t="s">
        <v>4756</v>
      </c>
      <c r="N69" s="413">
        <v>162625.68</v>
      </c>
      <c r="O69" s="413">
        <v>35751.300000000003</v>
      </c>
      <c r="U69" s="277" t="s">
        <v>10532</v>
      </c>
      <c r="V69" s="413">
        <v>1548943</v>
      </c>
      <c r="W69" s="413">
        <v>621751.94999999995</v>
      </c>
    </row>
    <row r="70" spans="1:23" x14ac:dyDescent="0.25">
      <c r="A70" s="277" t="s">
        <v>5044</v>
      </c>
      <c r="B70" s="413">
        <v>347201.7</v>
      </c>
      <c r="C70" s="413">
        <v>12000</v>
      </c>
      <c r="E70" s="277" t="s">
        <v>10940</v>
      </c>
      <c r="F70" s="413">
        <v>11930.91</v>
      </c>
      <c r="G70" s="413">
        <v>4025.28</v>
      </c>
      <c r="I70" s="277" t="s">
        <v>8588</v>
      </c>
      <c r="J70" s="413">
        <v>14202.82</v>
      </c>
      <c r="K70" s="413">
        <v>0</v>
      </c>
      <c r="M70" s="59" t="s">
        <v>7610</v>
      </c>
      <c r="N70" s="413">
        <v>86454.510000000009</v>
      </c>
      <c r="O70" s="413">
        <v>27990.81</v>
      </c>
      <c r="U70" s="277" t="s">
        <v>10778</v>
      </c>
      <c r="V70" s="413">
        <v>1194554.3999999999</v>
      </c>
      <c r="W70" s="413">
        <v>607372.78</v>
      </c>
    </row>
    <row r="71" spans="1:23" x14ac:dyDescent="0.25">
      <c r="A71" s="277" t="s">
        <v>5120</v>
      </c>
      <c r="B71" s="413">
        <v>72517.990000000005</v>
      </c>
      <c r="C71" s="413">
        <v>10402.370000000001</v>
      </c>
      <c r="E71" s="277" t="s">
        <v>8586</v>
      </c>
      <c r="F71" s="413">
        <v>1659445</v>
      </c>
      <c r="G71" s="413">
        <v>2306.89</v>
      </c>
      <c r="I71" s="59" t="s">
        <v>7618</v>
      </c>
      <c r="J71" s="413">
        <v>9206.0499999999993</v>
      </c>
      <c r="K71" s="413">
        <v>0</v>
      </c>
      <c r="M71" s="18" t="s">
        <v>10738</v>
      </c>
      <c r="N71" s="413">
        <v>124470.12</v>
      </c>
      <c r="O71" s="413">
        <v>24466.82</v>
      </c>
      <c r="U71" s="277" t="s">
        <v>8589</v>
      </c>
      <c r="V71" s="413">
        <v>695854.38</v>
      </c>
      <c r="W71" s="413">
        <v>573898.73</v>
      </c>
    </row>
    <row r="72" spans="1:23" x14ac:dyDescent="0.25">
      <c r="A72" s="277" t="s">
        <v>4856</v>
      </c>
      <c r="B72" s="413">
        <v>41673</v>
      </c>
      <c r="C72" s="413">
        <v>10185</v>
      </c>
      <c r="E72" s="277" t="s">
        <v>8247</v>
      </c>
      <c r="F72" s="413">
        <v>2614.77</v>
      </c>
      <c r="G72" s="413">
        <v>887.1</v>
      </c>
      <c r="I72" s="59" t="s">
        <v>7532</v>
      </c>
      <c r="J72" s="413">
        <v>7227.4</v>
      </c>
      <c r="K72" s="413">
        <v>0</v>
      </c>
      <c r="M72" s="18" t="s">
        <v>10779</v>
      </c>
      <c r="N72" s="413">
        <v>437466.52</v>
      </c>
      <c r="O72" s="413">
        <v>22189</v>
      </c>
      <c r="U72" s="277" t="s">
        <v>8466</v>
      </c>
      <c r="V72" s="413">
        <v>2183026.4900000002</v>
      </c>
      <c r="W72" s="413">
        <v>564100.92000000004</v>
      </c>
    </row>
    <row r="73" spans="1:23" x14ac:dyDescent="0.25">
      <c r="A73" s="277" t="s">
        <v>4598</v>
      </c>
      <c r="B73" s="413">
        <v>14450</v>
      </c>
      <c r="C73" s="413">
        <v>8228</v>
      </c>
      <c r="E73" s="277" t="s">
        <v>8673</v>
      </c>
      <c r="F73" s="413">
        <v>41404.5</v>
      </c>
      <c r="G73" s="413">
        <v>814.57</v>
      </c>
      <c r="M73" s="18" t="s">
        <v>8606</v>
      </c>
      <c r="N73" s="413">
        <v>93006.7</v>
      </c>
      <c r="O73" s="413">
        <v>21616</v>
      </c>
      <c r="U73" s="277" t="s">
        <v>5164</v>
      </c>
      <c r="V73" s="413">
        <v>1563260.3</v>
      </c>
      <c r="W73" s="413">
        <v>539153.05000000005</v>
      </c>
    </row>
    <row r="74" spans="1:23" x14ac:dyDescent="0.25">
      <c r="A74" s="277" t="s">
        <v>5240</v>
      </c>
      <c r="B74" s="413">
        <v>16160.11</v>
      </c>
      <c r="C74" s="413">
        <v>7710</v>
      </c>
      <c r="E74" s="277" t="s">
        <v>8538</v>
      </c>
      <c r="F74" s="413">
        <v>225.36</v>
      </c>
      <c r="G74" s="413">
        <v>215.46</v>
      </c>
      <c r="M74" s="59" t="s">
        <v>7515</v>
      </c>
      <c r="N74" s="413">
        <v>67332.399999999994</v>
      </c>
      <c r="O74" s="413">
        <v>15306.08</v>
      </c>
      <c r="U74" s="277" t="s">
        <v>5401</v>
      </c>
      <c r="V74" s="413">
        <v>1612283.42</v>
      </c>
      <c r="W74" s="413">
        <v>427384</v>
      </c>
    </row>
    <row r="75" spans="1:23" x14ac:dyDescent="0.25">
      <c r="A75" s="18" t="s">
        <v>8667</v>
      </c>
      <c r="B75" s="413">
        <v>86580</v>
      </c>
      <c r="C75" s="413">
        <v>6485.2</v>
      </c>
      <c r="E75" s="18" t="s">
        <v>8762</v>
      </c>
      <c r="F75" s="413">
        <v>241753</v>
      </c>
      <c r="G75" s="413">
        <v>0</v>
      </c>
      <c r="M75" s="18" t="s">
        <v>10639</v>
      </c>
      <c r="N75" s="413">
        <v>2162690.3199999998</v>
      </c>
      <c r="O75" s="413">
        <v>11745</v>
      </c>
      <c r="U75" s="277" t="s">
        <v>8651</v>
      </c>
      <c r="V75" s="413">
        <v>1415364.75</v>
      </c>
      <c r="W75" s="413">
        <v>404171.86</v>
      </c>
    </row>
    <row r="76" spans="1:23" x14ac:dyDescent="0.25">
      <c r="A76" s="277" t="s">
        <v>4395</v>
      </c>
      <c r="B76" s="413">
        <v>71586.67</v>
      </c>
      <c r="C76" s="413">
        <v>5840.74</v>
      </c>
      <c r="E76" s="277" t="s">
        <v>4307</v>
      </c>
      <c r="F76" s="413">
        <v>205505.86</v>
      </c>
      <c r="G76" s="413">
        <v>0</v>
      </c>
      <c r="M76" s="18" t="s">
        <v>5133</v>
      </c>
      <c r="N76" s="413">
        <v>12148.02</v>
      </c>
      <c r="O76" s="413">
        <v>8558.18</v>
      </c>
      <c r="U76" s="277" t="s">
        <v>4746</v>
      </c>
      <c r="V76" s="413">
        <v>995212.56</v>
      </c>
      <c r="W76" s="413">
        <v>391823.67</v>
      </c>
    </row>
    <row r="77" spans="1:23" x14ac:dyDescent="0.25">
      <c r="A77" s="277" t="s">
        <v>4353</v>
      </c>
      <c r="B77" s="413">
        <v>11257.08</v>
      </c>
      <c r="C77" s="413">
        <v>5567.75</v>
      </c>
      <c r="E77" s="277" t="s">
        <v>5161</v>
      </c>
      <c r="F77" s="413">
        <v>200604</v>
      </c>
      <c r="G77" s="413">
        <v>0</v>
      </c>
      <c r="M77" s="18" t="s">
        <v>5370</v>
      </c>
      <c r="N77" s="413">
        <v>24534.44</v>
      </c>
      <c r="O77" s="413">
        <v>8558</v>
      </c>
      <c r="U77" s="277" t="s">
        <v>5101</v>
      </c>
      <c r="V77" s="413">
        <v>3595409.37</v>
      </c>
      <c r="W77" s="413">
        <v>367454.57</v>
      </c>
    </row>
    <row r="78" spans="1:23" x14ac:dyDescent="0.25">
      <c r="A78" s="277" t="s">
        <v>5338</v>
      </c>
      <c r="B78" s="413">
        <v>235022.81</v>
      </c>
      <c r="C78" s="413">
        <v>5500.96</v>
      </c>
      <c r="E78" s="277" t="s">
        <v>8574</v>
      </c>
      <c r="F78" s="413">
        <v>130675</v>
      </c>
      <c r="G78" s="413">
        <v>0</v>
      </c>
      <c r="M78" s="18" t="s">
        <v>4953</v>
      </c>
      <c r="N78" s="413">
        <v>8395</v>
      </c>
      <c r="O78" s="413">
        <v>2488</v>
      </c>
      <c r="U78" s="18" t="s">
        <v>8465</v>
      </c>
      <c r="V78" s="413">
        <v>458458.84</v>
      </c>
      <c r="W78" s="413">
        <v>321351.63</v>
      </c>
    </row>
    <row r="79" spans="1:23" x14ac:dyDescent="0.25">
      <c r="A79" s="277" t="s">
        <v>4671</v>
      </c>
      <c r="B79" s="413">
        <v>10108</v>
      </c>
      <c r="C79" s="413">
        <v>5145.4399999999996</v>
      </c>
      <c r="E79" s="277" t="s">
        <v>5025</v>
      </c>
      <c r="F79" s="413">
        <v>18776</v>
      </c>
      <c r="G79" s="413">
        <v>0</v>
      </c>
      <c r="M79" s="18" t="s">
        <v>8682</v>
      </c>
      <c r="N79" s="413">
        <v>968239.56</v>
      </c>
      <c r="O79" s="413">
        <v>2030.58</v>
      </c>
      <c r="U79" s="18" t="s">
        <v>10652</v>
      </c>
      <c r="V79" s="413">
        <v>6321274</v>
      </c>
      <c r="W79" s="413">
        <v>304826.53000000003</v>
      </c>
    </row>
    <row r="80" spans="1:23" x14ac:dyDescent="0.25">
      <c r="A80" s="277" t="s">
        <v>4333</v>
      </c>
      <c r="B80" s="413">
        <v>172300.38</v>
      </c>
      <c r="C80" s="413">
        <v>5134.5</v>
      </c>
      <c r="E80" s="277" t="s">
        <v>5130</v>
      </c>
      <c r="F80" s="413">
        <v>15429</v>
      </c>
      <c r="G80" s="413">
        <v>0</v>
      </c>
      <c r="M80" s="18" t="s">
        <v>10645</v>
      </c>
      <c r="N80" s="413">
        <v>14725</v>
      </c>
      <c r="O80" s="413">
        <v>1456</v>
      </c>
      <c r="U80" s="277" t="s">
        <v>5278</v>
      </c>
      <c r="V80" s="413">
        <v>917351.15999999992</v>
      </c>
      <c r="W80" s="413">
        <v>303249.44</v>
      </c>
    </row>
    <row r="81" spans="1:23" x14ac:dyDescent="0.25">
      <c r="A81" s="277" t="s">
        <v>4792</v>
      </c>
      <c r="B81" s="413">
        <v>16225.58</v>
      </c>
      <c r="C81" s="413">
        <v>5040</v>
      </c>
      <c r="E81" s="277" t="s">
        <v>8482</v>
      </c>
      <c r="F81" s="413">
        <v>1684.1599999999999</v>
      </c>
      <c r="G81" s="413">
        <v>0</v>
      </c>
      <c r="M81" s="18" t="s">
        <v>5181</v>
      </c>
      <c r="N81" s="413">
        <v>4364</v>
      </c>
      <c r="O81" s="413">
        <v>1172.28</v>
      </c>
      <c r="U81" s="18" t="s">
        <v>10790</v>
      </c>
      <c r="V81" s="413">
        <v>1064839.17</v>
      </c>
      <c r="W81" s="413">
        <v>301376</v>
      </c>
    </row>
    <row r="82" spans="1:23" x14ac:dyDescent="0.25">
      <c r="A82" s="59" t="s">
        <v>7574</v>
      </c>
      <c r="B82" s="413">
        <v>65378.400000000001</v>
      </c>
      <c r="C82" s="413">
        <v>4612.3100000000004</v>
      </c>
      <c r="E82" s="277" t="s">
        <v>4292</v>
      </c>
      <c r="F82" s="413">
        <v>797</v>
      </c>
      <c r="G82" s="413">
        <v>0</v>
      </c>
      <c r="M82" s="18" t="s">
        <v>5031</v>
      </c>
      <c r="N82" s="413">
        <v>7159.93</v>
      </c>
      <c r="O82" s="413">
        <v>1149.07</v>
      </c>
      <c r="U82" s="277" t="s">
        <v>4699</v>
      </c>
      <c r="V82" s="413">
        <v>950986.16</v>
      </c>
      <c r="W82" s="413">
        <v>280729.78000000003</v>
      </c>
    </row>
    <row r="83" spans="1:23" x14ac:dyDescent="0.25">
      <c r="A83" s="59" t="s">
        <v>7564</v>
      </c>
      <c r="B83" s="413">
        <v>17561.87</v>
      </c>
      <c r="C83" s="413">
        <v>3709</v>
      </c>
      <c r="M83" s="18" t="s">
        <v>10437</v>
      </c>
      <c r="N83" s="413">
        <v>345280.15</v>
      </c>
      <c r="O83" s="413">
        <v>717</v>
      </c>
      <c r="U83" s="277" t="s">
        <v>8615</v>
      </c>
      <c r="V83" s="413">
        <v>812129</v>
      </c>
      <c r="W83" s="413">
        <v>263254</v>
      </c>
    </row>
    <row r="84" spans="1:23" x14ac:dyDescent="0.25">
      <c r="A84" s="277" t="s">
        <v>5225</v>
      </c>
      <c r="B84" s="413">
        <v>18065</v>
      </c>
      <c r="C84" s="413">
        <v>3097.25</v>
      </c>
      <c r="M84" s="18" t="s">
        <v>10644</v>
      </c>
      <c r="N84" s="413">
        <v>5960.49</v>
      </c>
      <c r="O84" s="413">
        <v>501</v>
      </c>
      <c r="U84" s="59" t="s">
        <v>10789</v>
      </c>
      <c r="V84" s="413">
        <v>283211.59999999998</v>
      </c>
      <c r="W84" s="413">
        <v>254025.37</v>
      </c>
    </row>
    <row r="85" spans="1:23" x14ac:dyDescent="0.25">
      <c r="A85" s="59" t="s">
        <v>7542</v>
      </c>
      <c r="B85" s="413">
        <v>3439.66</v>
      </c>
      <c r="C85" s="413">
        <v>2280</v>
      </c>
      <c r="M85" s="18" t="s">
        <v>8540</v>
      </c>
      <c r="N85" s="413">
        <v>76.48</v>
      </c>
      <c r="O85" s="413">
        <v>50.86</v>
      </c>
      <c r="U85" s="277" t="s">
        <v>7521</v>
      </c>
      <c r="V85" s="413">
        <v>253129.54</v>
      </c>
      <c r="W85" s="413">
        <v>247607.96000000002</v>
      </c>
    </row>
    <row r="86" spans="1:23" x14ac:dyDescent="0.25">
      <c r="A86" s="277" t="s">
        <v>4762</v>
      </c>
      <c r="B86" s="413">
        <v>41116.78</v>
      </c>
      <c r="C86" s="413">
        <v>1898</v>
      </c>
      <c r="M86" s="59" t="s">
        <v>7579</v>
      </c>
      <c r="N86" s="413">
        <v>558071.72</v>
      </c>
      <c r="O86" s="413">
        <v>0</v>
      </c>
      <c r="U86" s="18" t="s">
        <v>8573</v>
      </c>
      <c r="V86" s="413">
        <v>2700049.83</v>
      </c>
      <c r="W86" s="413">
        <v>244266.4</v>
      </c>
    </row>
    <row r="87" spans="1:23" x14ac:dyDescent="0.25">
      <c r="A87" s="277" t="s">
        <v>8469</v>
      </c>
      <c r="B87" s="413">
        <v>80197</v>
      </c>
      <c r="C87" s="413">
        <v>1746.74</v>
      </c>
      <c r="M87" s="18" t="s">
        <v>5263</v>
      </c>
      <c r="N87" s="413">
        <v>186136.88</v>
      </c>
      <c r="O87" s="413">
        <v>0</v>
      </c>
      <c r="U87" s="277" t="s">
        <v>4429</v>
      </c>
      <c r="V87" s="413">
        <v>297433.40000000002</v>
      </c>
      <c r="W87" s="413">
        <v>226838.47</v>
      </c>
    </row>
    <row r="88" spans="1:23" x14ac:dyDescent="0.25">
      <c r="A88" s="277" t="s">
        <v>5072</v>
      </c>
      <c r="B88" s="413">
        <v>1198681.72</v>
      </c>
      <c r="C88" s="413">
        <v>1667</v>
      </c>
      <c r="M88" s="18" t="s">
        <v>4583</v>
      </c>
      <c r="N88" s="413">
        <v>120738.98000000001</v>
      </c>
      <c r="O88" s="413">
        <v>0</v>
      </c>
      <c r="U88" s="59" t="s">
        <v>7533</v>
      </c>
      <c r="V88" s="413">
        <v>2973692.22</v>
      </c>
      <c r="W88" s="413">
        <v>225351</v>
      </c>
    </row>
    <row r="89" spans="1:23" x14ac:dyDescent="0.25">
      <c r="A89" s="277" t="s">
        <v>4795</v>
      </c>
      <c r="B89" s="413">
        <v>2051.91</v>
      </c>
      <c r="C89" s="413">
        <v>1422.63</v>
      </c>
      <c r="M89" s="18" t="s">
        <v>8716</v>
      </c>
      <c r="N89" s="413">
        <v>17457.89</v>
      </c>
      <c r="O89" s="413">
        <v>0</v>
      </c>
      <c r="U89" s="277" t="s">
        <v>8596</v>
      </c>
      <c r="V89" s="413">
        <v>260508.25</v>
      </c>
      <c r="W89" s="413">
        <v>222748.44</v>
      </c>
    </row>
    <row r="90" spans="1:23" x14ac:dyDescent="0.25">
      <c r="A90" s="59" t="s">
        <v>7551</v>
      </c>
      <c r="B90" s="413">
        <v>385918.25</v>
      </c>
      <c r="C90" s="413">
        <v>1416.0300000000002</v>
      </c>
      <c r="M90" s="412"/>
      <c r="U90" s="59" t="s">
        <v>7543</v>
      </c>
      <c r="V90" s="413">
        <v>1918485</v>
      </c>
      <c r="W90" s="413">
        <v>221077.44</v>
      </c>
    </row>
    <row r="91" spans="1:23" x14ac:dyDescent="0.25">
      <c r="A91" s="277" t="s">
        <v>8539</v>
      </c>
      <c r="B91" s="413">
        <v>30560.47</v>
      </c>
      <c r="C91" s="413">
        <v>997.5</v>
      </c>
      <c r="M91" s="412"/>
      <c r="U91" s="277" t="s">
        <v>5191</v>
      </c>
      <c r="V91" s="413">
        <v>13072867.09</v>
      </c>
      <c r="W91" s="413">
        <v>205357</v>
      </c>
    </row>
    <row r="92" spans="1:23" x14ac:dyDescent="0.25">
      <c r="A92" s="277" t="s">
        <v>8506</v>
      </c>
      <c r="B92" s="413">
        <v>16023.009999999998</v>
      </c>
      <c r="C92" s="413">
        <v>411.7</v>
      </c>
      <c r="M92" s="412"/>
      <c r="U92" s="277" t="s">
        <v>10660</v>
      </c>
      <c r="V92" s="413">
        <v>9745565.5199999996</v>
      </c>
      <c r="W92" s="413">
        <v>182470</v>
      </c>
    </row>
    <row r="93" spans="1:23" x14ac:dyDescent="0.25">
      <c r="A93" s="59" t="s">
        <v>7577</v>
      </c>
      <c r="B93" s="413">
        <v>8962.4</v>
      </c>
      <c r="C93" s="413">
        <v>336.6</v>
      </c>
      <c r="M93" s="412"/>
      <c r="U93" s="59" t="s">
        <v>7502</v>
      </c>
      <c r="V93" s="413">
        <v>486053.75</v>
      </c>
      <c r="W93" s="413">
        <v>177040</v>
      </c>
    </row>
    <row r="94" spans="1:23" x14ac:dyDescent="0.25">
      <c r="A94" s="277" t="s">
        <v>4330</v>
      </c>
      <c r="B94" s="413">
        <v>2476861.79</v>
      </c>
      <c r="C94" s="413">
        <v>234</v>
      </c>
      <c r="M94" s="412"/>
      <c r="U94" s="277" t="s">
        <v>10661</v>
      </c>
      <c r="V94" s="413">
        <v>340877.48</v>
      </c>
      <c r="W94" s="413">
        <v>160500</v>
      </c>
    </row>
    <row r="95" spans="1:23" x14ac:dyDescent="0.25">
      <c r="A95" s="277" t="s">
        <v>4315</v>
      </c>
      <c r="B95" s="413">
        <v>4150.33</v>
      </c>
      <c r="C95" s="413">
        <v>147.19999999999999</v>
      </c>
      <c r="M95" s="412"/>
      <c r="U95" s="277" t="s">
        <v>4506</v>
      </c>
      <c r="V95" s="413">
        <v>1218651.21</v>
      </c>
      <c r="W95" s="413">
        <v>159010</v>
      </c>
    </row>
    <row r="96" spans="1:23" x14ac:dyDescent="0.25">
      <c r="A96" s="277" t="s">
        <v>5155</v>
      </c>
      <c r="B96" s="413">
        <v>727910.44</v>
      </c>
      <c r="C96" s="413">
        <v>0</v>
      </c>
      <c r="M96" s="412"/>
      <c r="U96" s="277" t="s">
        <v>10484</v>
      </c>
      <c r="V96" s="413">
        <v>473049.63</v>
      </c>
      <c r="W96" s="413">
        <v>150638</v>
      </c>
    </row>
    <row r="97" spans="1:23" x14ac:dyDescent="0.25">
      <c r="A97" s="59" t="s">
        <v>7510</v>
      </c>
      <c r="B97" s="413">
        <v>454779.1</v>
      </c>
      <c r="C97" s="413">
        <v>0</v>
      </c>
      <c r="M97" s="412"/>
      <c r="U97" s="277" t="s">
        <v>4625</v>
      </c>
      <c r="V97" s="413">
        <v>246124.82</v>
      </c>
      <c r="W97" s="413">
        <v>130758.99</v>
      </c>
    </row>
    <row r="98" spans="1:23" x14ac:dyDescent="0.25">
      <c r="A98" s="277" t="s">
        <v>4933</v>
      </c>
      <c r="B98" s="413">
        <v>236015.78</v>
      </c>
      <c r="C98" s="413">
        <v>0</v>
      </c>
      <c r="M98" s="412"/>
      <c r="U98" s="59" t="s">
        <v>10495</v>
      </c>
      <c r="V98" s="413">
        <v>1538925</v>
      </c>
      <c r="W98" s="413">
        <v>122718.68</v>
      </c>
    </row>
    <row r="99" spans="1:23" x14ac:dyDescent="0.25">
      <c r="A99" s="277" t="s">
        <v>5269</v>
      </c>
      <c r="B99" s="413">
        <v>142657.67000000001</v>
      </c>
      <c r="C99" s="413">
        <v>0</v>
      </c>
      <c r="M99" s="412"/>
      <c r="U99" s="277" t="s">
        <v>8520</v>
      </c>
      <c r="V99" s="413">
        <v>214183.14</v>
      </c>
      <c r="W99" s="413">
        <v>122643</v>
      </c>
    </row>
    <row r="100" spans="1:23" x14ac:dyDescent="0.25">
      <c r="A100" s="277" t="s">
        <v>4831</v>
      </c>
      <c r="B100" s="413">
        <v>137471.13</v>
      </c>
      <c r="C100" s="413">
        <v>0</v>
      </c>
      <c r="M100" s="412"/>
      <c r="U100" s="277" t="s">
        <v>5008</v>
      </c>
      <c r="V100" s="413">
        <v>396501.1</v>
      </c>
      <c r="W100" s="413">
        <v>116762.1</v>
      </c>
    </row>
    <row r="101" spans="1:23" x14ac:dyDescent="0.25">
      <c r="A101" s="277" t="s">
        <v>5266</v>
      </c>
      <c r="B101" s="413">
        <v>63148</v>
      </c>
      <c r="C101" s="413">
        <v>0</v>
      </c>
      <c r="M101" s="412"/>
      <c r="U101" s="59" t="s">
        <v>10528</v>
      </c>
      <c r="V101" s="413">
        <v>118603</v>
      </c>
      <c r="W101" s="413">
        <v>112536.1</v>
      </c>
    </row>
    <row r="102" spans="1:23" x14ac:dyDescent="0.25">
      <c r="A102" s="18" t="s">
        <v>8690</v>
      </c>
      <c r="B102" s="413">
        <v>61483.7</v>
      </c>
      <c r="C102" s="413">
        <v>0</v>
      </c>
      <c r="M102" s="412"/>
      <c r="U102" s="59" t="s">
        <v>7584</v>
      </c>
      <c r="V102" s="413">
        <v>4570593.8</v>
      </c>
      <c r="W102" s="413">
        <v>106141</v>
      </c>
    </row>
    <row r="103" spans="1:23" x14ac:dyDescent="0.25">
      <c r="A103" s="277" t="s">
        <v>4915</v>
      </c>
      <c r="B103" s="413">
        <v>38030.339999999997</v>
      </c>
      <c r="C103" s="413">
        <v>0</v>
      </c>
      <c r="M103" s="412"/>
      <c r="U103" s="59" t="s">
        <v>7616</v>
      </c>
      <c r="V103" s="413">
        <v>191224.82</v>
      </c>
      <c r="W103" s="413">
        <v>102970</v>
      </c>
    </row>
    <row r="104" spans="1:23" x14ac:dyDescent="0.25">
      <c r="A104" s="277" t="s">
        <v>4562</v>
      </c>
      <c r="B104" s="413">
        <v>23954</v>
      </c>
      <c r="C104" s="413">
        <v>0</v>
      </c>
      <c r="M104" s="412"/>
      <c r="U104" s="277" t="s">
        <v>10762</v>
      </c>
      <c r="V104" s="413">
        <v>262921</v>
      </c>
      <c r="W104" s="413">
        <v>98481.919999999998</v>
      </c>
    </row>
    <row r="105" spans="1:23" x14ac:dyDescent="0.25">
      <c r="A105" s="59" t="s">
        <v>7558</v>
      </c>
      <c r="B105" s="413">
        <v>14529.95</v>
      </c>
      <c r="C105" s="413">
        <v>0</v>
      </c>
      <c r="M105" s="412"/>
      <c r="U105" s="277" t="s">
        <v>8623</v>
      </c>
      <c r="V105" s="413">
        <v>139148.5</v>
      </c>
      <c r="W105" s="413">
        <v>88800</v>
      </c>
    </row>
    <row r="106" spans="1:23" x14ac:dyDescent="0.25">
      <c r="A106" s="277" t="s">
        <v>4727</v>
      </c>
      <c r="B106" s="413">
        <v>2754.63</v>
      </c>
      <c r="C106" s="413">
        <v>0</v>
      </c>
      <c r="M106" s="412"/>
      <c r="U106" s="277" t="s">
        <v>5353</v>
      </c>
      <c r="V106" s="413">
        <v>170900</v>
      </c>
      <c r="W106" s="413">
        <v>85520.33</v>
      </c>
    </row>
    <row r="107" spans="1:23" x14ac:dyDescent="0.25">
      <c r="A107" s="277" t="s">
        <v>4481</v>
      </c>
      <c r="B107" s="413">
        <v>998.92000000000007</v>
      </c>
      <c r="C107" s="413">
        <v>0</v>
      </c>
      <c r="M107" s="412"/>
      <c r="U107" s="18" t="s">
        <v>10957</v>
      </c>
      <c r="V107" s="413">
        <v>133541.16</v>
      </c>
      <c r="W107" s="413">
        <v>75460.75</v>
      </c>
    </row>
    <row r="108" spans="1:23" x14ac:dyDescent="0.25">
      <c r="M108" s="412"/>
      <c r="U108" s="277" t="s">
        <v>5285</v>
      </c>
      <c r="V108" s="413">
        <v>564417</v>
      </c>
      <c r="W108" s="413">
        <v>64567.199999999997</v>
      </c>
    </row>
    <row r="109" spans="1:23" x14ac:dyDescent="0.25">
      <c r="M109" s="412"/>
      <c r="U109" s="277" t="s">
        <v>8534</v>
      </c>
      <c r="V109" s="413">
        <v>477414.5</v>
      </c>
      <c r="W109" s="413">
        <v>63627.69</v>
      </c>
    </row>
    <row r="110" spans="1:23" x14ac:dyDescent="0.25">
      <c r="M110" s="412"/>
      <c r="U110" s="277" t="s">
        <v>8476</v>
      </c>
      <c r="V110" s="413">
        <v>203102.23</v>
      </c>
      <c r="W110" s="413">
        <v>60664.44</v>
      </c>
    </row>
    <row r="111" spans="1:23" x14ac:dyDescent="0.25">
      <c r="M111" s="412"/>
      <c r="U111" s="59" t="s">
        <v>7603</v>
      </c>
      <c r="V111" s="413">
        <v>53472</v>
      </c>
      <c r="W111" s="413">
        <v>48153.53</v>
      </c>
    </row>
    <row r="112" spans="1:23" x14ac:dyDescent="0.25">
      <c r="M112" s="412"/>
      <c r="U112" s="277" t="s">
        <v>8472</v>
      </c>
      <c r="V112" s="413">
        <v>2818895.64</v>
      </c>
      <c r="W112" s="413">
        <v>48048</v>
      </c>
    </row>
    <row r="113" spans="13:23" x14ac:dyDescent="0.25">
      <c r="M113" s="412"/>
      <c r="U113" s="277" t="s">
        <v>4447</v>
      </c>
      <c r="V113" s="413">
        <v>198570.14</v>
      </c>
      <c r="W113" s="413">
        <v>45468.86</v>
      </c>
    </row>
    <row r="114" spans="13:23" x14ac:dyDescent="0.25">
      <c r="M114" s="412"/>
      <c r="U114" s="277" t="s">
        <v>4550</v>
      </c>
      <c r="V114" s="413">
        <v>6899642.0099999998</v>
      </c>
      <c r="W114" s="413">
        <v>31499.49</v>
      </c>
    </row>
    <row r="115" spans="13:23" x14ac:dyDescent="0.25">
      <c r="M115" s="412"/>
      <c r="U115" s="277" t="s">
        <v>8527</v>
      </c>
      <c r="V115" s="413">
        <v>132993.70000000001</v>
      </c>
      <c r="W115" s="413">
        <v>26878.5</v>
      </c>
    </row>
    <row r="116" spans="13:23" x14ac:dyDescent="0.25">
      <c r="M116" s="412"/>
      <c r="U116" s="277" t="s">
        <v>5296</v>
      </c>
      <c r="V116" s="413">
        <v>175974.71</v>
      </c>
      <c r="W116" s="413">
        <v>10771</v>
      </c>
    </row>
    <row r="117" spans="13:23" x14ac:dyDescent="0.25">
      <c r="M117" s="412"/>
      <c r="U117" s="277" t="s">
        <v>10721</v>
      </c>
      <c r="V117" s="413">
        <v>166176.01</v>
      </c>
      <c r="W117" s="413">
        <v>10207.299999999999</v>
      </c>
    </row>
    <row r="118" spans="13:23" x14ac:dyDescent="0.25">
      <c r="M118" s="412"/>
      <c r="U118" s="277" t="s">
        <v>4950</v>
      </c>
      <c r="V118" s="413">
        <v>18865.5</v>
      </c>
      <c r="W118" s="413">
        <v>8428.34</v>
      </c>
    </row>
    <row r="119" spans="13:23" x14ac:dyDescent="0.25">
      <c r="M119" s="412"/>
      <c r="U119" s="59" t="s">
        <v>7578</v>
      </c>
      <c r="V119" s="413">
        <v>3926958.93</v>
      </c>
      <c r="W119" s="413">
        <v>7112</v>
      </c>
    </row>
    <row r="120" spans="13:23" x14ac:dyDescent="0.25">
      <c r="M120" s="412"/>
      <c r="U120" s="18" t="s">
        <v>8541</v>
      </c>
      <c r="V120" s="413">
        <v>55300.86</v>
      </c>
      <c r="W120" s="413">
        <v>6963</v>
      </c>
    </row>
    <row r="121" spans="13:23" x14ac:dyDescent="0.25">
      <c r="M121" s="412"/>
      <c r="U121" s="59" t="s">
        <v>7527</v>
      </c>
      <c r="V121" s="413">
        <v>2828044.92</v>
      </c>
      <c r="W121" s="413">
        <v>5552.55</v>
      </c>
    </row>
    <row r="122" spans="13:23" x14ac:dyDescent="0.25">
      <c r="M122" s="412"/>
      <c r="U122" s="59" t="s">
        <v>7620</v>
      </c>
      <c r="V122" s="413">
        <v>299241.86</v>
      </c>
      <c r="W122" s="413">
        <v>5128</v>
      </c>
    </row>
    <row r="123" spans="13:23" x14ac:dyDescent="0.25">
      <c r="M123" s="412"/>
      <c r="U123" s="277" t="s">
        <v>10651</v>
      </c>
      <c r="V123" s="413">
        <v>6488425</v>
      </c>
      <c r="W123" s="413">
        <v>2606.73</v>
      </c>
    </row>
    <row r="124" spans="13:23" x14ac:dyDescent="0.25">
      <c r="M124" s="412"/>
      <c r="U124" s="277" t="s">
        <v>5142</v>
      </c>
      <c r="V124" s="413">
        <v>2419.3000000000002</v>
      </c>
      <c r="W124" s="413">
        <v>1792</v>
      </c>
    </row>
    <row r="125" spans="13:23" x14ac:dyDescent="0.25">
      <c r="M125" s="412"/>
      <c r="U125" s="277" t="s">
        <v>8518</v>
      </c>
      <c r="V125" s="413">
        <v>134713.29</v>
      </c>
      <c r="W125" s="413">
        <v>1742.53</v>
      </c>
    </row>
    <row r="126" spans="13:23" x14ac:dyDescent="0.25">
      <c r="M126" s="412"/>
      <c r="U126" s="277" t="s">
        <v>8689</v>
      </c>
      <c r="V126" s="413">
        <v>67658</v>
      </c>
      <c r="W126" s="413">
        <v>1232</v>
      </c>
    </row>
    <row r="127" spans="13:23" x14ac:dyDescent="0.25">
      <c r="M127" s="412"/>
      <c r="U127" s="277" t="s">
        <v>8570</v>
      </c>
      <c r="V127" s="413">
        <v>4059.63</v>
      </c>
      <c r="W127" s="413">
        <v>32.950000000000003</v>
      </c>
    </row>
    <row r="128" spans="13:23" x14ac:dyDescent="0.25">
      <c r="M128" s="412"/>
      <c r="U128" s="277" t="s">
        <v>8746</v>
      </c>
      <c r="V128" s="413">
        <v>2021926.3199999998</v>
      </c>
      <c r="W128" s="413">
        <v>0</v>
      </c>
    </row>
    <row r="129" spans="13:23" x14ac:dyDescent="0.25">
      <c r="M129" s="412"/>
      <c r="U129" s="277" t="s">
        <v>5404</v>
      </c>
      <c r="V129" s="413">
        <v>1180889</v>
      </c>
      <c r="W129" s="413">
        <v>0</v>
      </c>
    </row>
    <row r="130" spans="13:23" x14ac:dyDescent="0.25">
      <c r="M130" s="412"/>
      <c r="U130" s="277" t="s">
        <v>10531</v>
      </c>
      <c r="V130" s="413">
        <v>110423.41</v>
      </c>
      <c r="W130" s="413">
        <v>0</v>
      </c>
    </row>
    <row r="131" spans="13:23" x14ac:dyDescent="0.25">
      <c r="M131" s="412"/>
    </row>
    <row r="132" spans="13:23" x14ac:dyDescent="0.25">
      <c r="M132" s="412"/>
    </row>
    <row r="133" spans="13:23" x14ac:dyDescent="0.25">
      <c r="M133" s="412"/>
    </row>
    <row r="134" spans="13:23" x14ac:dyDescent="0.25">
      <c r="M134" s="412"/>
    </row>
    <row r="135" spans="13:23" x14ac:dyDescent="0.25">
      <c r="M135" s="412"/>
    </row>
    <row r="136" spans="13:23" x14ac:dyDescent="0.25">
      <c r="M136" s="412"/>
    </row>
    <row r="137" spans="13:23" x14ac:dyDescent="0.25">
      <c r="M137" s="412"/>
    </row>
    <row r="138" spans="13:23" x14ac:dyDescent="0.25">
      <c r="M138" s="412"/>
    </row>
    <row r="139" spans="13:23" x14ac:dyDescent="0.25">
      <c r="M139" s="412"/>
    </row>
    <row r="140" spans="13:23" x14ac:dyDescent="0.25">
      <c r="M140" s="412"/>
    </row>
    <row r="141" spans="13:23" x14ac:dyDescent="0.25">
      <c r="M141" s="412"/>
    </row>
    <row r="142" spans="13:23" x14ac:dyDescent="0.25">
      <c r="M142" s="412"/>
    </row>
    <row r="143" spans="13:23" x14ac:dyDescent="0.25">
      <c r="M143" s="412"/>
    </row>
    <row r="144" spans="13:23" x14ac:dyDescent="0.25">
      <c r="M144" s="412"/>
    </row>
    <row r="145" spans="13:13" x14ac:dyDescent="0.25">
      <c r="M145" s="412"/>
    </row>
    <row r="146" spans="13:13" x14ac:dyDescent="0.25">
      <c r="M146" s="412"/>
    </row>
    <row r="147" spans="13:13" x14ac:dyDescent="0.25">
      <c r="M147" s="412"/>
    </row>
    <row r="148" spans="13:13" x14ac:dyDescent="0.25">
      <c r="M148" s="412"/>
    </row>
    <row r="149" spans="13:13" x14ac:dyDescent="0.25">
      <c r="M149" s="412"/>
    </row>
    <row r="150" spans="13:13" x14ac:dyDescent="0.25">
      <c r="M150" s="412"/>
    </row>
    <row r="151" spans="13:13" x14ac:dyDescent="0.25">
      <c r="M151" s="412"/>
    </row>
    <row r="152" spans="13:13" x14ac:dyDescent="0.25">
      <c r="M152" s="412"/>
    </row>
    <row r="153" spans="13:13" x14ac:dyDescent="0.25">
      <c r="M153" s="412"/>
    </row>
    <row r="154" spans="13:13" x14ac:dyDescent="0.25">
      <c r="M154" s="412"/>
    </row>
    <row r="155" spans="13:13" x14ac:dyDescent="0.25">
      <c r="M155" s="412"/>
    </row>
    <row r="156" spans="13:13" x14ac:dyDescent="0.25">
      <c r="M156" s="412"/>
    </row>
    <row r="157" spans="13:13" x14ac:dyDescent="0.25">
      <c r="M157" s="412"/>
    </row>
    <row r="158" spans="13:13" x14ac:dyDescent="0.25">
      <c r="M158" s="412"/>
    </row>
    <row r="159" spans="13:13" x14ac:dyDescent="0.25">
      <c r="M159" s="412"/>
    </row>
    <row r="160" spans="13:13" x14ac:dyDescent="0.25">
      <c r="M160" s="412"/>
    </row>
    <row r="161" spans="13:13" x14ac:dyDescent="0.25">
      <c r="M161" s="412"/>
    </row>
    <row r="162" spans="13:13" x14ac:dyDescent="0.25">
      <c r="M162" s="412"/>
    </row>
    <row r="163" spans="13:13" x14ac:dyDescent="0.25">
      <c r="M163" s="412"/>
    </row>
    <row r="164" spans="13:13" x14ac:dyDescent="0.25">
      <c r="M164" s="412"/>
    </row>
    <row r="165" spans="13:13" x14ac:dyDescent="0.25">
      <c r="M165" s="412"/>
    </row>
    <row r="166" spans="13:13" x14ac:dyDescent="0.25">
      <c r="M166" s="412"/>
    </row>
    <row r="167" spans="13:13" x14ac:dyDescent="0.25">
      <c r="M167" s="412"/>
    </row>
    <row r="168" spans="13:13" x14ac:dyDescent="0.25">
      <c r="M168" s="412"/>
    </row>
    <row r="169" spans="13:13" x14ac:dyDescent="0.25">
      <c r="M169" s="412"/>
    </row>
    <row r="170" spans="13:13" x14ac:dyDescent="0.25">
      <c r="M170" s="412"/>
    </row>
    <row r="171" spans="13:13" x14ac:dyDescent="0.25">
      <c r="M171" s="412"/>
    </row>
    <row r="172" spans="13:13" x14ac:dyDescent="0.25">
      <c r="M172" s="412"/>
    </row>
    <row r="173" spans="13:13" x14ac:dyDescent="0.25">
      <c r="M173" s="412"/>
    </row>
    <row r="174" spans="13:13" x14ac:dyDescent="0.25">
      <c r="M174" s="412"/>
    </row>
    <row r="175" spans="13:13" x14ac:dyDescent="0.25">
      <c r="M175" s="412"/>
    </row>
    <row r="176" spans="13:13" x14ac:dyDescent="0.25">
      <c r="M176" s="412"/>
    </row>
    <row r="177" spans="13:13" x14ac:dyDescent="0.25">
      <c r="M177" s="412"/>
    </row>
    <row r="178" spans="13:13" x14ac:dyDescent="0.25">
      <c r="M178" s="412"/>
    </row>
    <row r="179" spans="13:13" x14ac:dyDescent="0.25">
      <c r="M179" s="412"/>
    </row>
    <row r="180" spans="13:13" x14ac:dyDescent="0.25">
      <c r="M180" s="412"/>
    </row>
    <row r="181" spans="13:13" x14ac:dyDescent="0.25">
      <c r="M181" s="412"/>
    </row>
    <row r="182" spans="13:13" x14ac:dyDescent="0.25">
      <c r="M182" s="412"/>
    </row>
    <row r="183" spans="13:13" x14ac:dyDescent="0.25">
      <c r="M183" s="412"/>
    </row>
    <row r="184" spans="13:13" x14ac:dyDescent="0.25">
      <c r="M184" s="412"/>
    </row>
    <row r="185" spans="13:13" x14ac:dyDescent="0.25">
      <c r="M185" s="412"/>
    </row>
    <row r="186" spans="13:13" x14ac:dyDescent="0.25">
      <c r="M186" s="412"/>
    </row>
    <row r="187" spans="13:13" x14ac:dyDescent="0.25">
      <c r="M187" s="412"/>
    </row>
    <row r="188" spans="13:13" x14ac:dyDescent="0.25">
      <c r="M188" s="412"/>
    </row>
    <row r="189" spans="13:13" x14ac:dyDescent="0.25">
      <c r="M189" s="412"/>
    </row>
    <row r="190" spans="13:13" x14ac:dyDescent="0.25">
      <c r="M190" s="412"/>
    </row>
    <row r="191" spans="13:13" x14ac:dyDescent="0.25">
      <c r="M191" s="412"/>
    </row>
    <row r="192" spans="13:13" x14ac:dyDescent="0.25">
      <c r="M192" s="412"/>
    </row>
    <row r="193" spans="13:13" x14ac:dyDescent="0.25">
      <c r="M193" s="412"/>
    </row>
    <row r="194" spans="13:13" x14ac:dyDescent="0.25">
      <c r="M194" s="412"/>
    </row>
    <row r="195" spans="13:13" x14ac:dyDescent="0.25">
      <c r="M195" s="412"/>
    </row>
    <row r="196" spans="13:13" x14ac:dyDescent="0.25">
      <c r="M196" s="412"/>
    </row>
    <row r="197" spans="13:13" x14ac:dyDescent="0.25">
      <c r="M197" s="412"/>
    </row>
    <row r="198" spans="13:13" x14ac:dyDescent="0.25">
      <c r="M198" s="412"/>
    </row>
    <row r="199" spans="13:13" x14ac:dyDescent="0.25">
      <c r="M199" s="412"/>
    </row>
    <row r="200" spans="13:13" x14ac:dyDescent="0.25">
      <c r="M200" s="412"/>
    </row>
    <row r="201" spans="13:13" x14ac:dyDescent="0.25">
      <c r="M201" s="412"/>
    </row>
    <row r="202" spans="13:13" x14ac:dyDescent="0.25">
      <c r="M202" s="412"/>
    </row>
    <row r="203" spans="13:13" x14ac:dyDescent="0.25">
      <c r="M203" s="412"/>
    </row>
    <row r="204" spans="13:13" x14ac:dyDescent="0.25">
      <c r="M204" s="412"/>
    </row>
    <row r="205" spans="13:13" x14ac:dyDescent="0.25">
      <c r="M205" s="412"/>
    </row>
    <row r="206" spans="13:13" x14ac:dyDescent="0.25">
      <c r="M206" s="412"/>
    </row>
    <row r="207" spans="13:13" x14ac:dyDescent="0.25">
      <c r="M207" s="412"/>
    </row>
    <row r="208" spans="13:13" x14ac:dyDescent="0.25">
      <c r="M208" s="412"/>
    </row>
    <row r="209" spans="13:13" x14ac:dyDescent="0.25">
      <c r="M209" s="412"/>
    </row>
    <row r="210" spans="13:13" x14ac:dyDescent="0.25">
      <c r="M210" s="412"/>
    </row>
    <row r="211" spans="13:13" x14ac:dyDescent="0.25">
      <c r="M211" s="412"/>
    </row>
    <row r="212" spans="13:13" x14ac:dyDescent="0.25">
      <c r="M212" s="412"/>
    </row>
    <row r="213" spans="13:13" x14ac:dyDescent="0.25">
      <c r="M213" s="412"/>
    </row>
    <row r="214" spans="13:13" x14ac:dyDescent="0.25">
      <c r="M214" s="412"/>
    </row>
    <row r="215" spans="13:13" x14ac:dyDescent="0.25">
      <c r="M215" s="412"/>
    </row>
    <row r="216" spans="13:13" x14ac:dyDescent="0.25">
      <c r="M216" s="412"/>
    </row>
    <row r="217" spans="13:13" x14ac:dyDescent="0.25">
      <c r="M217" s="412"/>
    </row>
    <row r="218" spans="13:13" x14ac:dyDescent="0.25">
      <c r="M218" s="412"/>
    </row>
    <row r="219" spans="13:13" x14ac:dyDescent="0.25">
      <c r="M219" s="412"/>
    </row>
    <row r="220" spans="13:13" x14ac:dyDescent="0.25">
      <c r="M220" s="412"/>
    </row>
    <row r="221" spans="13:13" x14ac:dyDescent="0.25">
      <c r="M221" s="412"/>
    </row>
    <row r="222" spans="13:13" x14ac:dyDescent="0.25">
      <c r="M222" s="412"/>
    </row>
    <row r="223" spans="13:13" x14ac:dyDescent="0.25">
      <c r="M223" s="412"/>
    </row>
    <row r="224" spans="13:13" x14ac:dyDescent="0.25">
      <c r="M224" s="412"/>
    </row>
    <row r="225" spans="13:13" x14ac:dyDescent="0.25">
      <c r="M225" s="412"/>
    </row>
    <row r="226" spans="13:13" x14ac:dyDescent="0.25">
      <c r="M226" s="412"/>
    </row>
    <row r="227" spans="13:13" x14ac:dyDescent="0.25">
      <c r="M227" s="412"/>
    </row>
    <row r="228" spans="13:13" x14ac:dyDescent="0.25">
      <c r="M228" s="412"/>
    </row>
    <row r="229" spans="13:13" x14ac:dyDescent="0.25">
      <c r="M229" s="412"/>
    </row>
    <row r="230" spans="13:13" x14ac:dyDescent="0.25">
      <c r="M230" s="412"/>
    </row>
    <row r="231" spans="13:13" x14ac:dyDescent="0.25">
      <c r="M231" s="412"/>
    </row>
    <row r="232" spans="13:13" x14ac:dyDescent="0.25">
      <c r="M232" s="412"/>
    </row>
    <row r="233" spans="13:13" x14ac:dyDescent="0.25">
      <c r="M233" s="412"/>
    </row>
    <row r="234" spans="13:13" x14ac:dyDescent="0.25">
      <c r="M234" s="412"/>
    </row>
    <row r="235" spans="13:13" x14ac:dyDescent="0.25">
      <c r="M235" s="412"/>
    </row>
    <row r="236" spans="13:13" x14ac:dyDescent="0.25">
      <c r="M236" s="412"/>
    </row>
    <row r="237" spans="13:13" x14ac:dyDescent="0.25">
      <c r="M237" s="412"/>
    </row>
    <row r="238" spans="13:13" x14ac:dyDescent="0.25">
      <c r="M238" s="412"/>
    </row>
    <row r="239" spans="13:13" x14ac:dyDescent="0.25">
      <c r="M239" s="412"/>
    </row>
    <row r="240" spans="13:13" x14ac:dyDescent="0.25">
      <c r="M240" s="412"/>
    </row>
    <row r="241" spans="13:13" x14ac:dyDescent="0.25">
      <c r="M241" s="412"/>
    </row>
    <row r="242" spans="13:13" x14ac:dyDescent="0.25">
      <c r="M242" s="412"/>
    </row>
    <row r="243" spans="13:13" x14ac:dyDescent="0.25">
      <c r="M243" s="412"/>
    </row>
    <row r="244" spans="13:13" x14ac:dyDescent="0.25">
      <c r="M244" s="412"/>
    </row>
    <row r="245" spans="13:13" x14ac:dyDescent="0.25">
      <c r="M245" s="412"/>
    </row>
    <row r="246" spans="13:13" x14ac:dyDescent="0.25">
      <c r="M246" s="412"/>
    </row>
    <row r="247" spans="13:13" x14ac:dyDescent="0.25">
      <c r="M247" s="412"/>
    </row>
    <row r="248" spans="13:13" x14ac:dyDescent="0.25">
      <c r="M248" s="412"/>
    </row>
    <row r="249" spans="13:13" x14ac:dyDescent="0.25">
      <c r="M249" s="412"/>
    </row>
    <row r="250" spans="13:13" x14ac:dyDescent="0.25">
      <c r="M250" s="412"/>
    </row>
    <row r="251" spans="13:13" x14ac:dyDescent="0.25">
      <c r="M251" s="412"/>
    </row>
    <row r="252" spans="13:13" x14ac:dyDescent="0.25">
      <c r="M252" s="412"/>
    </row>
    <row r="253" spans="13:13" x14ac:dyDescent="0.25">
      <c r="M253" s="412"/>
    </row>
    <row r="254" spans="13:13" x14ac:dyDescent="0.25">
      <c r="M254" s="412"/>
    </row>
    <row r="255" spans="13:13" x14ac:dyDescent="0.25">
      <c r="M255" s="412"/>
    </row>
    <row r="256" spans="13:13" x14ac:dyDescent="0.25">
      <c r="M256" s="412"/>
    </row>
    <row r="257" spans="13:13" x14ac:dyDescent="0.25">
      <c r="M257" s="412"/>
    </row>
    <row r="258" spans="13:13" x14ac:dyDescent="0.25">
      <c r="M258" s="412"/>
    </row>
    <row r="259" spans="13:13" x14ac:dyDescent="0.25">
      <c r="M259" s="412"/>
    </row>
    <row r="260" spans="13:13" x14ac:dyDescent="0.25">
      <c r="M260" s="412"/>
    </row>
    <row r="261" spans="13:13" x14ac:dyDescent="0.25">
      <c r="M261" s="412"/>
    </row>
    <row r="262" spans="13:13" x14ac:dyDescent="0.25">
      <c r="M262" s="412"/>
    </row>
    <row r="263" spans="13:13" x14ac:dyDescent="0.25">
      <c r="M263" s="412"/>
    </row>
    <row r="264" spans="13:13" x14ac:dyDescent="0.25">
      <c r="M264" s="412"/>
    </row>
    <row r="265" spans="13:13" x14ac:dyDescent="0.25">
      <c r="M265" s="412"/>
    </row>
    <row r="266" spans="13:13" x14ac:dyDescent="0.25">
      <c r="M266" s="412"/>
    </row>
    <row r="267" spans="13:13" x14ac:dyDescent="0.25">
      <c r="M267" s="412"/>
    </row>
    <row r="268" spans="13:13" x14ac:dyDescent="0.25">
      <c r="M268" s="412"/>
    </row>
    <row r="269" spans="13:13" x14ac:dyDescent="0.25">
      <c r="M269" s="412"/>
    </row>
    <row r="270" spans="13:13" x14ac:dyDescent="0.25">
      <c r="M270" s="412"/>
    </row>
    <row r="271" spans="13:13" x14ac:dyDescent="0.25">
      <c r="M271" s="412"/>
    </row>
    <row r="272" spans="13:13" x14ac:dyDescent="0.25">
      <c r="M272" s="412"/>
    </row>
    <row r="273" spans="13:13" x14ac:dyDescent="0.25">
      <c r="M273" s="412"/>
    </row>
    <row r="274" spans="13:13" x14ac:dyDescent="0.25">
      <c r="M274" s="412"/>
    </row>
    <row r="275" spans="13:13" x14ac:dyDescent="0.25">
      <c r="M275" s="412"/>
    </row>
    <row r="276" spans="13:13" x14ac:dyDescent="0.25">
      <c r="M276" s="412"/>
    </row>
    <row r="277" spans="13:13" x14ac:dyDescent="0.25">
      <c r="M277" s="412"/>
    </row>
    <row r="278" spans="13:13" x14ac:dyDescent="0.25">
      <c r="M278" s="412"/>
    </row>
    <row r="279" spans="13:13" x14ac:dyDescent="0.25">
      <c r="M279" s="412"/>
    </row>
    <row r="280" spans="13:13" x14ac:dyDescent="0.25">
      <c r="M280" s="412"/>
    </row>
    <row r="281" spans="13:13" x14ac:dyDescent="0.25">
      <c r="M281" s="412"/>
    </row>
    <row r="282" spans="13:13" x14ac:dyDescent="0.25">
      <c r="M282" s="412"/>
    </row>
    <row r="283" spans="13:13" x14ac:dyDescent="0.25">
      <c r="M283" s="412"/>
    </row>
    <row r="284" spans="13:13" x14ac:dyDescent="0.25">
      <c r="M284" s="412"/>
    </row>
    <row r="285" spans="13:13" x14ac:dyDescent="0.25">
      <c r="M285" s="412"/>
    </row>
    <row r="286" spans="13:13" x14ac:dyDescent="0.25">
      <c r="M286" s="412"/>
    </row>
    <row r="287" spans="13:13" x14ac:dyDescent="0.25">
      <c r="M287" s="412"/>
    </row>
    <row r="288" spans="13:13" x14ac:dyDescent="0.25">
      <c r="M288" s="412"/>
    </row>
    <row r="289" spans="13:13" x14ac:dyDescent="0.25">
      <c r="M289" s="412"/>
    </row>
    <row r="290" spans="13:13" x14ac:dyDescent="0.25">
      <c r="M290" s="412"/>
    </row>
    <row r="291" spans="13:13" x14ac:dyDescent="0.25">
      <c r="M291" s="412"/>
    </row>
    <row r="292" spans="13:13" x14ac:dyDescent="0.25">
      <c r="M292" s="412"/>
    </row>
    <row r="293" spans="13:13" x14ac:dyDescent="0.25">
      <c r="M293" s="412"/>
    </row>
    <row r="294" spans="13:13" x14ac:dyDescent="0.25">
      <c r="M294" s="412"/>
    </row>
    <row r="295" spans="13:13" x14ac:dyDescent="0.25">
      <c r="M295" s="412"/>
    </row>
    <row r="296" spans="13:13" x14ac:dyDescent="0.25">
      <c r="M296" s="412"/>
    </row>
    <row r="297" spans="13:13" x14ac:dyDescent="0.25">
      <c r="M297" s="412"/>
    </row>
    <row r="298" spans="13:13" x14ac:dyDescent="0.25">
      <c r="M298" s="412"/>
    </row>
    <row r="299" spans="13:13" x14ac:dyDescent="0.25">
      <c r="M299" s="412"/>
    </row>
    <row r="300" spans="13:13" x14ac:dyDescent="0.25">
      <c r="M300" s="412"/>
    </row>
    <row r="301" spans="13:13" x14ac:dyDescent="0.25">
      <c r="M301" s="412"/>
    </row>
    <row r="302" spans="13:13" x14ac:dyDescent="0.25">
      <c r="M302" s="412"/>
    </row>
    <row r="303" spans="13:13" x14ac:dyDescent="0.25">
      <c r="M303" s="412"/>
    </row>
    <row r="304" spans="13:13" x14ac:dyDescent="0.25">
      <c r="M304" s="412"/>
    </row>
    <row r="305" spans="13:13" x14ac:dyDescent="0.25">
      <c r="M305" s="412"/>
    </row>
    <row r="306" spans="13:13" x14ac:dyDescent="0.25">
      <c r="M306" s="412"/>
    </row>
    <row r="307" spans="13:13" x14ac:dyDescent="0.25">
      <c r="M307" s="412"/>
    </row>
    <row r="308" spans="13:13" x14ac:dyDescent="0.25">
      <c r="M308" s="412"/>
    </row>
    <row r="309" spans="13:13" x14ac:dyDescent="0.25">
      <c r="M309" s="412"/>
    </row>
    <row r="310" spans="13:13" x14ac:dyDescent="0.25">
      <c r="M310" s="412"/>
    </row>
    <row r="311" spans="13:13" x14ac:dyDescent="0.25">
      <c r="M311" s="412"/>
    </row>
    <row r="312" spans="13:13" x14ac:dyDescent="0.25">
      <c r="M312" s="412"/>
    </row>
    <row r="313" spans="13:13" x14ac:dyDescent="0.25">
      <c r="M313" s="412"/>
    </row>
    <row r="314" spans="13:13" x14ac:dyDescent="0.25">
      <c r="M314" s="412"/>
    </row>
    <row r="315" spans="13:13" x14ac:dyDescent="0.25">
      <c r="M315" s="412"/>
    </row>
    <row r="316" spans="13:13" x14ac:dyDescent="0.25">
      <c r="M316" s="412"/>
    </row>
    <row r="317" spans="13:13" x14ac:dyDescent="0.25">
      <c r="M317" s="412"/>
    </row>
    <row r="318" spans="13:13" x14ac:dyDescent="0.25">
      <c r="M318" s="412"/>
    </row>
    <row r="319" spans="13:13" x14ac:dyDescent="0.25">
      <c r="M319" s="412"/>
    </row>
    <row r="320" spans="13:13" x14ac:dyDescent="0.25">
      <c r="M320" s="412"/>
    </row>
    <row r="321" spans="13:13" x14ac:dyDescent="0.25">
      <c r="M321" s="412"/>
    </row>
    <row r="322" spans="13:13" x14ac:dyDescent="0.25">
      <c r="M322" s="412"/>
    </row>
    <row r="323" spans="13:13" x14ac:dyDescent="0.25">
      <c r="M323" s="412"/>
    </row>
    <row r="324" spans="13:13" x14ac:dyDescent="0.25">
      <c r="M324" s="412"/>
    </row>
    <row r="325" spans="13:13" x14ac:dyDescent="0.25">
      <c r="M325" s="412"/>
    </row>
    <row r="326" spans="13:13" x14ac:dyDescent="0.25">
      <c r="M326" s="412"/>
    </row>
    <row r="327" spans="13:13" x14ac:dyDescent="0.25">
      <c r="M327" s="412"/>
    </row>
    <row r="328" spans="13:13" x14ac:dyDescent="0.25">
      <c r="M328" s="412"/>
    </row>
    <row r="329" spans="13:13" x14ac:dyDescent="0.25">
      <c r="M329" s="412"/>
    </row>
    <row r="330" spans="13:13" x14ac:dyDescent="0.25">
      <c r="M330" s="412"/>
    </row>
    <row r="331" spans="13:13" x14ac:dyDescent="0.25">
      <c r="M331" s="412"/>
    </row>
    <row r="332" spans="13:13" x14ac:dyDescent="0.25">
      <c r="M332" s="412"/>
    </row>
    <row r="333" spans="13:13" x14ac:dyDescent="0.25">
      <c r="M333" s="412"/>
    </row>
    <row r="334" spans="13:13" x14ac:dyDescent="0.25">
      <c r="M334" s="412"/>
    </row>
    <row r="335" spans="13:13" x14ac:dyDescent="0.25">
      <c r="M335" s="412"/>
    </row>
    <row r="336" spans="13:13" x14ac:dyDescent="0.25">
      <c r="M336" s="412"/>
    </row>
    <row r="337" spans="13:13" x14ac:dyDescent="0.25">
      <c r="M337" s="412"/>
    </row>
    <row r="338" spans="13:13" x14ac:dyDescent="0.25">
      <c r="M338" s="412"/>
    </row>
    <row r="339" spans="13:13" x14ac:dyDescent="0.25">
      <c r="M339" s="412"/>
    </row>
    <row r="340" spans="13:13" x14ac:dyDescent="0.25">
      <c r="M340" s="412"/>
    </row>
    <row r="341" spans="13:13" x14ac:dyDescent="0.25">
      <c r="M341" s="412"/>
    </row>
    <row r="342" spans="13:13" x14ac:dyDescent="0.25">
      <c r="M342" s="412"/>
    </row>
    <row r="343" spans="13:13" x14ac:dyDescent="0.25">
      <c r="M343" s="412"/>
    </row>
    <row r="344" spans="13:13" x14ac:dyDescent="0.25">
      <c r="M344" s="412"/>
    </row>
    <row r="345" spans="13:13" x14ac:dyDescent="0.25">
      <c r="M345" s="412"/>
    </row>
    <row r="346" spans="13:13" x14ac:dyDescent="0.25">
      <c r="M346" s="412"/>
    </row>
    <row r="347" spans="13:13" x14ac:dyDescent="0.25">
      <c r="M347" s="412"/>
    </row>
    <row r="348" spans="13:13" x14ac:dyDescent="0.25">
      <c r="M348" s="412"/>
    </row>
    <row r="349" spans="13:13" x14ac:dyDescent="0.25">
      <c r="M349" s="412"/>
    </row>
    <row r="350" spans="13:13" x14ac:dyDescent="0.25">
      <c r="M350" s="412"/>
    </row>
    <row r="351" spans="13:13" x14ac:dyDescent="0.25">
      <c r="M351" s="412"/>
    </row>
    <row r="352" spans="13:13" x14ac:dyDescent="0.25">
      <c r="M352" s="412"/>
    </row>
    <row r="353" spans="13:13" x14ac:dyDescent="0.25">
      <c r="M353" s="412"/>
    </row>
    <row r="354" spans="13:13" x14ac:dyDescent="0.25">
      <c r="M354" s="412"/>
    </row>
    <row r="355" spans="13:13" x14ac:dyDescent="0.25">
      <c r="M355" s="412"/>
    </row>
    <row r="356" spans="13:13" x14ac:dyDescent="0.25">
      <c r="M356" s="412"/>
    </row>
    <row r="357" spans="13:13" x14ac:dyDescent="0.25">
      <c r="M357" s="412"/>
    </row>
    <row r="358" spans="13:13" x14ac:dyDescent="0.25">
      <c r="M358" s="412"/>
    </row>
    <row r="359" spans="13:13" x14ac:dyDescent="0.25">
      <c r="M359" s="412"/>
    </row>
    <row r="360" spans="13:13" x14ac:dyDescent="0.25">
      <c r="M360" s="412"/>
    </row>
    <row r="361" spans="13:13" x14ac:dyDescent="0.25">
      <c r="M361" s="412"/>
    </row>
    <row r="362" spans="13:13" x14ac:dyDescent="0.25">
      <c r="M362" s="412"/>
    </row>
    <row r="363" spans="13:13" x14ac:dyDescent="0.25">
      <c r="M363" s="412"/>
    </row>
    <row r="364" spans="13:13" x14ac:dyDescent="0.25">
      <c r="M364" s="412"/>
    </row>
    <row r="365" spans="13:13" x14ac:dyDescent="0.25">
      <c r="M365" s="412"/>
    </row>
    <row r="366" spans="13:13" x14ac:dyDescent="0.25">
      <c r="M366" s="412"/>
    </row>
    <row r="367" spans="13:13" x14ac:dyDescent="0.25">
      <c r="M367" s="412"/>
    </row>
    <row r="368" spans="13:13" x14ac:dyDescent="0.25">
      <c r="M368" s="412"/>
    </row>
    <row r="369" spans="13:13" x14ac:dyDescent="0.25">
      <c r="M369" s="412"/>
    </row>
    <row r="370" spans="13:13" x14ac:dyDescent="0.25">
      <c r="M370" s="412"/>
    </row>
    <row r="371" spans="13:13" x14ac:dyDescent="0.25">
      <c r="M371" s="412"/>
    </row>
    <row r="372" spans="13:13" x14ac:dyDescent="0.25">
      <c r="M372" s="412"/>
    </row>
    <row r="373" spans="13:13" x14ac:dyDescent="0.25">
      <c r="M373" s="412"/>
    </row>
    <row r="374" spans="13:13" x14ac:dyDescent="0.25">
      <c r="M374" s="412"/>
    </row>
    <row r="375" spans="13:13" x14ac:dyDescent="0.25">
      <c r="M375" s="412"/>
    </row>
    <row r="376" spans="13:13" x14ac:dyDescent="0.25">
      <c r="M376" s="412"/>
    </row>
    <row r="377" spans="13:13" x14ac:dyDescent="0.25">
      <c r="M377" s="412"/>
    </row>
    <row r="378" spans="13:13" x14ac:dyDescent="0.25">
      <c r="M378" s="412"/>
    </row>
    <row r="379" spans="13:13" x14ac:dyDescent="0.25">
      <c r="M379" s="412"/>
    </row>
    <row r="380" spans="13:13" x14ac:dyDescent="0.25">
      <c r="M380" s="412"/>
    </row>
    <row r="381" spans="13:13" x14ac:dyDescent="0.25">
      <c r="M381" s="412"/>
    </row>
    <row r="382" spans="13:13" x14ac:dyDescent="0.25">
      <c r="M382" s="412"/>
    </row>
    <row r="383" spans="13:13" x14ac:dyDescent="0.25">
      <c r="M383" s="412"/>
    </row>
    <row r="384" spans="13:13" x14ac:dyDescent="0.25">
      <c r="M384" s="412"/>
    </row>
    <row r="385" spans="13:13" x14ac:dyDescent="0.25">
      <c r="M385" s="412"/>
    </row>
    <row r="386" spans="13:13" x14ac:dyDescent="0.25">
      <c r="M386" s="412"/>
    </row>
    <row r="387" spans="13:13" x14ac:dyDescent="0.25">
      <c r="M387" s="412"/>
    </row>
    <row r="388" spans="13:13" x14ac:dyDescent="0.25">
      <c r="M388" s="412"/>
    </row>
    <row r="389" spans="13:13" x14ac:dyDescent="0.25">
      <c r="M389" s="412"/>
    </row>
    <row r="390" spans="13:13" x14ac:dyDescent="0.25">
      <c r="M390" s="412"/>
    </row>
    <row r="391" spans="13:13" x14ac:dyDescent="0.25">
      <c r="M391" s="412"/>
    </row>
    <row r="392" spans="13:13" x14ac:dyDescent="0.25">
      <c r="M392" s="412"/>
    </row>
    <row r="393" spans="13:13" x14ac:dyDescent="0.25">
      <c r="M393" s="412"/>
    </row>
    <row r="394" spans="13:13" x14ac:dyDescent="0.25">
      <c r="M394" s="412"/>
    </row>
    <row r="395" spans="13:13" x14ac:dyDescent="0.25">
      <c r="M395" s="412"/>
    </row>
    <row r="396" spans="13:13" x14ac:dyDescent="0.25">
      <c r="M396" s="412"/>
    </row>
    <row r="397" spans="13:13" x14ac:dyDescent="0.25">
      <c r="M397" s="412"/>
    </row>
    <row r="398" spans="13:13" x14ac:dyDescent="0.25">
      <c r="M398" s="412"/>
    </row>
    <row r="399" spans="13:13" x14ac:dyDescent="0.25">
      <c r="M399" s="412"/>
    </row>
    <row r="400" spans="13:13" x14ac:dyDescent="0.25">
      <c r="M400" s="412"/>
    </row>
    <row r="401" spans="13:13" x14ac:dyDescent="0.25">
      <c r="M401" s="412"/>
    </row>
    <row r="402" spans="13:13" x14ac:dyDescent="0.25">
      <c r="M402" s="412"/>
    </row>
    <row r="403" spans="13:13" x14ac:dyDescent="0.25">
      <c r="M403" s="412"/>
    </row>
    <row r="404" spans="13:13" x14ac:dyDescent="0.25">
      <c r="M404" s="412"/>
    </row>
    <row r="405" spans="13:13" x14ac:dyDescent="0.25">
      <c r="M405" s="412"/>
    </row>
    <row r="406" spans="13:13" x14ac:dyDescent="0.25">
      <c r="M406" s="412"/>
    </row>
    <row r="407" spans="13:13" x14ac:dyDescent="0.25">
      <c r="M407" s="412"/>
    </row>
    <row r="408" spans="13:13" x14ac:dyDescent="0.25">
      <c r="M408" s="412"/>
    </row>
    <row r="409" spans="13:13" x14ac:dyDescent="0.25">
      <c r="M409" s="412"/>
    </row>
    <row r="410" spans="13:13" x14ac:dyDescent="0.25">
      <c r="M410" s="412"/>
    </row>
    <row r="411" spans="13:13" x14ac:dyDescent="0.25">
      <c r="M411" s="412"/>
    </row>
    <row r="412" spans="13:13" x14ac:dyDescent="0.25">
      <c r="M412" s="412"/>
    </row>
    <row r="413" spans="13:13" x14ac:dyDescent="0.25">
      <c r="M413" s="412"/>
    </row>
    <row r="414" spans="13:13" x14ac:dyDescent="0.25">
      <c r="M414" s="412"/>
    </row>
    <row r="415" spans="13:13" x14ac:dyDescent="0.25">
      <c r="M415" s="412"/>
    </row>
    <row r="416" spans="13:13" x14ac:dyDescent="0.25">
      <c r="M416" s="412"/>
    </row>
    <row r="417" spans="13:13" x14ac:dyDescent="0.25">
      <c r="M417" s="412"/>
    </row>
    <row r="418" spans="13:13" x14ac:dyDescent="0.25">
      <c r="M418" s="412"/>
    </row>
    <row r="419" spans="13:13" x14ac:dyDescent="0.25">
      <c r="M419" s="412"/>
    </row>
    <row r="420" spans="13:13" x14ac:dyDescent="0.25">
      <c r="M420" s="412"/>
    </row>
    <row r="421" spans="13:13" x14ac:dyDescent="0.25">
      <c r="M421" s="412"/>
    </row>
    <row r="422" spans="13:13" x14ac:dyDescent="0.25">
      <c r="M422" s="412"/>
    </row>
    <row r="423" spans="13:13" x14ac:dyDescent="0.25">
      <c r="M423" s="412"/>
    </row>
    <row r="424" spans="13:13" x14ac:dyDescent="0.25">
      <c r="M424" s="412"/>
    </row>
    <row r="425" spans="13:13" x14ac:dyDescent="0.25">
      <c r="M425" s="412"/>
    </row>
    <row r="426" spans="13:13" x14ac:dyDescent="0.25">
      <c r="M426" s="412"/>
    </row>
    <row r="427" spans="13:13" x14ac:dyDescent="0.25">
      <c r="M427" s="412"/>
    </row>
    <row r="428" spans="13:13" x14ac:dyDescent="0.25">
      <c r="M428" s="412"/>
    </row>
    <row r="429" spans="13:13" x14ac:dyDescent="0.25">
      <c r="M429" s="412"/>
    </row>
    <row r="430" spans="13:13" x14ac:dyDescent="0.25">
      <c r="M430" s="412"/>
    </row>
    <row r="431" spans="13:13" x14ac:dyDescent="0.25">
      <c r="M431" s="412"/>
    </row>
    <row r="432" spans="13:13" x14ac:dyDescent="0.25">
      <c r="M432" s="412"/>
    </row>
    <row r="433" spans="13:13" x14ac:dyDescent="0.25">
      <c r="M433" s="412"/>
    </row>
    <row r="434" spans="13:13" x14ac:dyDescent="0.25">
      <c r="M434" s="412"/>
    </row>
    <row r="435" spans="13:13" x14ac:dyDescent="0.25">
      <c r="M435" s="412"/>
    </row>
    <row r="436" spans="13:13" x14ac:dyDescent="0.25">
      <c r="M436" s="412"/>
    </row>
    <row r="437" spans="13:13" x14ac:dyDescent="0.25">
      <c r="M437" s="412"/>
    </row>
    <row r="438" spans="13:13" x14ac:dyDescent="0.25">
      <c r="M438" s="412"/>
    </row>
    <row r="439" spans="13:13" x14ac:dyDescent="0.25">
      <c r="M439" s="412"/>
    </row>
    <row r="440" spans="13:13" x14ac:dyDescent="0.25">
      <c r="M440" s="412"/>
    </row>
    <row r="441" spans="13:13" x14ac:dyDescent="0.25">
      <c r="M441" s="412"/>
    </row>
    <row r="442" spans="13:13" x14ac:dyDescent="0.25">
      <c r="M442" s="412"/>
    </row>
    <row r="443" spans="13:13" x14ac:dyDescent="0.25">
      <c r="M443" s="412"/>
    </row>
    <row r="444" spans="13:13" x14ac:dyDescent="0.25">
      <c r="M444" s="412"/>
    </row>
    <row r="445" spans="13:13" x14ac:dyDescent="0.25">
      <c r="M445" s="412"/>
    </row>
    <row r="446" spans="13:13" x14ac:dyDescent="0.25">
      <c r="M446" s="412"/>
    </row>
    <row r="447" spans="13:13" x14ac:dyDescent="0.25">
      <c r="M447" s="412"/>
    </row>
    <row r="448" spans="13:13" x14ac:dyDescent="0.25">
      <c r="M448" s="412"/>
    </row>
    <row r="449" spans="13:13" x14ac:dyDescent="0.25">
      <c r="M449" s="412"/>
    </row>
    <row r="450" spans="13:13" x14ac:dyDescent="0.25">
      <c r="M450" s="412"/>
    </row>
    <row r="451" spans="13:13" x14ac:dyDescent="0.25">
      <c r="M451" s="412"/>
    </row>
    <row r="452" spans="13:13" x14ac:dyDescent="0.25">
      <c r="M452" s="412"/>
    </row>
    <row r="453" spans="13:13" x14ac:dyDescent="0.25">
      <c r="M453" s="412"/>
    </row>
    <row r="454" spans="13:13" x14ac:dyDescent="0.25">
      <c r="M454" s="412"/>
    </row>
    <row r="455" spans="13:13" x14ac:dyDescent="0.25">
      <c r="M455" s="412"/>
    </row>
    <row r="456" spans="13:13" x14ac:dyDescent="0.25">
      <c r="M456" s="412"/>
    </row>
    <row r="457" spans="13:13" x14ac:dyDescent="0.25">
      <c r="M457" s="412"/>
    </row>
    <row r="458" spans="13:13" x14ac:dyDescent="0.25">
      <c r="M458" s="412"/>
    </row>
    <row r="459" spans="13:13" x14ac:dyDescent="0.25">
      <c r="M459" s="412"/>
    </row>
    <row r="460" spans="13:13" x14ac:dyDescent="0.25">
      <c r="M460" s="412"/>
    </row>
    <row r="461" spans="13:13" x14ac:dyDescent="0.25">
      <c r="M461" s="412"/>
    </row>
    <row r="462" spans="13:13" x14ac:dyDescent="0.25">
      <c r="M462" s="412"/>
    </row>
    <row r="463" spans="13:13" x14ac:dyDescent="0.25">
      <c r="M463" s="412"/>
    </row>
    <row r="464" spans="13:13" x14ac:dyDescent="0.25">
      <c r="M464" s="412"/>
    </row>
    <row r="465" spans="13:13" x14ac:dyDescent="0.25">
      <c r="M465" s="412"/>
    </row>
    <row r="466" spans="13:13" x14ac:dyDescent="0.25">
      <c r="M466" s="412"/>
    </row>
    <row r="467" spans="13:13" x14ac:dyDescent="0.25">
      <c r="M467" s="412"/>
    </row>
    <row r="468" spans="13:13" x14ac:dyDescent="0.25">
      <c r="M468" s="412"/>
    </row>
    <row r="469" spans="13:13" x14ac:dyDescent="0.25">
      <c r="M469" s="412"/>
    </row>
  </sheetData>
  <autoFilter ref="U2:W130" xr:uid="{00000000-0009-0000-0000-000006000000}">
    <sortState xmlns:xlrd2="http://schemas.microsoft.com/office/spreadsheetml/2017/richdata2" ref="U3:W130">
      <sortCondition descending="1" ref="W2:W130"/>
    </sortState>
  </autoFilter>
  <conditionalFormatting sqref="A3:A107 E3:E82 Q3:Q60">
    <cfRule type="containsBlanks" dxfId="963" priority="8">
      <formula>LEN(TRIM(A3))=0</formula>
    </cfRule>
  </conditionalFormatting>
  <conditionalFormatting sqref="I3:I72">
    <cfRule type="containsBlanks" dxfId="962" priority="4">
      <formula>LEN(TRIM(I3))=0</formula>
    </cfRule>
  </conditionalFormatting>
  <conditionalFormatting sqref="M3:M89">
    <cfRule type="containsBlanks" dxfId="961" priority="3">
      <formula>LEN(TRIM(M3))=0</formula>
    </cfRule>
  </conditionalFormatting>
  <conditionalFormatting sqref="U3:U130">
    <cfRule type="containsBlanks" dxfId="960" priority="1">
      <formula>LEN(TRIM(U3))=0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349"/>
  <sheetViews>
    <sheetView topLeftCell="A346" workbookViewId="0">
      <selection activeCell="A350" sqref="A350"/>
    </sheetView>
  </sheetViews>
  <sheetFormatPr defaultRowHeight="15" x14ac:dyDescent="0.25"/>
  <cols>
    <col min="1" max="1" width="26" style="156" customWidth="1"/>
    <col min="2" max="2" width="18.7109375" style="62" bestFit="1" customWidth="1"/>
    <col min="3" max="3" width="7.28515625" style="62" bestFit="1" customWidth="1"/>
    <col min="4" max="4" width="17.85546875" style="62" customWidth="1"/>
    <col min="5" max="5" width="34" style="62" bestFit="1" customWidth="1"/>
    <col min="6" max="6" width="8" style="62" bestFit="1" customWidth="1"/>
    <col min="7" max="7" width="21.5703125" style="62" bestFit="1" customWidth="1"/>
    <col min="8" max="8" width="14.140625" style="62" bestFit="1" customWidth="1"/>
    <col min="9" max="9" width="14.5703125" style="62" bestFit="1" customWidth="1"/>
    <col min="10" max="10" width="16.140625" style="62" bestFit="1" customWidth="1"/>
    <col min="11" max="11" width="22.140625" style="62" bestFit="1" customWidth="1"/>
    <col min="12" max="12" width="23" style="62" bestFit="1" customWidth="1"/>
    <col min="13" max="13" width="31.28515625" style="62" bestFit="1" customWidth="1"/>
    <col min="14" max="14" width="23.140625" style="62" bestFit="1" customWidth="1"/>
    <col min="15" max="15" width="15.5703125" style="62" bestFit="1" customWidth="1"/>
    <col min="16" max="16" width="7" style="62" bestFit="1" customWidth="1"/>
    <col min="17" max="16384" width="9.140625" style="62"/>
  </cols>
  <sheetData>
    <row r="1" spans="1:19" s="25" customFormat="1" x14ac:dyDescent="0.25">
      <c r="A1" s="18" t="s">
        <v>8115</v>
      </c>
      <c r="B1" s="170" t="s">
        <v>389</v>
      </c>
      <c r="C1" s="171" t="s">
        <v>619</v>
      </c>
      <c r="D1" s="30" t="s">
        <v>4272</v>
      </c>
      <c r="E1" s="30" t="s">
        <v>390</v>
      </c>
      <c r="F1" s="32" t="s">
        <v>4273</v>
      </c>
      <c r="G1" s="30" t="s">
        <v>4274</v>
      </c>
      <c r="H1" s="30" t="s">
        <v>4275</v>
      </c>
      <c r="I1" s="30" t="s">
        <v>4276</v>
      </c>
      <c r="J1" s="30" t="s">
        <v>4277</v>
      </c>
      <c r="K1" s="30" t="s">
        <v>4278</v>
      </c>
      <c r="L1" s="30" t="s">
        <v>4279</v>
      </c>
      <c r="M1" s="30" t="s">
        <v>4280</v>
      </c>
      <c r="N1" s="30" t="s">
        <v>4281</v>
      </c>
      <c r="O1" s="30" t="s">
        <v>4282</v>
      </c>
      <c r="P1" s="30" t="s">
        <v>4283</v>
      </c>
      <c r="Q1" s="91"/>
      <c r="R1" s="91"/>
      <c r="S1" s="91"/>
    </row>
    <row r="2" spans="1:19" s="88" customFormat="1" x14ac:dyDescent="0.25">
      <c r="A2" s="18" t="s">
        <v>8116</v>
      </c>
      <c r="B2" s="172" t="s">
        <v>3029</v>
      </c>
      <c r="C2" s="59" t="s">
        <v>5022</v>
      </c>
      <c r="D2" s="22"/>
      <c r="E2" s="22" t="s">
        <v>418</v>
      </c>
      <c r="F2" s="20">
        <v>2</v>
      </c>
      <c r="G2" s="20"/>
      <c r="H2" s="18"/>
      <c r="I2" s="173"/>
      <c r="J2" s="173" t="str">
        <f>IF($I2&lt;='Abbrev Key'!$A$2,'Abbrev Key'!$B$2,IF($I2&lt;='Abbrev Key'!$A$3,'Abbrev Key'!$B$3,IF($I2&lt;='Abbrev Key'!$A$4,'Abbrev Key'!$B$4,IF($I2&lt;='Abbrev Key'!$A$5,'Abbrev Key'!$B$5,IF($I2&lt;='Abbrev Key'!$A$6,'Abbrev Key'!$B$6,IF($I2&gt;='Abbrev Key'!$A$7,'Abbrev Key'!$B$7,IF($I2='Abbrev Key'!$A$8,'Abbrev Key'!$B$8,"")))))))</f>
        <v>A</v>
      </c>
      <c r="K2" s="20"/>
      <c r="L2" s="19"/>
      <c r="M2" s="19">
        <f t="shared" ref="M2:M40" si="0">L2-1</f>
        <v>-1</v>
      </c>
      <c r="N2" s="20"/>
      <c r="O2" s="20"/>
      <c r="P2" s="18"/>
      <c r="Q2" s="86"/>
      <c r="R2" s="86"/>
      <c r="S2" s="86"/>
    </row>
    <row r="3" spans="1:19" s="88" customFormat="1" x14ac:dyDescent="0.25">
      <c r="A3" s="18" t="s">
        <v>8116</v>
      </c>
      <c r="B3" s="172" t="s">
        <v>3411</v>
      </c>
      <c r="C3" s="59" t="s">
        <v>5152</v>
      </c>
      <c r="D3" s="22"/>
      <c r="E3" s="22" t="s">
        <v>418</v>
      </c>
      <c r="F3" s="20">
        <v>2</v>
      </c>
      <c r="G3" s="20"/>
      <c r="H3" s="18"/>
      <c r="I3" s="173"/>
      <c r="J3" s="173" t="str">
        <f>IF($I3&lt;='Abbrev Key'!$A$2,'Abbrev Key'!$B$2,IF($I3&lt;='Abbrev Key'!$A$3,'Abbrev Key'!$B$3,IF($I3&lt;='Abbrev Key'!$A$4,'Abbrev Key'!$B$4,IF($I3&lt;='Abbrev Key'!$A$5,'Abbrev Key'!$B$5,IF($I3&lt;='Abbrev Key'!$A$6,'Abbrev Key'!$B$6,IF($I3&gt;='Abbrev Key'!$A$7,'Abbrev Key'!$B$7,IF($I3='Abbrev Key'!$A$8,'Abbrev Key'!$B$8,"")))))))</f>
        <v>A</v>
      </c>
      <c r="K3" s="20"/>
      <c r="L3" s="19"/>
      <c r="M3" s="19">
        <f t="shared" si="0"/>
        <v>-1</v>
      </c>
      <c r="N3" s="20"/>
      <c r="O3" s="20"/>
      <c r="P3" s="18"/>
      <c r="Q3" s="86"/>
      <c r="R3" s="86"/>
      <c r="S3" s="86"/>
    </row>
    <row r="4" spans="1:19" s="86" customFormat="1" x14ac:dyDescent="0.25">
      <c r="A4" s="18" t="s">
        <v>8117</v>
      </c>
      <c r="B4" s="172" t="s">
        <v>4260</v>
      </c>
      <c r="C4" s="59" t="s">
        <v>7570</v>
      </c>
      <c r="D4" s="22"/>
      <c r="E4" s="22" t="s">
        <v>4138</v>
      </c>
      <c r="F4" s="20">
        <v>10</v>
      </c>
      <c r="G4" s="20"/>
      <c r="H4" s="18"/>
      <c r="I4" s="173"/>
      <c r="J4" s="173" t="str">
        <f>IF($I4&lt;='Abbrev Key'!$A$2,'Abbrev Key'!$B$2,IF($I4&lt;='Abbrev Key'!$A$3,'Abbrev Key'!$B$3,IF($I4&lt;='Abbrev Key'!$A$4,'Abbrev Key'!$B$4,IF($I4&lt;='Abbrev Key'!$A$5,'Abbrev Key'!$B$5,IF($I4&lt;='Abbrev Key'!$A$6,'Abbrev Key'!$B$6,IF($I4&gt;='Abbrev Key'!$A$7,'Abbrev Key'!$B$7,IF($I4='Abbrev Key'!$A$8,'Abbrev Key'!$B$8,"")))))))</f>
        <v>A</v>
      </c>
      <c r="K4" s="20"/>
      <c r="L4" s="19"/>
      <c r="M4" s="19">
        <f t="shared" si="0"/>
        <v>-1</v>
      </c>
      <c r="N4" s="20"/>
      <c r="O4" s="20"/>
      <c r="P4" s="18"/>
    </row>
    <row r="5" spans="1:19" s="86" customFormat="1" x14ac:dyDescent="0.25">
      <c r="A5" s="18" t="s">
        <v>8117</v>
      </c>
      <c r="B5" s="172" t="s">
        <v>7472</v>
      </c>
      <c r="C5" s="59" t="s">
        <v>7572</v>
      </c>
      <c r="D5" s="22"/>
      <c r="E5" s="22" t="s">
        <v>450</v>
      </c>
      <c r="F5" s="20">
        <v>4</v>
      </c>
      <c r="G5" s="20"/>
      <c r="H5" s="18"/>
      <c r="I5" s="173"/>
      <c r="J5" s="173" t="str">
        <f>IF($I5&lt;='Abbrev Key'!$A$2,'Abbrev Key'!$B$2,IF($I5&lt;='Abbrev Key'!$A$3,'Abbrev Key'!$B$3,IF($I5&lt;='Abbrev Key'!$A$4,'Abbrev Key'!$B$4,IF($I5&lt;='Abbrev Key'!$A$5,'Abbrev Key'!$B$5,IF($I5&lt;='Abbrev Key'!$A$6,'Abbrev Key'!$B$6,IF($I5&gt;='Abbrev Key'!$A$7,'Abbrev Key'!$B$7,IF($I5='Abbrev Key'!$A$8,'Abbrev Key'!$B$8,"")))))))</f>
        <v>A</v>
      </c>
      <c r="K5" s="20"/>
      <c r="L5" s="19"/>
      <c r="M5" s="19">
        <f t="shared" si="0"/>
        <v>-1</v>
      </c>
      <c r="N5" s="20"/>
      <c r="O5" s="20"/>
      <c r="P5" s="18"/>
    </row>
    <row r="6" spans="1:19" s="86" customFormat="1" x14ac:dyDescent="0.25">
      <c r="A6" s="18" t="s">
        <v>8117</v>
      </c>
      <c r="B6" s="172" t="s">
        <v>6766</v>
      </c>
      <c r="C6" s="59" t="s">
        <v>7573</v>
      </c>
      <c r="D6" s="22"/>
      <c r="E6" s="22" t="s">
        <v>421</v>
      </c>
      <c r="F6" s="20">
        <v>5</v>
      </c>
      <c r="G6" s="20"/>
      <c r="H6" s="18"/>
      <c r="I6" s="173"/>
      <c r="J6" s="173" t="str">
        <f>IF($I6&lt;='Abbrev Key'!$A$2,'Abbrev Key'!$B$2,IF($I6&lt;='Abbrev Key'!$A$3,'Abbrev Key'!$B$3,IF($I6&lt;='Abbrev Key'!$A$4,'Abbrev Key'!$B$4,IF($I6&lt;='Abbrev Key'!$A$5,'Abbrev Key'!$B$5,IF($I6&lt;='Abbrev Key'!$A$6,'Abbrev Key'!$B$6,IF($I6&gt;='Abbrev Key'!$A$7,'Abbrev Key'!$B$7,IF($I6='Abbrev Key'!$A$8,'Abbrev Key'!$B$8,"")))))))</f>
        <v>A</v>
      </c>
      <c r="K6" s="20"/>
      <c r="L6" s="19"/>
      <c r="M6" s="19">
        <f t="shared" si="0"/>
        <v>-1</v>
      </c>
      <c r="N6" s="20"/>
      <c r="O6" s="20"/>
      <c r="P6" s="18"/>
    </row>
    <row r="7" spans="1:19" x14ac:dyDescent="0.25">
      <c r="A7" s="18" t="s">
        <v>8117</v>
      </c>
      <c r="B7" s="172" t="s">
        <v>4262</v>
      </c>
      <c r="C7" s="59" t="s">
        <v>7617</v>
      </c>
      <c r="D7" s="22"/>
      <c r="E7" s="22" t="s">
        <v>437</v>
      </c>
      <c r="F7" s="20">
        <v>3</v>
      </c>
      <c r="G7" s="20"/>
      <c r="H7" s="18"/>
      <c r="I7" s="173"/>
      <c r="J7" s="173" t="str">
        <f>IF($I7&lt;='Abbrev Key'!$A$2,'Abbrev Key'!$B$2,IF($I7&lt;='Abbrev Key'!$A$3,'Abbrev Key'!$B$3,IF($I7&lt;='Abbrev Key'!$A$4,'Abbrev Key'!$B$4,IF($I7&lt;='Abbrev Key'!$A$5,'Abbrev Key'!$B$5,IF($I7&lt;='Abbrev Key'!$A$6,'Abbrev Key'!$B$6,IF($I7&gt;='Abbrev Key'!$A$7,'Abbrev Key'!$B$7,IF($I7='Abbrev Key'!$A$8,'Abbrev Key'!$B$8,"")))))))</f>
        <v>A</v>
      </c>
      <c r="K7" s="20"/>
      <c r="L7" s="19"/>
      <c r="M7" s="19">
        <f t="shared" si="0"/>
        <v>-1</v>
      </c>
      <c r="N7" s="20"/>
      <c r="O7" s="20"/>
      <c r="P7" s="18"/>
      <c r="Q7" s="174"/>
      <c r="R7" s="174"/>
      <c r="S7" s="174"/>
    </row>
    <row r="8" spans="1:19" s="86" customFormat="1" x14ac:dyDescent="0.25">
      <c r="A8" s="18" t="s">
        <v>8117</v>
      </c>
      <c r="B8" s="172" t="s">
        <v>7402</v>
      </c>
      <c r="C8" s="59" t="s">
        <v>7615</v>
      </c>
      <c r="D8" s="22"/>
      <c r="E8" s="22" t="s">
        <v>460</v>
      </c>
      <c r="F8" s="20">
        <v>4</v>
      </c>
      <c r="G8" s="20"/>
      <c r="H8" s="18"/>
      <c r="I8" s="173"/>
      <c r="J8" s="173" t="str">
        <f>IF($I8&lt;='Abbrev Key'!$A$2,'Abbrev Key'!$B$2,IF($I8&lt;='Abbrev Key'!$A$3,'Abbrev Key'!$B$3,IF($I8&lt;='Abbrev Key'!$A$4,'Abbrev Key'!$B$4,IF($I8&lt;='Abbrev Key'!$A$5,'Abbrev Key'!$B$5,IF($I8&lt;='Abbrev Key'!$A$6,'Abbrev Key'!$B$6,IF($I8&gt;='Abbrev Key'!$A$7,'Abbrev Key'!$B$7,IF($I8='Abbrev Key'!$A$8,'Abbrev Key'!$B$8,"")))))))</f>
        <v>A</v>
      </c>
      <c r="K8" s="20"/>
      <c r="L8" s="19"/>
      <c r="M8" s="19">
        <f t="shared" si="0"/>
        <v>-1</v>
      </c>
      <c r="N8" s="20"/>
      <c r="O8" s="20"/>
      <c r="P8" s="18"/>
    </row>
    <row r="9" spans="1:19" s="88" customFormat="1" x14ac:dyDescent="0.25">
      <c r="A9" s="18" t="s">
        <v>8116</v>
      </c>
      <c r="B9" s="172" t="s">
        <v>4149</v>
      </c>
      <c r="C9" s="59" t="s">
        <v>5395</v>
      </c>
      <c r="D9" s="22"/>
      <c r="E9" s="22" t="s">
        <v>446</v>
      </c>
      <c r="F9" s="20">
        <v>9</v>
      </c>
      <c r="G9" s="20" t="s">
        <v>5397</v>
      </c>
      <c r="H9" s="18"/>
      <c r="I9" s="173">
        <v>13000000</v>
      </c>
      <c r="J9" s="173" t="str">
        <f>IF($I9&lt;='Abbrev Key'!$A$2,'Abbrev Key'!$B$2,IF($I9&lt;='Abbrev Key'!$A$3,'Abbrev Key'!$B$3,IF($I9&lt;='Abbrev Key'!$A$4,'Abbrev Key'!$B$4,IF($I9&lt;='Abbrev Key'!$A$5,'Abbrev Key'!$B$5,IF($I9&lt;='Abbrev Key'!$A$6,'Abbrev Key'!$B$6,IF($I9&gt;='Abbrev Key'!$A$7,'Abbrev Key'!$B$7,IF($I9='Abbrev Key'!$A$8,'Abbrev Key'!$B$8,"")))))))</f>
        <v>A</v>
      </c>
      <c r="K9" s="20"/>
      <c r="L9" s="19"/>
      <c r="M9" s="19">
        <f t="shared" si="0"/>
        <v>-1</v>
      </c>
      <c r="N9" s="20"/>
      <c r="O9" s="20"/>
      <c r="P9" s="18"/>
      <c r="Q9" s="86"/>
      <c r="R9" s="86"/>
      <c r="S9" s="86"/>
    </row>
    <row r="10" spans="1:19" x14ac:dyDescent="0.25">
      <c r="A10" s="18" t="s">
        <v>8117</v>
      </c>
      <c r="B10" s="172" t="s">
        <v>7375</v>
      </c>
      <c r="C10" s="59" t="s">
        <v>7614</v>
      </c>
      <c r="D10" s="22"/>
      <c r="E10" s="22" t="s">
        <v>7376</v>
      </c>
      <c r="F10" s="20">
        <v>10</v>
      </c>
      <c r="G10" s="20"/>
      <c r="H10" s="18"/>
      <c r="I10" s="173"/>
      <c r="J10" s="173" t="str">
        <f>IF($I10&lt;='Abbrev Key'!$A$2,'Abbrev Key'!$B$2,IF($I10&lt;='Abbrev Key'!$A$3,'Abbrev Key'!$B$3,IF($I10&lt;='Abbrev Key'!$A$4,'Abbrev Key'!$B$4,IF($I10&lt;='Abbrev Key'!$A$5,'Abbrev Key'!$B$5,IF($I10&lt;='Abbrev Key'!$A$6,'Abbrev Key'!$B$6,IF($I10&gt;='Abbrev Key'!$A$7,'Abbrev Key'!$B$7,IF($I10='Abbrev Key'!$A$8,'Abbrev Key'!$B$8,"")))))))</f>
        <v>A</v>
      </c>
      <c r="K10" s="20"/>
      <c r="L10" s="19"/>
      <c r="M10" s="19">
        <f t="shared" si="0"/>
        <v>-1</v>
      </c>
      <c r="N10" s="20"/>
      <c r="O10" s="20"/>
      <c r="P10" s="18"/>
      <c r="Q10" s="174"/>
      <c r="R10" s="174"/>
      <c r="S10" s="174"/>
    </row>
    <row r="11" spans="1:19" x14ac:dyDescent="0.25">
      <c r="A11" s="18" t="s">
        <v>8117</v>
      </c>
      <c r="B11" s="172" t="s">
        <v>6984</v>
      </c>
      <c r="C11" s="59" t="s">
        <v>7613</v>
      </c>
      <c r="D11" s="22"/>
      <c r="E11" s="22" t="s">
        <v>4249</v>
      </c>
      <c r="F11" s="20">
        <v>8</v>
      </c>
      <c r="G11" s="20"/>
      <c r="H11" s="18"/>
      <c r="I11" s="173"/>
      <c r="J11" s="173" t="str">
        <f>IF($I11&lt;='Abbrev Key'!$A$2,'Abbrev Key'!$B$2,IF($I11&lt;='Abbrev Key'!$A$3,'Abbrev Key'!$B$3,IF($I11&lt;='Abbrev Key'!$A$4,'Abbrev Key'!$B$4,IF($I11&lt;='Abbrev Key'!$A$5,'Abbrev Key'!$B$5,IF($I11&lt;='Abbrev Key'!$A$6,'Abbrev Key'!$B$6,IF($I11&gt;='Abbrev Key'!$A$7,'Abbrev Key'!$B$7,IF($I11='Abbrev Key'!$A$8,'Abbrev Key'!$B$8,"")))))))</f>
        <v>A</v>
      </c>
      <c r="K11" s="20"/>
      <c r="L11" s="19"/>
      <c r="M11" s="19">
        <f t="shared" si="0"/>
        <v>-1</v>
      </c>
      <c r="N11" s="20"/>
      <c r="O11" s="20"/>
      <c r="P11" s="18"/>
      <c r="Q11" s="174"/>
      <c r="R11" s="174"/>
      <c r="S11" s="174"/>
    </row>
    <row r="12" spans="1:19" s="86" customFormat="1" x14ac:dyDescent="0.25">
      <c r="A12" s="18" t="s">
        <v>8117</v>
      </c>
      <c r="B12" s="172" t="s">
        <v>7241</v>
      </c>
      <c r="C12" s="59" t="s">
        <v>7606</v>
      </c>
      <c r="D12" s="22"/>
      <c r="E12" s="22" t="s">
        <v>457</v>
      </c>
      <c r="F12" s="20">
        <v>9</v>
      </c>
      <c r="G12" s="20"/>
      <c r="H12" s="18"/>
      <c r="I12" s="173"/>
      <c r="J12" s="173" t="str">
        <f>IF($I12&lt;='Abbrev Key'!$A$2,'Abbrev Key'!$B$2,IF($I12&lt;='Abbrev Key'!$A$3,'Abbrev Key'!$B$3,IF($I12&lt;='Abbrev Key'!$A$4,'Abbrev Key'!$B$4,IF($I12&lt;='Abbrev Key'!$A$5,'Abbrev Key'!$B$5,IF($I12&lt;='Abbrev Key'!$A$6,'Abbrev Key'!$B$6,IF($I12&gt;='Abbrev Key'!$A$7,'Abbrev Key'!$B$7,IF($I12='Abbrev Key'!$A$8,'Abbrev Key'!$B$8,"")))))))</f>
        <v>A</v>
      </c>
      <c r="K12" s="20"/>
      <c r="L12" s="19"/>
      <c r="M12" s="19">
        <f t="shared" si="0"/>
        <v>-1</v>
      </c>
      <c r="N12" s="20"/>
      <c r="O12" s="20"/>
      <c r="P12" s="18"/>
    </row>
    <row r="13" spans="1:19" s="86" customFormat="1" x14ac:dyDescent="0.25">
      <c r="A13" s="18" t="s">
        <v>8117</v>
      </c>
      <c r="B13" s="172" t="s">
        <v>6969</v>
      </c>
      <c r="C13" s="59" t="s">
        <v>7604</v>
      </c>
      <c r="D13" s="22"/>
      <c r="E13" s="22" t="s">
        <v>437</v>
      </c>
      <c r="F13" s="20">
        <v>3</v>
      </c>
      <c r="G13" s="20"/>
      <c r="H13" s="18"/>
      <c r="I13" s="173"/>
      <c r="J13" s="173" t="str">
        <f>IF($I13&lt;='Abbrev Key'!$A$2,'Abbrev Key'!$B$2,IF($I13&lt;='Abbrev Key'!$A$3,'Abbrev Key'!$B$3,IF($I13&lt;='Abbrev Key'!$A$4,'Abbrev Key'!$B$4,IF($I13&lt;='Abbrev Key'!$A$5,'Abbrev Key'!$B$5,IF($I13&lt;='Abbrev Key'!$A$6,'Abbrev Key'!$B$6,IF($I13&gt;='Abbrev Key'!$A$7,'Abbrev Key'!$B$7,IF($I13='Abbrev Key'!$A$8,'Abbrev Key'!$B$8,"")))))))</f>
        <v>A</v>
      </c>
      <c r="K13" s="20"/>
      <c r="L13" s="19"/>
      <c r="M13" s="19">
        <f t="shared" si="0"/>
        <v>-1</v>
      </c>
      <c r="N13" s="20"/>
      <c r="O13" s="20"/>
      <c r="P13" s="18"/>
    </row>
    <row r="14" spans="1:19" s="88" customFormat="1" x14ac:dyDescent="0.25">
      <c r="A14" s="18" t="s">
        <v>8123</v>
      </c>
      <c r="B14" s="172" t="s">
        <v>579</v>
      </c>
      <c r="C14" s="59" t="s">
        <v>5215</v>
      </c>
      <c r="D14" s="22"/>
      <c r="E14" s="22" t="s">
        <v>457</v>
      </c>
      <c r="F14" s="20">
        <v>9</v>
      </c>
      <c r="G14" s="20" t="s">
        <v>8100</v>
      </c>
      <c r="H14" s="18"/>
      <c r="I14" s="173" t="s">
        <v>4882</v>
      </c>
      <c r="J14" s="173" t="s">
        <v>6732</v>
      </c>
      <c r="K14" s="20" t="s">
        <v>4408</v>
      </c>
      <c r="L14" s="19">
        <v>40133</v>
      </c>
      <c r="M14" s="19">
        <f t="shared" si="0"/>
        <v>40132</v>
      </c>
      <c r="N14" s="20"/>
      <c r="O14" s="20"/>
      <c r="P14" s="18"/>
      <c r="Q14" s="86"/>
      <c r="R14" s="86"/>
      <c r="S14" s="86"/>
    </row>
    <row r="15" spans="1:19" s="88" customFormat="1" x14ac:dyDescent="0.25">
      <c r="A15" s="18" t="s">
        <v>8123</v>
      </c>
      <c r="B15" s="59" t="s">
        <v>321</v>
      </c>
      <c r="C15" s="59" t="s">
        <v>5240</v>
      </c>
      <c r="D15" s="22" t="s">
        <v>8093</v>
      </c>
      <c r="E15" s="22" t="s">
        <v>511</v>
      </c>
      <c r="F15" s="20">
        <v>2</v>
      </c>
      <c r="G15" s="20" t="s">
        <v>8094</v>
      </c>
      <c r="H15" s="18"/>
      <c r="I15" s="173" t="s">
        <v>4882</v>
      </c>
      <c r="J15" s="173" t="s">
        <v>6732</v>
      </c>
      <c r="K15" s="20"/>
      <c r="L15" s="19">
        <v>41157</v>
      </c>
      <c r="M15" s="19">
        <f t="shared" si="0"/>
        <v>41156</v>
      </c>
      <c r="N15" s="20"/>
      <c r="O15" s="20"/>
      <c r="P15" s="18"/>
      <c r="Q15" s="86"/>
      <c r="R15" s="86"/>
      <c r="S15" s="86"/>
    </row>
    <row r="16" spans="1:19" s="88" customFormat="1" x14ac:dyDescent="0.25">
      <c r="A16" s="18" t="s">
        <v>8123</v>
      </c>
      <c r="B16" s="59" t="s">
        <v>7454</v>
      </c>
      <c r="C16" s="59" t="s">
        <v>7598</v>
      </c>
      <c r="D16" s="22" t="s">
        <v>8091</v>
      </c>
      <c r="E16" s="22" t="s">
        <v>421</v>
      </c>
      <c r="F16" s="20">
        <v>5</v>
      </c>
      <c r="G16" s="20" t="s">
        <v>8090</v>
      </c>
      <c r="H16" s="18"/>
      <c r="I16" s="173">
        <v>1285000000</v>
      </c>
      <c r="J16" s="173" t="str">
        <f>IF($I16&lt;='Abbrev Key'!$A$2,'Abbrev Key'!$B$2,IF($I16&lt;='Abbrev Key'!$A$3,'Abbrev Key'!$B$3,IF($I16&lt;='Abbrev Key'!$A$4,'Abbrev Key'!$B$4,IF($I16&lt;='Abbrev Key'!$A$5,'Abbrev Key'!$B$5,IF($I16&lt;='Abbrev Key'!$A$6,'Abbrev Key'!$B$6,IF($I16&gt;='Abbrev Key'!$A$7,'Abbrev Key'!$B$7,IF($I16='Abbrev Key'!$A$8,'Abbrev Key'!$B$8,"")))))))</f>
        <v>F</v>
      </c>
      <c r="K16" s="20" t="s">
        <v>4408</v>
      </c>
      <c r="L16" s="19">
        <v>41934</v>
      </c>
      <c r="M16" s="19">
        <f t="shared" si="0"/>
        <v>41933</v>
      </c>
      <c r="N16" s="20"/>
      <c r="O16" s="20"/>
      <c r="P16" s="18"/>
      <c r="Q16" s="86"/>
      <c r="R16" s="86"/>
      <c r="S16" s="86"/>
    </row>
    <row r="17" spans="1:16" s="86" customFormat="1" x14ac:dyDescent="0.25">
      <c r="A17" s="18" t="s">
        <v>8123</v>
      </c>
      <c r="B17" s="59" t="s">
        <v>3637</v>
      </c>
      <c r="C17" s="59" t="s">
        <v>7592</v>
      </c>
      <c r="D17" s="22" t="s">
        <v>8097</v>
      </c>
      <c r="E17" s="22" t="s">
        <v>424</v>
      </c>
      <c r="F17" s="20">
        <v>3</v>
      </c>
      <c r="G17" s="20" t="s">
        <v>8098</v>
      </c>
      <c r="H17" s="18"/>
      <c r="I17" s="173" t="s">
        <v>4882</v>
      </c>
      <c r="J17" s="173" t="s">
        <v>6732</v>
      </c>
      <c r="K17" s="20"/>
      <c r="L17" s="19"/>
      <c r="M17" s="19">
        <f t="shared" si="0"/>
        <v>-1</v>
      </c>
      <c r="N17" s="20"/>
      <c r="O17" s="20"/>
      <c r="P17" s="18"/>
    </row>
    <row r="18" spans="1:16" s="86" customFormat="1" x14ac:dyDescent="0.25">
      <c r="A18" s="18" t="s">
        <v>8117</v>
      </c>
      <c r="B18" s="59" t="s">
        <v>7154</v>
      </c>
      <c r="C18" s="59" t="s">
        <v>7591</v>
      </c>
      <c r="D18" s="22"/>
      <c r="E18" s="22" t="s">
        <v>399</v>
      </c>
      <c r="F18" s="20">
        <v>9</v>
      </c>
      <c r="G18" s="20"/>
      <c r="H18" s="18"/>
      <c r="I18" s="173"/>
      <c r="J18" s="173" t="str">
        <f>IF($I18&lt;='Abbrev Key'!$A$2,'Abbrev Key'!$B$2,IF($I18&lt;='Abbrev Key'!$A$3,'Abbrev Key'!$B$3,IF($I18&lt;='Abbrev Key'!$A$4,'Abbrev Key'!$B$4,IF($I18&lt;='Abbrev Key'!$A$5,'Abbrev Key'!$B$5,IF($I18&lt;='Abbrev Key'!$A$6,'Abbrev Key'!$B$6,IF($I18&gt;='Abbrev Key'!$A$7,'Abbrev Key'!$B$7,IF($I18='Abbrev Key'!$A$8,'Abbrev Key'!$B$8,"")))))))</f>
        <v>A</v>
      </c>
      <c r="K18" s="20"/>
      <c r="L18" s="19"/>
      <c r="M18" s="19">
        <f t="shared" si="0"/>
        <v>-1</v>
      </c>
      <c r="N18" s="20"/>
      <c r="O18" s="20"/>
      <c r="P18" s="18"/>
    </row>
    <row r="19" spans="1:16" s="86" customFormat="1" x14ac:dyDescent="0.25">
      <c r="A19" s="18" t="s">
        <v>8117</v>
      </c>
      <c r="B19" s="59" t="s">
        <v>7242</v>
      </c>
      <c r="C19" s="59" t="s">
        <v>7588</v>
      </c>
      <c r="D19" s="22"/>
      <c r="E19" s="22" t="s">
        <v>491</v>
      </c>
      <c r="F19" s="20">
        <v>8</v>
      </c>
      <c r="G19" s="20"/>
      <c r="H19" s="18"/>
      <c r="I19" s="173"/>
      <c r="J19" s="173" t="str">
        <f>IF($I19&lt;='Abbrev Key'!$A$2,'Abbrev Key'!$B$2,IF($I19&lt;='Abbrev Key'!$A$3,'Abbrev Key'!$B$3,IF($I19&lt;='Abbrev Key'!$A$4,'Abbrev Key'!$B$4,IF($I19&lt;='Abbrev Key'!$A$5,'Abbrev Key'!$B$5,IF($I19&lt;='Abbrev Key'!$A$6,'Abbrev Key'!$B$6,IF($I19&gt;='Abbrev Key'!$A$7,'Abbrev Key'!$B$7,IF($I19='Abbrev Key'!$A$8,'Abbrev Key'!$B$8,"")))))))</f>
        <v>A</v>
      </c>
      <c r="K19" s="20"/>
      <c r="L19" s="19"/>
      <c r="M19" s="19">
        <f t="shared" si="0"/>
        <v>-1</v>
      </c>
      <c r="N19" s="20"/>
      <c r="O19" s="20"/>
      <c r="P19" s="18"/>
    </row>
    <row r="20" spans="1:16" s="86" customFormat="1" x14ac:dyDescent="0.25">
      <c r="A20" s="18" t="s">
        <v>8117</v>
      </c>
      <c r="B20" s="59" t="s">
        <v>4256</v>
      </c>
      <c r="C20" s="59" t="s">
        <v>7587</v>
      </c>
      <c r="D20" s="22"/>
      <c r="E20" s="22" t="s">
        <v>609</v>
      </c>
      <c r="F20" s="20">
        <v>10</v>
      </c>
      <c r="G20" s="20"/>
      <c r="H20" s="18"/>
      <c r="I20" s="173"/>
      <c r="J20" s="173" t="str">
        <f>IF($I20&lt;='Abbrev Key'!$A$2,'Abbrev Key'!$B$2,IF($I20&lt;='Abbrev Key'!$A$3,'Abbrev Key'!$B$3,IF($I20&lt;='Abbrev Key'!$A$4,'Abbrev Key'!$B$4,IF($I20&lt;='Abbrev Key'!$A$5,'Abbrev Key'!$B$5,IF($I20&lt;='Abbrev Key'!$A$6,'Abbrev Key'!$B$6,IF($I20&gt;='Abbrev Key'!$A$7,'Abbrev Key'!$B$7,IF($I20='Abbrev Key'!$A$8,'Abbrev Key'!$B$8,"")))))))</f>
        <v>A</v>
      </c>
      <c r="K20" s="20"/>
      <c r="L20" s="19"/>
      <c r="M20" s="19">
        <f t="shared" si="0"/>
        <v>-1</v>
      </c>
      <c r="N20" s="20"/>
      <c r="O20" s="20"/>
      <c r="P20" s="18"/>
    </row>
    <row r="21" spans="1:16" s="86" customFormat="1" x14ac:dyDescent="0.25">
      <c r="A21" s="18" t="s">
        <v>8117</v>
      </c>
      <c r="B21" s="59" t="s">
        <v>7474</v>
      </c>
      <c r="C21" s="59" t="s">
        <v>7586</v>
      </c>
      <c r="D21" s="22"/>
      <c r="E21" s="22" t="s">
        <v>409</v>
      </c>
      <c r="F21" s="20">
        <v>1</v>
      </c>
      <c r="G21" s="20"/>
      <c r="H21" s="18"/>
      <c r="I21" s="173"/>
      <c r="J21" s="173" t="str">
        <f>IF($I21&lt;='Abbrev Key'!$A$2,'Abbrev Key'!$B$2,IF($I21&lt;='Abbrev Key'!$A$3,'Abbrev Key'!$B$3,IF($I21&lt;='Abbrev Key'!$A$4,'Abbrev Key'!$B$4,IF($I21&lt;='Abbrev Key'!$A$5,'Abbrev Key'!$B$5,IF($I21&lt;='Abbrev Key'!$A$6,'Abbrev Key'!$B$6,IF($I21&gt;='Abbrev Key'!$A$7,'Abbrev Key'!$B$7,IF($I21='Abbrev Key'!$A$8,'Abbrev Key'!$B$8,"")))))))</f>
        <v>A</v>
      </c>
      <c r="K21" s="20"/>
      <c r="L21" s="19"/>
      <c r="M21" s="19">
        <f t="shared" si="0"/>
        <v>-1</v>
      </c>
      <c r="N21" s="20"/>
      <c r="O21" s="20"/>
      <c r="P21" s="18"/>
    </row>
    <row r="22" spans="1:16" s="86" customFormat="1" x14ac:dyDescent="0.25">
      <c r="A22" s="18" t="s">
        <v>8117</v>
      </c>
      <c r="B22" s="59" t="s">
        <v>6763</v>
      </c>
      <c r="C22" s="59" t="s">
        <v>7581</v>
      </c>
      <c r="D22" s="22"/>
      <c r="E22" s="22" t="s">
        <v>437</v>
      </c>
      <c r="F22" s="20">
        <v>3</v>
      </c>
      <c r="G22" s="20"/>
      <c r="H22" s="18"/>
      <c r="I22" s="173"/>
      <c r="J22" s="173" t="str">
        <f>IF($I22&lt;='Abbrev Key'!$A$2,'Abbrev Key'!$B$2,IF($I22&lt;='Abbrev Key'!$A$3,'Abbrev Key'!$B$3,IF($I22&lt;='Abbrev Key'!$A$4,'Abbrev Key'!$B$4,IF($I22&lt;='Abbrev Key'!$A$5,'Abbrev Key'!$B$5,IF($I22&lt;='Abbrev Key'!$A$6,'Abbrev Key'!$B$6,IF($I22&gt;='Abbrev Key'!$A$7,'Abbrev Key'!$B$7,IF($I22='Abbrev Key'!$A$8,'Abbrev Key'!$B$8,"")))))))</f>
        <v>A</v>
      </c>
      <c r="K22" s="20"/>
      <c r="L22" s="19"/>
      <c r="M22" s="19">
        <f t="shared" si="0"/>
        <v>-1</v>
      </c>
      <c r="N22" s="20"/>
      <c r="O22" s="20"/>
      <c r="P22" s="18"/>
    </row>
    <row r="23" spans="1:16" s="86" customFormat="1" x14ac:dyDescent="0.25">
      <c r="A23" s="18" t="s">
        <v>8117</v>
      </c>
      <c r="B23" s="59" t="s">
        <v>4269</v>
      </c>
      <c r="C23" s="59" t="s">
        <v>7580</v>
      </c>
      <c r="D23" s="22"/>
      <c r="E23" s="22" t="s">
        <v>437</v>
      </c>
      <c r="F23" s="20">
        <v>3</v>
      </c>
      <c r="G23" s="20"/>
      <c r="H23" s="18"/>
      <c r="I23" s="173"/>
      <c r="J23" s="173" t="str">
        <f>IF($I23&lt;='Abbrev Key'!$A$2,'Abbrev Key'!$B$2,IF($I23&lt;='Abbrev Key'!$A$3,'Abbrev Key'!$B$3,IF($I23&lt;='Abbrev Key'!$A$4,'Abbrev Key'!$B$4,IF($I23&lt;='Abbrev Key'!$A$5,'Abbrev Key'!$B$5,IF($I23&lt;='Abbrev Key'!$A$6,'Abbrev Key'!$B$6,IF($I23&gt;='Abbrev Key'!$A$7,'Abbrev Key'!$B$7,IF($I23='Abbrev Key'!$A$8,'Abbrev Key'!$B$8,"")))))))</f>
        <v>A</v>
      </c>
      <c r="K23" s="20"/>
      <c r="L23" s="19"/>
      <c r="M23" s="19">
        <f t="shared" si="0"/>
        <v>-1</v>
      </c>
      <c r="N23" s="20"/>
      <c r="O23" s="20"/>
      <c r="P23" s="18"/>
    </row>
    <row r="24" spans="1:16" s="86" customFormat="1" x14ac:dyDescent="0.25">
      <c r="A24" s="18" t="s">
        <v>8117</v>
      </c>
      <c r="B24" s="59" t="s">
        <v>7396</v>
      </c>
      <c r="C24" s="59" t="s">
        <v>7576</v>
      </c>
      <c r="D24" s="22"/>
      <c r="E24" s="22" t="s">
        <v>7397</v>
      </c>
      <c r="F24" s="20">
        <v>6</v>
      </c>
      <c r="G24" s="20"/>
      <c r="H24" s="18"/>
      <c r="I24" s="173"/>
      <c r="J24" s="173" t="str">
        <f>IF($I24&lt;='Abbrev Key'!$A$2,'Abbrev Key'!$B$2,IF($I24&lt;='Abbrev Key'!$A$3,'Abbrev Key'!$B$3,IF($I24&lt;='Abbrev Key'!$A$4,'Abbrev Key'!$B$4,IF($I24&lt;='Abbrev Key'!$A$5,'Abbrev Key'!$B$5,IF($I24&lt;='Abbrev Key'!$A$6,'Abbrev Key'!$B$6,IF($I24&gt;='Abbrev Key'!$A$7,'Abbrev Key'!$B$7,IF($I24='Abbrev Key'!$A$8,'Abbrev Key'!$B$8,"")))))))</f>
        <v>A</v>
      </c>
      <c r="K24" s="20"/>
      <c r="L24" s="19"/>
      <c r="M24" s="19">
        <f t="shared" si="0"/>
        <v>-1</v>
      </c>
      <c r="N24" s="20"/>
      <c r="O24" s="20"/>
      <c r="P24" s="18"/>
    </row>
    <row r="25" spans="1:16" s="86" customFormat="1" x14ac:dyDescent="0.25">
      <c r="A25" s="18" t="s">
        <v>8116</v>
      </c>
      <c r="B25" s="59" t="s">
        <v>2901</v>
      </c>
      <c r="C25" s="59" t="s">
        <v>4990</v>
      </c>
      <c r="D25" s="22"/>
      <c r="E25" s="22" t="s">
        <v>603</v>
      </c>
      <c r="F25" s="20">
        <v>11</v>
      </c>
      <c r="G25" s="20"/>
      <c r="H25" s="18"/>
      <c r="I25" s="173"/>
      <c r="J25" s="173" t="str">
        <f>IF($I25&lt;='Abbrev Key'!$A$2,'Abbrev Key'!$B$2,IF($I25&lt;='Abbrev Key'!$A$3,'Abbrev Key'!$B$3,IF($I25&lt;='Abbrev Key'!$A$4,'Abbrev Key'!$B$4,IF($I25&lt;='Abbrev Key'!$A$5,'Abbrev Key'!$B$5,IF($I25&lt;='Abbrev Key'!$A$6,'Abbrev Key'!$B$6,IF($I25&gt;='Abbrev Key'!$A$7,'Abbrev Key'!$B$7,IF($I25='Abbrev Key'!$A$8,'Abbrev Key'!$B$8,"")))))))</f>
        <v>A</v>
      </c>
      <c r="K25" s="20"/>
      <c r="L25" s="19" t="str">
        <f t="shared" ref="L25:L40" si="1">RIGHT(G25,10)</f>
        <v/>
      </c>
      <c r="M25" s="19" t="e">
        <f t="shared" si="0"/>
        <v>#VALUE!</v>
      </c>
      <c r="N25" s="20"/>
      <c r="O25" s="20"/>
      <c r="P25" s="18"/>
    </row>
    <row r="26" spans="1:16" s="86" customFormat="1" x14ac:dyDescent="0.25">
      <c r="A26" s="18" t="s">
        <v>8117</v>
      </c>
      <c r="B26" s="59" t="s">
        <v>7381</v>
      </c>
      <c r="C26" s="59" t="s">
        <v>7568</v>
      </c>
      <c r="D26" s="22"/>
      <c r="E26" s="22" t="s">
        <v>460</v>
      </c>
      <c r="F26" s="20">
        <v>4</v>
      </c>
      <c r="G26" s="20"/>
      <c r="H26" s="18"/>
      <c r="I26" s="173"/>
      <c r="J26" s="173" t="str">
        <f>IF($I26&lt;='Abbrev Key'!$A$2,'Abbrev Key'!$B$2,IF($I26&lt;='Abbrev Key'!$A$3,'Abbrev Key'!$B$3,IF($I26&lt;='Abbrev Key'!$A$4,'Abbrev Key'!$B$4,IF($I26&lt;='Abbrev Key'!$A$5,'Abbrev Key'!$B$5,IF($I26&lt;='Abbrev Key'!$A$6,'Abbrev Key'!$B$6,IF($I26&gt;='Abbrev Key'!$A$7,'Abbrev Key'!$B$7,IF($I26='Abbrev Key'!$A$8,'Abbrev Key'!$B$8,"")))))))</f>
        <v>A</v>
      </c>
      <c r="K26" s="20"/>
      <c r="L26" s="19" t="str">
        <f t="shared" si="1"/>
        <v/>
      </c>
      <c r="M26" s="19" t="e">
        <f t="shared" si="0"/>
        <v>#VALUE!</v>
      </c>
      <c r="N26" s="20"/>
      <c r="O26" s="20"/>
      <c r="P26" s="18"/>
    </row>
    <row r="27" spans="1:16" s="86" customFormat="1" x14ac:dyDescent="0.25">
      <c r="A27" s="18" t="s">
        <v>8117</v>
      </c>
      <c r="B27" s="59" t="s">
        <v>6978</v>
      </c>
      <c r="C27" s="59" t="s">
        <v>7566</v>
      </c>
      <c r="D27" s="22"/>
      <c r="E27" s="22" t="s">
        <v>460</v>
      </c>
      <c r="F27" s="20">
        <v>4</v>
      </c>
      <c r="G27" s="20"/>
      <c r="H27" s="18"/>
      <c r="I27" s="173"/>
      <c r="J27" s="173" t="str">
        <f>IF($I27&lt;='Abbrev Key'!$A$2,'Abbrev Key'!$B$2,IF($I27&lt;='Abbrev Key'!$A$3,'Abbrev Key'!$B$3,IF($I27&lt;='Abbrev Key'!$A$4,'Abbrev Key'!$B$4,IF($I27&lt;='Abbrev Key'!$A$5,'Abbrev Key'!$B$5,IF($I27&lt;='Abbrev Key'!$A$6,'Abbrev Key'!$B$6,IF($I27&gt;='Abbrev Key'!$A$7,'Abbrev Key'!$B$7,IF($I27='Abbrev Key'!$A$8,'Abbrev Key'!$B$8,"")))))))</f>
        <v>A</v>
      </c>
      <c r="K27" s="20"/>
      <c r="L27" s="19" t="str">
        <f t="shared" si="1"/>
        <v/>
      </c>
      <c r="M27" s="19" t="e">
        <f t="shared" si="0"/>
        <v>#VALUE!</v>
      </c>
      <c r="N27" s="20"/>
      <c r="O27" s="20"/>
      <c r="P27" s="18"/>
    </row>
    <row r="28" spans="1:16" s="86" customFormat="1" x14ac:dyDescent="0.25">
      <c r="A28" s="18" t="s">
        <v>8117</v>
      </c>
      <c r="B28" s="59" t="s">
        <v>6935</v>
      </c>
      <c r="C28" s="59" t="s">
        <v>7565</v>
      </c>
      <c r="D28" s="22"/>
      <c r="E28" s="22" t="s">
        <v>817</v>
      </c>
      <c r="F28" s="20">
        <v>4</v>
      </c>
      <c r="G28" s="20"/>
      <c r="H28" s="18"/>
      <c r="I28" s="173"/>
      <c r="J28" s="173" t="str">
        <f>IF($I28&lt;='Abbrev Key'!$A$2,'Abbrev Key'!$B$2,IF($I28&lt;='Abbrev Key'!$A$3,'Abbrev Key'!$B$3,IF($I28&lt;='Abbrev Key'!$A$4,'Abbrev Key'!$B$4,IF($I28&lt;='Abbrev Key'!$A$5,'Abbrev Key'!$B$5,IF($I28&lt;='Abbrev Key'!$A$6,'Abbrev Key'!$B$6,IF($I28&gt;='Abbrev Key'!$A$7,'Abbrev Key'!$B$7,IF($I28='Abbrev Key'!$A$8,'Abbrev Key'!$B$8,"")))))))</f>
        <v>A</v>
      </c>
      <c r="K28" s="20"/>
      <c r="L28" s="19" t="str">
        <f t="shared" si="1"/>
        <v/>
      </c>
      <c r="M28" s="19" t="e">
        <f t="shared" si="0"/>
        <v>#VALUE!</v>
      </c>
      <c r="N28" s="20"/>
      <c r="O28" s="20"/>
      <c r="P28" s="18"/>
    </row>
    <row r="29" spans="1:16" s="86" customFormat="1" x14ac:dyDescent="0.25">
      <c r="A29" s="18" t="s">
        <v>8117</v>
      </c>
      <c r="B29" s="59" t="s">
        <v>7485</v>
      </c>
      <c r="C29" s="59" t="s">
        <v>4877</v>
      </c>
      <c r="D29" s="22"/>
      <c r="E29" s="22" t="s">
        <v>603</v>
      </c>
      <c r="F29" s="20">
        <v>11</v>
      </c>
      <c r="G29" s="20"/>
      <c r="H29" s="18"/>
      <c r="I29" s="173"/>
      <c r="J29" s="173" t="str">
        <f>IF($I29&lt;='Abbrev Key'!$A$2,'Abbrev Key'!$B$2,IF($I29&lt;='Abbrev Key'!$A$3,'Abbrev Key'!$B$3,IF($I29&lt;='Abbrev Key'!$A$4,'Abbrev Key'!$B$4,IF($I29&lt;='Abbrev Key'!$A$5,'Abbrev Key'!$B$5,IF($I29&lt;='Abbrev Key'!$A$6,'Abbrev Key'!$B$6,IF($I29&gt;='Abbrev Key'!$A$7,'Abbrev Key'!$B$7,IF($I29='Abbrev Key'!$A$8,'Abbrev Key'!$B$8,"")))))))</f>
        <v>A</v>
      </c>
      <c r="K29" s="20"/>
      <c r="L29" s="19" t="str">
        <f t="shared" si="1"/>
        <v/>
      </c>
      <c r="M29" s="19" t="e">
        <f t="shared" si="0"/>
        <v>#VALUE!</v>
      </c>
      <c r="N29" s="20"/>
      <c r="O29" s="20"/>
      <c r="P29" s="18"/>
    </row>
    <row r="30" spans="1:16" s="86" customFormat="1" x14ac:dyDescent="0.25">
      <c r="A30" s="18" t="s">
        <v>8117</v>
      </c>
      <c r="B30" s="59" t="s">
        <v>4263</v>
      </c>
      <c r="C30" s="59" t="s">
        <v>7560</v>
      </c>
      <c r="D30" s="22"/>
      <c r="E30" s="22" t="s">
        <v>437</v>
      </c>
      <c r="F30" s="20">
        <v>3</v>
      </c>
      <c r="G30" s="20"/>
      <c r="H30" s="18"/>
      <c r="I30" s="173"/>
      <c r="J30" s="173" t="str">
        <f>IF($I30&lt;='Abbrev Key'!$A$2,'Abbrev Key'!$B$2,IF($I30&lt;='Abbrev Key'!$A$3,'Abbrev Key'!$B$3,IF($I30&lt;='Abbrev Key'!$A$4,'Abbrev Key'!$B$4,IF($I30&lt;='Abbrev Key'!$A$5,'Abbrev Key'!$B$5,IF($I30&lt;='Abbrev Key'!$A$6,'Abbrev Key'!$B$6,IF($I30&gt;='Abbrev Key'!$A$7,'Abbrev Key'!$B$7,IF($I30='Abbrev Key'!$A$8,'Abbrev Key'!$B$8,"")))))))</f>
        <v>A</v>
      </c>
      <c r="K30" s="20"/>
      <c r="L30" s="19" t="str">
        <f t="shared" si="1"/>
        <v/>
      </c>
      <c r="M30" s="19" t="e">
        <f t="shared" si="0"/>
        <v>#VALUE!</v>
      </c>
      <c r="N30" s="20"/>
      <c r="O30" s="20"/>
      <c r="P30" s="18"/>
    </row>
    <row r="31" spans="1:16" s="86" customFormat="1" x14ac:dyDescent="0.25">
      <c r="A31" s="18" t="s">
        <v>8117</v>
      </c>
      <c r="B31" s="59" t="s">
        <v>4267</v>
      </c>
      <c r="C31" s="59" t="s">
        <v>7559</v>
      </c>
      <c r="D31" s="22"/>
      <c r="E31" s="22" t="s">
        <v>531</v>
      </c>
      <c r="F31" s="20">
        <v>8</v>
      </c>
      <c r="G31" s="20"/>
      <c r="H31" s="18"/>
      <c r="I31" s="173"/>
      <c r="J31" s="173" t="str">
        <f>IF($I31&lt;='Abbrev Key'!$A$2,'Abbrev Key'!$B$2,IF($I31&lt;='Abbrev Key'!$A$3,'Abbrev Key'!$B$3,IF($I31&lt;='Abbrev Key'!$A$4,'Abbrev Key'!$B$4,IF($I31&lt;='Abbrev Key'!$A$5,'Abbrev Key'!$B$5,IF($I31&lt;='Abbrev Key'!$A$6,'Abbrev Key'!$B$6,IF($I31&gt;='Abbrev Key'!$A$7,'Abbrev Key'!$B$7,IF($I31='Abbrev Key'!$A$8,'Abbrev Key'!$B$8,"")))))))</f>
        <v>A</v>
      </c>
      <c r="K31" s="20"/>
      <c r="L31" s="19" t="str">
        <f t="shared" si="1"/>
        <v/>
      </c>
      <c r="M31" s="19" t="e">
        <f t="shared" si="0"/>
        <v>#VALUE!</v>
      </c>
      <c r="N31" s="20"/>
      <c r="O31" s="20"/>
      <c r="P31" s="18"/>
    </row>
    <row r="32" spans="1:16" s="86" customFormat="1" x14ac:dyDescent="0.25">
      <c r="A32" s="18" t="s">
        <v>8117</v>
      </c>
      <c r="B32" s="59" t="s">
        <v>2610</v>
      </c>
      <c r="C32" s="59" t="s">
        <v>4868</v>
      </c>
      <c r="D32" s="22"/>
      <c r="E32" s="22" t="s">
        <v>437</v>
      </c>
      <c r="F32" s="20">
        <v>3</v>
      </c>
      <c r="G32" s="20"/>
      <c r="H32" s="18"/>
      <c r="I32" s="173"/>
      <c r="J32" s="173" t="str">
        <f>IF($I32&lt;='Abbrev Key'!$A$2,'Abbrev Key'!$B$2,IF($I32&lt;='Abbrev Key'!$A$3,'Abbrev Key'!$B$3,IF($I32&lt;='Abbrev Key'!$A$4,'Abbrev Key'!$B$4,IF($I32&lt;='Abbrev Key'!$A$5,'Abbrev Key'!$B$5,IF($I32&lt;='Abbrev Key'!$A$6,'Abbrev Key'!$B$6,IF($I32&gt;='Abbrev Key'!$A$7,'Abbrev Key'!$B$7,IF($I32='Abbrev Key'!$A$8,'Abbrev Key'!$B$8,"")))))))</f>
        <v>A</v>
      </c>
      <c r="K32" s="20"/>
      <c r="L32" s="19" t="str">
        <f t="shared" si="1"/>
        <v/>
      </c>
      <c r="M32" s="19" t="e">
        <f t="shared" si="0"/>
        <v>#VALUE!</v>
      </c>
      <c r="N32" s="20"/>
      <c r="O32" s="20"/>
      <c r="P32" s="18"/>
    </row>
    <row r="33" spans="1:19" s="86" customFormat="1" x14ac:dyDescent="0.25">
      <c r="A33" s="18" t="s">
        <v>8116</v>
      </c>
      <c r="B33" s="59" t="s">
        <v>2593</v>
      </c>
      <c r="C33" s="59" t="s">
        <v>7557</v>
      </c>
      <c r="D33" s="22"/>
      <c r="E33" s="22" t="s">
        <v>457</v>
      </c>
      <c r="F33" s="20">
        <v>9</v>
      </c>
      <c r="G33" s="20"/>
      <c r="H33" s="18"/>
      <c r="I33" s="173"/>
      <c r="J33" s="173" t="str">
        <f>IF($I33&lt;='Abbrev Key'!$A$2,'Abbrev Key'!$B$2,IF($I33&lt;='Abbrev Key'!$A$3,'Abbrev Key'!$B$3,IF($I33&lt;='Abbrev Key'!$A$4,'Abbrev Key'!$B$4,IF($I33&lt;='Abbrev Key'!$A$5,'Abbrev Key'!$B$5,IF($I33&lt;='Abbrev Key'!$A$6,'Abbrev Key'!$B$6,IF($I33&gt;='Abbrev Key'!$A$7,'Abbrev Key'!$B$7,IF($I33='Abbrev Key'!$A$8,'Abbrev Key'!$B$8,"")))))))</f>
        <v>A</v>
      </c>
      <c r="K33" s="20"/>
      <c r="L33" s="19" t="str">
        <f t="shared" si="1"/>
        <v/>
      </c>
      <c r="M33" s="19" t="e">
        <f t="shared" si="0"/>
        <v>#VALUE!</v>
      </c>
      <c r="N33" s="20"/>
      <c r="O33" s="20"/>
      <c r="P33" s="18"/>
    </row>
    <row r="34" spans="1:19" s="86" customFormat="1" x14ac:dyDescent="0.25">
      <c r="A34" s="18" t="s">
        <v>8117</v>
      </c>
      <c r="B34" s="59" t="s">
        <v>7459</v>
      </c>
      <c r="C34" s="59" t="s">
        <v>7555</v>
      </c>
      <c r="D34" s="22"/>
      <c r="E34" s="22" t="s">
        <v>437</v>
      </c>
      <c r="F34" s="20">
        <v>3</v>
      </c>
      <c r="G34" s="20"/>
      <c r="H34" s="18"/>
      <c r="I34" s="173"/>
      <c r="J34" s="173" t="str">
        <f>IF($I34&lt;='Abbrev Key'!$A$2,'Abbrev Key'!$B$2,IF($I34&lt;='Abbrev Key'!$A$3,'Abbrev Key'!$B$3,IF($I34&lt;='Abbrev Key'!$A$4,'Abbrev Key'!$B$4,IF($I34&lt;='Abbrev Key'!$A$5,'Abbrev Key'!$B$5,IF($I34&lt;='Abbrev Key'!$A$6,'Abbrev Key'!$B$6,IF($I34&gt;='Abbrev Key'!$A$7,'Abbrev Key'!$B$7,IF($I34='Abbrev Key'!$A$8,'Abbrev Key'!$B$8,"")))))))</f>
        <v>A</v>
      </c>
      <c r="K34" s="20"/>
      <c r="L34" s="19" t="str">
        <f t="shared" si="1"/>
        <v/>
      </c>
      <c r="M34" s="19" t="e">
        <f t="shared" si="0"/>
        <v>#VALUE!</v>
      </c>
      <c r="N34" s="20"/>
      <c r="O34" s="20"/>
      <c r="P34" s="18"/>
    </row>
    <row r="35" spans="1:19" s="86" customFormat="1" x14ac:dyDescent="0.25">
      <c r="A35" s="18" t="s">
        <v>8117</v>
      </c>
      <c r="B35" s="59" t="s">
        <v>7188</v>
      </c>
      <c r="C35" s="59" t="s">
        <v>7554</v>
      </c>
      <c r="D35" s="22"/>
      <c r="E35" s="22" t="s">
        <v>418</v>
      </c>
      <c r="F35" s="20">
        <v>2</v>
      </c>
      <c r="G35" s="20"/>
      <c r="H35" s="18"/>
      <c r="I35" s="173"/>
      <c r="J35" s="173" t="str">
        <f>IF($I35&lt;='Abbrev Key'!$A$2,'Abbrev Key'!$B$2,IF($I35&lt;='Abbrev Key'!$A$3,'Abbrev Key'!$B$3,IF($I35&lt;='Abbrev Key'!$A$4,'Abbrev Key'!$B$4,IF($I35&lt;='Abbrev Key'!$A$5,'Abbrev Key'!$B$5,IF($I35&lt;='Abbrev Key'!$A$6,'Abbrev Key'!$B$6,IF($I35&gt;='Abbrev Key'!$A$7,'Abbrev Key'!$B$7,IF($I35='Abbrev Key'!$A$8,'Abbrev Key'!$B$8,"")))))))</f>
        <v>A</v>
      </c>
      <c r="K35" s="20"/>
      <c r="L35" s="19" t="str">
        <f t="shared" si="1"/>
        <v/>
      </c>
      <c r="M35" s="19" t="e">
        <f t="shared" si="0"/>
        <v>#VALUE!</v>
      </c>
      <c r="N35" s="20"/>
      <c r="O35" s="20"/>
      <c r="P35" s="18"/>
    </row>
    <row r="36" spans="1:19" s="86" customFormat="1" x14ac:dyDescent="0.25">
      <c r="A36" s="18" t="s">
        <v>8117</v>
      </c>
      <c r="B36" s="59" t="s">
        <v>6916</v>
      </c>
      <c r="C36" s="59" t="s">
        <v>7550</v>
      </c>
      <c r="D36" s="22"/>
      <c r="E36" s="22" t="s">
        <v>457</v>
      </c>
      <c r="F36" s="20">
        <v>9</v>
      </c>
      <c r="G36" s="20"/>
      <c r="H36" s="18"/>
      <c r="I36" s="173"/>
      <c r="J36" s="173" t="str">
        <f>IF($I36&lt;='Abbrev Key'!$A$2,'Abbrev Key'!$B$2,IF($I36&lt;='Abbrev Key'!$A$3,'Abbrev Key'!$B$3,IF($I36&lt;='Abbrev Key'!$A$4,'Abbrev Key'!$B$4,IF($I36&lt;='Abbrev Key'!$A$5,'Abbrev Key'!$B$5,IF($I36&lt;='Abbrev Key'!$A$6,'Abbrev Key'!$B$6,IF($I36&gt;='Abbrev Key'!$A$7,'Abbrev Key'!$B$7,IF($I36='Abbrev Key'!$A$8,'Abbrev Key'!$B$8,"")))))))</f>
        <v>A</v>
      </c>
      <c r="K36" s="20"/>
      <c r="L36" s="19" t="str">
        <f t="shared" si="1"/>
        <v/>
      </c>
      <c r="M36" s="19" t="e">
        <f t="shared" si="0"/>
        <v>#VALUE!</v>
      </c>
      <c r="N36" s="20"/>
      <c r="O36" s="20"/>
      <c r="P36" s="18"/>
    </row>
    <row r="37" spans="1:19" s="86" customFormat="1" x14ac:dyDescent="0.25">
      <c r="A37" s="18" t="s">
        <v>8117</v>
      </c>
      <c r="B37" s="59" t="s">
        <v>2399</v>
      </c>
      <c r="C37" s="59" t="s">
        <v>4792</v>
      </c>
      <c r="D37" s="22"/>
      <c r="E37" s="22" t="s">
        <v>399</v>
      </c>
      <c r="F37" s="20">
        <v>9</v>
      </c>
      <c r="G37" s="20"/>
      <c r="H37" s="18"/>
      <c r="I37" s="173"/>
      <c r="J37" s="173" t="str">
        <f>IF($I37&lt;='Abbrev Key'!$A$2,'Abbrev Key'!$B$2,IF($I37&lt;='Abbrev Key'!$A$3,'Abbrev Key'!$B$3,IF($I37&lt;='Abbrev Key'!$A$4,'Abbrev Key'!$B$4,IF($I37&lt;='Abbrev Key'!$A$5,'Abbrev Key'!$B$5,IF($I37&lt;='Abbrev Key'!$A$6,'Abbrev Key'!$B$6,IF($I37&gt;='Abbrev Key'!$A$7,'Abbrev Key'!$B$7,IF($I37='Abbrev Key'!$A$8,'Abbrev Key'!$B$8,"")))))))</f>
        <v>A</v>
      </c>
      <c r="K37" s="20"/>
      <c r="L37" s="19" t="str">
        <f t="shared" si="1"/>
        <v/>
      </c>
      <c r="M37" s="19" t="e">
        <f t="shared" si="0"/>
        <v>#VALUE!</v>
      </c>
      <c r="N37" s="20"/>
      <c r="O37" s="20"/>
      <c r="P37" s="18"/>
    </row>
    <row r="38" spans="1:19" s="86" customFormat="1" x14ac:dyDescent="0.25">
      <c r="A38" s="18" t="s">
        <v>8117</v>
      </c>
      <c r="B38" s="59" t="s">
        <v>2332</v>
      </c>
      <c r="C38" s="59" t="s">
        <v>4765</v>
      </c>
      <c r="D38" s="22"/>
      <c r="E38" s="22" t="s">
        <v>542</v>
      </c>
      <c r="F38" s="20">
        <v>3</v>
      </c>
      <c r="G38" s="20"/>
      <c r="H38" s="18"/>
      <c r="I38" s="173"/>
      <c r="J38" s="173" t="str">
        <f>IF($I38&lt;='Abbrev Key'!$A$2,'Abbrev Key'!$B$2,IF($I38&lt;='Abbrev Key'!$A$3,'Abbrev Key'!$B$3,IF($I38&lt;='Abbrev Key'!$A$4,'Abbrev Key'!$B$4,IF($I38&lt;='Abbrev Key'!$A$5,'Abbrev Key'!$B$5,IF($I38&lt;='Abbrev Key'!$A$6,'Abbrev Key'!$B$6,IF($I38&gt;='Abbrev Key'!$A$7,'Abbrev Key'!$B$7,IF($I38='Abbrev Key'!$A$8,'Abbrev Key'!$B$8,"")))))))</f>
        <v>A</v>
      </c>
      <c r="K38" s="20"/>
      <c r="L38" s="19" t="str">
        <f t="shared" si="1"/>
        <v/>
      </c>
      <c r="M38" s="19" t="e">
        <f t="shared" si="0"/>
        <v>#VALUE!</v>
      </c>
      <c r="N38" s="20"/>
      <c r="O38" s="20"/>
      <c r="P38" s="18"/>
    </row>
    <row r="39" spans="1:19" s="86" customFormat="1" x14ac:dyDescent="0.25">
      <c r="A39" s="18" t="s">
        <v>8150</v>
      </c>
      <c r="B39" s="59" t="s">
        <v>2297</v>
      </c>
      <c r="C39" s="59" t="s">
        <v>4749</v>
      </c>
      <c r="D39" s="22"/>
      <c r="E39" s="22" t="s">
        <v>446</v>
      </c>
      <c r="F39" s="20">
        <v>9</v>
      </c>
      <c r="G39" s="20"/>
      <c r="H39" s="18"/>
      <c r="I39" s="173"/>
      <c r="J39" s="173" t="str">
        <f>IF($I39&lt;='Abbrev Key'!$A$2,'Abbrev Key'!$B$2,IF($I39&lt;='Abbrev Key'!$A$3,'Abbrev Key'!$B$3,IF($I39&lt;='Abbrev Key'!$A$4,'Abbrev Key'!$B$4,IF($I39&lt;='Abbrev Key'!$A$5,'Abbrev Key'!$B$5,IF($I39&lt;='Abbrev Key'!$A$6,'Abbrev Key'!$B$6,IF($I39&gt;='Abbrev Key'!$A$7,'Abbrev Key'!$B$7,IF($I39='Abbrev Key'!$A$8,'Abbrev Key'!$B$8,"")))))))</f>
        <v>A</v>
      </c>
      <c r="K39" s="20"/>
      <c r="L39" s="19" t="str">
        <f t="shared" si="1"/>
        <v/>
      </c>
      <c r="M39" s="19" t="e">
        <f t="shared" si="0"/>
        <v>#VALUE!</v>
      </c>
      <c r="N39" s="20"/>
      <c r="O39" s="20"/>
      <c r="P39" s="18"/>
    </row>
    <row r="40" spans="1:19" s="86" customFormat="1" x14ac:dyDescent="0.25">
      <c r="A40" s="18" t="s">
        <v>8117</v>
      </c>
      <c r="B40" s="59" t="s">
        <v>7456</v>
      </c>
      <c r="C40" s="59" t="s">
        <v>7526</v>
      </c>
      <c r="D40" s="22"/>
      <c r="E40" s="22" t="s">
        <v>437</v>
      </c>
      <c r="F40" s="20">
        <v>3</v>
      </c>
      <c r="G40" s="20"/>
      <c r="H40" s="18"/>
      <c r="I40" s="173"/>
      <c r="J40" s="173" t="str">
        <f>IF($I40&lt;='Abbrev Key'!$A$2,'Abbrev Key'!$B$2,IF($I40&lt;='Abbrev Key'!$A$3,'Abbrev Key'!$B$3,IF($I40&lt;='Abbrev Key'!$A$4,'Abbrev Key'!$B$4,IF($I40&lt;='Abbrev Key'!$A$5,'Abbrev Key'!$B$5,IF($I40&lt;='Abbrev Key'!$A$6,'Abbrev Key'!$B$6,IF($I40&gt;='Abbrev Key'!$A$7,'Abbrev Key'!$B$7,IF($I40='Abbrev Key'!$A$8,'Abbrev Key'!$B$8,"")))))))</f>
        <v>A</v>
      </c>
      <c r="K40" s="20"/>
      <c r="L40" s="19" t="str">
        <f t="shared" si="1"/>
        <v/>
      </c>
      <c r="M40" s="19" t="e">
        <f t="shared" si="0"/>
        <v>#VALUE!</v>
      </c>
      <c r="N40" s="20"/>
      <c r="O40" s="20"/>
      <c r="P40" s="18"/>
    </row>
    <row r="41" spans="1:19" s="25" customFormat="1" x14ac:dyDescent="0.25">
      <c r="A41" s="18" t="s">
        <v>8117</v>
      </c>
      <c r="B41" s="59" t="s">
        <v>4219</v>
      </c>
      <c r="C41" s="59" t="s">
        <v>4723</v>
      </c>
      <c r="D41" s="22" t="s">
        <v>4724</v>
      </c>
      <c r="E41" s="22" t="s">
        <v>446</v>
      </c>
      <c r="F41" s="15">
        <v>9</v>
      </c>
      <c r="G41" s="20" t="s">
        <v>4725</v>
      </c>
      <c r="H41" s="18" t="s">
        <v>4726</v>
      </c>
      <c r="I41" s="175" t="s">
        <v>4882</v>
      </c>
      <c r="J41" s="173" t="s">
        <v>6732</v>
      </c>
      <c r="K41" s="20" t="s">
        <v>4295</v>
      </c>
      <c r="L41" s="19">
        <v>42804</v>
      </c>
      <c r="M41" s="19">
        <v>42803</v>
      </c>
      <c r="N41" s="18"/>
      <c r="O41" s="18"/>
      <c r="P41" s="18"/>
      <c r="Q41" s="91"/>
      <c r="R41" s="91"/>
      <c r="S41" s="91"/>
    </row>
    <row r="42" spans="1:19" s="86" customFormat="1" x14ac:dyDescent="0.25">
      <c r="A42" s="18" t="s">
        <v>8152</v>
      </c>
      <c r="B42" s="59" t="s">
        <v>4219</v>
      </c>
      <c r="C42" s="59" t="s">
        <v>4723</v>
      </c>
      <c r="D42" s="22"/>
      <c r="E42" s="22" t="s">
        <v>446</v>
      </c>
      <c r="F42" s="20">
        <v>9</v>
      </c>
      <c r="G42" s="20"/>
      <c r="H42" s="18"/>
      <c r="I42" s="173"/>
      <c r="J42" s="173" t="str">
        <f>IF($I42&lt;='Abbrev Key'!$A$2,'Abbrev Key'!$B$2,IF($I42&lt;='Abbrev Key'!$A$3,'Abbrev Key'!$B$3,IF($I42&lt;='Abbrev Key'!$A$4,'Abbrev Key'!$B$4,IF($I42&lt;='Abbrev Key'!$A$5,'Abbrev Key'!$B$5,IF($I42&lt;='Abbrev Key'!$A$6,'Abbrev Key'!$B$6,IF($I42&gt;='Abbrev Key'!$A$7,'Abbrev Key'!$B$7,IF($I42='Abbrev Key'!$A$8,'Abbrev Key'!$B$8,"")))))))</f>
        <v>A</v>
      </c>
      <c r="K42" s="20"/>
      <c r="L42" s="19" t="str">
        <f t="shared" ref="L42:L73" si="2">RIGHT(G42,10)</f>
        <v/>
      </c>
      <c r="M42" s="19" t="e">
        <f t="shared" ref="M42:M73" si="3">L42-1</f>
        <v>#VALUE!</v>
      </c>
      <c r="N42" s="20"/>
      <c r="O42" s="20"/>
      <c r="P42" s="18"/>
    </row>
    <row r="43" spans="1:19" s="86" customFormat="1" x14ac:dyDescent="0.25">
      <c r="A43" s="18" t="s">
        <v>8117</v>
      </c>
      <c r="B43" s="59" t="s">
        <v>4268</v>
      </c>
      <c r="C43" s="59" t="s">
        <v>7541</v>
      </c>
      <c r="D43" s="22"/>
      <c r="E43" s="22" t="s">
        <v>817</v>
      </c>
      <c r="F43" s="20">
        <v>4</v>
      </c>
      <c r="G43" s="20"/>
      <c r="H43" s="18"/>
      <c r="I43" s="173"/>
      <c r="J43" s="173" t="str">
        <f>IF($I43&lt;='Abbrev Key'!$A$2,'Abbrev Key'!$B$2,IF($I43&lt;='Abbrev Key'!$A$3,'Abbrev Key'!$B$3,IF($I43&lt;='Abbrev Key'!$A$4,'Abbrev Key'!$B$4,IF($I43&lt;='Abbrev Key'!$A$5,'Abbrev Key'!$B$5,IF($I43&lt;='Abbrev Key'!$A$6,'Abbrev Key'!$B$6,IF($I43&gt;='Abbrev Key'!$A$7,'Abbrev Key'!$B$7,IF($I43='Abbrev Key'!$A$8,'Abbrev Key'!$B$8,"")))))))</f>
        <v>A</v>
      </c>
      <c r="K43" s="20"/>
      <c r="L43" s="19" t="str">
        <f t="shared" si="2"/>
        <v/>
      </c>
      <c r="M43" s="19" t="e">
        <f t="shared" si="3"/>
        <v>#VALUE!</v>
      </c>
      <c r="N43" s="20"/>
      <c r="O43" s="20"/>
      <c r="P43" s="18"/>
    </row>
    <row r="44" spans="1:19" s="86" customFormat="1" x14ac:dyDescent="0.25">
      <c r="A44" s="18" t="s">
        <v>8150</v>
      </c>
      <c r="B44" s="59" t="s">
        <v>1989</v>
      </c>
      <c r="C44" s="59" t="s">
        <v>4658</v>
      </c>
      <c r="D44" s="22"/>
      <c r="E44" s="22" t="s">
        <v>465</v>
      </c>
      <c r="F44" s="20">
        <v>7</v>
      </c>
      <c r="G44" s="20"/>
      <c r="H44" s="18"/>
      <c r="I44" s="173"/>
      <c r="J44" s="173" t="str">
        <f>IF($I44&lt;='Abbrev Key'!$A$2,'Abbrev Key'!$B$2,IF($I44&lt;='Abbrev Key'!$A$3,'Abbrev Key'!$B$3,IF($I44&lt;='Abbrev Key'!$A$4,'Abbrev Key'!$B$4,IF($I44&lt;='Abbrev Key'!$A$5,'Abbrev Key'!$B$5,IF($I44&lt;='Abbrev Key'!$A$6,'Abbrev Key'!$B$6,IF($I44&gt;='Abbrev Key'!$A$7,'Abbrev Key'!$B$7,IF($I44='Abbrev Key'!$A$8,'Abbrev Key'!$B$8,"")))))))</f>
        <v>A</v>
      </c>
      <c r="K44" s="20"/>
      <c r="L44" s="19" t="str">
        <f t="shared" si="2"/>
        <v/>
      </c>
      <c r="M44" s="19" t="e">
        <f t="shared" si="3"/>
        <v>#VALUE!</v>
      </c>
      <c r="N44" s="20"/>
      <c r="O44" s="20"/>
      <c r="P44" s="18"/>
    </row>
    <row r="45" spans="1:19" s="86" customFormat="1" x14ac:dyDescent="0.25">
      <c r="A45" s="18" t="s">
        <v>8117</v>
      </c>
      <c r="B45" s="59" t="s">
        <v>6986</v>
      </c>
      <c r="C45" s="59" t="s">
        <v>7535</v>
      </c>
      <c r="D45" s="22"/>
      <c r="E45" s="22" t="s">
        <v>817</v>
      </c>
      <c r="F45" s="20">
        <v>4</v>
      </c>
      <c r="G45" s="20"/>
      <c r="H45" s="18"/>
      <c r="I45" s="173"/>
      <c r="J45" s="173" t="str">
        <f>IF($I45&lt;='Abbrev Key'!$A$2,'Abbrev Key'!$B$2,IF($I45&lt;='Abbrev Key'!$A$3,'Abbrev Key'!$B$3,IF($I45&lt;='Abbrev Key'!$A$4,'Abbrev Key'!$B$4,IF($I45&lt;='Abbrev Key'!$A$5,'Abbrev Key'!$B$5,IF($I45&lt;='Abbrev Key'!$A$6,'Abbrev Key'!$B$6,IF($I45&gt;='Abbrev Key'!$A$7,'Abbrev Key'!$B$7,IF($I45='Abbrev Key'!$A$8,'Abbrev Key'!$B$8,"")))))))</f>
        <v>A</v>
      </c>
      <c r="K45" s="20"/>
      <c r="L45" s="19" t="str">
        <f t="shared" si="2"/>
        <v/>
      </c>
      <c r="M45" s="19" t="e">
        <f t="shared" si="3"/>
        <v>#VALUE!</v>
      </c>
      <c r="N45" s="20"/>
      <c r="O45" s="20"/>
      <c r="P45" s="18"/>
    </row>
    <row r="46" spans="1:19" s="86" customFormat="1" x14ac:dyDescent="0.25">
      <c r="A46" s="18" t="s">
        <v>8117</v>
      </c>
      <c r="B46" s="59" t="s">
        <v>6767</v>
      </c>
      <c r="C46" s="59" t="s">
        <v>7536</v>
      </c>
      <c r="D46" s="22"/>
      <c r="E46" s="22" t="s">
        <v>817</v>
      </c>
      <c r="F46" s="20">
        <v>4</v>
      </c>
      <c r="G46" s="20"/>
      <c r="H46" s="18"/>
      <c r="I46" s="173"/>
      <c r="J46" s="173" t="str">
        <f>IF($I46&lt;='Abbrev Key'!$A$2,'Abbrev Key'!$B$2,IF($I46&lt;='Abbrev Key'!$A$3,'Abbrev Key'!$B$3,IF($I46&lt;='Abbrev Key'!$A$4,'Abbrev Key'!$B$4,IF($I46&lt;='Abbrev Key'!$A$5,'Abbrev Key'!$B$5,IF($I46&lt;='Abbrev Key'!$A$6,'Abbrev Key'!$B$6,IF($I46&gt;='Abbrev Key'!$A$7,'Abbrev Key'!$B$7,IF($I46='Abbrev Key'!$A$8,'Abbrev Key'!$B$8,"")))))))</f>
        <v>A</v>
      </c>
      <c r="K46" s="20"/>
      <c r="L46" s="19" t="str">
        <f t="shared" si="2"/>
        <v/>
      </c>
      <c r="M46" s="19" t="e">
        <f t="shared" si="3"/>
        <v>#VALUE!</v>
      </c>
      <c r="N46" s="20"/>
      <c r="O46" s="20"/>
      <c r="P46" s="18"/>
    </row>
    <row r="47" spans="1:19" s="86" customFormat="1" x14ac:dyDescent="0.25">
      <c r="A47" s="18" t="s">
        <v>8117</v>
      </c>
      <c r="B47" s="59" t="s">
        <v>4264</v>
      </c>
      <c r="C47" s="59" t="s">
        <v>7534</v>
      </c>
      <c r="D47" s="22"/>
      <c r="E47" s="22" t="s">
        <v>460</v>
      </c>
      <c r="F47" s="20">
        <v>4</v>
      </c>
      <c r="G47" s="20"/>
      <c r="H47" s="18"/>
      <c r="I47" s="173"/>
      <c r="J47" s="173" t="str">
        <f>IF($I47&lt;='Abbrev Key'!$A$2,'Abbrev Key'!$B$2,IF($I47&lt;='Abbrev Key'!$A$3,'Abbrev Key'!$B$3,IF($I47&lt;='Abbrev Key'!$A$4,'Abbrev Key'!$B$4,IF($I47&lt;='Abbrev Key'!$A$5,'Abbrev Key'!$B$5,IF($I47&lt;='Abbrev Key'!$A$6,'Abbrev Key'!$B$6,IF($I47&gt;='Abbrev Key'!$A$7,'Abbrev Key'!$B$7,IF($I47='Abbrev Key'!$A$8,'Abbrev Key'!$B$8,"")))))))</f>
        <v>A</v>
      </c>
      <c r="K47" s="20"/>
      <c r="L47" s="19" t="str">
        <f t="shared" si="2"/>
        <v/>
      </c>
      <c r="M47" s="19" t="e">
        <f t="shared" si="3"/>
        <v>#VALUE!</v>
      </c>
      <c r="N47" s="20"/>
      <c r="O47" s="20"/>
      <c r="P47" s="18"/>
    </row>
    <row r="48" spans="1:19" s="86" customFormat="1" x14ac:dyDescent="0.25">
      <c r="A48" s="18" t="s">
        <v>8117</v>
      </c>
      <c r="B48" s="59" t="s">
        <v>6983</v>
      </c>
      <c r="C48" s="59" t="s">
        <v>7529</v>
      </c>
      <c r="D48" s="22"/>
      <c r="E48" s="22" t="s">
        <v>817</v>
      </c>
      <c r="F48" s="20">
        <v>4</v>
      </c>
      <c r="G48" s="20"/>
      <c r="H48" s="18"/>
      <c r="I48" s="173"/>
      <c r="J48" s="173" t="str">
        <f>IF($I48&lt;='Abbrev Key'!$A$2,'Abbrev Key'!$B$2,IF($I48&lt;='Abbrev Key'!$A$3,'Abbrev Key'!$B$3,IF($I48&lt;='Abbrev Key'!$A$4,'Abbrev Key'!$B$4,IF($I48&lt;='Abbrev Key'!$A$5,'Abbrev Key'!$B$5,IF($I48&lt;='Abbrev Key'!$A$6,'Abbrev Key'!$B$6,IF($I48&gt;='Abbrev Key'!$A$7,'Abbrev Key'!$B$7,IF($I48='Abbrev Key'!$A$8,'Abbrev Key'!$B$8,"")))))))</f>
        <v>A</v>
      </c>
      <c r="K48" s="20"/>
      <c r="L48" s="19" t="str">
        <f t="shared" si="2"/>
        <v/>
      </c>
      <c r="M48" s="19" t="e">
        <f t="shared" si="3"/>
        <v>#VALUE!</v>
      </c>
      <c r="N48" s="20"/>
      <c r="O48" s="20"/>
      <c r="P48" s="18"/>
    </row>
    <row r="49" spans="1:16" s="86" customFormat="1" x14ac:dyDescent="0.25">
      <c r="A49" s="91" t="s">
        <v>8117</v>
      </c>
      <c r="B49" s="59" t="s">
        <v>7164</v>
      </c>
      <c r="C49" s="59" t="s">
        <v>7525</v>
      </c>
      <c r="D49" s="22"/>
      <c r="E49" s="22" t="s">
        <v>545</v>
      </c>
      <c r="F49" s="20">
        <v>10</v>
      </c>
      <c r="G49" s="20"/>
      <c r="H49" s="18"/>
      <c r="I49" s="173"/>
      <c r="J49" s="173" t="str">
        <f>IF($I49&lt;='Abbrev Key'!$A$2,'Abbrev Key'!$B$2,IF($I49&lt;='Abbrev Key'!$A$3,'Abbrev Key'!$B$3,IF($I49&lt;='Abbrev Key'!$A$4,'Abbrev Key'!$B$4,IF($I49&lt;='Abbrev Key'!$A$5,'Abbrev Key'!$B$5,IF($I49&lt;='Abbrev Key'!$A$6,'Abbrev Key'!$B$6,IF($I49&gt;='Abbrev Key'!$A$7,'Abbrev Key'!$B$7,IF($I49='Abbrev Key'!$A$8,'Abbrev Key'!$B$8,"")))))))</f>
        <v>A</v>
      </c>
      <c r="K49" s="20"/>
      <c r="L49" s="19" t="str">
        <f t="shared" si="2"/>
        <v/>
      </c>
      <c r="M49" s="19" t="e">
        <f t="shared" si="3"/>
        <v>#VALUE!</v>
      </c>
      <c r="N49" s="20"/>
      <c r="O49" s="20"/>
      <c r="P49" s="18"/>
    </row>
    <row r="50" spans="1:16" s="86" customFormat="1" x14ac:dyDescent="0.25">
      <c r="A50" s="91" t="s">
        <v>8150</v>
      </c>
      <c r="B50" s="59" t="s">
        <v>1614</v>
      </c>
      <c r="C50" s="59" t="s">
        <v>4536</v>
      </c>
      <c r="D50" s="22"/>
      <c r="E50" s="22" t="s">
        <v>1008</v>
      </c>
      <c r="F50" s="20">
        <v>2</v>
      </c>
      <c r="G50" s="20"/>
      <c r="H50" s="18"/>
      <c r="I50" s="173"/>
      <c r="J50" s="173" t="str">
        <f>IF($I50&lt;='Abbrev Key'!$A$2,'Abbrev Key'!$B$2,IF($I50&lt;='Abbrev Key'!$A$3,'Abbrev Key'!$B$3,IF($I50&lt;='Abbrev Key'!$A$4,'Abbrev Key'!$B$4,IF($I50&lt;='Abbrev Key'!$A$5,'Abbrev Key'!$B$5,IF($I50&lt;='Abbrev Key'!$A$6,'Abbrev Key'!$B$6,IF($I50&gt;='Abbrev Key'!$A$7,'Abbrev Key'!$B$7,IF($I50='Abbrev Key'!$A$8,'Abbrev Key'!$B$8,"")))))))</f>
        <v>A</v>
      </c>
      <c r="K50" s="20"/>
      <c r="L50" s="19" t="str">
        <f t="shared" si="2"/>
        <v/>
      </c>
      <c r="M50" s="19" t="e">
        <f t="shared" si="3"/>
        <v>#VALUE!</v>
      </c>
      <c r="N50" s="20"/>
      <c r="O50" s="20"/>
      <c r="P50" s="18"/>
    </row>
    <row r="51" spans="1:16" s="86" customFormat="1" x14ac:dyDescent="0.25">
      <c r="A51" s="91" t="s">
        <v>8117</v>
      </c>
      <c r="B51" s="59" t="s">
        <v>7023</v>
      </c>
      <c r="C51" s="59" t="s">
        <v>7520</v>
      </c>
      <c r="D51" s="22"/>
      <c r="E51" s="22" t="s">
        <v>1632</v>
      </c>
      <c r="F51" s="20">
        <v>6</v>
      </c>
      <c r="G51" s="87"/>
      <c r="H51" s="18"/>
      <c r="I51" s="173"/>
      <c r="J51" s="173" t="str">
        <f>IF($I51&lt;='Abbrev Key'!$A$2,'Abbrev Key'!$B$2,IF($I51&lt;='Abbrev Key'!$A$3,'Abbrev Key'!$B$3,IF($I51&lt;='Abbrev Key'!$A$4,'Abbrev Key'!$B$4,IF($I51&lt;='Abbrev Key'!$A$5,'Abbrev Key'!$B$5,IF($I51&lt;='Abbrev Key'!$A$6,'Abbrev Key'!$B$6,IF($I51&gt;='Abbrev Key'!$A$7,'Abbrev Key'!$B$7,IF($I51='Abbrev Key'!$A$8,'Abbrev Key'!$B$8,"")))))))</f>
        <v>A</v>
      </c>
      <c r="K51" s="20"/>
      <c r="L51" s="19" t="str">
        <f t="shared" si="2"/>
        <v/>
      </c>
      <c r="M51" s="19" t="e">
        <f t="shared" si="3"/>
        <v>#VALUE!</v>
      </c>
      <c r="N51" s="20"/>
      <c r="O51" s="20"/>
      <c r="P51" s="18"/>
    </row>
    <row r="52" spans="1:16" s="86" customFormat="1" x14ac:dyDescent="0.25">
      <c r="A52" s="91" t="s">
        <v>8150</v>
      </c>
      <c r="B52" s="59" t="s">
        <v>1379</v>
      </c>
      <c r="C52" s="59" t="s">
        <v>4481</v>
      </c>
      <c r="D52" s="22"/>
      <c r="E52" s="22" t="s">
        <v>1380</v>
      </c>
      <c r="F52" s="20">
        <v>5</v>
      </c>
      <c r="G52" s="20"/>
      <c r="H52" s="18"/>
      <c r="I52" s="173"/>
      <c r="J52" s="173" t="str">
        <f>IF($I52&lt;='Abbrev Key'!$A$2,'Abbrev Key'!$B$2,IF($I52&lt;='Abbrev Key'!$A$3,'Abbrev Key'!$B$3,IF($I52&lt;='Abbrev Key'!$A$4,'Abbrev Key'!$B$4,IF($I52&lt;='Abbrev Key'!$A$5,'Abbrev Key'!$B$5,IF($I52&lt;='Abbrev Key'!$A$6,'Abbrev Key'!$B$6,IF($I52&gt;='Abbrev Key'!$A$7,'Abbrev Key'!$B$7,IF($I52='Abbrev Key'!$A$8,'Abbrev Key'!$B$8,"")))))))</f>
        <v>A</v>
      </c>
      <c r="K52" s="20"/>
      <c r="L52" s="19" t="str">
        <f t="shared" si="2"/>
        <v/>
      </c>
      <c r="M52" s="19" t="e">
        <f t="shared" si="3"/>
        <v>#VALUE!</v>
      </c>
      <c r="N52" s="20"/>
      <c r="O52" s="20"/>
      <c r="P52" s="18"/>
    </row>
    <row r="53" spans="1:16" s="86" customFormat="1" x14ac:dyDescent="0.25">
      <c r="A53" s="91" t="s">
        <v>8116</v>
      </c>
      <c r="B53" s="59" t="s">
        <v>1371</v>
      </c>
      <c r="C53" s="59" t="s">
        <v>4478</v>
      </c>
      <c r="D53" s="22"/>
      <c r="E53" s="22" t="s">
        <v>418</v>
      </c>
      <c r="F53" s="20">
        <v>2</v>
      </c>
      <c r="G53" s="20"/>
      <c r="H53" s="18"/>
      <c r="I53" s="173"/>
      <c r="J53" s="173" t="str">
        <f>IF($I53&lt;='Abbrev Key'!$A$2,'Abbrev Key'!$B$2,IF($I53&lt;='Abbrev Key'!$A$3,'Abbrev Key'!$B$3,IF($I53&lt;='Abbrev Key'!$A$4,'Abbrev Key'!$B$4,IF($I53&lt;='Abbrev Key'!$A$5,'Abbrev Key'!$B$5,IF($I53&lt;='Abbrev Key'!$A$6,'Abbrev Key'!$B$6,IF($I53&gt;='Abbrev Key'!$A$7,'Abbrev Key'!$B$7,IF($I53='Abbrev Key'!$A$8,'Abbrev Key'!$B$8,"")))))))</f>
        <v>A</v>
      </c>
      <c r="K53" s="20"/>
      <c r="L53" s="19" t="str">
        <f t="shared" si="2"/>
        <v/>
      </c>
      <c r="M53" s="19" t="e">
        <f t="shared" si="3"/>
        <v>#VALUE!</v>
      </c>
      <c r="N53" s="20"/>
      <c r="O53" s="20"/>
      <c r="P53" s="18"/>
    </row>
    <row r="54" spans="1:16" s="86" customFormat="1" x14ac:dyDescent="0.25">
      <c r="A54" s="91" t="s">
        <v>8117</v>
      </c>
      <c r="B54" s="59" t="s">
        <v>142</v>
      </c>
      <c r="C54" s="59" t="s">
        <v>4441</v>
      </c>
      <c r="D54" s="22"/>
      <c r="E54" s="22" t="s">
        <v>503</v>
      </c>
      <c r="F54" s="20">
        <v>4</v>
      </c>
      <c r="G54" s="20"/>
      <c r="H54" s="18"/>
      <c r="I54" s="173"/>
      <c r="J54" s="173" t="str">
        <f>IF($I54&lt;='Abbrev Key'!$A$2,'Abbrev Key'!$B$2,IF($I54&lt;='Abbrev Key'!$A$3,'Abbrev Key'!$B$3,IF($I54&lt;='Abbrev Key'!$A$4,'Abbrev Key'!$B$4,IF($I54&lt;='Abbrev Key'!$A$5,'Abbrev Key'!$B$5,IF($I54&lt;='Abbrev Key'!$A$6,'Abbrev Key'!$B$6,IF($I54&gt;='Abbrev Key'!$A$7,'Abbrev Key'!$B$7,IF($I54='Abbrev Key'!$A$8,'Abbrev Key'!$B$8,"")))))))</f>
        <v>A</v>
      </c>
      <c r="K54" s="20"/>
      <c r="L54" s="19" t="str">
        <f t="shared" si="2"/>
        <v/>
      </c>
      <c r="M54" s="19" t="e">
        <f t="shared" si="3"/>
        <v>#VALUE!</v>
      </c>
      <c r="N54" s="20"/>
      <c r="O54" s="20"/>
      <c r="P54" s="18"/>
    </row>
    <row r="55" spans="1:16" s="86" customFormat="1" x14ac:dyDescent="0.25">
      <c r="A55" s="91" t="s">
        <v>8116</v>
      </c>
      <c r="B55" s="59" t="s">
        <v>1192</v>
      </c>
      <c r="C55" s="59" t="s">
        <v>7518</v>
      </c>
      <c r="D55" s="22"/>
      <c r="E55" s="22" t="s">
        <v>418</v>
      </c>
      <c r="F55" s="20">
        <v>2</v>
      </c>
      <c r="G55" s="20"/>
      <c r="H55" s="18"/>
      <c r="I55" s="173"/>
      <c r="J55" s="173" t="str">
        <f>IF($I55&lt;='Abbrev Key'!$A$2,'Abbrev Key'!$B$2,IF($I55&lt;='Abbrev Key'!$A$3,'Abbrev Key'!$B$3,IF($I55&lt;='Abbrev Key'!$A$4,'Abbrev Key'!$B$4,IF($I55&lt;='Abbrev Key'!$A$5,'Abbrev Key'!$B$5,IF($I55&lt;='Abbrev Key'!$A$6,'Abbrev Key'!$B$6,IF($I55&gt;='Abbrev Key'!$A$7,'Abbrev Key'!$B$7,IF($I55='Abbrev Key'!$A$8,'Abbrev Key'!$B$8,"")))))))</f>
        <v>A</v>
      </c>
      <c r="K55" s="20"/>
      <c r="L55" s="19" t="str">
        <f t="shared" si="2"/>
        <v/>
      </c>
      <c r="M55" s="19" t="e">
        <f t="shared" si="3"/>
        <v>#VALUE!</v>
      </c>
      <c r="N55" s="20"/>
      <c r="O55" s="20"/>
      <c r="P55" s="18"/>
    </row>
    <row r="56" spans="1:16" s="86" customFormat="1" x14ac:dyDescent="0.25">
      <c r="A56" s="91" t="s">
        <v>8150</v>
      </c>
      <c r="B56" s="59" t="s">
        <v>1123</v>
      </c>
      <c r="C56" s="59" t="s">
        <v>7517</v>
      </c>
      <c r="D56" s="22"/>
      <c r="E56" s="22" t="s">
        <v>1008</v>
      </c>
      <c r="F56" s="20">
        <v>2</v>
      </c>
      <c r="G56" s="20"/>
      <c r="H56" s="18"/>
      <c r="I56" s="173"/>
      <c r="J56" s="173" t="str">
        <f>IF($I56&lt;='Abbrev Key'!$A$2,'Abbrev Key'!$B$2,IF($I56&lt;='Abbrev Key'!$A$3,'Abbrev Key'!$B$3,IF($I56&lt;='Abbrev Key'!$A$4,'Abbrev Key'!$B$4,IF($I56&lt;='Abbrev Key'!$A$5,'Abbrev Key'!$B$5,IF($I56&lt;='Abbrev Key'!$A$6,'Abbrev Key'!$B$6,IF($I56&gt;='Abbrev Key'!$A$7,'Abbrev Key'!$B$7,IF($I56='Abbrev Key'!$A$8,'Abbrev Key'!$B$8,"")))))))</f>
        <v>A</v>
      </c>
      <c r="K56" s="20"/>
      <c r="L56" s="19" t="str">
        <f t="shared" si="2"/>
        <v/>
      </c>
      <c r="M56" s="19" t="e">
        <f t="shared" si="3"/>
        <v>#VALUE!</v>
      </c>
      <c r="N56" s="20"/>
      <c r="O56" s="20"/>
      <c r="P56" s="18"/>
    </row>
    <row r="57" spans="1:16" s="86" customFormat="1" x14ac:dyDescent="0.25">
      <c r="A57" s="91" t="s">
        <v>8117</v>
      </c>
      <c r="B57" s="59" t="s">
        <v>7077</v>
      </c>
      <c r="C57" s="59" t="s">
        <v>7516</v>
      </c>
      <c r="D57" s="22"/>
      <c r="E57" s="22" t="s">
        <v>424</v>
      </c>
      <c r="F57" s="20">
        <v>3</v>
      </c>
      <c r="G57" s="20"/>
      <c r="H57" s="18"/>
      <c r="I57" s="173"/>
      <c r="J57" s="173" t="str">
        <f>IF($I57&lt;='Abbrev Key'!$A$2,'Abbrev Key'!$B$2,IF($I57&lt;='Abbrev Key'!$A$3,'Abbrev Key'!$B$3,IF($I57&lt;='Abbrev Key'!$A$4,'Abbrev Key'!$B$4,IF($I57&lt;='Abbrev Key'!$A$5,'Abbrev Key'!$B$5,IF($I57&lt;='Abbrev Key'!$A$6,'Abbrev Key'!$B$6,IF($I57&gt;='Abbrev Key'!$A$7,'Abbrev Key'!$B$7,IF($I57='Abbrev Key'!$A$8,'Abbrev Key'!$B$8,"")))))))</f>
        <v>A</v>
      </c>
      <c r="K57" s="20"/>
      <c r="L57" s="19" t="str">
        <f t="shared" si="2"/>
        <v/>
      </c>
      <c r="M57" s="19" t="e">
        <f t="shared" si="3"/>
        <v>#VALUE!</v>
      </c>
      <c r="N57" s="20"/>
      <c r="O57" s="20"/>
      <c r="P57" s="18"/>
    </row>
    <row r="58" spans="1:16" s="86" customFormat="1" x14ac:dyDescent="0.25">
      <c r="A58" s="91" t="s">
        <v>8150</v>
      </c>
      <c r="B58" s="59" t="s">
        <v>1007</v>
      </c>
      <c r="C58" s="59" t="s">
        <v>7512</v>
      </c>
      <c r="D58" s="22"/>
      <c r="E58" s="22" t="s">
        <v>1008</v>
      </c>
      <c r="F58" s="20">
        <v>2</v>
      </c>
      <c r="G58" s="20"/>
      <c r="H58" s="18"/>
      <c r="I58" s="173"/>
      <c r="J58" s="173" t="str">
        <f>IF($I58&lt;='Abbrev Key'!$A$2,'Abbrev Key'!$B$2,IF($I58&lt;='Abbrev Key'!$A$3,'Abbrev Key'!$B$3,IF($I58&lt;='Abbrev Key'!$A$4,'Abbrev Key'!$B$4,IF($I58&lt;='Abbrev Key'!$A$5,'Abbrev Key'!$B$5,IF($I58&lt;='Abbrev Key'!$A$6,'Abbrev Key'!$B$6,IF($I58&gt;='Abbrev Key'!$A$7,'Abbrev Key'!$B$7,IF($I58='Abbrev Key'!$A$8,'Abbrev Key'!$B$8,"")))))))</f>
        <v>A</v>
      </c>
      <c r="K58" s="20"/>
      <c r="L58" s="19" t="str">
        <f t="shared" si="2"/>
        <v/>
      </c>
      <c r="M58" s="19" t="e">
        <f t="shared" si="3"/>
        <v>#VALUE!</v>
      </c>
      <c r="N58" s="20"/>
      <c r="O58" s="20"/>
      <c r="P58" s="18"/>
    </row>
    <row r="59" spans="1:16" s="86" customFormat="1" x14ac:dyDescent="0.25">
      <c r="A59" s="91" t="s">
        <v>8117</v>
      </c>
      <c r="B59" s="59" t="s">
        <v>7386</v>
      </c>
      <c r="C59" s="59" t="s">
        <v>7500</v>
      </c>
      <c r="D59" s="22"/>
      <c r="E59" s="22" t="s">
        <v>7387</v>
      </c>
      <c r="F59" s="20">
        <v>8</v>
      </c>
      <c r="G59" s="20"/>
      <c r="H59" s="18"/>
      <c r="I59" s="173"/>
      <c r="J59" s="173" t="str">
        <f>IF($I59&lt;='Abbrev Key'!$A$2,'Abbrev Key'!$B$2,IF($I59&lt;='Abbrev Key'!$A$3,'Abbrev Key'!$B$3,IF($I59&lt;='Abbrev Key'!$A$4,'Abbrev Key'!$B$4,IF($I59&lt;='Abbrev Key'!$A$5,'Abbrev Key'!$B$5,IF($I59&lt;='Abbrev Key'!$A$6,'Abbrev Key'!$B$6,IF($I59&gt;='Abbrev Key'!$A$7,'Abbrev Key'!$B$7,IF($I59='Abbrev Key'!$A$8,'Abbrev Key'!$B$8,"")))))))</f>
        <v>A</v>
      </c>
      <c r="K59" s="20"/>
      <c r="L59" s="19" t="str">
        <f t="shared" si="2"/>
        <v/>
      </c>
      <c r="M59" s="19" t="e">
        <f t="shared" si="3"/>
        <v>#VALUE!</v>
      </c>
      <c r="N59" s="20"/>
      <c r="O59" s="20"/>
      <c r="P59" s="18"/>
    </row>
    <row r="60" spans="1:16" s="86" customFormat="1" x14ac:dyDescent="0.25">
      <c r="A60" s="91" t="s">
        <v>8117</v>
      </c>
      <c r="B60" s="59" t="s">
        <v>4270</v>
      </c>
      <c r="C60" s="59" t="s">
        <v>7507</v>
      </c>
      <c r="D60" s="22"/>
      <c r="E60" s="22" t="s">
        <v>1008</v>
      </c>
      <c r="F60" s="20">
        <v>2</v>
      </c>
      <c r="G60" s="20"/>
      <c r="H60" s="18"/>
      <c r="I60" s="173"/>
      <c r="J60" s="173" t="str">
        <f>IF($I60&lt;='Abbrev Key'!$A$2,'Abbrev Key'!$B$2,IF($I60&lt;='Abbrev Key'!$A$3,'Abbrev Key'!$B$3,IF($I60&lt;='Abbrev Key'!$A$4,'Abbrev Key'!$B$4,IF($I60&lt;='Abbrev Key'!$A$5,'Abbrev Key'!$B$5,IF($I60&lt;='Abbrev Key'!$A$6,'Abbrev Key'!$B$6,IF($I60&gt;='Abbrev Key'!$A$7,'Abbrev Key'!$B$7,IF($I60='Abbrev Key'!$A$8,'Abbrev Key'!$B$8,"")))))))</f>
        <v>A</v>
      </c>
      <c r="K60" s="20"/>
      <c r="L60" s="19" t="str">
        <f t="shared" si="2"/>
        <v/>
      </c>
      <c r="M60" s="19" t="e">
        <f t="shared" si="3"/>
        <v>#VALUE!</v>
      </c>
      <c r="N60" s="20"/>
      <c r="O60" s="20"/>
      <c r="P60" s="18"/>
    </row>
    <row r="61" spans="1:16" s="86" customFormat="1" x14ac:dyDescent="0.25">
      <c r="A61" s="91" t="s">
        <v>8150</v>
      </c>
      <c r="B61" s="59" t="s">
        <v>927</v>
      </c>
      <c r="C61" s="59" t="s">
        <v>7505</v>
      </c>
      <c r="D61" s="22"/>
      <c r="E61" s="22" t="s">
        <v>503</v>
      </c>
      <c r="F61" s="20">
        <v>4</v>
      </c>
      <c r="G61" s="20"/>
      <c r="H61" s="18"/>
      <c r="I61" s="173"/>
      <c r="J61" s="173" t="str">
        <f>IF($I61&lt;='Abbrev Key'!$A$2,'Abbrev Key'!$B$2,IF($I61&lt;='Abbrev Key'!$A$3,'Abbrev Key'!$B$3,IF($I61&lt;='Abbrev Key'!$A$4,'Abbrev Key'!$B$4,IF($I61&lt;='Abbrev Key'!$A$5,'Abbrev Key'!$B$5,IF($I61&lt;='Abbrev Key'!$A$6,'Abbrev Key'!$B$6,IF($I61&gt;='Abbrev Key'!$A$7,'Abbrev Key'!$B$7,IF($I61='Abbrev Key'!$A$8,'Abbrev Key'!$B$8,"")))))))</f>
        <v>A</v>
      </c>
      <c r="K61" s="20"/>
      <c r="L61" s="19" t="str">
        <f t="shared" si="2"/>
        <v/>
      </c>
      <c r="M61" s="19" t="e">
        <f t="shared" si="3"/>
        <v>#VALUE!</v>
      </c>
      <c r="N61" s="20"/>
      <c r="O61" s="20"/>
      <c r="P61" s="18"/>
    </row>
    <row r="62" spans="1:16" s="86" customFormat="1" x14ac:dyDescent="0.25">
      <c r="A62" s="91" t="s">
        <v>8150</v>
      </c>
      <c r="B62" s="59" t="s">
        <v>3971</v>
      </c>
      <c r="C62" s="59" t="s">
        <v>5342</v>
      </c>
      <c r="D62" s="22"/>
      <c r="E62" s="22" t="s">
        <v>418</v>
      </c>
      <c r="F62" s="20">
        <v>2</v>
      </c>
      <c r="G62" s="20" t="s">
        <v>8084</v>
      </c>
      <c r="H62" s="18"/>
      <c r="I62" s="173">
        <v>7750000</v>
      </c>
      <c r="J62" s="173" t="str">
        <f>IF($I62&lt;='Abbrev Key'!$A$2,'Abbrev Key'!$B$2,IF($I62&lt;='Abbrev Key'!$A$3,'Abbrev Key'!$B$3,IF($I62&lt;='Abbrev Key'!$A$4,'Abbrev Key'!$B$4,IF($I62&lt;='Abbrev Key'!$A$5,'Abbrev Key'!$B$5,IF($I62&lt;='Abbrev Key'!$A$6,'Abbrev Key'!$B$6,IF($I62&gt;='Abbrev Key'!$A$7,'Abbrev Key'!$B$7,IF($I62='Abbrev Key'!$A$8,'Abbrev Key'!$B$8,"")))))))</f>
        <v>A</v>
      </c>
      <c r="K62" s="20"/>
      <c r="L62" s="19" t="str">
        <f t="shared" si="2"/>
        <v>03/16/2017</v>
      </c>
      <c r="M62" s="19">
        <f t="shared" si="3"/>
        <v>42809</v>
      </c>
      <c r="N62" s="20"/>
      <c r="O62" s="20"/>
      <c r="P62" s="18"/>
    </row>
    <row r="63" spans="1:16" s="86" customFormat="1" x14ac:dyDescent="0.25">
      <c r="A63" s="91" t="s">
        <v>8150</v>
      </c>
      <c r="B63" s="59" t="s">
        <v>3961</v>
      </c>
      <c r="C63" s="59" t="s">
        <v>5338</v>
      </c>
      <c r="D63" s="22"/>
      <c r="E63" s="22" t="s">
        <v>1815</v>
      </c>
      <c r="F63" s="20">
        <v>5</v>
      </c>
      <c r="G63" s="20" t="s">
        <v>5340</v>
      </c>
      <c r="H63" s="18"/>
      <c r="I63" s="173">
        <v>15000000</v>
      </c>
      <c r="J63" s="173" t="str">
        <f>IF($I63&lt;='Abbrev Key'!$A$2,'Abbrev Key'!$B$2,IF($I63&lt;='Abbrev Key'!$A$3,'Abbrev Key'!$B$3,IF($I63&lt;='Abbrev Key'!$A$4,'Abbrev Key'!$B$4,IF($I63&lt;='Abbrev Key'!$A$5,'Abbrev Key'!$B$5,IF($I63&lt;='Abbrev Key'!$A$6,'Abbrev Key'!$B$6,IF($I63&gt;='Abbrev Key'!$A$7,'Abbrev Key'!$B$7,IF($I63='Abbrev Key'!$A$8,'Abbrev Key'!$B$8,"")))))))</f>
        <v>A</v>
      </c>
      <c r="K63" s="20"/>
      <c r="L63" s="19" t="str">
        <f t="shared" si="2"/>
        <v>03/23/2017</v>
      </c>
      <c r="M63" s="19">
        <f t="shared" si="3"/>
        <v>42816</v>
      </c>
      <c r="N63" s="20"/>
      <c r="O63" s="20"/>
      <c r="P63" s="18"/>
    </row>
    <row r="64" spans="1:16" s="86" customFormat="1" x14ac:dyDescent="0.25">
      <c r="A64" s="91" t="s">
        <v>8116</v>
      </c>
      <c r="B64" s="59" t="s">
        <v>3825</v>
      </c>
      <c r="C64" s="59" t="s">
        <v>5303</v>
      </c>
      <c r="D64" s="22"/>
      <c r="E64" s="22" t="s">
        <v>603</v>
      </c>
      <c r="F64" s="20">
        <v>11</v>
      </c>
      <c r="G64" s="20" t="s">
        <v>5304</v>
      </c>
      <c r="H64" s="18"/>
      <c r="I64" s="173">
        <v>45000000</v>
      </c>
      <c r="J64" s="173" t="str">
        <f>IF($I64&lt;='Abbrev Key'!$A$2,'Abbrev Key'!$B$2,IF($I64&lt;='Abbrev Key'!$A$3,'Abbrev Key'!$B$3,IF($I64&lt;='Abbrev Key'!$A$4,'Abbrev Key'!$B$4,IF($I64&lt;='Abbrev Key'!$A$5,'Abbrev Key'!$B$5,IF($I64&lt;='Abbrev Key'!$A$6,'Abbrev Key'!$B$6,IF($I64&gt;='Abbrev Key'!$A$7,'Abbrev Key'!$B$7,IF($I64='Abbrev Key'!$A$8,'Abbrev Key'!$B$8,"")))))))</f>
        <v>B</v>
      </c>
      <c r="K64" s="20"/>
      <c r="L64" s="19" t="str">
        <f t="shared" si="2"/>
        <v>05/07/2017</v>
      </c>
      <c r="M64" s="19">
        <f t="shared" si="3"/>
        <v>42861</v>
      </c>
      <c r="N64" s="20"/>
      <c r="O64" s="20"/>
      <c r="P64" s="18"/>
    </row>
    <row r="65" spans="1:19" s="86" customFormat="1" x14ac:dyDescent="0.25">
      <c r="A65" s="91" t="s">
        <v>8116</v>
      </c>
      <c r="B65" s="59" t="s">
        <v>3809</v>
      </c>
      <c r="C65" s="59" t="s">
        <v>5293</v>
      </c>
      <c r="D65" s="22"/>
      <c r="E65" s="22" t="s">
        <v>424</v>
      </c>
      <c r="F65" s="20">
        <v>3</v>
      </c>
      <c r="G65" s="20" t="s">
        <v>5295</v>
      </c>
      <c r="H65" s="18"/>
      <c r="I65" s="173">
        <v>90000000</v>
      </c>
      <c r="J65" s="173" t="str">
        <f>IF($I65&lt;='Abbrev Key'!$A$2,'Abbrev Key'!$B$2,IF($I65&lt;='Abbrev Key'!$A$3,'Abbrev Key'!$B$3,IF($I65&lt;='Abbrev Key'!$A$4,'Abbrev Key'!$B$4,IF($I65&lt;='Abbrev Key'!$A$5,'Abbrev Key'!$B$5,IF($I65&lt;='Abbrev Key'!$A$6,'Abbrev Key'!$B$6,IF($I65&gt;='Abbrev Key'!$A$7,'Abbrev Key'!$B$7,IF($I65='Abbrev Key'!$A$8,'Abbrev Key'!$B$8,"")))))))</f>
        <v>C</v>
      </c>
      <c r="K65" s="20"/>
      <c r="L65" s="19" t="str">
        <f t="shared" si="2"/>
        <v>03/09/2017</v>
      </c>
      <c r="M65" s="19">
        <f t="shared" si="3"/>
        <v>42802</v>
      </c>
      <c r="N65" s="20"/>
      <c r="O65" s="20"/>
      <c r="P65" s="18"/>
    </row>
    <row r="66" spans="1:19" s="9" customFormat="1" x14ac:dyDescent="0.25">
      <c r="A66" s="91" t="s">
        <v>8617</v>
      </c>
      <c r="B66" s="59" t="s">
        <v>8236</v>
      </c>
      <c r="C66" s="59" t="s">
        <v>8461</v>
      </c>
      <c r="D66" s="22"/>
      <c r="E66" s="22" t="s">
        <v>431</v>
      </c>
      <c r="F66" s="20"/>
      <c r="G66" s="20" t="s">
        <v>8250</v>
      </c>
      <c r="H66" s="18"/>
      <c r="I66" s="173"/>
      <c r="J66" s="173" t="str">
        <f>IF($I66&lt;='Abbrev Key'!$A$2,'Abbrev Key'!$B$2,IF($I66&lt;='Abbrev Key'!$A$3,'Abbrev Key'!$B$3,IF($I66&lt;='Abbrev Key'!$A$4,'Abbrev Key'!$B$4,IF($I66&lt;='Abbrev Key'!$A$5,'Abbrev Key'!$B$5,IF($I66&lt;='Abbrev Key'!$A$6,'Abbrev Key'!$B$6,IF($I66&gt;='Abbrev Key'!$A$7,'Abbrev Key'!$B$7,IF($I66='Abbrev Key'!$A$8,'Abbrev Key'!$B$8,"")))))))</f>
        <v>A</v>
      </c>
      <c r="K66" s="20"/>
      <c r="L66" s="19" t="str">
        <f t="shared" si="2"/>
        <v>10/24/2017</v>
      </c>
      <c r="M66" s="19">
        <f t="shared" si="3"/>
        <v>43031</v>
      </c>
      <c r="N66" s="20"/>
      <c r="O66" s="20"/>
      <c r="P66" s="20"/>
      <c r="Q66" s="86"/>
      <c r="R66" s="86"/>
      <c r="S66" s="86"/>
    </row>
    <row r="67" spans="1:19" s="9" customFormat="1" x14ac:dyDescent="0.25">
      <c r="A67" s="91" t="s">
        <v>8117</v>
      </c>
      <c r="B67" s="59" t="s">
        <v>8232</v>
      </c>
      <c r="C67" s="59" t="s">
        <v>8478</v>
      </c>
      <c r="D67" s="22"/>
      <c r="E67" s="22" t="s">
        <v>1380</v>
      </c>
      <c r="F67" s="20"/>
      <c r="G67" s="20" t="s">
        <v>8269</v>
      </c>
      <c r="H67" s="18"/>
      <c r="I67" s="173"/>
      <c r="J67" s="173" t="str">
        <f>IF($I67&lt;='Abbrev Key'!$A$2,'Abbrev Key'!$B$2,IF($I67&lt;='Abbrev Key'!$A$3,'Abbrev Key'!$B$3,IF($I67&lt;='Abbrev Key'!$A$4,'Abbrev Key'!$B$4,IF($I67&lt;='Abbrev Key'!$A$5,'Abbrev Key'!$B$5,IF($I67&lt;='Abbrev Key'!$A$6,'Abbrev Key'!$B$6,IF($I67&gt;='Abbrev Key'!$A$7,'Abbrev Key'!$B$7,IF($I67='Abbrev Key'!$A$8,'Abbrev Key'!$B$8,"")))))))</f>
        <v>A</v>
      </c>
      <c r="K67" s="20"/>
      <c r="L67" s="19" t="str">
        <f t="shared" si="2"/>
        <v>01/05/2018</v>
      </c>
      <c r="M67" s="19">
        <f t="shared" si="3"/>
        <v>43104</v>
      </c>
      <c r="N67" s="20"/>
      <c r="O67" s="20"/>
      <c r="P67" s="20"/>
      <c r="Q67" s="86"/>
      <c r="R67" s="86"/>
      <c r="S67" s="86"/>
    </row>
    <row r="68" spans="1:19" s="9" customFormat="1" x14ac:dyDescent="0.25">
      <c r="A68" s="91" t="s">
        <v>8641</v>
      </c>
      <c r="B68" s="59" t="s">
        <v>8640</v>
      </c>
      <c r="C68" s="59"/>
      <c r="D68" s="22"/>
      <c r="E68" s="22"/>
      <c r="F68" s="20"/>
      <c r="G68" s="20" t="s">
        <v>8277</v>
      </c>
      <c r="H68" s="18"/>
      <c r="I68" s="173"/>
      <c r="J68" s="173" t="str">
        <f>IF($I68&lt;='Abbrev Key'!$A$2,'Abbrev Key'!$B$2,IF($I68&lt;='Abbrev Key'!$A$3,'Abbrev Key'!$B$3,IF($I68&lt;='Abbrev Key'!$A$4,'Abbrev Key'!$B$4,IF($I68&lt;='Abbrev Key'!$A$5,'Abbrev Key'!$B$5,IF($I68&lt;='Abbrev Key'!$A$6,'Abbrev Key'!$B$6,IF($I68&gt;='Abbrev Key'!$A$7,'Abbrev Key'!$B$7,IF($I68='Abbrev Key'!$A$8,'Abbrev Key'!$B$8,"")))))))</f>
        <v>A</v>
      </c>
      <c r="K68" s="20"/>
      <c r="L68" s="19" t="str">
        <f t="shared" si="2"/>
        <v>06/30/2014</v>
      </c>
      <c r="M68" s="19">
        <f t="shared" si="3"/>
        <v>41819</v>
      </c>
      <c r="N68" s="20"/>
      <c r="O68" s="20"/>
      <c r="P68" s="20"/>
      <c r="Q68" s="86"/>
      <c r="R68" s="86"/>
      <c r="S68" s="86"/>
    </row>
    <row r="69" spans="1:19" s="9" customFormat="1" x14ac:dyDescent="0.25">
      <c r="A69" s="91" t="s">
        <v>8117</v>
      </c>
      <c r="B69" s="59" t="s">
        <v>8234</v>
      </c>
      <c r="C69" s="59" t="s">
        <v>8487</v>
      </c>
      <c r="D69" s="22"/>
      <c r="E69" s="22" t="s">
        <v>457</v>
      </c>
      <c r="F69" s="20"/>
      <c r="G69" s="20" t="s">
        <v>8280</v>
      </c>
      <c r="H69" s="18"/>
      <c r="I69" s="173"/>
      <c r="J69" s="173" t="str">
        <f>IF($I69&lt;='Abbrev Key'!$A$2,'Abbrev Key'!$B$2,IF($I69&lt;='Abbrev Key'!$A$3,'Abbrev Key'!$B$3,IF($I69&lt;='Abbrev Key'!$A$4,'Abbrev Key'!$B$4,IF($I69&lt;='Abbrev Key'!$A$5,'Abbrev Key'!$B$5,IF($I69&lt;='Abbrev Key'!$A$6,'Abbrev Key'!$B$6,IF($I69&gt;='Abbrev Key'!$A$7,'Abbrev Key'!$B$7,IF($I69='Abbrev Key'!$A$8,'Abbrev Key'!$B$8,"")))))))</f>
        <v>A</v>
      </c>
      <c r="K69" s="20"/>
      <c r="L69" s="19" t="str">
        <f t="shared" si="2"/>
        <v>01/09/2018</v>
      </c>
      <c r="M69" s="19">
        <f t="shared" si="3"/>
        <v>43108</v>
      </c>
      <c r="N69" s="20"/>
      <c r="O69" s="20"/>
      <c r="P69" s="20"/>
      <c r="Q69" s="86"/>
      <c r="R69" s="86"/>
      <c r="S69" s="86"/>
    </row>
    <row r="70" spans="1:19" s="9" customFormat="1" x14ac:dyDescent="0.25">
      <c r="A70" s="91" t="s">
        <v>8117</v>
      </c>
      <c r="B70" s="59" t="s">
        <v>8224</v>
      </c>
      <c r="C70" s="59" t="s">
        <v>8488</v>
      </c>
      <c r="D70" s="22"/>
      <c r="E70" s="22" t="s">
        <v>1380</v>
      </c>
      <c r="F70" s="20"/>
      <c r="G70" s="20" t="s">
        <v>8281</v>
      </c>
      <c r="H70" s="18"/>
      <c r="I70" s="173"/>
      <c r="J70" s="173" t="str">
        <f>IF($I70&lt;='Abbrev Key'!$A$2,'Abbrev Key'!$B$2,IF($I70&lt;='Abbrev Key'!$A$3,'Abbrev Key'!$B$3,IF($I70&lt;='Abbrev Key'!$A$4,'Abbrev Key'!$B$4,IF($I70&lt;='Abbrev Key'!$A$5,'Abbrev Key'!$B$5,IF($I70&lt;='Abbrev Key'!$A$6,'Abbrev Key'!$B$6,IF($I70&gt;='Abbrev Key'!$A$7,'Abbrev Key'!$B$7,IF($I70='Abbrev Key'!$A$8,'Abbrev Key'!$B$8,"")))))))</f>
        <v>A</v>
      </c>
      <c r="K70" s="20"/>
      <c r="L70" s="19" t="str">
        <f t="shared" si="2"/>
        <v>12/22/2017</v>
      </c>
      <c r="M70" s="19">
        <f t="shared" si="3"/>
        <v>43090</v>
      </c>
      <c r="N70" s="20"/>
      <c r="O70" s="20"/>
      <c r="P70" s="20"/>
      <c r="Q70" s="86"/>
      <c r="R70" s="86"/>
      <c r="S70" s="86"/>
    </row>
    <row r="71" spans="1:19" s="9" customFormat="1" x14ac:dyDescent="0.25">
      <c r="A71" s="91" t="s">
        <v>8117</v>
      </c>
      <c r="B71" s="59" t="s">
        <v>8224</v>
      </c>
      <c r="C71" s="59" t="s">
        <v>8488</v>
      </c>
      <c r="D71" s="22"/>
      <c r="E71" s="22" t="s">
        <v>1380</v>
      </c>
      <c r="F71" s="20"/>
      <c r="G71" s="20" t="s">
        <v>8281</v>
      </c>
      <c r="H71" s="18"/>
      <c r="I71" s="173"/>
      <c r="J71" s="173" t="str">
        <f>IF($I71&lt;='Abbrev Key'!$A$2,'Abbrev Key'!$B$2,IF($I71&lt;='Abbrev Key'!$A$3,'Abbrev Key'!$B$3,IF($I71&lt;='Abbrev Key'!$A$4,'Abbrev Key'!$B$4,IF($I71&lt;='Abbrev Key'!$A$5,'Abbrev Key'!$B$5,IF($I71&lt;='Abbrev Key'!$A$6,'Abbrev Key'!$B$6,IF($I71&gt;='Abbrev Key'!$A$7,'Abbrev Key'!$B$7,IF($I71='Abbrev Key'!$A$8,'Abbrev Key'!$B$8,"")))))))</f>
        <v>A</v>
      </c>
      <c r="K71" s="20"/>
      <c r="L71" s="19" t="str">
        <f t="shared" si="2"/>
        <v>12/22/2017</v>
      </c>
      <c r="M71" s="19">
        <f t="shared" si="3"/>
        <v>43090</v>
      </c>
      <c r="N71" s="20"/>
      <c r="O71" s="20"/>
      <c r="P71" s="20"/>
      <c r="Q71" s="86"/>
      <c r="R71" s="86"/>
      <c r="S71" s="86"/>
    </row>
    <row r="72" spans="1:19" s="9" customFormat="1" x14ac:dyDescent="0.25">
      <c r="A72" s="91" t="s">
        <v>8117</v>
      </c>
      <c r="B72" s="59" t="s">
        <v>8203</v>
      </c>
      <c r="C72" s="59" t="s">
        <v>8490</v>
      </c>
      <c r="D72" s="22"/>
      <c r="E72" s="22" t="s">
        <v>437</v>
      </c>
      <c r="F72" s="20"/>
      <c r="G72" s="20" t="s">
        <v>8283</v>
      </c>
      <c r="H72" s="18"/>
      <c r="I72" s="173"/>
      <c r="J72" s="173" t="str">
        <f>IF($I72&lt;='Abbrev Key'!$A$2,'Abbrev Key'!$B$2,IF($I72&lt;='Abbrev Key'!$A$3,'Abbrev Key'!$B$3,IF($I72&lt;='Abbrev Key'!$A$4,'Abbrev Key'!$B$4,IF($I72&lt;='Abbrev Key'!$A$5,'Abbrev Key'!$B$5,IF($I72&lt;='Abbrev Key'!$A$6,'Abbrev Key'!$B$6,IF($I72&gt;='Abbrev Key'!$A$7,'Abbrev Key'!$B$7,IF($I72='Abbrev Key'!$A$8,'Abbrev Key'!$B$8,"")))))))</f>
        <v>A</v>
      </c>
      <c r="K72" s="20"/>
      <c r="L72" s="19" t="str">
        <f t="shared" si="2"/>
        <v>10/31/2017</v>
      </c>
      <c r="M72" s="19">
        <f t="shared" si="3"/>
        <v>43038</v>
      </c>
      <c r="N72" s="20"/>
      <c r="O72" s="20"/>
      <c r="P72" s="20"/>
      <c r="Q72" s="86"/>
      <c r="R72" s="86"/>
      <c r="S72" s="86"/>
    </row>
    <row r="73" spans="1:19" s="9" customFormat="1" x14ac:dyDescent="0.25">
      <c r="A73" s="91" t="s">
        <v>8117</v>
      </c>
      <c r="B73" s="59" t="s">
        <v>8225</v>
      </c>
      <c r="C73" s="59" t="s">
        <v>8491</v>
      </c>
      <c r="D73" s="22"/>
      <c r="E73" s="22" t="s">
        <v>437</v>
      </c>
      <c r="F73" s="20"/>
      <c r="G73" s="20" t="s">
        <v>8284</v>
      </c>
      <c r="H73" s="18"/>
      <c r="I73" s="173"/>
      <c r="J73" s="173" t="str">
        <f>IF($I73&lt;='Abbrev Key'!$A$2,'Abbrev Key'!$B$2,IF($I73&lt;='Abbrev Key'!$A$3,'Abbrev Key'!$B$3,IF($I73&lt;='Abbrev Key'!$A$4,'Abbrev Key'!$B$4,IF($I73&lt;='Abbrev Key'!$A$5,'Abbrev Key'!$B$5,IF($I73&lt;='Abbrev Key'!$A$6,'Abbrev Key'!$B$6,IF($I73&gt;='Abbrev Key'!$A$7,'Abbrev Key'!$B$7,IF($I73='Abbrev Key'!$A$8,'Abbrev Key'!$B$8,"")))))))</f>
        <v>A</v>
      </c>
      <c r="K73" s="20"/>
      <c r="L73" s="19" t="str">
        <f t="shared" si="2"/>
        <v>12/27/2017</v>
      </c>
      <c r="M73" s="19">
        <f t="shared" si="3"/>
        <v>43095</v>
      </c>
      <c r="N73" s="20"/>
      <c r="O73" s="20"/>
      <c r="P73" s="20"/>
      <c r="Q73" s="86"/>
      <c r="R73" s="86"/>
      <c r="S73" s="86"/>
    </row>
    <row r="74" spans="1:19" s="9" customFormat="1" x14ac:dyDescent="0.25">
      <c r="A74" s="91" t="s">
        <v>8117</v>
      </c>
      <c r="B74" s="59" t="s">
        <v>8210</v>
      </c>
      <c r="C74" s="59" t="s">
        <v>8494</v>
      </c>
      <c r="D74" s="22"/>
      <c r="E74" s="22" t="s">
        <v>817</v>
      </c>
      <c r="F74" s="20"/>
      <c r="G74" s="20" t="s">
        <v>8287</v>
      </c>
      <c r="H74" s="18"/>
      <c r="I74" s="173"/>
      <c r="J74" s="173" t="str">
        <f>IF($I74&lt;='Abbrev Key'!$A$2,'Abbrev Key'!$B$2,IF($I74&lt;='Abbrev Key'!$A$3,'Abbrev Key'!$B$3,IF($I74&lt;='Abbrev Key'!$A$4,'Abbrev Key'!$B$4,IF($I74&lt;='Abbrev Key'!$A$5,'Abbrev Key'!$B$5,IF($I74&lt;='Abbrev Key'!$A$6,'Abbrev Key'!$B$6,IF($I74&gt;='Abbrev Key'!$A$7,'Abbrev Key'!$B$7,IF($I74='Abbrev Key'!$A$8,'Abbrev Key'!$B$8,"")))))))</f>
        <v>A</v>
      </c>
      <c r="K74" s="20"/>
      <c r="L74" s="19" t="str">
        <f t="shared" ref="L74:L105" si="4">RIGHT(G74,10)</f>
        <v>11/16/2017</v>
      </c>
      <c r="M74" s="19">
        <f t="shared" ref="M74:M121" si="5">L74-1</f>
        <v>43054</v>
      </c>
      <c r="N74" s="20"/>
      <c r="O74" s="20"/>
      <c r="P74" s="20"/>
      <c r="Q74" s="86"/>
      <c r="R74" s="86"/>
      <c r="S74" s="86"/>
    </row>
    <row r="75" spans="1:19" s="9" customFormat="1" x14ac:dyDescent="0.25">
      <c r="A75" s="91" t="s">
        <v>8117</v>
      </c>
      <c r="B75" s="59" t="s">
        <v>8231</v>
      </c>
      <c r="C75" s="59" t="s">
        <v>8495</v>
      </c>
      <c r="D75" s="22"/>
      <c r="E75" s="22" t="s">
        <v>491</v>
      </c>
      <c r="F75" s="20"/>
      <c r="G75" s="20" t="s">
        <v>8269</v>
      </c>
      <c r="H75" s="18"/>
      <c r="I75" s="173"/>
      <c r="J75" s="173" t="str">
        <f>IF($I75&lt;='Abbrev Key'!$A$2,'Abbrev Key'!$B$2,IF($I75&lt;='Abbrev Key'!$A$3,'Abbrev Key'!$B$3,IF($I75&lt;='Abbrev Key'!$A$4,'Abbrev Key'!$B$4,IF($I75&lt;='Abbrev Key'!$A$5,'Abbrev Key'!$B$5,IF($I75&lt;='Abbrev Key'!$A$6,'Abbrev Key'!$B$6,IF($I75&gt;='Abbrev Key'!$A$7,'Abbrev Key'!$B$7,IF($I75='Abbrev Key'!$A$8,'Abbrev Key'!$B$8,"")))))))</f>
        <v>A</v>
      </c>
      <c r="K75" s="20"/>
      <c r="L75" s="19" t="str">
        <f t="shared" si="4"/>
        <v>01/05/2018</v>
      </c>
      <c r="M75" s="19">
        <f t="shared" si="5"/>
        <v>43104</v>
      </c>
      <c r="N75" s="20"/>
      <c r="O75" s="20"/>
      <c r="P75" s="20"/>
      <c r="Q75" s="86"/>
      <c r="R75" s="86"/>
      <c r="S75" s="86"/>
    </row>
    <row r="76" spans="1:19" s="9" customFormat="1" x14ac:dyDescent="0.25">
      <c r="A76" s="91" t="s">
        <v>8117</v>
      </c>
      <c r="B76" s="59" t="s">
        <v>8205</v>
      </c>
      <c r="C76" s="59" t="s">
        <v>8496</v>
      </c>
      <c r="D76" s="22"/>
      <c r="E76" s="22" t="s">
        <v>437</v>
      </c>
      <c r="F76" s="20"/>
      <c r="G76" s="20" t="s">
        <v>8288</v>
      </c>
      <c r="H76" s="18"/>
      <c r="I76" s="173"/>
      <c r="J76" s="173" t="str">
        <f>IF($I76&lt;='Abbrev Key'!$A$2,'Abbrev Key'!$B$2,IF($I76&lt;='Abbrev Key'!$A$3,'Abbrev Key'!$B$3,IF($I76&lt;='Abbrev Key'!$A$4,'Abbrev Key'!$B$4,IF($I76&lt;='Abbrev Key'!$A$5,'Abbrev Key'!$B$5,IF($I76&lt;='Abbrev Key'!$A$6,'Abbrev Key'!$B$6,IF($I76&gt;='Abbrev Key'!$A$7,'Abbrev Key'!$B$7,IF($I76='Abbrev Key'!$A$8,'Abbrev Key'!$B$8,"")))))))</f>
        <v>A</v>
      </c>
      <c r="K76" s="20"/>
      <c r="L76" s="19" t="str">
        <f t="shared" si="4"/>
        <v>11/02/2017</v>
      </c>
      <c r="M76" s="19">
        <f t="shared" si="5"/>
        <v>43040</v>
      </c>
      <c r="N76" s="20"/>
      <c r="O76" s="20"/>
      <c r="P76" s="20"/>
      <c r="Q76" s="86"/>
      <c r="R76" s="86"/>
      <c r="S76" s="86"/>
    </row>
    <row r="77" spans="1:19" s="9" customFormat="1" x14ac:dyDescent="0.25">
      <c r="A77" s="91" t="s">
        <v>8117</v>
      </c>
      <c r="B77" s="59" t="s">
        <v>8205</v>
      </c>
      <c r="C77" s="59" t="s">
        <v>8496</v>
      </c>
      <c r="D77" s="22"/>
      <c r="E77" s="22" t="s">
        <v>437</v>
      </c>
      <c r="F77" s="20"/>
      <c r="G77" s="20" t="s">
        <v>8288</v>
      </c>
      <c r="H77" s="18"/>
      <c r="I77" s="173"/>
      <c r="J77" s="173" t="str">
        <f>IF($I77&lt;='Abbrev Key'!$A$2,'Abbrev Key'!$B$2,IF($I77&lt;='Abbrev Key'!$A$3,'Abbrev Key'!$B$3,IF($I77&lt;='Abbrev Key'!$A$4,'Abbrev Key'!$B$4,IF($I77&lt;='Abbrev Key'!$A$5,'Abbrev Key'!$B$5,IF($I77&lt;='Abbrev Key'!$A$6,'Abbrev Key'!$B$6,IF($I77&gt;='Abbrev Key'!$A$7,'Abbrev Key'!$B$7,IF($I77='Abbrev Key'!$A$8,'Abbrev Key'!$B$8,"")))))))</f>
        <v>A</v>
      </c>
      <c r="K77" s="20"/>
      <c r="L77" s="19" t="str">
        <f t="shared" si="4"/>
        <v>11/02/2017</v>
      </c>
      <c r="M77" s="19">
        <f t="shared" si="5"/>
        <v>43040</v>
      </c>
      <c r="N77" s="20"/>
      <c r="O77" s="20"/>
      <c r="P77" s="20"/>
      <c r="Q77" s="86"/>
      <c r="R77" s="86"/>
      <c r="S77" s="86"/>
    </row>
    <row r="78" spans="1:19" s="9" customFormat="1" x14ac:dyDescent="0.25">
      <c r="A78" s="91" t="s">
        <v>8117</v>
      </c>
      <c r="B78" s="59" t="s">
        <v>8215</v>
      </c>
      <c r="C78" s="59" t="s">
        <v>8500</v>
      </c>
      <c r="D78" s="22"/>
      <c r="E78" s="22" t="s">
        <v>491</v>
      </c>
      <c r="F78" s="20"/>
      <c r="G78" s="20" t="s">
        <v>8292</v>
      </c>
      <c r="H78" s="18"/>
      <c r="I78" s="173"/>
      <c r="J78" s="173" t="str">
        <f>IF($I78&lt;='Abbrev Key'!$A$2,'Abbrev Key'!$B$2,IF($I78&lt;='Abbrev Key'!$A$3,'Abbrev Key'!$B$3,IF($I78&lt;='Abbrev Key'!$A$4,'Abbrev Key'!$B$4,IF($I78&lt;='Abbrev Key'!$A$5,'Abbrev Key'!$B$5,IF($I78&lt;='Abbrev Key'!$A$6,'Abbrev Key'!$B$6,IF($I78&gt;='Abbrev Key'!$A$7,'Abbrev Key'!$B$7,IF($I78='Abbrev Key'!$A$8,'Abbrev Key'!$B$8,"")))))))</f>
        <v>A</v>
      </c>
      <c r="K78" s="20"/>
      <c r="L78" s="19" t="str">
        <f t="shared" si="4"/>
        <v>11/30/2017</v>
      </c>
      <c r="M78" s="19">
        <f t="shared" si="5"/>
        <v>43068</v>
      </c>
      <c r="N78" s="20"/>
      <c r="O78" s="20"/>
      <c r="P78" s="20"/>
      <c r="Q78" s="86"/>
      <c r="R78" s="86"/>
      <c r="S78" s="86"/>
    </row>
    <row r="79" spans="1:19" s="9" customFormat="1" x14ac:dyDescent="0.25">
      <c r="A79" s="91" t="s">
        <v>8117</v>
      </c>
      <c r="B79" s="59" t="s">
        <v>8228</v>
      </c>
      <c r="C79" s="59" t="s">
        <v>8502</v>
      </c>
      <c r="D79" s="22"/>
      <c r="E79" s="22" t="s">
        <v>457</v>
      </c>
      <c r="F79" s="20"/>
      <c r="G79" s="20" t="s">
        <v>8294</v>
      </c>
      <c r="H79" s="18"/>
      <c r="I79" s="173"/>
      <c r="J79" s="173" t="str">
        <f>IF($I79&lt;='Abbrev Key'!$A$2,'Abbrev Key'!$B$2,IF($I79&lt;='Abbrev Key'!$A$3,'Abbrev Key'!$B$3,IF($I79&lt;='Abbrev Key'!$A$4,'Abbrev Key'!$B$4,IF($I79&lt;='Abbrev Key'!$A$5,'Abbrev Key'!$B$5,IF($I79&lt;='Abbrev Key'!$A$6,'Abbrev Key'!$B$6,IF($I79&gt;='Abbrev Key'!$A$7,'Abbrev Key'!$B$7,IF($I79='Abbrev Key'!$A$8,'Abbrev Key'!$B$8,"")))))))</f>
        <v>A</v>
      </c>
      <c r="K79" s="20"/>
      <c r="L79" s="19" t="str">
        <f t="shared" si="4"/>
        <v>01/02/2018</v>
      </c>
      <c r="M79" s="19">
        <f t="shared" si="5"/>
        <v>43101</v>
      </c>
      <c r="N79" s="20"/>
      <c r="O79" s="20"/>
      <c r="P79" s="20"/>
      <c r="Q79" s="86"/>
      <c r="R79" s="86"/>
      <c r="S79" s="86"/>
    </row>
    <row r="80" spans="1:19" s="9" customFormat="1" x14ac:dyDescent="0.25">
      <c r="A80" s="91" t="s">
        <v>8117</v>
      </c>
      <c r="B80" s="59" t="s">
        <v>8222</v>
      </c>
      <c r="C80" s="59" t="s">
        <v>8511</v>
      </c>
      <c r="D80" s="22"/>
      <c r="E80" s="22" t="s">
        <v>437</v>
      </c>
      <c r="F80" s="20"/>
      <c r="G80" s="20" t="s">
        <v>8307</v>
      </c>
      <c r="H80" s="18"/>
      <c r="I80" s="173"/>
      <c r="J80" s="173" t="str">
        <f>IF($I80&lt;='Abbrev Key'!$A$2,'Abbrev Key'!$B$2,IF($I80&lt;='Abbrev Key'!$A$3,'Abbrev Key'!$B$3,IF($I80&lt;='Abbrev Key'!$A$4,'Abbrev Key'!$B$4,IF($I80&lt;='Abbrev Key'!$A$5,'Abbrev Key'!$B$5,IF($I80&lt;='Abbrev Key'!$A$6,'Abbrev Key'!$B$6,IF($I80&gt;='Abbrev Key'!$A$7,'Abbrev Key'!$B$7,IF($I80='Abbrev Key'!$A$8,'Abbrev Key'!$B$8,"")))))))</f>
        <v>A</v>
      </c>
      <c r="K80" s="20"/>
      <c r="L80" s="19" t="str">
        <f t="shared" si="4"/>
        <v>12/18/2017</v>
      </c>
      <c r="M80" s="19">
        <f t="shared" si="5"/>
        <v>43086</v>
      </c>
      <c r="N80" s="20"/>
      <c r="O80" s="20"/>
      <c r="P80" s="20"/>
      <c r="Q80" s="86"/>
      <c r="R80" s="86"/>
      <c r="S80" s="86"/>
    </row>
    <row r="81" spans="1:19" s="9" customFormat="1" x14ac:dyDescent="0.25">
      <c r="A81" s="91" t="s">
        <v>8117</v>
      </c>
      <c r="B81" s="59" t="s">
        <v>8230</v>
      </c>
      <c r="C81" s="59" t="s">
        <v>8513</v>
      </c>
      <c r="D81" s="22"/>
      <c r="E81" s="22" t="s">
        <v>8612</v>
      </c>
      <c r="F81" s="20"/>
      <c r="G81" s="20" t="s">
        <v>8310</v>
      </c>
      <c r="H81" s="18"/>
      <c r="I81" s="173"/>
      <c r="J81" s="173" t="str">
        <f>IF($I81&lt;='Abbrev Key'!$A$2,'Abbrev Key'!$B$2,IF($I81&lt;='Abbrev Key'!$A$3,'Abbrev Key'!$B$3,IF($I81&lt;='Abbrev Key'!$A$4,'Abbrev Key'!$B$4,IF($I81&lt;='Abbrev Key'!$A$5,'Abbrev Key'!$B$5,IF($I81&lt;='Abbrev Key'!$A$6,'Abbrev Key'!$B$6,IF($I81&gt;='Abbrev Key'!$A$7,'Abbrev Key'!$B$7,IF($I81='Abbrev Key'!$A$8,'Abbrev Key'!$B$8,"")))))))</f>
        <v>A</v>
      </c>
      <c r="K81" s="20"/>
      <c r="L81" s="19" t="str">
        <f t="shared" si="4"/>
        <v>01/04/2018</v>
      </c>
      <c r="M81" s="19">
        <f t="shared" si="5"/>
        <v>43103</v>
      </c>
      <c r="N81" s="20"/>
      <c r="O81" s="20"/>
      <c r="P81" s="20"/>
      <c r="Q81" s="86"/>
      <c r="R81" s="86"/>
      <c r="S81" s="86"/>
    </row>
    <row r="82" spans="1:19" s="9" customFormat="1" x14ac:dyDescent="0.25">
      <c r="A82" s="91" t="s">
        <v>8117</v>
      </c>
      <c r="B82" s="59" t="s">
        <v>8221</v>
      </c>
      <c r="C82" s="59" t="s">
        <v>8516</v>
      </c>
      <c r="D82" s="22"/>
      <c r="E82" s="22" t="s">
        <v>8610</v>
      </c>
      <c r="F82" s="20"/>
      <c r="G82" s="20" t="s">
        <v>8315</v>
      </c>
      <c r="H82" s="18"/>
      <c r="I82" s="173"/>
      <c r="J82" s="173" t="str">
        <f>IF($I82&lt;='Abbrev Key'!$A$2,'Abbrev Key'!$B$2,IF($I82&lt;='Abbrev Key'!$A$3,'Abbrev Key'!$B$3,IF($I82&lt;='Abbrev Key'!$A$4,'Abbrev Key'!$B$4,IF($I82&lt;='Abbrev Key'!$A$5,'Abbrev Key'!$B$5,IF($I82&lt;='Abbrev Key'!$A$6,'Abbrev Key'!$B$6,IF($I82&gt;='Abbrev Key'!$A$7,'Abbrev Key'!$B$7,IF($I82='Abbrev Key'!$A$8,'Abbrev Key'!$B$8,"")))))))</f>
        <v>A</v>
      </c>
      <c r="K82" s="20"/>
      <c r="L82" s="19" t="str">
        <f t="shared" si="4"/>
        <v>12/14/2017</v>
      </c>
      <c r="M82" s="19">
        <f t="shared" si="5"/>
        <v>43082</v>
      </c>
      <c r="N82" s="20"/>
      <c r="O82" s="20"/>
      <c r="P82" s="20"/>
      <c r="Q82" s="86"/>
      <c r="R82" s="86"/>
      <c r="S82" s="86"/>
    </row>
    <row r="83" spans="1:19" s="9" customFormat="1" x14ac:dyDescent="0.25">
      <c r="A83" s="91" t="s">
        <v>8116</v>
      </c>
      <c r="B83" s="59" t="s">
        <v>8237</v>
      </c>
      <c r="C83" s="59" t="s">
        <v>4612</v>
      </c>
      <c r="D83" s="22"/>
      <c r="E83" s="22" t="s">
        <v>457</v>
      </c>
      <c r="F83" s="20"/>
      <c r="G83" s="20" t="s">
        <v>8663</v>
      </c>
      <c r="H83" s="18"/>
      <c r="I83" s="173"/>
      <c r="J83" s="173" t="str">
        <f>IF($I83&lt;='Abbrev Key'!$A$2,'Abbrev Key'!$B$2,IF($I83&lt;='Abbrev Key'!$A$3,'Abbrev Key'!$B$3,IF($I83&lt;='Abbrev Key'!$A$4,'Abbrev Key'!$B$4,IF($I83&lt;='Abbrev Key'!$A$5,'Abbrev Key'!$B$5,IF($I83&lt;='Abbrev Key'!$A$6,'Abbrev Key'!$B$6,IF($I83&gt;='Abbrev Key'!$A$7,'Abbrev Key'!$B$7,IF($I83='Abbrev Key'!$A$8,'Abbrev Key'!$B$8,"")))))))</f>
        <v>A</v>
      </c>
      <c r="K83" s="20"/>
      <c r="L83" s="19" t="str">
        <f t="shared" si="4"/>
        <v>07/25/2018</v>
      </c>
      <c r="M83" s="19">
        <f t="shared" si="5"/>
        <v>43305</v>
      </c>
      <c r="N83" s="20"/>
      <c r="O83" s="20"/>
      <c r="P83" s="20"/>
      <c r="Q83" s="86"/>
      <c r="R83" s="86"/>
      <c r="S83" s="86"/>
    </row>
    <row r="84" spans="1:19" s="9" customFormat="1" x14ac:dyDescent="0.25">
      <c r="A84" s="91" t="s">
        <v>8116</v>
      </c>
      <c r="B84" s="59" t="s">
        <v>8238</v>
      </c>
      <c r="C84" s="59" t="s">
        <v>8673</v>
      </c>
      <c r="D84" s="22"/>
      <c r="E84" s="22"/>
      <c r="F84" s="20"/>
      <c r="G84" s="20" t="s">
        <v>8323</v>
      </c>
      <c r="H84" s="18"/>
      <c r="I84" s="173"/>
      <c r="J84" s="173" t="str">
        <f>IF($I84&lt;='Abbrev Key'!$A$2,'Abbrev Key'!$B$2,IF($I84&lt;='Abbrev Key'!$A$3,'Abbrev Key'!$B$3,IF($I84&lt;='Abbrev Key'!$A$4,'Abbrev Key'!$B$4,IF($I84&lt;='Abbrev Key'!$A$5,'Abbrev Key'!$B$5,IF($I84&lt;='Abbrev Key'!$A$6,'Abbrev Key'!$B$6,IF($I84&gt;='Abbrev Key'!$A$7,'Abbrev Key'!$B$7,IF($I84='Abbrev Key'!$A$8,'Abbrev Key'!$B$8,"")))))))</f>
        <v>A</v>
      </c>
      <c r="K84" s="20"/>
      <c r="L84" s="19" t="str">
        <f t="shared" si="4"/>
        <v>04/02/2018</v>
      </c>
      <c r="M84" s="19">
        <f t="shared" si="5"/>
        <v>43191</v>
      </c>
      <c r="N84" s="20"/>
      <c r="O84" s="20"/>
      <c r="P84" s="20"/>
      <c r="Q84" s="86"/>
      <c r="R84" s="86"/>
      <c r="S84" s="86"/>
    </row>
    <row r="85" spans="1:19" s="9" customFormat="1" x14ac:dyDescent="0.25">
      <c r="A85" s="91" t="s">
        <v>8117</v>
      </c>
      <c r="B85" s="59" t="s">
        <v>8227</v>
      </c>
      <c r="C85" s="59" t="s">
        <v>4680</v>
      </c>
      <c r="D85" s="22"/>
      <c r="E85" s="22" t="s">
        <v>437</v>
      </c>
      <c r="F85" s="20"/>
      <c r="G85" s="20" t="s">
        <v>8294</v>
      </c>
      <c r="H85" s="18"/>
      <c r="I85" s="173"/>
      <c r="J85" s="173" t="str">
        <f>IF($I85&lt;='Abbrev Key'!$A$2,'Abbrev Key'!$B$2,IF($I85&lt;='Abbrev Key'!$A$3,'Abbrev Key'!$B$3,IF($I85&lt;='Abbrev Key'!$A$4,'Abbrev Key'!$B$4,IF($I85&lt;='Abbrev Key'!$A$5,'Abbrev Key'!$B$5,IF($I85&lt;='Abbrev Key'!$A$6,'Abbrev Key'!$B$6,IF($I85&gt;='Abbrev Key'!$A$7,'Abbrev Key'!$B$7,IF($I85='Abbrev Key'!$A$8,'Abbrev Key'!$B$8,"")))))))</f>
        <v>A</v>
      </c>
      <c r="K85" s="20"/>
      <c r="L85" s="19" t="str">
        <f t="shared" si="4"/>
        <v>01/02/2018</v>
      </c>
      <c r="M85" s="19">
        <f t="shared" si="5"/>
        <v>43101</v>
      </c>
      <c r="N85" s="20"/>
      <c r="O85" s="20"/>
      <c r="P85" s="20"/>
      <c r="Q85" s="86"/>
      <c r="R85" s="86"/>
      <c r="S85" s="86"/>
    </row>
    <row r="86" spans="1:19" s="9" customFormat="1" x14ac:dyDescent="0.25">
      <c r="A86" s="91" t="s">
        <v>8117</v>
      </c>
      <c r="B86" s="59" t="s">
        <v>8212</v>
      </c>
      <c r="C86" s="59" t="s">
        <v>4690</v>
      </c>
      <c r="D86" s="22"/>
      <c r="E86" s="22" t="s">
        <v>457</v>
      </c>
      <c r="F86" s="20"/>
      <c r="G86" s="20" t="s">
        <v>8329</v>
      </c>
      <c r="H86" s="18"/>
      <c r="I86" s="173"/>
      <c r="J86" s="173" t="str">
        <f>IF($I86&lt;='Abbrev Key'!$A$2,'Abbrev Key'!$B$2,IF($I86&lt;='Abbrev Key'!$A$3,'Abbrev Key'!$B$3,IF($I86&lt;='Abbrev Key'!$A$4,'Abbrev Key'!$B$4,IF($I86&lt;='Abbrev Key'!$A$5,'Abbrev Key'!$B$5,IF($I86&lt;='Abbrev Key'!$A$6,'Abbrev Key'!$B$6,IF($I86&gt;='Abbrev Key'!$A$7,'Abbrev Key'!$B$7,IF($I86='Abbrev Key'!$A$8,'Abbrev Key'!$B$8,"")))))))</f>
        <v>A</v>
      </c>
      <c r="K86" s="20"/>
      <c r="L86" s="19" t="str">
        <f t="shared" si="4"/>
        <v>11/17/2017</v>
      </c>
      <c r="M86" s="19">
        <f t="shared" si="5"/>
        <v>43055</v>
      </c>
      <c r="N86" s="20"/>
      <c r="O86" s="20"/>
      <c r="P86" s="20"/>
      <c r="Q86" s="86"/>
      <c r="R86" s="86"/>
      <c r="S86" s="86"/>
    </row>
    <row r="87" spans="1:19" s="9" customFormat="1" x14ac:dyDescent="0.25">
      <c r="A87" s="91" t="s">
        <v>8117</v>
      </c>
      <c r="B87" s="59" t="s">
        <v>8220</v>
      </c>
      <c r="C87" s="59" t="s">
        <v>4756</v>
      </c>
      <c r="D87" s="22"/>
      <c r="E87" s="22" t="s">
        <v>457</v>
      </c>
      <c r="F87" s="20"/>
      <c r="G87" s="20" t="s">
        <v>8339</v>
      </c>
      <c r="H87" s="18"/>
      <c r="I87" s="173"/>
      <c r="J87" s="173" t="str">
        <f>IF($I87&lt;='Abbrev Key'!$A$2,'Abbrev Key'!$B$2,IF($I87&lt;='Abbrev Key'!$A$3,'Abbrev Key'!$B$3,IF($I87&lt;='Abbrev Key'!$A$4,'Abbrev Key'!$B$4,IF($I87&lt;='Abbrev Key'!$A$5,'Abbrev Key'!$B$5,IF($I87&lt;='Abbrev Key'!$A$6,'Abbrev Key'!$B$6,IF($I87&gt;='Abbrev Key'!$A$7,'Abbrev Key'!$B$7,IF($I87='Abbrev Key'!$A$8,'Abbrev Key'!$B$8,"")))))))</f>
        <v>A</v>
      </c>
      <c r="K87" s="20"/>
      <c r="L87" s="19" t="str">
        <f t="shared" si="4"/>
        <v>12/12/2017</v>
      </c>
      <c r="M87" s="19">
        <f t="shared" si="5"/>
        <v>43080</v>
      </c>
      <c r="N87" s="20"/>
      <c r="O87" s="20"/>
      <c r="P87" s="20"/>
      <c r="Q87" s="86"/>
      <c r="R87" s="86"/>
      <c r="S87" s="86"/>
    </row>
    <row r="88" spans="1:19" s="9" customFormat="1" x14ac:dyDescent="0.25">
      <c r="A88" s="91" t="s">
        <v>8117</v>
      </c>
      <c r="B88" s="59" t="s">
        <v>8229</v>
      </c>
      <c r="C88" s="59" t="s">
        <v>8531</v>
      </c>
      <c r="D88" s="22"/>
      <c r="E88" s="22" t="s">
        <v>1815</v>
      </c>
      <c r="F88" s="20"/>
      <c r="G88" s="20" t="s">
        <v>8343</v>
      </c>
      <c r="H88" s="18"/>
      <c r="I88" s="173"/>
      <c r="J88" s="173" t="str">
        <f>IF($I88&lt;='Abbrev Key'!$A$2,'Abbrev Key'!$B$2,IF($I88&lt;='Abbrev Key'!$A$3,'Abbrev Key'!$B$3,IF($I88&lt;='Abbrev Key'!$A$4,'Abbrev Key'!$B$4,IF($I88&lt;='Abbrev Key'!$A$5,'Abbrev Key'!$B$5,IF($I88&lt;='Abbrev Key'!$A$6,'Abbrev Key'!$B$6,IF($I88&gt;='Abbrev Key'!$A$7,'Abbrev Key'!$B$7,IF($I88='Abbrev Key'!$A$8,'Abbrev Key'!$B$8,"")))))))</f>
        <v>A</v>
      </c>
      <c r="K88" s="20"/>
      <c r="L88" s="19" t="str">
        <f t="shared" si="4"/>
        <v>02/22/2017</v>
      </c>
      <c r="M88" s="19">
        <f t="shared" si="5"/>
        <v>42787</v>
      </c>
      <c r="N88" s="20"/>
      <c r="O88" s="20"/>
      <c r="P88" s="20"/>
      <c r="Q88" s="86"/>
      <c r="R88" s="86"/>
      <c r="S88" s="86"/>
    </row>
    <row r="89" spans="1:19" s="9" customFormat="1" x14ac:dyDescent="0.25">
      <c r="A89" s="91" t="s">
        <v>8117</v>
      </c>
      <c r="B89" s="59" t="s">
        <v>8214</v>
      </c>
      <c r="C89" s="59" t="s">
        <v>4792</v>
      </c>
      <c r="D89" s="22"/>
      <c r="E89" s="22" t="s">
        <v>399</v>
      </c>
      <c r="F89" s="20"/>
      <c r="G89" s="20" t="s">
        <v>8344</v>
      </c>
      <c r="H89" s="18"/>
      <c r="I89" s="173"/>
      <c r="J89" s="173" t="str">
        <f>IF($I89&lt;='Abbrev Key'!$A$2,'Abbrev Key'!$B$2,IF($I89&lt;='Abbrev Key'!$A$3,'Abbrev Key'!$B$3,IF($I89&lt;='Abbrev Key'!$A$4,'Abbrev Key'!$B$4,IF($I89&lt;='Abbrev Key'!$A$5,'Abbrev Key'!$B$5,IF($I89&lt;='Abbrev Key'!$A$6,'Abbrev Key'!$B$6,IF($I89&gt;='Abbrev Key'!$A$7,'Abbrev Key'!$B$7,IF($I89='Abbrev Key'!$A$8,'Abbrev Key'!$B$8,"")))))))</f>
        <v>A</v>
      </c>
      <c r="K89" s="20"/>
      <c r="L89" s="19" t="str">
        <f t="shared" si="4"/>
        <v>11/20/2017</v>
      </c>
      <c r="M89" s="19">
        <f t="shared" si="5"/>
        <v>43058</v>
      </c>
      <c r="N89" s="20"/>
      <c r="O89" s="20"/>
      <c r="P89" s="20"/>
      <c r="Q89" s="86"/>
      <c r="R89" s="86"/>
      <c r="S89" s="86"/>
    </row>
    <row r="90" spans="1:19" s="9" customFormat="1" x14ac:dyDescent="0.25">
      <c r="A90" s="91" t="s">
        <v>8117</v>
      </c>
      <c r="B90" s="59" t="s">
        <v>8206</v>
      </c>
      <c r="C90" s="59" t="s">
        <v>8532</v>
      </c>
      <c r="D90" s="22"/>
      <c r="E90" s="22" t="s">
        <v>457</v>
      </c>
      <c r="F90" s="20"/>
      <c r="G90" s="20" t="s">
        <v>8345</v>
      </c>
      <c r="H90" s="18"/>
      <c r="I90" s="173"/>
      <c r="J90" s="173" t="str">
        <f>IF($I90&lt;='Abbrev Key'!$A$2,'Abbrev Key'!$B$2,IF($I90&lt;='Abbrev Key'!$A$3,'Abbrev Key'!$B$3,IF($I90&lt;='Abbrev Key'!$A$4,'Abbrev Key'!$B$4,IF($I90&lt;='Abbrev Key'!$A$5,'Abbrev Key'!$B$5,IF($I90&lt;='Abbrev Key'!$A$6,'Abbrev Key'!$B$6,IF($I90&gt;='Abbrev Key'!$A$7,'Abbrev Key'!$B$7,IF($I90='Abbrev Key'!$A$8,'Abbrev Key'!$B$8,"")))))))</f>
        <v>A</v>
      </c>
      <c r="K90" s="20"/>
      <c r="L90" s="19" t="str">
        <f t="shared" si="4"/>
        <v>11/03/2017</v>
      </c>
      <c r="M90" s="19">
        <f t="shared" si="5"/>
        <v>43041</v>
      </c>
      <c r="N90" s="20"/>
      <c r="O90" s="20"/>
      <c r="P90" s="20"/>
      <c r="Q90" s="86"/>
      <c r="R90" s="86"/>
      <c r="S90" s="86"/>
    </row>
    <row r="91" spans="1:19" s="9" customFormat="1" x14ac:dyDescent="0.25">
      <c r="A91" s="91" t="s">
        <v>8117</v>
      </c>
      <c r="B91" s="59" t="s">
        <v>8223</v>
      </c>
      <c r="C91" s="59" t="s">
        <v>8533</v>
      </c>
      <c r="D91" s="22"/>
      <c r="E91" s="22" t="s">
        <v>418</v>
      </c>
      <c r="F91" s="20"/>
      <c r="G91" s="20" t="s">
        <v>8347</v>
      </c>
      <c r="H91" s="18"/>
      <c r="I91" s="173"/>
      <c r="J91" s="173" t="str">
        <f>IF($I91&lt;='Abbrev Key'!$A$2,'Abbrev Key'!$B$2,IF($I91&lt;='Abbrev Key'!$A$3,'Abbrev Key'!$B$3,IF($I91&lt;='Abbrev Key'!$A$4,'Abbrev Key'!$B$4,IF($I91&lt;='Abbrev Key'!$A$5,'Abbrev Key'!$B$5,IF($I91&lt;='Abbrev Key'!$A$6,'Abbrev Key'!$B$6,IF($I91&gt;='Abbrev Key'!$A$7,'Abbrev Key'!$B$7,IF($I91='Abbrev Key'!$A$8,'Abbrev Key'!$B$8,"")))))))</f>
        <v>A</v>
      </c>
      <c r="K91" s="20"/>
      <c r="L91" s="19" t="str">
        <f t="shared" si="4"/>
        <v>12/19/2017</v>
      </c>
      <c r="M91" s="19">
        <f t="shared" si="5"/>
        <v>43087</v>
      </c>
      <c r="N91" s="20"/>
      <c r="O91" s="20"/>
      <c r="P91" s="20"/>
      <c r="Q91" s="86"/>
      <c r="R91" s="86"/>
      <c r="S91" s="86"/>
    </row>
    <row r="92" spans="1:19" s="9" customFormat="1" x14ac:dyDescent="0.25">
      <c r="A92" s="91" t="s">
        <v>8117</v>
      </c>
      <c r="B92" s="59" t="s">
        <v>8204</v>
      </c>
      <c r="C92" s="59"/>
      <c r="D92" s="22"/>
      <c r="E92" s="22"/>
      <c r="F92" s="20"/>
      <c r="G92" s="20" t="s">
        <v>8363</v>
      </c>
      <c r="H92" s="18"/>
      <c r="I92" s="173"/>
      <c r="J92" s="173" t="str">
        <f>IF($I92&lt;='Abbrev Key'!$A$2,'Abbrev Key'!$B$2,IF($I92&lt;='Abbrev Key'!$A$3,'Abbrev Key'!$B$3,IF($I92&lt;='Abbrev Key'!$A$4,'Abbrev Key'!$B$4,IF($I92&lt;='Abbrev Key'!$A$5,'Abbrev Key'!$B$5,IF($I92&lt;='Abbrev Key'!$A$6,'Abbrev Key'!$B$6,IF($I92&gt;='Abbrev Key'!$A$7,'Abbrev Key'!$B$7,IF($I92='Abbrev Key'!$A$8,'Abbrev Key'!$B$8,"")))))))</f>
        <v>A</v>
      </c>
      <c r="K92" s="20"/>
      <c r="L92" s="19" t="str">
        <f t="shared" si="4"/>
        <v>10/11/2017</v>
      </c>
      <c r="M92" s="19">
        <f t="shared" si="5"/>
        <v>43018</v>
      </c>
      <c r="N92" s="20"/>
      <c r="O92" s="20"/>
      <c r="P92" s="20"/>
      <c r="Q92" s="86"/>
      <c r="R92" s="86"/>
      <c r="S92" s="86"/>
    </row>
    <row r="93" spans="1:19" s="9" customFormat="1" x14ac:dyDescent="0.25">
      <c r="A93" s="91" t="s">
        <v>8117</v>
      </c>
      <c r="B93" s="59" t="s">
        <v>8219</v>
      </c>
      <c r="C93" s="59" t="s">
        <v>8548</v>
      </c>
      <c r="D93" s="22"/>
      <c r="E93" s="22" t="s">
        <v>491</v>
      </c>
      <c r="F93" s="20"/>
      <c r="G93" s="20" t="s">
        <v>8339</v>
      </c>
      <c r="H93" s="18"/>
      <c r="I93" s="173"/>
      <c r="J93" s="173" t="str">
        <f>IF($I93&lt;='Abbrev Key'!$A$2,'Abbrev Key'!$B$2,IF($I93&lt;='Abbrev Key'!$A$3,'Abbrev Key'!$B$3,IF($I93&lt;='Abbrev Key'!$A$4,'Abbrev Key'!$B$4,IF($I93&lt;='Abbrev Key'!$A$5,'Abbrev Key'!$B$5,IF($I93&lt;='Abbrev Key'!$A$6,'Abbrev Key'!$B$6,IF($I93&gt;='Abbrev Key'!$A$7,'Abbrev Key'!$B$7,IF($I93='Abbrev Key'!$A$8,'Abbrev Key'!$B$8,"")))))))</f>
        <v>A</v>
      </c>
      <c r="K93" s="20"/>
      <c r="L93" s="19" t="str">
        <f t="shared" si="4"/>
        <v>12/12/2017</v>
      </c>
      <c r="M93" s="19">
        <f t="shared" si="5"/>
        <v>43080</v>
      </c>
      <c r="N93" s="20"/>
      <c r="O93" s="20"/>
      <c r="P93" s="20"/>
      <c r="Q93" s="86"/>
      <c r="R93" s="86"/>
      <c r="S93" s="86"/>
    </row>
    <row r="94" spans="1:19" s="9" customFormat="1" x14ac:dyDescent="0.25">
      <c r="A94" s="91" t="s">
        <v>8117</v>
      </c>
      <c r="B94" s="59" t="s">
        <v>8217</v>
      </c>
      <c r="C94" s="59" t="s">
        <v>8555</v>
      </c>
      <c r="D94" s="22"/>
      <c r="E94" s="22" t="s">
        <v>409</v>
      </c>
      <c r="F94" s="20"/>
      <c r="G94" s="20" t="s">
        <v>8380</v>
      </c>
      <c r="H94" s="18"/>
      <c r="I94" s="173"/>
      <c r="J94" s="173" t="str">
        <f>IF($I94&lt;='Abbrev Key'!$A$2,'Abbrev Key'!$B$2,IF($I94&lt;='Abbrev Key'!$A$3,'Abbrev Key'!$B$3,IF($I94&lt;='Abbrev Key'!$A$4,'Abbrev Key'!$B$4,IF($I94&lt;='Abbrev Key'!$A$5,'Abbrev Key'!$B$5,IF($I94&lt;='Abbrev Key'!$A$6,'Abbrev Key'!$B$6,IF($I94&gt;='Abbrev Key'!$A$7,'Abbrev Key'!$B$7,IF($I94='Abbrev Key'!$A$8,'Abbrev Key'!$B$8,"")))))))</f>
        <v>A</v>
      </c>
      <c r="K94" s="20"/>
      <c r="L94" s="19" t="str">
        <f t="shared" si="4"/>
        <v>12/04/2017</v>
      </c>
      <c r="M94" s="19">
        <f t="shared" si="5"/>
        <v>43072</v>
      </c>
      <c r="N94" s="20"/>
      <c r="O94" s="20"/>
      <c r="P94" s="20"/>
      <c r="Q94" s="86"/>
      <c r="R94" s="86"/>
      <c r="S94" s="86"/>
    </row>
    <row r="95" spans="1:19" s="9" customFormat="1" x14ac:dyDescent="0.25">
      <c r="A95" s="91" t="s">
        <v>8117</v>
      </c>
      <c r="B95" s="59" t="s">
        <v>8211</v>
      </c>
      <c r="C95" s="59" t="s">
        <v>8560</v>
      </c>
      <c r="D95" s="22"/>
      <c r="E95" s="22" t="s">
        <v>457</v>
      </c>
      <c r="F95" s="20"/>
      <c r="G95" s="20" t="s">
        <v>8329</v>
      </c>
      <c r="H95" s="18"/>
      <c r="I95" s="173"/>
      <c r="J95" s="173" t="str">
        <f>IF($I95&lt;='Abbrev Key'!$A$2,'Abbrev Key'!$B$2,IF($I95&lt;='Abbrev Key'!$A$3,'Abbrev Key'!$B$3,IF($I95&lt;='Abbrev Key'!$A$4,'Abbrev Key'!$B$4,IF($I95&lt;='Abbrev Key'!$A$5,'Abbrev Key'!$B$5,IF($I95&lt;='Abbrev Key'!$A$6,'Abbrev Key'!$B$6,IF($I95&gt;='Abbrev Key'!$A$7,'Abbrev Key'!$B$7,IF($I95='Abbrev Key'!$A$8,'Abbrev Key'!$B$8,"")))))))</f>
        <v>A</v>
      </c>
      <c r="K95" s="20"/>
      <c r="L95" s="19" t="str">
        <f t="shared" si="4"/>
        <v>11/17/2017</v>
      </c>
      <c r="M95" s="19">
        <f t="shared" si="5"/>
        <v>43055</v>
      </c>
      <c r="N95" s="20"/>
      <c r="O95" s="20"/>
      <c r="P95" s="20"/>
      <c r="Q95" s="86"/>
      <c r="R95" s="86"/>
      <c r="S95" s="86"/>
    </row>
    <row r="96" spans="1:19" s="9" customFormat="1" x14ac:dyDescent="0.25">
      <c r="A96" s="91" t="s">
        <v>8117</v>
      </c>
      <c r="B96" s="59" t="s">
        <v>8207</v>
      </c>
      <c r="C96" s="59" t="s">
        <v>4993</v>
      </c>
      <c r="D96" s="22"/>
      <c r="E96" s="22" t="s">
        <v>418</v>
      </c>
      <c r="F96" s="20"/>
      <c r="G96" s="20"/>
      <c r="H96" s="18"/>
      <c r="I96" s="173"/>
      <c r="J96" s="173" t="str">
        <f>IF($I96&lt;='Abbrev Key'!$A$2,'Abbrev Key'!$B$2,IF($I96&lt;='Abbrev Key'!$A$3,'Abbrev Key'!$B$3,IF($I96&lt;='Abbrev Key'!$A$4,'Abbrev Key'!$B$4,IF($I96&lt;='Abbrev Key'!$A$5,'Abbrev Key'!$B$5,IF($I96&lt;='Abbrev Key'!$A$6,'Abbrev Key'!$B$6,IF($I96&gt;='Abbrev Key'!$A$7,'Abbrev Key'!$B$7,IF($I96='Abbrev Key'!$A$8,'Abbrev Key'!$B$8,"")))))))</f>
        <v>A</v>
      </c>
      <c r="K96" s="20"/>
      <c r="L96" s="19" t="str">
        <f t="shared" si="4"/>
        <v/>
      </c>
      <c r="M96" s="19" t="e">
        <f t="shared" si="5"/>
        <v>#VALUE!</v>
      </c>
      <c r="N96" s="20"/>
      <c r="O96" s="20"/>
      <c r="P96" s="20"/>
      <c r="Q96" s="86"/>
      <c r="R96" s="86"/>
      <c r="S96" s="86"/>
    </row>
    <row r="97" spans="1:19" s="9" customFormat="1" x14ac:dyDescent="0.25">
      <c r="A97" s="91" t="s">
        <v>8117</v>
      </c>
      <c r="B97" s="59" t="s">
        <v>8216</v>
      </c>
      <c r="C97" s="59" t="s">
        <v>8566</v>
      </c>
      <c r="D97" s="22"/>
      <c r="E97" s="22" t="s">
        <v>3869</v>
      </c>
      <c r="F97" s="20"/>
      <c r="G97" s="20" t="s">
        <v>8292</v>
      </c>
      <c r="H97" s="18"/>
      <c r="I97" s="173"/>
      <c r="J97" s="173" t="str">
        <f>IF($I97&lt;='Abbrev Key'!$A$2,'Abbrev Key'!$B$2,IF($I97&lt;='Abbrev Key'!$A$3,'Abbrev Key'!$B$3,IF($I97&lt;='Abbrev Key'!$A$4,'Abbrev Key'!$B$4,IF($I97&lt;='Abbrev Key'!$A$5,'Abbrev Key'!$B$5,IF($I97&lt;='Abbrev Key'!$A$6,'Abbrev Key'!$B$6,IF($I97&gt;='Abbrev Key'!$A$7,'Abbrev Key'!$B$7,IF($I97='Abbrev Key'!$A$8,'Abbrev Key'!$B$8,"")))))))</f>
        <v>A</v>
      </c>
      <c r="K97" s="20"/>
      <c r="L97" s="19" t="str">
        <f t="shared" si="4"/>
        <v>11/30/2017</v>
      </c>
      <c r="M97" s="19">
        <f t="shared" si="5"/>
        <v>43068</v>
      </c>
      <c r="N97" s="20"/>
      <c r="O97" s="20"/>
      <c r="P97" s="20"/>
      <c r="Q97" s="86"/>
      <c r="R97" s="86"/>
      <c r="S97" s="86"/>
    </row>
    <row r="98" spans="1:19" s="9" customFormat="1" x14ac:dyDescent="0.25">
      <c r="A98" s="91" t="s">
        <v>8117</v>
      </c>
      <c r="B98" s="59" t="s">
        <v>8213</v>
      </c>
      <c r="C98" s="59" t="s">
        <v>8569</v>
      </c>
      <c r="D98" s="22"/>
      <c r="E98" s="22" t="s">
        <v>1008</v>
      </c>
      <c r="F98" s="20"/>
      <c r="G98" s="20" t="s">
        <v>8329</v>
      </c>
      <c r="H98" s="18"/>
      <c r="I98" s="173"/>
      <c r="J98" s="173" t="str">
        <f>IF($I98&lt;='Abbrev Key'!$A$2,'Abbrev Key'!$B$2,IF($I98&lt;='Abbrev Key'!$A$3,'Abbrev Key'!$B$3,IF($I98&lt;='Abbrev Key'!$A$4,'Abbrev Key'!$B$4,IF($I98&lt;='Abbrev Key'!$A$5,'Abbrev Key'!$B$5,IF($I98&lt;='Abbrev Key'!$A$6,'Abbrev Key'!$B$6,IF($I98&gt;='Abbrev Key'!$A$7,'Abbrev Key'!$B$7,IF($I98='Abbrev Key'!$A$8,'Abbrev Key'!$B$8,"")))))))</f>
        <v>A</v>
      </c>
      <c r="K98" s="20"/>
      <c r="L98" s="19" t="str">
        <f t="shared" si="4"/>
        <v>11/17/2017</v>
      </c>
      <c r="M98" s="19">
        <f t="shared" si="5"/>
        <v>43055</v>
      </c>
      <c r="N98" s="20"/>
      <c r="O98" s="20"/>
      <c r="P98" s="20"/>
      <c r="Q98" s="86"/>
      <c r="R98" s="86"/>
      <c r="S98" s="86"/>
    </row>
    <row r="99" spans="1:19" s="9" customFormat="1" x14ac:dyDescent="0.25">
      <c r="A99" s="91" t="s">
        <v>8117</v>
      </c>
      <c r="B99" s="59" t="s">
        <v>8213</v>
      </c>
      <c r="C99" s="59" t="s">
        <v>8569</v>
      </c>
      <c r="D99" s="22"/>
      <c r="E99" s="22" t="s">
        <v>1008</v>
      </c>
      <c r="F99" s="20"/>
      <c r="G99" s="20" t="s">
        <v>8344</v>
      </c>
      <c r="H99" s="18"/>
      <c r="I99" s="173"/>
      <c r="J99" s="173" t="str">
        <f>IF($I99&lt;='Abbrev Key'!$A$2,'Abbrev Key'!$B$2,IF($I99&lt;='Abbrev Key'!$A$3,'Abbrev Key'!$B$3,IF($I99&lt;='Abbrev Key'!$A$4,'Abbrev Key'!$B$4,IF($I99&lt;='Abbrev Key'!$A$5,'Abbrev Key'!$B$5,IF($I99&lt;='Abbrev Key'!$A$6,'Abbrev Key'!$B$6,IF($I99&gt;='Abbrev Key'!$A$7,'Abbrev Key'!$B$7,IF($I99='Abbrev Key'!$A$8,'Abbrev Key'!$B$8,"")))))))</f>
        <v>A</v>
      </c>
      <c r="K99" s="20"/>
      <c r="L99" s="19" t="str">
        <f t="shared" si="4"/>
        <v>11/20/2017</v>
      </c>
      <c r="M99" s="19">
        <f t="shared" si="5"/>
        <v>43058</v>
      </c>
      <c r="N99" s="20"/>
      <c r="O99" s="20"/>
      <c r="P99" s="20"/>
      <c r="Q99" s="86"/>
      <c r="R99" s="86"/>
      <c r="S99" s="86"/>
    </row>
    <row r="100" spans="1:19" s="9" customFormat="1" x14ac:dyDescent="0.25">
      <c r="A100" s="91" t="s">
        <v>8150</v>
      </c>
      <c r="B100" s="59" t="s">
        <v>8239</v>
      </c>
      <c r="C100" s="59"/>
      <c r="D100" s="22"/>
      <c r="E100" s="22"/>
      <c r="F100" s="20"/>
      <c r="G100" s="20" t="s">
        <v>8402</v>
      </c>
      <c r="H100" s="18"/>
      <c r="I100" s="173"/>
      <c r="J100" s="173" t="str">
        <f>IF($I100&lt;='Abbrev Key'!$A$2,'Abbrev Key'!$B$2,IF($I100&lt;='Abbrev Key'!$A$3,'Abbrev Key'!$B$3,IF($I100&lt;='Abbrev Key'!$A$4,'Abbrev Key'!$B$4,IF($I100&lt;='Abbrev Key'!$A$5,'Abbrev Key'!$B$5,IF($I100&lt;='Abbrev Key'!$A$6,'Abbrev Key'!$B$6,IF($I100&gt;='Abbrev Key'!$A$7,'Abbrev Key'!$B$7,IF($I100='Abbrev Key'!$A$8,'Abbrev Key'!$B$8,"")))))))</f>
        <v>A</v>
      </c>
      <c r="K100" s="20"/>
      <c r="L100" s="19" t="str">
        <f t="shared" si="4"/>
        <v>04/20/2018</v>
      </c>
      <c r="M100" s="19">
        <f t="shared" si="5"/>
        <v>43209</v>
      </c>
      <c r="N100" s="20"/>
      <c r="O100" s="20"/>
      <c r="P100" s="20"/>
      <c r="Q100" s="86"/>
      <c r="R100" s="86"/>
      <c r="S100" s="86"/>
    </row>
    <row r="101" spans="1:19" s="9" customFormat="1" x14ac:dyDescent="0.25">
      <c r="A101" s="91" t="s">
        <v>8117</v>
      </c>
      <c r="B101" s="59" t="s">
        <v>8226</v>
      </c>
      <c r="C101" s="59" t="s">
        <v>8575</v>
      </c>
      <c r="D101" s="22"/>
      <c r="E101" s="22" t="s">
        <v>8612</v>
      </c>
      <c r="F101" s="20"/>
      <c r="G101" s="20" t="s">
        <v>8409</v>
      </c>
      <c r="H101" s="18"/>
      <c r="I101" s="173"/>
      <c r="J101" s="173" t="str">
        <f>IF($I101&lt;='Abbrev Key'!$A$2,'Abbrev Key'!$B$2,IF($I101&lt;='Abbrev Key'!$A$3,'Abbrev Key'!$B$3,IF($I101&lt;='Abbrev Key'!$A$4,'Abbrev Key'!$B$4,IF($I101&lt;='Abbrev Key'!$A$5,'Abbrev Key'!$B$5,IF($I101&lt;='Abbrev Key'!$A$6,'Abbrev Key'!$B$6,IF($I101&gt;='Abbrev Key'!$A$7,'Abbrev Key'!$B$7,IF($I101='Abbrev Key'!$A$8,'Abbrev Key'!$B$8,"")))))))</f>
        <v>A</v>
      </c>
      <c r="K101" s="20"/>
      <c r="L101" s="19" t="str">
        <f t="shared" si="4"/>
        <v>12/29/2017</v>
      </c>
      <c r="M101" s="19">
        <f t="shared" si="5"/>
        <v>43097</v>
      </c>
      <c r="N101" s="20"/>
      <c r="O101" s="20"/>
      <c r="P101" s="20"/>
      <c r="Q101" s="86"/>
      <c r="R101" s="86"/>
      <c r="S101" s="86"/>
    </row>
    <row r="102" spans="1:19" s="9" customFormat="1" x14ac:dyDescent="0.25">
      <c r="A102" s="91" t="s">
        <v>8117</v>
      </c>
      <c r="B102" s="59" t="s">
        <v>8208</v>
      </c>
      <c r="C102" s="59" t="s">
        <v>5120</v>
      </c>
      <c r="D102" s="22"/>
      <c r="E102" s="22" t="s">
        <v>515</v>
      </c>
      <c r="F102" s="20"/>
      <c r="G102" s="20" t="s">
        <v>8414</v>
      </c>
      <c r="H102" s="18"/>
      <c r="I102" s="173"/>
      <c r="J102" s="173" t="str">
        <f>IF($I102&lt;='Abbrev Key'!$A$2,'Abbrev Key'!$B$2,IF($I102&lt;='Abbrev Key'!$A$3,'Abbrev Key'!$B$3,IF($I102&lt;='Abbrev Key'!$A$4,'Abbrev Key'!$B$4,IF($I102&lt;='Abbrev Key'!$A$5,'Abbrev Key'!$B$5,IF($I102&lt;='Abbrev Key'!$A$6,'Abbrev Key'!$B$6,IF($I102&gt;='Abbrev Key'!$A$7,'Abbrev Key'!$B$7,IF($I102='Abbrev Key'!$A$8,'Abbrev Key'!$B$8,"")))))))</f>
        <v>A</v>
      </c>
      <c r="K102" s="20"/>
      <c r="L102" s="19" t="str">
        <f t="shared" si="4"/>
        <v>11/08/2017</v>
      </c>
      <c r="M102" s="19">
        <f t="shared" si="5"/>
        <v>43046</v>
      </c>
      <c r="N102" s="20"/>
      <c r="O102" s="20"/>
      <c r="P102" s="20"/>
      <c r="Q102" s="86"/>
      <c r="R102" s="86"/>
      <c r="S102" s="86"/>
    </row>
    <row r="103" spans="1:19" s="9" customFormat="1" x14ac:dyDescent="0.25">
      <c r="A103" s="91" t="s">
        <v>8117</v>
      </c>
      <c r="B103" s="59" t="s">
        <v>8208</v>
      </c>
      <c r="C103" s="59" t="s">
        <v>5120</v>
      </c>
      <c r="D103" s="22"/>
      <c r="E103" s="22" t="s">
        <v>515</v>
      </c>
      <c r="F103" s="20"/>
      <c r="G103" s="20" t="s">
        <v>8414</v>
      </c>
      <c r="H103" s="18"/>
      <c r="I103" s="173"/>
      <c r="J103" s="173" t="str">
        <f>IF($I103&lt;='Abbrev Key'!$A$2,'Abbrev Key'!$B$2,IF($I103&lt;='Abbrev Key'!$A$3,'Abbrev Key'!$B$3,IF($I103&lt;='Abbrev Key'!$A$4,'Abbrev Key'!$B$4,IF($I103&lt;='Abbrev Key'!$A$5,'Abbrev Key'!$B$5,IF($I103&lt;='Abbrev Key'!$A$6,'Abbrev Key'!$B$6,IF($I103&gt;='Abbrev Key'!$A$7,'Abbrev Key'!$B$7,IF($I103='Abbrev Key'!$A$8,'Abbrev Key'!$B$8,"")))))))</f>
        <v>A</v>
      </c>
      <c r="K103" s="20"/>
      <c r="L103" s="19" t="str">
        <f t="shared" si="4"/>
        <v>11/08/2017</v>
      </c>
      <c r="M103" s="19">
        <f t="shared" si="5"/>
        <v>43046</v>
      </c>
      <c r="N103" s="20"/>
      <c r="O103" s="20"/>
      <c r="P103" s="20"/>
      <c r="Q103" s="86"/>
      <c r="R103" s="86"/>
      <c r="S103" s="86"/>
    </row>
    <row r="104" spans="1:19" s="9" customFormat="1" x14ac:dyDescent="0.25">
      <c r="A104" s="91" t="s">
        <v>8117</v>
      </c>
      <c r="B104" s="59" t="s">
        <v>8209</v>
      </c>
      <c r="C104" s="59" t="s">
        <v>8579</v>
      </c>
      <c r="D104" s="22"/>
      <c r="E104" s="22" t="s">
        <v>457</v>
      </c>
      <c r="F104" s="20"/>
      <c r="G104" s="20" t="s">
        <v>8419</v>
      </c>
      <c r="H104" s="18"/>
      <c r="I104" s="173"/>
      <c r="J104" s="173" t="str">
        <f>IF($I104&lt;='Abbrev Key'!$A$2,'Abbrev Key'!$B$2,IF($I104&lt;='Abbrev Key'!$A$3,'Abbrev Key'!$B$3,IF($I104&lt;='Abbrev Key'!$A$4,'Abbrev Key'!$B$4,IF($I104&lt;='Abbrev Key'!$A$5,'Abbrev Key'!$B$5,IF($I104&lt;='Abbrev Key'!$A$6,'Abbrev Key'!$B$6,IF($I104&gt;='Abbrev Key'!$A$7,'Abbrev Key'!$B$7,IF($I104='Abbrev Key'!$A$8,'Abbrev Key'!$B$8,"")))))))</f>
        <v>A</v>
      </c>
      <c r="K104" s="20"/>
      <c r="L104" s="19" t="str">
        <f t="shared" si="4"/>
        <v>11/09/2017</v>
      </c>
      <c r="M104" s="19">
        <f t="shared" si="5"/>
        <v>43047</v>
      </c>
      <c r="N104" s="20"/>
      <c r="O104" s="20"/>
      <c r="P104" s="20"/>
      <c r="Q104" s="86"/>
      <c r="R104" s="86"/>
      <c r="S104" s="86"/>
    </row>
    <row r="105" spans="1:19" s="9" customFormat="1" x14ac:dyDescent="0.25">
      <c r="A105" s="91" t="s">
        <v>8770</v>
      </c>
      <c r="B105" s="59" t="s">
        <v>8235</v>
      </c>
      <c r="C105" s="59"/>
      <c r="D105" s="22"/>
      <c r="E105" s="22"/>
      <c r="F105" s="20"/>
      <c r="G105" s="20" t="s">
        <v>8423</v>
      </c>
      <c r="H105" s="18"/>
      <c r="I105" s="173"/>
      <c r="J105" s="173" t="str">
        <f>IF($I105&lt;='Abbrev Key'!$A$2,'Abbrev Key'!$B$2,IF($I105&lt;='Abbrev Key'!$A$3,'Abbrev Key'!$B$3,IF($I105&lt;='Abbrev Key'!$A$4,'Abbrev Key'!$B$4,IF($I105&lt;='Abbrev Key'!$A$5,'Abbrev Key'!$B$5,IF($I105&lt;='Abbrev Key'!$A$6,'Abbrev Key'!$B$6,IF($I105&gt;='Abbrev Key'!$A$7,'Abbrev Key'!$B$7,IF($I105='Abbrev Key'!$A$8,'Abbrev Key'!$B$8,"")))))))</f>
        <v>A</v>
      </c>
      <c r="K105" s="20"/>
      <c r="L105" s="19" t="str">
        <f t="shared" si="4"/>
        <v>03/02/2018</v>
      </c>
      <c r="M105" s="19">
        <f t="shared" si="5"/>
        <v>43160</v>
      </c>
      <c r="N105" s="20"/>
      <c r="O105" s="20"/>
      <c r="P105" s="20"/>
      <c r="Q105" s="86"/>
      <c r="R105" s="86"/>
      <c r="S105" s="86"/>
    </row>
    <row r="106" spans="1:19" s="9" customFormat="1" x14ac:dyDescent="0.25">
      <c r="A106" s="91" t="s">
        <v>8117</v>
      </c>
      <c r="B106" s="59" t="s">
        <v>8233</v>
      </c>
      <c r="C106" s="59" t="s">
        <v>8583</v>
      </c>
      <c r="D106" s="22"/>
      <c r="E106" s="22" t="s">
        <v>437</v>
      </c>
      <c r="F106" s="20"/>
      <c r="G106" s="20" t="s">
        <v>8310</v>
      </c>
      <c r="H106" s="18"/>
      <c r="I106" s="173"/>
      <c r="J106" s="173" t="str">
        <f>IF($I106&lt;='Abbrev Key'!$A$2,'Abbrev Key'!$B$2,IF($I106&lt;='Abbrev Key'!$A$3,'Abbrev Key'!$B$3,IF($I106&lt;='Abbrev Key'!$A$4,'Abbrev Key'!$B$4,IF($I106&lt;='Abbrev Key'!$A$5,'Abbrev Key'!$B$5,IF($I106&lt;='Abbrev Key'!$A$6,'Abbrev Key'!$B$6,IF($I106&gt;='Abbrev Key'!$A$7,'Abbrev Key'!$B$7,IF($I106='Abbrev Key'!$A$8,'Abbrev Key'!$B$8,"")))))))</f>
        <v>A</v>
      </c>
      <c r="K106" s="20"/>
      <c r="L106" s="19" t="str">
        <f t="shared" ref="L106:L121" si="6">RIGHT(G106,10)</f>
        <v>01/04/2018</v>
      </c>
      <c r="M106" s="19">
        <f t="shared" si="5"/>
        <v>43103</v>
      </c>
      <c r="N106" s="20"/>
      <c r="O106" s="20"/>
      <c r="P106" s="20"/>
      <c r="Q106" s="86"/>
      <c r="R106" s="86"/>
      <c r="S106" s="86"/>
    </row>
    <row r="107" spans="1:19" s="9" customFormat="1" x14ac:dyDescent="0.25">
      <c r="A107" s="91" t="s">
        <v>8150</v>
      </c>
      <c r="B107" s="59" t="s">
        <v>6944</v>
      </c>
      <c r="C107" s="59" t="s">
        <v>7521</v>
      </c>
      <c r="D107" s="22" t="s">
        <v>8148</v>
      </c>
      <c r="E107" s="22" t="s">
        <v>418</v>
      </c>
      <c r="F107" s="20"/>
      <c r="G107" s="20" t="s">
        <v>8149</v>
      </c>
      <c r="H107" s="18"/>
      <c r="I107" s="173">
        <v>580000000</v>
      </c>
      <c r="J107" s="173" t="str">
        <f>IF($I107&lt;='Abbrev Key'!$A$2,'Abbrev Key'!$B$2,IF($I107&lt;='Abbrev Key'!$A$3,'Abbrev Key'!$B$3,IF($I107&lt;='Abbrev Key'!$A$4,'Abbrev Key'!$B$4,IF($I107&lt;='Abbrev Key'!$A$5,'Abbrev Key'!$B$5,IF($I107&lt;='Abbrev Key'!$A$6,'Abbrev Key'!$B$6,IF($I107&gt;='Abbrev Key'!$A$7,'Abbrev Key'!$B$7,IF($I107='Abbrev Key'!$A$8,'Abbrev Key'!$B$8,"")))))))</f>
        <v>F</v>
      </c>
      <c r="K107" s="20"/>
      <c r="L107" s="19" t="str">
        <f t="shared" si="6"/>
        <v>11/09/2017</v>
      </c>
      <c r="M107" s="19">
        <f t="shared" si="5"/>
        <v>43047</v>
      </c>
      <c r="N107" s="20"/>
      <c r="O107" s="20"/>
      <c r="P107" s="20"/>
      <c r="Q107" s="86"/>
      <c r="R107" s="86"/>
      <c r="S107" s="86"/>
    </row>
    <row r="108" spans="1:19" s="9" customFormat="1" x14ac:dyDescent="0.25">
      <c r="A108" s="91" t="s">
        <v>8150</v>
      </c>
      <c r="B108" s="59" t="s">
        <v>3013</v>
      </c>
      <c r="C108" s="59" t="s">
        <v>7571</v>
      </c>
      <c r="D108" s="22" t="s">
        <v>5017</v>
      </c>
      <c r="E108" s="22" t="s">
        <v>409</v>
      </c>
      <c r="F108" s="20"/>
      <c r="G108" s="20" t="s">
        <v>8390</v>
      </c>
      <c r="H108" s="18"/>
      <c r="I108" s="173">
        <v>111000000</v>
      </c>
      <c r="J108" s="173" t="str">
        <f>IF($I108&lt;='Abbrev Key'!$A$2,'Abbrev Key'!$B$2,IF($I108&lt;='Abbrev Key'!$A$3,'Abbrev Key'!$B$3,IF($I108&lt;='Abbrev Key'!$A$4,'Abbrev Key'!$B$4,IF($I108&lt;='Abbrev Key'!$A$5,'Abbrev Key'!$B$5,IF($I108&lt;='Abbrev Key'!$A$6,'Abbrev Key'!$B$6,IF($I108&gt;='Abbrev Key'!$A$7,'Abbrev Key'!$B$7,IF($I108='Abbrev Key'!$A$8,'Abbrev Key'!$B$8,"")))))))</f>
        <v>D</v>
      </c>
      <c r="K108" s="20"/>
      <c r="L108" s="19" t="str">
        <f t="shared" si="6"/>
        <v>11/22/2017</v>
      </c>
      <c r="M108" s="19">
        <f t="shared" si="5"/>
        <v>43060</v>
      </c>
      <c r="N108" s="20"/>
      <c r="O108" s="20"/>
      <c r="P108" s="20"/>
      <c r="Q108" s="86"/>
      <c r="R108" s="86"/>
      <c r="S108" s="86"/>
    </row>
    <row r="109" spans="1:19" s="9" customFormat="1" x14ac:dyDescent="0.25">
      <c r="A109" s="91" t="s">
        <v>8117</v>
      </c>
      <c r="B109" s="59" t="s">
        <v>8908</v>
      </c>
      <c r="C109" s="59" t="s">
        <v>8591</v>
      </c>
      <c r="D109" s="22"/>
      <c r="E109" s="22" t="s">
        <v>418</v>
      </c>
      <c r="F109" s="20"/>
      <c r="G109" s="20" t="s">
        <v>8307</v>
      </c>
      <c r="H109" s="18"/>
      <c r="I109" s="173"/>
      <c r="J109" s="173" t="str">
        <f>IF($I109&lt;='Abbrev Key'!$A$2,'Abbrev Key'!$B$2,IF($I109&lt;='Abbrev Key'!$A$3,'Abbrev Key'!$B$3,IF($I109&lt;='Abbrev Key'!$A$4,'Abbrev Key'!$B$4,IF($I109&lt;='Abbrev Key'!$A$5,'Abbrev Key'!$B$5,IF($I109&lt;='Abbrev Key'!$A$6,'Abbrev Key'!$B$6,IF($I109&gt;='Abbrev Key'!$A$7,'Abbrev Key'!$B$7,IF($I109='Abbrev Key'!$A$8,'Abbrev Key'!$B$8,"")))))))</f>
        <v>A</v>
      </c>
      <c r="K109" s="20"/>
      <c r="L109" s="19" t="str">
        <f t="shared" si="6"/>
        <v>12/18/2017</v>
      </c>
      <c r="M109" s="19">
        <f t="shared" si="5"/>
        <v>43086</v>
      </c>
      <c r="N109" s="20"/>
      <c r="O109" s="20"/>
      <c r="P109" s="20"/>
      <c r="Q109" s="86"/>
      <c r="R109" s="86"/>
      <c r="S109" s="86"/>
    </row>
    <row r="110" spans="1:19" s="9" customFormat="1" x14ac:dyDescent="0.25">
      <c r="A110" s="91" t="s">
        <v>8117</v>
      </c>
      <c r="B110" s="59" t="s">
        <v>8913</v>
      </c>
      <c r="C110" s="59"/>
      <c r="D110" s="22"/>
      <c r="E110" s="22"/>
      <c r="F110" s="20"/>
      <c r="G110" s="20" t="s">
        <v>8441</v>
      </c>
      <c r="H110" s="18"/>
      <c r="I110" s="173"/>
      <c r="J110" s="173" t="str">
        <f>IF($I110&lt;='Abbrev Key'!$A$2,'Abbrev Key'!$B$2,IF($I110&lt;='Abbrev Key'!$A$3,'Abbrev Key'!$B$3,IF($I110&lt;='Abbrev Key'!$A$4,'Abbrev Key'!$B$4,IF($I110&lt;='Abbrev Key'!$A$5,'Abbrev Key'!$B$5,IF($I110&lt;='Abbrev Key'!$A$6,'Abbrev Key'!$B$6,IF($I110&gt;='Abbrev Key'!$A$7,'Abbrev Key'!$B$7,IF($I110='Abbrev Key'!$A$8,'Abbrev Key'!$B$8,"")))))))</f>
        <v>A</v>
      </c>
      <c r="K110" s="20"/>
      <c r="L110" s="19" t="str">
        <f t="shared" si="6"/>
        <v>12/07/2017</v>
      </c>
      <c r="M110" s="19">
        <f t="shared" si="5"/>
        <v>43075</v>
      </c>
      <c r="N110" s="20"/>
      <c r="O110" s="20"/>
      <c r="P110" s="20"/>
      <c r="Q110" s="86"/>
      <c r="R110" s="86"/>
      <c r="S110" s="86"/>
    </row>
    <row r="111" spans="1:19" s="9" customFormat="1" x14ac:dyDescent="0.25">
      <c r="A111" s="91" t="s">
        <v>8117</v>
      </c>
      <c r="B111" s="59" t="s">
        <v>8218</v>
      </c>
      <c r="C111" s="59" t="s">
        <v>8595</v>
      </c>
      <c r="D111" s="22"/>
      <c r="E111" s="22" t="s">
        <v>545</v>
      </c>
      <c r="F111" s="20"/>
      <c r="G111" s="20" t="s">
        <v>8442</v>
      </c>
      <c r="H111" s="18"/>
      <c r="I111" s="173"/>
      <c r="J111" s="173" t="str">
        <f>IF($I111&lt;='Abbrev Key'!$A$2,'Abbrev Key'!$B$2,IF($I111&lt;='Abbrev Key'!$A$3,'Abbrev Key'!$B$3,IF($I111&lt;='Abbrev Key'!$A$4,'Abbrev Key'!$B$4,IF($I111&lt;='Abbrev Key'!$A$5,'Abbrev Key'!$B$5,IF($I111&lt;='Abbrev Key'!$A$6,'Abbrev Key'!$B$6,IF($I111&gt;='Abbrev Key'!$A$7,'Abbrev Key'!$B$7,IF($I111='Abbrev Key'!$A$8,'Abbrev Key'!$B$8,"")))))))</f>
        <v>A</v>
      </c>
      <c r="K111" s="20"/>
      <c r="L111" s="19" t="str">
        <f t="shared" si="6"/>
        <v>12/11/2017</v>
      </c>
      <c r="M111" s="19">
        <f t="shared" si="5"/>
        <v>43079</v>
      </c>
      <c r="N111" s="20"/>
      <c r="O111" s="20"/>
      <c r="P111" s="20"/>
      <c r="Q111" s="86"/>
      <c r="R111" s="86"/>
      <c r="S111" s="86"/>
    </row>
    <row r="112" spans="1:19" s="9" customFormat="1" x14ac:dyDescent="0.25">
      <c r="A112" s="91" t="s">
        <v>8117</v>
      </c>
      <c r="B112" s="59" t="s">
        <v>8918</v>
      </c>
      <c r="C112" s="59" t="s">
        <v>8599</v>
      </c>
      <c r="D112" s="22"/>
      <c r="E112" s="22" t="s">
        <v>4253</v>
      </c>
      <c r="F112" s="20"/>
      <c r="G112" s="20" t="s">
        <v>8447</v>
      </c>
      <c r="H112" s="18"/>
      <c r="I112" s="173"/>
      <c r="J112" s="173" t="str">
        <f>IF($I112&lt;='Abbrev Key'!$A$2,'Abbrev Key'!$B$2,IF($I112&lt;='Abbrev Key'!$A$3,'Abbrev Key'!$B$3,IF($I112&lt;='Abbrev Key'!$A$4,'Abbrev Key'!$B$4,IF($I112&lt;='Abbrev Key'!$A$5,'Abbrev Key'!$B$5,IF($I112&lt;='Abbrev Key'!$A$6,'Abbrev Key'!$B$6,IF($I112&gt;='Abbrev Key'!$A$7,'Abbrev Key'!$B$7,IF($I112='Abbrev Key'!$A$8,'Abbrev Key'!$B$8,"")))))))</f>
        <v>A</v>
      </c>
      <c r="K112" s="20"/>
      <c r="L112" s="19" t="str">
        <f t="shared" si="6"/>
        <v>11/29/2017</v>
      </c>
      <c r="M112" s="19">
        <f t="shared" si="5"/>
        <v>43067</v>
      </c>
      <c r="N112" s="20"/>
      <c r="O112" s="20"/>
      <c r="P112" s="20"/>
      <c r="Q112" s="86"/>
      <c r="R112" s="86"/>
      <c r="S112" s="86"/>
    </row>
    <row r="113" spans="1:20" s="9" customFormat="1" x14ac:dyDescent="0.25">
      <c r="A113" s="91" t="s">
        <v>8117</v>
      </c>
      <c r="B113" s="59" t="s">
        <v>8920</v>
      </c>
      <c r="C113" s="59" t="s">
        <v>8600</v>
      </c>
      <c r="D113" s="22"/>
      <c r="E113" s="22" t="s">
        <v>8611</v>
      </c>
      <c r="F113" s="20"/>
      <c r="G113" s="20" t="s">
        <v>8345</v>
      </c>
      <c r="H113" s="18"/>
      <c r="I113" s="173"/>
      <c r="J113" s="173" t="str">
        <f>IF($I113&lt;='Abbrev Key'!$A$2,'Abbrev Key'!$B$2,IF($I113&lt;='Abbrev Key'!$A$3,'Abbrev Key'!$B$3,IF($I113&lt;='Abbrev Key'!$A$4,'Abbrev Key'!$B$4,IF($I113&lt;='Abbrev Key'!$A$5,'Abbrev Key'!$B$5,IF($I113&lt;='Abbrev Key'!$A$6,'Abbrev Key'!$B$6,IF($I113&gt;='Abbrev Key'!$A$7,'Abbrev Key'!$B$7,IF($I113='Abbrev Key'!$A$8,'Abbrev Key'!$B$8,"")))))))</f>
        <v>A</v>
      </c>
      <c r="K113" s="20"/>
      <c r="L113" s="19" t="str">
        <f t="shared" si="6"/>
        <v>11/03/2017</v>
      </c>
      <c r="M113" s="19">
        <f t="shared" si="5"/>
        <v>43041</v>
      </c>
      <c r="N113" s="20"/>
      <c r="O113" s="20"/>
      <c r="P113" s="20"/>
      <c r="Q113" s="86"/>
      <c r="R113" s="86"/>
      <c r="S113" s="86"/>
    </row>
    <row r="114" spans="1:20" s="9" customFormat="1" x14ac:dyDescent="0.25">
      <c r="A114" s="91" t="s">
        <v>8770</v>
      </c>
      <c r="B114" s="59" t="s">
        <v>8921</v>
      </c>
      <c r="C114" s="59" t="s">
        <v>8601</v>
      </c>
      <c r="D114" s="22"/>
      <c r="E114" s="22" t="s">
        <v>418</v>
      </c>
      <c r="F114" s="20"/>
      <c r="G114" s="20" t="s">
        <v>8449</v>
      </c>
      <c r="H114" s="18"/>
      <c r="I114" s="173"/>
      <c r="J114" s="173" t="str">
        <f>IF($I114&lt;='Abbrev Key'!$A$2,'Abbrev Key'!$B$2,IF($I114&lt;='Abbrev Key'!$A$3,'Abbrev Key'!$B$3,IF($I114&lt;='Abbrev Key'!$A$4,'Abbrev Key'!$B$4,IF($I114&lt;='Abbrev Key'!$A$5,'Abbrev Key'!$B$5,IF($I114&lt;='Abbrev Key'!$A$6,'Abbrev Key'!$B$6,IF($I114&gt;='Abbrev Key'!$A$7,'Abbrev Key'!$B$7,IF($I114='Abbrev Key'!$A$8,'Abbrev Key'!$B$8,"")))))))</f>
        <v>A</v>
      </c>
      <c r="K114" s="20"/>
      <c r="L114" s="19" t="str">
        <f t="shared" si="6"/>
        <v>01/11/2018</v>
      </c>
      <c r="M114" s="19">
        <f t="shared" si="5"/>
        <v>43110</v>
      </c>
      <c r="N114" s="20"/>
      <c r="O114" s="20"/>
      <c r="P114" s="20"/>
      <c r="Q114" s="86"/>
      <c r="R114" s="86"/>
      <c r="S114" s="86"/>
    </row>
    <row r="115" spans="1:20" s="9" customFormat="1" x14ac:dyDescent="0.25">
      <c r="A115" s="91" t="s">
        <v>8770</v>
      </c>
      <c r="B115" s="59" t="s">
        <v>8921</v>
      </c>
      <c r="C115" s="59" t="s">
        <v>8601</v>
      </c>
      <c r="D115" s="22"/>
      <c r="E115" s="22" t="s">
        <v>418</v>
      </c>
      <c r="F115" s="20"/>
      <c r="G115" s="20" t="s">
        <v>8450</v>
      </c>
      <c r="H115" s="18"/>
      <c r="I115" s="173"/>
      <c r="J115" s="173" t="str">
        <f>IF($I115&lt;='Abbrev Key'!$A$2,'Abbrev Key'!$B$2,IF($I115&lt;='Abbrev Key'!$A$3,'Abbrev Key'!$B$3,IF($I115&lt;='Abbrev Key'!$A$4,'Abbrev Key'!$B$4,IF($I115&lt;='Abbrev Key'!$A$5,'Abbrev Key'!$B$5,IF($I115&lt;='Abbrev Key'!$A$6,'Abbrev Key'!$B$6,IF($I115&gt;='Abbrev Key'!$A$7,'Abbrev Key'!$B$7,IF($I115='Abbrev Key'!$A$8,'Abbrev Key'!$B$8,"")))))))</f>
        <v>A</v>
      </c>
      <c r="K115" s="20"/>
      <c r="L115" s="19" t="str">
        <f t="shared" si="6"/>
        <v>01/10/2018</v>
      </c>
      <c r="M115" s="19">
        <f t="shared" si="5"/>
        <v>43109</v>
      </c>
      <c r="N115" s="20"/>
      <c r="O115" s="20"/>
      <c r="P115" s="20"/>
      <c r="Q115" s="86"/>
      <c r="R115" s="86"/>
      <c r="S115" s="86"/>
    </row>
    <row r="116" spans="1:20" s="9" customFormat="1" x14ac:dyDescent="0.25">
      <c r="A116" s="91" t="s">
        <v>8117</v>
      </c>
      <c r="B116" s="59" t="s">
        <v>8923</v>
      </c>
      <c r="C116" s="59"/>
      <c r="D116" s="22"/>
      <c r="E116" s="22"/>
      <c r="F116" s="20"/>
      <c r="G116" s="20" t="s">
        <v>8453</v>
      </c>
      <c r="H116" s="18"/>
      <c r="I116" s="173"/>
      <c r="J116" s="173" t="str">
        <f>IF($I116&lt;='Abbrev Key'!$A$2,'Abbrev Key'!$B$2,IF($I116&lt;='Abbrev Key'!$A$3,'Abbrev Key'!$B$3,IF($I116&lt;='Abbrev Key'!$A$4,'Abbrev Key'!$B$4,IF($I116&lt;='Abbrev Key'!$A$5,'Abbrev Key'!$B$5,IF($I116&lt;='Abbrev Key'!$A$6,'Abbrev Key'!$B$6,IF($I116&gt;='Abbrev Key'!$A$7,'Abbrev Key'!$B$7,IF($I116='Abbrev Key'!$A$8,'Abbrev Key'!$B$8,"")))))))</f>
        <v>A</v>
      </c>
      <c r="K116" s="20"/>
      <c r="L116" s="19" t="str">
        <f t="shared" si="6"/>
        <v>10/02/2015</v>
      </c>
      <c r="M116" s="19">
        <f t="shared" si="5"/>
        <v>42278</v>
      </c>
      <c r="N116" s="20"/>
      <c r="O116" s="20"/>
      <c r="P116" s="20"/>
      <c r="Q116" s="86"/>
      <c r="R116" s="86"/>
      <c r="S116" s="86"/>
    </row>
    <row r="117" spans="1:20" s="9" customFormat="1" x14ac:dyDescent="0.25">
      <c r="A117" s="91" t="s">
        <v>8117</v>
      </c>
      <c r="B117" s="59" t="s">
        <v>8925</v>
      </c>
      <c r="C117" s="59" t="s">
        <v>8604</v>
      </c>
      <c r="D117" s="22"/>
      <c r="E117" s="22" t="s">
        <v>409</v>
      </c>
      <c r="F117" s="20"/>
      <c r="G117" s="20" t="s">
        <v>8455</v>
      </c>
      <c r="H117" s="18"/>
      <c r="I117" s="173"/>
      <c r="J117" s="173" t="str">
        <f>IF($I117&lt;='Abbrev Key'!$A$2,'Abbrev Key'!$B$2,IF($I117&lt;='Abbrev Key'!$A$3,'Abbrev Key'!$B$3,IF($I117&lt;='Abbrev Key'!$A$4,'Abbrev Key'!$B$4,IF($I117&lt;='Abbrev Key'!$A$5,'Abbrev Key'!$B$5,IF($I117&lt;='Abbrev Key'!$A$6,'Abbrev Key'!$B$6,IF($I117&gt;='Abbrev Key'!$A$7,'Abbrev Key'!$B$7,IF($I117='Abbrev Key'!$A$8,'Abbrev Key'!$B$8,"")))))))</f>
        <v>A</v>
      </c>
      <c r="K117" s="20"/>
      <c r="L117" s="19" t="str">
        <f t="shared" si="6"/>
        <v>11/10/2017</v>
      </c>
      <c r="M117" s="19">
        <f t="shared" si="5"/>
        <v>43048</v>
      </c>
      <c r="N117" s="20"/>
      <c r="O117" s="20"/>
      <c r="P117" s="20"/>
      <c r="Q117" s="86"/>
      <c r="R117" s="86"/>
      <c r="S117" s="86"/>
    </row>
    <row r="118" spans="1:20" s="9" customFormat="1" x14ac:dyDescent="0.25">
      <c r="A118" s="91" t="s">
        <v>8117</v>
      </c>
      <c r="B118" s="59" t="s">
        <v>8927</v>
      </c>
      <c r="C118" s="59" t="s">
        <v>8607</v>
      </c>
      <c r="D118" s="22"/>
      <c r="E118" s="22" t="s">
        <v>457</v>
      </c>
      <c r="F118" s="20"/>
      <c r="G118" s="20" t="s">
        <v>8458</v>
      </c>
      <c r="H118" s="18"/>
      <c r="I118" s="173"/>
      <c r="J118" s="173" t="str">
        <f>IF($I118&lt;='Abbrev Key'!$A$2,'Abbrev Key'!$B$2,IF($I118&lt;='Abbrev Key'!$A$3,'Abbrev Key'!$B$3,IF($I118&lt;='Abbrev Key'!$A$4,'Abbrev Key'!$B$4,IF($I118&lt;='Abbrev Key'!$A$5,'Abbrev Key'!$B$5,IF($I118&lt;='Abbrev Key'!$A$6,'Abbrev Key'!$B$6,IF($I118&gt;='Abbrev Key'!$A$7,'Abbrev Key'!$B$7,IF($I118='Abbrev Key'!$A$8,'Abbrev Key'!$B$8,"")))))))</f>
        <v>A</v>
      </c>
      <c r="K118" s="20"/>
      <c r="L118" s="19" t="str">
        <f t="shared" si="6"/>
        <v>01/07/2018</v>
      </c>
      <c r="M118" s="19">
        <f t="shared" si="5"/>
        <v>43106</v>
      </c>
      <c r="N118" s="20"/>
      <c r="O118" s="20"/>
      <c r="P118" s="20"/>
      <c r="Q118" s="86"/>
      <c r="R118" s="86"/>
      <c r="S118" s="86"/>
    </row>
    <row r="119" spans="1:20" s="9" customFormat="1" x14ac:dyDescent="0.25">
      <c r="A119" s="91" t="s">
        <v>8116</v>
      </c>
      <c r="B119" s="59" t="s">
        <v>8838</v>
      </c>
      <c r="C119" s="59" t="s">
        <v>8523</v>
      </c>
      <c r="D119" s="22"/>
      <c r="E119" s="22" t="s">
        <v>418</v>
      </c>
      <c r="F119" s="20"/>
      <c r="G119" s="20" t="s">
        <v>8326</v>
      </c>
      <c r="H119" s="18"/>
      <c r="I119" s="173"/>
      <c r="J119" s="173" t="str">
        <f>IF($I119&lt;='Abbrev Key'!$A$2,'Abbrev Key'!$B$2,IF($I119&lt;='Abbrev Key'!$A$3,'Abbrev Key'!$B$3,IF($I119&lt;='Abbrev Key'!$A$4,'Abbrev Key'!$B$4,IF($I119&lt;='Abbrev Key'!$A$5,'Abbrev Key'!$B$5,IF($I119&lt;='Abbrev Key'!$A$6,'Abbrev Key'!$B$6,IF($I119&gt;='Abbrev Key'!$A$7,'Abbrev Key'!$B$7,IF($I119='Abbrev Key'!$A$8,'Abbrev Key'!$B$8,"")))))))</f>
        <v>A</v>
      </c>
      <c r="K119" s="20"/>
      <c r="L119" s="19" t="str">
        <f t="shared" si="6"/>
        <v>11/10/2017</v>
      </c>
      <c r="M119" s="19">
        <f t="shared" si="5"/>
        <v>43048</v>
      </c>
      <c r="N119" s="20"/>
      <c r="O119" s="20"/>
      <c r="P119" s="20"/>
      <c r="Q119" s="86"/>
      <c r="R119" s="86"/>
      <c r="S119" s="86"/>
    </row>
    <row r="120" spans="1:20" s="9" customFormat="1" x14ac:dyDescent="0.25">
      <c r="A120" s="91" t="s">
        <v>8116</v>
      </c>
      <c r="B120" s="59" t="s">
        <v>8838</v>
      </c>
      <c r="C120" s="59" t="s">
        <v>8523</v>
      </c>
      <c r="D120" s="22"/>
      <c r="E120" s="22" t="s">
        <v>418</v>
      </c>
      <c r="F120" s="20"/>
      <c r="G120" s="20" t="s">
        <v>8327</v>
      </c>
      <c r="H120" s="18"/>
      <c r="I120" s="173"/>
      <c r="J120" s="173" t="str">
        <f>IF($I120&lt;='Abbrev Key'!$A$2,'Abbrev Key'!$B$2,IF($I120&lt;='Abbrev Key'!$A$3,'Abbrev Key'!$B$3,IF($I120&lt;='Abbrev Key'!$A$4,'Abbrev Key'!$B$4,IF($I120&lt;='Abbrev Key'!$A$5,'Abbrev Key'!$B$5,IF($I120&lt;='Abbrev Key'!$A$6,'Abbrev Key'!$B$6,IF($I120&gt;='Abbrev Key'!$A$7,'Abbrev Key'!$B$7,IF($I120='Abbrev Key'!$A$8,'Abbrev Key'!$B$8,"")))))))</f>
        <v>A</v>
      </c>
      <c r="K120" s="20"/>
      <c r="L120" s="19" t="str">
        <f t="shared" si="6"/>
        <v>01/12/2018</v>
      </c>
      <c r="M120" s="19">
        <f t="shared" si="5"/>
        <v>43111</v>
      </c>
      <c r="N120" s="20"/>
      <c r="O120" s="20"/>
      <c r="P120" s="20"/>
      <c r="Q120" s="86"/>
      <c r="R120" s="86"/>
      <c r="S120" s="86"/>
    </row>
    <row r="121" spans="1:20" s="9" customFormat="1" x14ac:dyDescent="0.25">
      <c r="A121" s="91" t="s">
        <v>8641</v>
      </c>
      <c r="B121" s="59" t="s">
        <v>8919</v>
      </c>
      <c r="C121" s="59"/>
      <c r="D121" s="22"/>
      <c r="E121" s="22"/>
      <c r="F121" s="20"/>
      <c r="G121" s="20" t="s">
        <v>8448</v>
      </c>
      <c r="H121" s="18"/>
      <c r="I121" s="173"/>
      <c r="J121" s="173" t="str">
        <f>IF($I121&lt;='Abbrev Key'!$A$2,'Abbrev Key'!$B$2,IF($I121&lt;='Abbrev Key'!$A$3,'Abbrev Key'!$B$3,IF($I121&lt;='Abbrev Key'!$A$4,'Abbrev Key'!$B$4,IF($I121&lt;='Abbrev Key'!$A$5,'Abbrev Key'!$B$5,IF($I121&lt;='Abbrev Key'!$A$6,'Abbrev Key'!$B$6,IF($I121&gt;='Abbrev Key'!$A$7,'Abbrev Key'!$B$7,IF($I121='Abbrev Key'!$A$8,'Abbrev Key'!$B$8,"")))))))</f>
        <v>A</v>
      </c>
      <c r="K121" s="20"/>
      <c r="L121" s="19" t="str">
        <f t="shared" si="6"/>
        <v>08/11/2016</v>
      </c>
      <c r="M121" s="19">
        <f t="shared" si="5"/>
        <v>42592</v>
      </c>
      <c r="N121" s="20"/>
      <c r="O121" s="20"/>
      <c r="P121" s="20"/>
      <c r="Q121" s="86"/>
      <c r="R121" s="86"/>
      <c r="S121" s="86"/>
    </row>
    <row r="122" spans="1:20" s="93" customFormat="1" x14ac:dyDescent="0.25">
      <c r="A122" s="91" t="s">
        <v>8150</v>
      </c>
      <c r="B122" s="59" t="s">
        <v>775</v>
      </c>
      <c r="C122" s="59" t="s">
        <v>4330</v>
      </c>
      <c r="D122" s="22" t="s">
        <v>4331</v>
      </c>
      <c r="E122" s="22" t="s">
        <v>424</v>
      </c>
      <c r="F122" s="20">
        <v>3</v>
      </c>
      <c r="G122" s="20" t="s">
        <v>8080</v>
      </c>
      <c r="H122" s="18" t="str">
        <f>VLOOKUP(B122,[2]Sheet!$B$2:$C$570,2,FALSE)</f>
        <v xml:space="preserve">The Rosen Law Firm, P.A. </v>
      </c>
      <c r="I122" s="173">
        <v>500000</v>
      </c>
      <c r="J122" s="173" t="str">
        <f>IF($I122&lt;='Abbrev Key'!$A$2,'Abbrev Key'!$B$2,IF($I122&lt;='Abbrev Key'!$A$3,'Abbrev Key'!$B$3,IF($I122&lt;='Abbrev Key'!$A$4,'Abbrev Key'!$B$4,IF($I122&lt;='Abbrev Key'!$A$5,'Abbrev Key'!$B$5,IF($I122&lt;='Abbrev Key'!$A$6,'Abbrev Key'!$B$6,IF($I122&gt;='Abbrev Key'!$A$7,'Abbrev Key'!$B$7,IF($I122='Abbrev Key'!$A$8,'Abbrev Key'!$B$8,"")))))))</f>
        <v>A</v>
      </c>
      <c r="K122" s="20" t="s">
        <v>4408</v>
      </c>
      <c r="L122" s="19" t="str">
        <f t="shared" ref="L122:L127" si="7">RIGHT(G122,10)</f>
        <v>04/12/2017</v>
      </c>
      <c r="M122" s="19">
        <f t="shared" ref="M122:M127" si="8">L122-1</f>
        <v>42836</v>
      </c>
      <c r="N122" s="20"/>
      <c r="O122" s="20"/>
      <c r="P122" s="18"/>
      <c r="Q122" s="86"/>
      <c r="R122" s="86"/>
      <c r="S122" s="86"/>
    </row>
    <row r="123" spans="1:20" s="93" customFormat="1" x14ac:dyDescent="0.25">
      <c r="A123" s="91" t="s">
        <v>8150</v>
      </c>
      <c r="B123" s="59" t="s">
        <v>870</v>
      </c>
      <c r="C123" s="59" t="s">
        <v>7501</v>
      </c>
      <c r="D123" s="22" t="s">
        <v>4354</v>
      </c>
      <c r="E123" s="22" t="s">
        <v>457</v>
      </c>
      <c r="F123" s="20">
        <v>9</v>
      </c>
      <c r="G123" s="20" t="s">
        <v>4355</v>
      </c>
      <c r="H123" s="18" t="str">
        <f>VLOOKUP(B123,[2]Sheet!$B$2:$C$570,2,FALSE)</f>
        <v xml:space="preserve">Levi &amp; Korsinsky, LLP </v>
      </c>
      <c r="I123" s="173">
        <v>1500000</v>
      </c>
      <c r="J123" s="173" t="str">
        <f>IF($I123&lt;='Abbrev Key'!$A$2,'Abbrev Key'!$B$2,IF($I123&lt;='Abbrev Key'!$A$3,'Abbrev Key'!$B$3,IF($I123&lt;='Abbrev Key'!$A$4,'Abbrev Key'!$B$4,IF($I123&lt;='Abbrev Key'!$A$5,'Abbrev Key'!$B$5,IF($I123&lt;='Abbrev Key'!$A$6,'Abbrev Key'!$B$6,IF($I123&gt;='Abbrev Key'!$A$7,'Abbrev Key'!$B$7,IF($I123='Abbrev Key'!$A$8,'Abbrev Key'!$B$8,"")))))))</f>
        <v>A</v>
      </c>
      <c r="K123" s="20" t="s">
        <v>4295</v>
      </c>
      <c r="L123" s="19" t="str">
        <f t="shared" si="7"/>
        <v>04/17/2017</v>
      </c>
      <c r="M123" s="19">
        <f t="shared" si="8"/>
        <v>42841</v>
      </c>
      <c r="N123" s="20"/>
      <c r="O123" s="20"/>
      <c r="P123" s="18"/>
      <c r="Q123" s="86"/>
      <c r="R123" s="86"/>
      <c r="S123" s="86"/>
    </row>
    <row r="124" spans="1:20" s="93" customFormat="1" x14ac:dyDescent="0.25">
      <c r="A124" s="91" t="s">
        <v>8150</v>
      </c>
      <c r="B124" s="59" t="s">
        <v>2376</v>
      </c>
      <c r="C124" s="59" t="s">
        <v>4777</v>
      </c>
      <c r="D124" s="22" t="s">
        <v>4780</v>
      </c>
      <c r="E124" s="22" t="s">
        <v>418</v>
      </c>
      <c r="F124" s="20">
        <v>2</v>
      </c>
      <c r="G124" s="20" t="s">
        <v>8147</v>
      </c>
      <c r="H124" s="18" t="str">
        <f>VLOOKUP(B124,[2]Sheet!$B$2:$C$570,2,FALSE)</f>
        <v xml:space="preserve">Levi &amp; Korsinsky, LLP </v>
      </c>
      <c r="I124" s="173">
        <v>8000000</v>
      </c>
      <c r="J124" s="173" t="str">
        <f>IF($I124&lt;='Abbrev Key'!$A$2,'Abbrev Key'!$B$2,IF($I124&lt;='Abbrev Key'!$A$3,'Abbrev Key'!$B$3,IF($I124&lt;='Abbrev Key'!$A$4,'Abbrev Key'!$B$4,IF($I124&lt;='Abbrev Key'!$A$5,'Abbrev Key'!$B$5,IF($I124&lt;='Abbrev Key'!$A$6,'Abbrev Key'!$B$6,IF($I124&gt;='Abbrev Key'!$A$7,'Abbrev Key'!$B$7,IF($I124='Abbrev Key'!$A$8,'Abbrev Key'!$B$8,"")))))))</f>
        <v>A</v>
      </c>
      <c r="K124" s="20"/>
      <c r="L124" s="19" t="str">
        <f t="shared" si="7"/>
        <v>03/15/2017</v>
      </c>
      <c r="M124" s="19">
        <f t="shared" si="8"/>
        <v>42808</v>
      </c>
      <c r="N124" s="20"/>
      <c r="O124" s="20"/>
      <c r="P124" s="18"/>
      <c r="Q124" s="86"/>
      <c r="R124" s="86"/>
      <c r="S124" s="86"/>
    </row>
    <row r="125" spans="1:20" s="93" customFormat="1" x14ac:dyDescent="0.25">
      <c r="A125" s="91" t="s">
        <v>8150</v>
      </c>
      <c r="B125" s="59" t="s">
        <v>3708</v>
      </c>
      <c r="C125" s="59" t="s">
        <v>5260</v>
      </c>
      <c r="D125" s="22" t="s">
        <v>5261</v>
      </c>
      <c r="E125" s="22" t="s">
        <v>418</v>
      </c>
      <c r="F125" s="20">
        <v>1</v>
      </c>
      <c r="G125" s="20" t="s">
        <v>8092</v>
      </c>
      <c r="H125" s="18" t="str">
        <f>VLOOKUP(B125,[2]Sheet!$B$2:$C$570,2,FALSE)</f>
        <v xml:space="preserve">Labaton Sucharow LLP </v>
      </c>
      <c r="I125" s="173">
        <v>450000000</v>
      </c>
      <c r="J125" s="173" t="str">
        <f>IF($I125&lt;='Abbrev Key'!$A$2,'Abbrev Key'!$B$2,IF($I125&lt;='Abbrev Key'!$A$3,'Abbrev Key'!$B$3,IF($I125&lt;='Abbrev Key'!$A$4,'Abbrev Key'!$B$4,IF($I125&lt;='Abbrev Key'!$A$5,'Abbrev Key'!$B$5,IF($I125&lt;='Abbrev Key'!$A$6,'Abbrev Key'!$B$6,IF($I125&gt;='Abbrev Key'!$A$7,'Abbrev Key'!$B$7,IF($I125='Abbrev Key'!$A$8,'Abbrev Key'!$B$8,"")))))))</f>
        <v>E</v>
      </c>
      <c r="K125" s="20"/>
      <c r="L125" s="19" t="str">
        <f t="shared" si="7"/>
        <v>01/27/2017</v>
      </c>
      <c r="M125" s="19">
        <f t="shared" si="8"/>
        <v>42761</v>
      </c>
      <c r="N125" s="20"/>
      <c r="O125" s="20"/>
      <c r="P125" s="18"/>
      <c r="Q125" s="86"/>
      <c r="R125" s="86"/>
      <c r="S125" s="86"/>
    </row>
    <row r="126" spans="1:20" s="93" customFormat="1" x14ac:dyDescent="0.25">
      <c r="A126" s="91" t="s">
        <v>8150</v>
      </c>
      <c r="B126" s="59" t="s">
        <v>4095</v>
      </c>
      <c r="C126" s="59" t="s">
        <v>5379</v>
      </c>
      <c r="D126" s="22" t="s">
        <v>8193</v>
      </c>
      <c r="E126" s="22" t="s">
        <v>542</v>
      </c>
      <c r="F126" s="20">
        <v>3</v>
      </c>
      <c r="G126" s="20" t="s">
        <v>5381</v>
      </c>
      <c r="H126" s="18" t="str">
        <f>VLOOKUP(B126,[2]Sheet!$B$2:$C$570,2,FALSE)</f>
        <v xml:space="preserve">Glancy Prongay &amp; Murray, LLP </v>
      </c>
      <c r="I126" s="173">
        <v>17000000</v>
      </c>
      <c r="J126" s="173" t="str">
        <f>IF($I126&lt;='Abbrev Key'!$A$2,'Abbrev Key'!$B$2,IF($I126&lt;='Abbrev Key'!$A$3,'Abbrev Key'!$B$3,IF($I126&lt;='Abbrev Key'!$A$4,'Abbrev Key'!$B$4,IF($I126&lt;='Abbrev Key'!$A$5,'Abbrev Key'!$B$5,IF($I126&lt;='Abbrev Key'!$A$6,'Abbrev Key'!$B$6,IF($I126&gt;='Abbrev Key'!$A$7,'Abbrev Key'!$B$7,IF($I126='Abbrev Key'!$A$8,'Abbrev Key'!$B$8,"")))))))</f>
        <v>A</v>
      </c>
      <c r="K126" s="20" t="s">
        <v>4408</v>
      </c>
      <c r="L126" s="19" t="str">
        <f t="shared" si="7"/>
        <v>03/13/2017</v>
      </c>
      <c r="M126" s="19">
        <f t="shared" si="8"/>
        <v>42806</v>
      </c>
      <c r="N126" s="20"/>
      <c r="O126" s="20"/>
      <c r="P126" s="18"/>
      <c r="Q126" s="86"/>
      <c r="R126" s="86"/>
      <c r="S126" s="86"/>
    </row>
    <row r="127" spans="1:20" s="93" customFormat="1" ht="15.75" thickBot="1" x14ac:dyDescent="0.3">
      <c r="A127" s="91" t="s">
        <v>8116</v>
      </c>
      <c r="B127" s="59" t="s">
        <v>3411</v>
      </c>
      <c r="C127" s="59" t="s">
        <v>5152</v>
      </c>
      <c r="D127" s="22" t="s">
        <v>8766</v>
      </c>
      <c r="E127" s="22" t="s">
        <v>418</v>
      </c>
      <c r="F127" s="20"/>
      <c r="G127" s="20" t="s">
        <v>8418</v>
      </c>
      <c r="H127" s="18" t="str">
        <f>VLOOKUP(B127,[2]Sheet!$B$2:$C$570,2,FALSE)</f>
        <v xml:space="preserve">Bernstein Litowitz Berger &amp; Grossmann LLP </v>
      </c>
      <c r="I127" s="173">
        <v>325000000</v>
      </c>
      <c r="J127" s="173" t="str">
        <f>IF($I127&lt;='Abbrev Key'!$A$2,'Abbrev Key'!$B$2,IF($I127&lt;='Abbrev Key'!$A$3,'Abbrev Key'!$B$3,IF($I127&lt;='Abbrev Key'!$A$4,'Abbrev Key'!$B$4,IF($I127&lt;='Abbrev Key'!$A$5,'Abbrev Key'!$B$5,IF($I127&lt;='Abbrev Key'!$A$6,'Abbrev Key'!$B$6,IF($I127&gt;='Abbrev Key'!$A$7,'Abbrev Key'!$B$7,IF($I127='Abbrev Key'!$A$8,'Abbrev Key'!$B$8,"")))))))</f>
        <v>E</v>
      </c>
      <c r="K127" s="20"/>
      <c r="L127" s="19" t="str">
        <f t="shared" si="7"/>
        <v>11/21/2017</v>
      </c>
      <c r="M127" s="19">
        <f t="shared" si="8"/>
        <v>43059</v>
      </c>
      <c r="N127" s="20"/>
      <c r="O127" s="20"/>
      <c r="P127" s="20"/>
      <c r="Q127" s="86"/>
      <c r="R127" s="86"/>
      <c r="S127" s="86"/>
    </row>
    <row r="128" spans="1:20" s="218" customFormat="1" ht="15.75" thickBot="1" x14ac:dyDescent="0.3">
      <c r="A128" s="86" t="s">
        <v>8117</v>
      </c>
      <c r="B128" s="126" t="s">
        <v>9005</v>
      </c>
      <c r="C128" s="176" t="e">
        <f>VLOOKUP(B128, 'Data Pull Sheet'!$B$2:$C$552,2,FALSE)</f>
        <v>#N/A</v>
      </c>
      <c r="D128" s="126" t="s">
        <v>437</v>
      </c>
      <c r="E128" s="126" t="s">
        <v>9038</v>
      </c>
      <c r="F128" s="126" t="s">
        <v>9145</v>
      </c>
      <c r="G128" s="126"/>
      <c r="H128" s="176"/>
      <c r="I128" s="158"/>
      <c r="J128" s="126"/>
      <c r="K128" s="176"/>
      <c r="L128" s="153"/>
      <c r="M128" s="153"/>
      <c r="N128" s="154"/>
      <c r="O128" s="155" t="e">
        <f>(N128/(IF(ISNA(VLOOKUP($C128,'Data Pull Sheet'!$C$2:$W$2795,7,0)),"",(VLOOKUP($C128,'Data Pull Sheet'!$C$2:$W$2795,7,0)))))</f>
        <v>#VALUE!</v>
      </c>
      <c r="P128" s="126"/>
      <c r="Q128" s="177" t="s">
        <v>676</v>
      </c>
      <c r="R128" s="176"/>
      <c r="S128" s="216"/>
      <c r="T128" s="217"/>
    </row>
    <row r="129" spans="1:20" s="218" customFormat="1" ht="15.75" thickBot="1" x14ac:dyDescent="0.3">
      <c r="A129" s="86" t="s">
        <v>8117</v>
      </c>
      <c r="B129" s="126" t="s">
        <v>9006</v>
      </c>
      <c r="C129" s="176" t="e">
        <f>VLOOKUP(B129, 'Data Pull Sheet'!$B$2:$C$552,2,FALSE)</f>
        <v>#N/A</v>
      </c>
      <c r="D129" s="126" t="s">
        <v>437</v>
      </c>
      <c r="E129" s="126" t="s">
        <v>9039</v>
      </c>
      <c r="F129" s="126" t="s">
        <v>9146</v>
      </c>
      <c r="G129" s="126"/>
      <c r="H129" s="176"/>
      <c r="I129" s="158"/>
      <c r="J129" s="126"/>
      <c r="K129" s="176"/>
      <c r="L129" s="153"/>
      <c r="M129" s="153"/>
      <c r="N129" s="154"/>
      <c r="O129" s="155" t="e">
        <f>(N129/(IF(ISNA(VLOOKUP($C129,'Data Pull Sheet'!$C$2:$W$2795,7,0)),"",(VLOOKUP($C129,'Data Pull Sheet'!$C$2:$W$2795,7,0)))))</f>
        <v>#VALUE!</v>
      </c>
      <c r="P129" s="126"/>
      <c r="Q129" s="177" t="s">
        <v>676</v>
      </c>
      <c r="R129" s="176"/>
      <c r="S129" s="216"/>
      <c r="T129" s="217"/>
    </row>
    <row r="130" spans="1:20" s="218" customFormat="1" ht="15.75" thickBot="1" x14ac:dyDescent="0.3">
      <c r="A130" s="86" t="s">
        <v>8117</v>
      </c>
      <c r="B130" s="126" t="s">
        <v>132</v>
      </c>
      <c r="C130" s="176" t="str">
        <f>VLOOKUP(B130, 'Data Pull Sheet'!$B$2:$C$552,2,FALSE)</f>
        <v>ESRX</v>
      </c>
      <c r="D130" s="126" t="s">
        <v>531</v>
      </c>
      <c r="E130" s="126" t="s">
        <v>9044</v>
      </c>
      <c r="F130" s="126" t="s">
        <v>9148</v>
      </c>
      <c r="G130" s="126"/>
      <c r="H130" s="176"/>
      <c r="I130" s="158"/>
      <c r="J130" s="126"/>
      <c r="K130" s="177" t="s">
        <v>10323</v>
      </c>
      <c r="L130" s="153">
        <v>1</v>
      </c>
      <c r="M130" s="153">
        <v>1</v>
      </c>
      <c r="N130" s="154">
        <f>+I130</f>
        <v>0</v>
      </c>
      <c r="O130" s="155" t="e">
        <f>(N130/(IF(ISNA(VLOOKUP($C130,'Data Pull Sheet'!$C$2:$W$2795,7,0)),"",(VLOOKUP($C130,'Data Pull Sheet'!$C$2:$W$2795,7,0)))))</f>
        <v>#VALUE!</v>
      </c>
      <c r="P130" s="126"/>
      <c r="Q130" s="177" t="s">
        <v>676</v>
      </c>
      <c r="R130" s="176"/>
      <c r="S130" s="216"/>
      <c r="T130" s="217"/>
    </row>
    <row r="131" spans="1:20" s="218" customFormat="1" x14ac:dyDescent="0.25">
      <c r="A131" s="86" t="s">
        <v>8117</v>
      </c>
      <c r="B131" s="122" t="s">
        <v>9007</v>
      </c>
      <c r="C131" s="178" t="e">
        <f>VLOOKUP(B131, 'Data Pull Sheet'!$B$2:$C$552,2,FALSE)</f>
        <v>#N/A</v>
      </c>
      <c r="D131" s="122" t="s">
        <v>2385</v>
      </c>
      <c r="E131" s="122" t="s">
        <v>9048</v>
      </c>
      <c r="F131" s="122" t="s">
        <v>9150</v>
      </c>
      <c r="G131" s="122" t="s">
        <v>9215</v>
      </c>
      <c r="H131" s="179" t="s">
        <v>403</v>
      </c>
      <c r="I131" s="98">
        <v>4785</v>
      </c>
      <c r="J131" s="122" t="s">
        <v>9717</v>
      </c>
      <c r="K131" s="178"/>
      <c r="L131" s="145"/>
      <c r="M131" s="145"/>
      <c r="N131" s="152">
        <f>SUM(I131:I133)</f>
        <v>4785</v>
      </c>
      <c r="O131" s="151" t="e">
        <f>(N131/(IF(ISNA(VLOOKUP($C131,'Data Pull Sheet'!$C$2:$W$2795,7,0)),"",(VLOOKUP($C131,'Data Pull Sheet'!$C$2:$W$2795,7,0)))))</f>
        <v>#VALUE!</v>
      </c>
      <c r="P131" s="122" t="s">
        <v>9729</v>
      </c>
      <c r="Q131" s="179" t="s">
        <v>676</v>
      </c>
      <c r="R131" s="179" t="s">
        <v>637</v>
      </c>
      <c r="S131" s="219"/>
      <c r="T131" s="217"/>
    </row>
    <row r="132" spans="1:20" s="218" customFormat="1" x14ac:dyDescent="0.25">
      <c r="A132" s="86" t="s">
        <v>8117</v>
      </c>
      <c r="B132" s="75" t="s">
        <v>9007</v>
      </c>
      <c r="C132" s="180" t="e">
        <f>VLOOKUP(B132, 'Data Pull Sheet'!$B$2:$C$552,2,FALSE)</f>
        <v>#N/A</v>
      </c>
      <c r="D132" s="75" t="s">
        <v>2385</v>
      </c>
      <c r="E132" s="75" t="s">
        <v>9048</v>
      </c>
      <c r="F132" s="75" t="s">
        <v>9150</v>
      </c>
      <c r="G132" s="75" t="s">
        <v>9216</v>
      </c>
      <c r="H132" s="181" t="s">
        <v>403</v>
      </c>
      <c r="I132" s="95"/>
      <c r="J132" s="75"/>
      <c r="K132" s="180"/>
      <c r="L132" s="81"/>
      <c r="M132" s="81"/>
      <c r="N132" s="150"/>
      <c r="O132" s="149"/>
      <c r="P132" s="75" t="s">
        <v>9729</v>
      </c>
      <c r="Q132" s="181" t="s">
        <v>676</v>
      </c>
      <c r="R132" s="181" t="s">
        <v>637</v>
      </c>
      <c r="S132" s="220"/>
      <c r="T132" s="217"/>
    </row>
    <row r="133" spans="1:20" s="218" customFormat="1" ht="15.75" thickBot="1" x14ac:dyDescent="0.3">
      <c r="A133" s="86" t="s">
        <v>8117</v>
      </c>
      <c r="B133" s="123" t="s">
        <v>9007</v>
      </c>
      <c r="C133" s="182" t="e">
        <f>VLOOKUP(B133, 'Data Pull Sheet'!$B$2:$C$552,2,FALSE)</f>
        <v>#N/A</v>
      </c>
      <c r="D133" s="123" t="s">
        <v>2385</v>
      </c>
      <c r="E133" s="123" t="s">
        <v>9048</v>
      </c>
      <c r="F133" s="123" t="s">
        <v>9150</v>
      </c>
      <c r="G133" s="123" t="s">
        <v>9217</v>
      </c>
      <c r="H133" s="183" t="s">
        <v>403</v>
      </c>
      <c r="I133" s="113"/>
      <c r="J133" s="123"/>
      <c r="K133" s="182"/>
      <c r="L133" s="146"/>
      <c r="M133" s="146"/>
      <c r="N133" s="147"/>
      <c r="O133" s="148"/>
      <c r="P133" s="123" t="s">
        <v>9729</v>
      </c>
      <c r="Q133" s="183" t="s">
        <v>676</v>
      </c>
      <c r="R133" s="183" t="s">
        <v>637</v>
      </c>
      <c r="S133" s="221"/>
      <c r="T133" s="217"/>
    </row>
    <row r="134" spans="1:20" s="218" customFormat="1" ht="15.75" thickBot="1" x14ac:dyDescent="0.3">
      <c r="A134" s="86" t="s">
        <v>8117</v>
      </c>
      <c r="B134" s="126" t="s">
        <v>9009</v>
      </c>
      <c r="C134" s="176" t="e">
        <f>VLOOKUP(B134, 'Data Pull Sheet'!$B$2:$C$552,2,FALSE)</f>
        <v>#N/A</v>
      </c>
      <c r="D134" s="126" t="s">
        <v>817</v>
      </c>
      <c r="E134" s="126" t="s">
        <v>9050</v>
      </c>
      <c r="F134" s="126" t="s">
        <v>9049</v>
      </c>
      <c r="G134" s="126"/>
      <c r="H134" s="176"/>
      <c r="I134" s="158"/>
      <c r="J134" s="126"/>
      <c r="K134" s="176"/>
      <c r="L134" s="153">
        <v>1</v>
      </c>
      <c r="M134" s="153">
        <v>1</v>
      </c>
      <c r="N134" s="154">
        <f>+I134</f>
        <v>0</v>
      </c>
      <c r="O134" s="155" t="e">
        <f>(N134/(IF(ISNA(VLOOKUP($C134,'Data Pull Sheet'!$C$2:$W$2795,7,0)),"",(VLOOKUP($C134,'Data Pull Sheet'!$C$2:$W$2795,7,0)))))</f>
        <v>#VALUE!</v>
      </c>
      <c r="P134" s="126"/>
      <c r="Q134" s="177" t="s">
        <v>676</v>
      </c>
      <c r="R134" s="176"/>
      <c r="S134" s="216"/>
      <c r="T134" s="217"/>
    </row>
    <row r="135" spans="1:20" s="218" customFormat="1" ht="15.75" thickBot="1" x14ac:dyDescent="0.3">
      <c r="A135" s="86" t="s">
        <v>8117</v>
      </c>
      <c r="B135" s="126" t="s">
        <v>9008</v>
      </c>
      <c r="C135" s="176" t="e">
        <f>VLOOKUP(B135, 'Data Pull Sheet'!$B$2:$C$552,2,FALSE)</f>
        <v>#N/A</v>
      </c>
      <c r="D135" s="126" t="s">
        <v>817</v>
      </c>
      <c r="E135" s="126" t="s">
        <v>9049</v>
      </c>
      <c r="F135" s="126" t="s">
        <v>9049</v>
      </c>
      <c r="G135" s="126" t="s">
        <v>9218</v>
      </c>
      <c r="H135" s="177" t="s">
        <v>403</v>
      </c>
      <c r="I135" s="158"/>
      <c r="J135" s="126"/>
      <c r="K135" s="176"/>
      <c r="L135" s="153">
        <v>1</v>
      </c>
      <c r="M135" s="153">
        <v>1</v>
      </c>
      <c r="N135" s="154">
        <f>+I135</f>
        <v>0</v>
      </c>
      <c r="O135" s="155" t="e">
        <f>(N135/(IF(ISNA(VLOOKUP($C135,'Data Pull Sheet'!$C$2:$W$2795,7,0)),"",(VLOOKUP($C135,'Data Pull Sheet'!$C$2:$W$2795,7,0)))))</f>
        <v>#VALUE!</v>
      </c>
      <c r="P135" s="126" t="s">
        <v>9730</v>
      </c>
      <c r="Q135" s="177" t="s">
        <v>676</v>
      </c>
      <c r="R135" s="177" t="s">
        <v>637</v>
      </c>
      <c r="S135" s="216"/>
      <c r="T135" s="217"/>
    </row>
    <row r="136" spans="1:20" s="223" customFormat="1" ht="15.75" thickBot="1" x14ac:dyDescent="0.3">
      <c r="A136" s="86" t="s">
        <v>8117</v>
      </c>
      <c r="B136" s="126" t="s">
        <v>9011</v>
      </c>
      <c r="C136" s="176" t="e">
        <f>VLOOKUP(B136, 'Data Pull Sheet'!$B$2:$C$552,2,FALSE)</f>
        <v>#N/A</v>
      </c>
      <c r="D136" s="126" t="s">
        <v>457</v>
      </c>
      <c r="E136" s="126" t="s">
        <v>9055</v>
      </c>
      <c r="F136" s="126" t="s">
        <v>9153</v>
      </c>
      <c r="G136" s="126" t="s">
        <v>9242</v>
      </c>
      <c r="H136" s="177" t="s">
        <v>403</v>
      </c>
      <c r="I136" s="103">
        <v>4700</v>
      </c>
      <c r="J136" s="126" t="s">
        <v>2613</v>
      </c>
      <c r="K136" s="176"/>
      <c r="L136" s="153">
        <v>1</v>
      </c>
      <c r="M136" s="153">
        <v>1</v>
      </c>
      <c r="N136" s="154"/>
      <c r="O136" s="155" t="e">
        <f>(N136/(IF(ISNA(VLOOKUP($C136,'Data Pull Sheet'!$C$2:$W$2795,7,0)),"",(VLOOKUP($C136,'Data Pull Sheet'!$C$2:$W$2795,7,0)))))</f>
        <v>#VALUE!</v>
      </c>
      <c r="P136" s="126" t="s">
        <v>6920</v>
      </c>
      <c r="Q136" s="177" t="s">
        <v>676</v>
      </c>
      <c r="R136" s="177" t="s">
        <v>637</v>
      </c>
      <c r="S136" s="216"/>
      <c r="T136" s="222"/>
    </row>
    <row r="137" spans="1:20" s="223" customFormat="1" x14ac:dyDescent="0.25">
      <c r="A137" s="86" t="s">
        <v>8117</v>
      </c>
      <c r="B137" s="122" t="s">
        <v>9010</v>
      </c>
      <c r="C137" s="178" t="e">
        <f>VLOOKUP(B137, 'Data Pull Sheet'!$B$2:$C$552,2,FALSE)</f>
        <v>#N/A</v>
      </c>
      <c r="D137" s="122" t="s">
        <v>409</v>
      </c>
      <c r="E137" s="122" t="s">
        <v>9054</v>
      </c>
      <c r="F137" s="122" t="s">
        <v>9152</v>
      </c>
      <c r="G137" s="122" t="s">
        <v>9238</v>
      </c>
      <c r="H137" s="179" t="s">
        <v>403</v>
      </c>
      <c r="I137" s="98">
        <v>1250</v>
      </c>
      <c r="J137" s="122" t="s">
        <v>2613</v>
      </c>
      <c r="K137" s="178"/>
      <c r="L137" s="145"/>
      <c r="M137" s="145"/>
      <c r="N137" s="152"/>
      <c r="O137" s="151" t="e">
        <f>(N137/(IF(ISNA(VLOOKUP($C137,'Data Pull Sheet'!$C$2:$W$2795,7,0)),"",(VLOOKUP($C137,'Data Pull Sheet'!$C$2:$W$2795,7,0)))))</f>
        <v>#VALUE!</v>
      </c>
      <c r="P137" s="122" t="s">
        <v>9736</v>
      </c>
      <c r="Q137" s="179" t="s">
        <v>632</v>
      </c>
      <c r="R137" s="179" t="s">
        <v>637</v>
      </c>
      <c r="S137" s="219"/>
      <c r="T137" s="222"/>
    </row>
    <row r="138" spans="1:20" s="223" customFormat="1" x14ac:dyDescent="0.25">
      <c r="A138" s="86" t="s">
        <v>8117</v>
      </c>
      <c r="B138" s="75" t="s">
        <v>9010</v>
      </c>
      <c r="C138" s="180" t="e">
        <f>VLOOKUP(B138, 'Data Pull Sheet'!$B$2:$C$552,2,FALSE)</f>
        <v>#N/A</v>
      </c>
      <c r="D138" s="75" t="s">
        <v>409</v>
      </c>
      <c r="E138" s="75" t="s">
        <v>9054</v>
      </c>
      <c r="F138" s="75" t="s">
        <v>9152</v>
      </c>
      <c r="G138" s="75" t="s">
        <v>9239</v>
      </c>
      <c r="H138" s="181" t="s">
        <v>403</v>
      </c>
      <c r="I138" s="79">
        <v>500</v>
      </c>
      <c r="J138" s="75" t="s">
        <v>2613</v>
      </c>
      <c r="K138" s="180"/>
      <c r="L138" s="81"/>
      <c r="M138" s="81"/>
      <c r="N138" s="150"/>
      <c r="O138" s="149" t="e">
        <f>(N138/(IF(ISNA(VLOOKUP($C138,'Data Pull Sheet'!$C$2:$W$2795,7,0)),"",(VLOOKUP($C138,'Data Pull Sheet'!$C$2:$W$2795,7,0)))))</f>
        <v>#VALUE!</v>
      </c>
      <c r="P138" s="75" t="s">
        <v>9737</v>
      </c>
      <c r="Q138" s="181" t="s">
        <v>632</v>
      </c>
      <c r="R138" s="181" t="s">
        <v>637</v>
      </c>
      <c r="S138" s="220"/>
      <c r="T138" s="222"/>
    </row>
    <row r="139" spans="1:20" s="223" customFormat="1" x14ac:dyDescent="0.25">
      <c r="A139" s="86" t="s">
        <v>8117</v>
      </c>
      <c r="B139" s="75" t="s">
        <v>9010</v>
      </c>
      <c r="C139" s="180" t="e">
        <f>VLOOKUP(B139, 'Data Pull Sheet'!$B$2:$C$552,2,FALSE)</f>
        <v>#N/A</v>
      </c>
      <c r="D139" s="75" t="s">
        <v>409</v>
      </c>
      <c r="E139" s="75" t="s">
        <v>9054</v>
      </c>
      <c r="F139" s="75" t="s">
        <v>9152</v>
      </c>
      <c r="G139" s="75" t="s">
        <v>9240</v>
      </c>
      <c r="H139" s="181" t="s">
        <v>403</v>
      </c>
      <c r="I139" s="79">
        <v>200</v>
      </c>
      <c r="J139" s="75" t="s">
        <v>2613</v>
      </c>
      <c r="K139" s="180"/>
      <c r="L139" s="81"/>
      <c r="M139" s="81"/>
      <c r="N139" s="150"/>
      <c r="O139" s="149" t="e">
        <f>(N139/(IF(ISNA(VLOOKUP($C139,'Data Pull Sheet'!$C$2:$W$2795,7,0)),"",(VLOOKUP($C139,'Data Pull Sheet'!$C$2:$W$2795,7,0)))))</f>
        <v>#VALUE!</v>
      </c>
      <c r="P139" s="75" t="s">
        <v>9737</v>
      </c>
      <c r="Q139" s="181" t="s">
        <v>632</v>
      </c>
      <c r="R139" s="181" t="s">
        <v>637</v>
      </c>
      <c r="S139" s="220"/>
      <c r="T139" s="222"/>
    </row>
    <row r="140" spans="1:20" s="223" customFormat="1" ht="15.75" thickBot="1" x14ac:dyDescent="0.3">
      <c r="A140" s="86" t="s">
        <v>8117</v>
      </c>
      <c r="B140" s="123" t="s">
        <v>9010</v>
      </c>
      <c r="C140" s="182" t="e">
        <f>VLOOKUP(B140, 'Data Pull Sheet'!$B$2:$C$552,2,FALSE)</f>
        <v>#N/A</v>
      </c>
      <c r="D140" s="123" t="s">
        <v>409</v>
      </c>
      <c r="E140" s="123" t="s">
        <v>9054</v>
      </c>
      <c r="F140" s="123" t="s">
        <v>9152</v>
      </c>
      <c r="G140" s="123" t="s">
        <v>9241</v>
      </c>
      <c r="H140" s="183" t="s">
        <v>417</v>
      </c>
      <c r="I140" s="115">
        <v>100</v>
      </c>
      <c r="J140" s="123" t="s">
        <v>2613</v>
      </c>
      <c r="K140" s="182"/>
      <c r="L140" s="146"/>
      <c r="M140" s="146"/>
      <c r="N140" s="147"/>
      <c r="O140" s="148" t="e">
        <f>(N140/(IF(ISNA(VLOOKUP($C140,'Data Pull Sheet'!$C$2:$W$2795,7,0)),"",(VLOOKUP($C140,'Data Pull Sheet'!$C$2:$W$2795,7,0)))))</f>
        <v>#VALUE!</v>
      </c>
      <c r="P140" s="123" t="s">
        <v>9737</v>
      </c>
      <c r="Q140" s="183" t="s">
        <v>632</v>
      </c>
      <c r="R140" s="183" t="s">
        <v>633</v>
      </c>
      <c r="S140" s="221"/>
      <c r="T140" s="222"/>
    </row>
    <row r="141" spans="1:20" s="218" customFormat="1" ht="15.75" thickBot="1" x14ac:dyDescent="0.3">
      <c r="A141" s="86" t="s">
        <v>8117</v>
      </c>
      <c r="B141" s="124" t="s">
        <v>9012</v>
      </c>
      <c r="C141" s="184" t="e">
        <f>VLOOKUP(B141, 'Data Pull Sheet'!$B$2:$C$552,2,FALSE)</f>
        <v>#N/A</v>
      </c>
      <c r="D141" s="124" t="s">
        <v>409</v>
      </c>
      <c r="E141" s="124" t="s">
        <v>9064</v>
      </c>
      <c r="F141" s="124" t="s">
        <v>9160</v>
      </c>
      <c r="G141" s="124"/>
      <c r="H141" s="184"/>
      <c r="I141" s="159"/>
      <c r="J141" s="124"/>
      <c r="K141" s="184"/>
      <c r="L141" s="160">
        <v>1</v>
      </c>
      <c r="M141" s="160">
        <v>1</v>
      </c>
      <c r="N141" s="161"/>
      <c r="O141" s="162" t="e">
        <f>(N141/(IF(ISNA(VLOOKUP($C141,'Data Pull Sheet'!$C$2:$W$2795,7,0)),"",(VLOOKUP($C141,'Data Pull Sheet'!$C$2:$W$2795,7,0)))))</f>
        <v>#VALUE!</v>
      </c>
      <c r="P141" s="124"/>
      <c r="Q141" s="185" t="s">
        <v>676</v>
      </c>
      <c r="R141" s="184"/>
      <c r="S141" s="224"/>
      <c r="T141" s="217"/>
    </row>
    <row r="142" spans="1:20" s="218" customFormat="1" x14ac:dyDescent="0.25">
      <c r="A142" s="86" t="s">
        <v>8117</v>
      </c>
      <c r="B142" s="122" t="s">
        <v>9014</v>
      </c>
      <c r="C142" s="178" t="e">
        <f>VLOOKUP(B142, 'Data Pull Sheet'!$B$2:$C$552,2,FALSE)</f>
        <v>#N/A</v>
      </c>
      <c r="D142" s="122" t="s">
        <v>3449</v>
      </c>
      <c r="E142" s="122" t="s">
        <v>9065</v>
      </c>
      <c r="F142" s="122" t="s">
        <v>9161</v>
      </c>
      <c r="G142" s="122" t="s">
        <v>9307</v>
      </c>
      <c r="H142" s="179" t="s">
        <v>403</v>
      </c>
      <c r="I142" s="98">
        <v>28325</v>
      </c>
      <c r="J142" s="122" t="s">
        <v>2613</v>
      </c>
      <c r="K142" s="178"/>
      <c r="L142" s="145"/>
      <c r="M142" s="145"/>
      <c r="N142" s="152">
        <f>+I142</f>
        <v>28325</v>
      </c>
      <c r="O142" s="151" t="e">
        <f>(N142/(IF(ISNA(VLOOKUP($C142,'Data Pull Sheet'!$C$2:$W$2795,7,0)),"",(VLOOKUP($C142,'Data Pull Sheet'!$C$2:$W$2795,7,0)))))</f>
        <v>#VALUE!</v>
      </c>
      <c r="P142" s="122" t="s">
        <v>9754</v>
      </c>
      <c r="Q142" s="179" t="s">
        <v>632</v>
      </c>
      <c r="R142" s="179" t="s">
        <v>637</v>
      </c>
      <c r="S142" s="219"/>
      <c r="T142" s="217"/>
    </row>
    <row r="143" spans="1:20" s="218" customFormat="1" ht="15.75" thickBot="1" x14ac:dyDescent="0.3">
      <c r="A143" s="86" t="s">
        <v>8117</v>
      </c>
      <c r="B143" s="123" t="s">
        <v>9014</v>
      </c>
      <c r="C143" s="182" t="e">
        <f>VLOOKUP(B143, 'Data Pull Sheet'!$B$2:$C$552,2,FALSE)</f>
        <v>#N/A</v>
      </c>
      <c r="D143" s="123" t="s">
        <v>3449</v>
      </c>
      <c r="E143" s="123" t="s">
        <v>9065</v>
      </c>
      <c r="F143" s="123" t="s">
        <v>9161</v>
      </c>
      <c r="G143" s="123" t="s">
        <v>9308</v>
      </c>
      <c r="H143" s="183" t="s">
        <v>403</v>
      </c>
      <c r="I143" s="113"/>
      <c r="J143" s="123"/>
      <c r="K143" s="182"/>
      <c r="L143" s="146"/>
      <c r="M143" s="146"/>
      <c r="N143" s="147">
        <f>+I143</f>
        <v>0</v>
      </c>
      <c r="O143" s="148" t="e">
        <f>(N143/(IF(ISNA(VLOOKUP($C143,'Data Pull Sheet'!$C$2:$W$2795,7,0)),"",(VLOOKUP($C143,'Data Pull Sheet'!$C$2:$W$2795,7,0)))))</f>
        <v>#VALUE!</v>
      </c>
      <c r="P143" s="123" t="s">
        <v>9755</v>
      </c>
      <c r="Q143" s="183" t="s">
        <v>632</v>
      </c>
      <c r="R143" s="183" t="s">
        <v>637</v>
      </c>
      <c r="S143" s="221"/>
      <c r="T143" s="217"/>
    </row>
    <row r="144" spans="1:20" s="218" customFormat="1" ht="15.75" thickBot="1" x14ac:dyDescent="0.3">
      <c r="A144" s="86" t="s">
        <v>8117</v>
      </c>
      <c r="B144" s="126" t="s">
        <v>9013</v>
      </c>
      <c r="C144" s="176" t="e">
        <f>VLOOKUP(B144, 'Data Pull Sheet'!$B$2:$C$552,2,FALSE)</f>
        <v>#N/A</v>
      </c>
      <c r="D144" s="126" t="s">
        <v>446</v>
      </c>
      <c r="E144" s="126" t="s">
        <v>9065</v>
      </c>
      <c r="F144" s="126" t="s">
        <v>9161</v>
      </c>
      <c r="G144" s="126"/>
      <c r="H144" s="176"/>
      <c r="I144" s="158"/>
      <c r="J144" s="126"/>
      <c r="K144" s="176"/>
      <c r="L144" s="153"/>
      <c r="M144" s="153"/>
      <c r="N144" s="154"/>
      <c r="O144" s="155" t="e">
        <f>(N144/(IF(ISNA(VLOOKUP($C144,'Data Pull Sheet'!$C$2:$W$2795,7,0)),"",(VLOOKUP($C144,'Data Pull Sheet'!$C$2:$W$2795,7,0)))))</f>
        <v>#VALUE!</v>
      </c>
      <c r="P144" s="126"/>
      <c r="Q144" s="177" t="s">
        <v>676</v>
      </c>
      <c r="R144" s="176"/>
      <c r="S144" s="216"/>
      <c r="T144" s="217"/>
    </row>
    <row r="145" spans="1:20" s="218" customFormat="1" ht="15.75" thickBot="1" x14ac:dyDescent="0.3">
      <c r="A145" s="86" t="s">
        <v>8117</v>
      </c>
      <c r="B145" s="126" t="s">
        <v>9015</v>
      </c>
      <c r="C145" s="176" t="e">
        <f>VLOOKUP(B145, 'Data Pull Sheet'!$B$2:$C$552,2,FALSE)</f>
        <v>#N/A</v>
      </c>
      <c r="D145" s="126" t="s">
        <v>437</v>
      </c>
      <c r="E145" s="126" t="s">
        <v>9071</v>
      </c>
      <c r="F145" s="126" t="s">
        <v>9041</v>
      </c>
      <c r="G145" s="126"/>
      <c r="H145" s="176"/>
      <c r="I145" s="158"/>
      <c r="J145" s="126"/>
      <c r="K145" s="176"/>
      <c r="L145" s="153"/>
      <c r="M145" s="153"/>
      <c r="N145" s="154"/>
      <c r="O145" s="155" t="e">
        <f>(N145/(IF(ISNA(VLOOKUP($C145,'Data Pull Sheet'!$C$2:$W$2795,7,0)),"",(VLOOKUP($C145,'Data Pull Sheet'!$C$2:$W$2795,7,0)))))</f>
        <v>#VALUE!</v>
      </c>
      <c r="P145" s="126"/>
      <c r="Q145" s="177" t="s">
        <v>676</v>
      </c>
      <c r="R145" s="176"/>
      <c r="S145" s="216"/>
      <c r="T145" s="217"/>
    </row>
    <row r="146" spans="1:20" s="218" customFormat="1" ht="15.75" thickBot="1" x14ac:dyDescent="0.3">
      <c r="A146" s="86" t="s">
        <v>8117</v>
      </c>
      <c r="B146" s="126" t="s">
        <v>9017</v>
      </c>
      <c r="C146" s="176" t="e">
        <f>VLOOKUP(B146, 'Data Pull Sheet'!$B$2:$C$552,2,FALSE)</f>
        <v>#N/A</v>
      </c>
      <c r="D146" s="126" t="s">
        <v>437</v>
      </c>
      <c r="E146" s="126" t="s">
        <v>9079</v>
      </c>
      <c r="F146" s="126" t="s">
        <v>9165</v>
      </c>
      <c r="G146" s="126"/>
      <c r="H146" s="176"/>
      <c r="I146" s="158"/>
      <c r="J146" s="126"/>
      <c r="K146" s="176"/>
      <c r="L146" s="153"/>
      <c r="M146" s="153"/>
      <c r="N146" s="154"/>
      <c r="O146" s="155" t="e">
        <f>(N146/(IF(ISNA(VLOOKUP($C146,'Data Pull Sheet'!$C$2:$W$2795,7,0)),"",(VLOOKUP($C146,'Data Pull Sheet'!$C$2:$W$2795,7,0)))))</f>
        <v>#VALUE!</v>
      </c>
      <c r="P146" s="126"/>
      <c r="Q146" s="177" t="s">
        <v>676</v>
      </c>
      <c r="R146" s="176"/>
      <c r="S146" s="216"/>
      <c r="T146" s="217"/>
    </row>
    <row r="147" spans="1:20" s="218" customFormat="1" x14ac:dyDescent="0.25">
      <c r="A147" s="86" t="s">
        <v>8117</v>
      </c>
      <c r="B147" s="122" t="s">
        <v>9016</v>
      </c>
      <c r="C147" s="178" t="e">
        <f>VLOOKUP(B147, 'Data Pull Sheet'!$B$2:$C$552,2,FALSE)</f>
        <v>#N/A</v>
      </c>
      <c r="D147" s="122" t="s">
        <v>496</v>
      </c>
      <c r="E147" s="122" t="s">
        <v>9077</v>
      </c>
      <c r="F147" s="122" t="s">
        <v>9165</v>
      </c>
      <c r="G147" s="122" t="s">
        <v>9336</v>
      </c>
      <c r="H147" s="179" t="s">
        <v>403</v>
      </c>
      <c r="I147" s="112"/>
      <c r="J147" s="122"/>
      <c r="K147" s="178"/>
      <c r="L147" s="145"/>
      <c r="M147" s="145"/>
      <c r="N147" s="152"/>
      <c r="O147" s="151" t="e">
        <f>(N147/(IF(ISNA(VLOOKUP($C147,'Data Pull Sheet'!$C$2:$W$2795,7,0)),"",(VLOOKUP($C147,'Data Pull Sheet'!$C$2:$W$2795,7,0)))))</f>
        <v>#VALUE!</v>
      </c>
      <c r="P147" s="122" t="s">
        <v>9763</v>
      </c>
      <c r="Q147" s="179" t="s">
        <v>676</v>
      </c>
      <c r="R147" s="179" t="s">
        <v>646</v>
      </c>
      <c r="S147" s="219"/>
      <c r="T147" s="217"/>
    </row>
    <row r="148" spans="1:20" s="218" customFormat="1" x14ac:dyDescent="0.25">
      <c r="A148" s="86" t="s">
        <v>8117</v>
      </c>
      <c r="B148" s="75" t="s">
        <v>9016</v>
      </c>
      <c r="C148" s="180" t="e">
        <f>VLOOKUP(B148, 'Data Pull Sheet'!$B$2:$C$552,2,FALSE)</f>
        <v>#N/A</v>
      </c>
      <c r="D148" s="75" t="s">
        <v>496</v>
      </c>
      <c r="E148" s="75" t="s">
        <v>9077</v>
      </c>
      <c r="F148" s="75" t="s">
        <v>9165</v>
      </c>
      <c r="G148" s="75" t="s">
        <v>9337</v>
      </c>
      <c r="H148" s="181" t="s">
        <v>403</v>
      </c>
      <c r="I148" s="95"/>
      <c r="J148" s="75"/>
      <c r="K148" s="180"/>
      <c r="L148" s="81"/>
      <c r="M148" s="81"/>
      <c r="N148" s="150"/>
      <c r="O148" s="149"/>
      <c r="P148" s="75" t="s">
        <v>9763</v>
      </c>
      <c r="Q148" s="181" t="s">
        <v>676</v>
      </c>
      <c r="R148" s="179" t="s">
        <v>646</v>
      </c>
      <c r="S148" s="220"/>
      <c r="T148" s="217"/>
    </row>
    <row r="149" spans="1:20" s="218" customFormat="1" ht="15.75" thickBot="1" x14ac:dyDescent="0.3">
      <c r="A149" s="86" t="s">
        <v>8117</v>
      </c>
      <c r="B149" s="123" t="s">
        <v>9016</v>
      </c>
      <c r="C149" s="182" t="e">
        <f>VLOOKUP(B149, 'Data Pull Sheet'!$B$2:$C$552,2,FALSE)</f>
        <v>#N/A</v>
      </c>
      <c r="D149" s="123" t="s">
        <v>496</v>
      </c>
      <c r="E149" s="123" t="s">
        <v>9077</v>
      </c>
      <c r="F149" s="123" t="s">
        <v>9165</v>
      </c>
      <c r="G149" s="123" t="s">
        <v>9338</v>
      </c>
      <c r="H149" s="183" t="s">
        <v>403</v>
      </c>
      <c r="I149" s="113"/>
      <c r="J149" s="123"/>
      <c r="K149" s="182"/>
      <c r="L149" s="146"/>
      <c r="M149" s="146"/>
      <c r="N149" s="147"/>
      <c r="O149" s="148"/>
      <c r="P149" s="123" t="s">
        <v>9763</v>
      </c>
      <c r="Q149" s="183" t="s">
        <v>676</v>
      </c>
      <c r="R149" s="179" t="s">
        <v>646</v>
      </c>
      <c r="S149" s="221"/>
      <c r="T149" s="217"/>
    </row>
    <row r="150" spans="1:20" s="218" customFormat="1" x14ac:dyDescent="0.25">
      <c r="A150" s="86" t="s">
        <v>8117</v>
      </c>
      <c r="B150" s="122" t="s">
        <v>9018</v>
      </c>
      <c r="C150" s="178" t="e">
        <f>VLOOKUP(B150, 'Data Pull Sheet'!$B$2:$C$552,2,FALSE)</f>
        <v>#N/A</v>
      </c>
      <c r="D150" s="122" t="s">
        <v>418</v>
      </c>
      <c r="E150" s="122" t="s">
        <v>9080</v>
      </c>
      <c r="F150" s="122" t="s">
        <v>9166</v>
      </c>
      <c r="G150" s="122" t="s">
        <v>1648</v>
      </c>
      <c r="H150" s="179" t="s">
        <v>417</v>
      </c>
      <c r="I150" s="98">
        <v>1444116</v>
      </c>
      <c r="J150" s="122" t="s">
        <v>2613</v>
      </c>
      <c r="K150" s="178"/>
      <c r="L150" s="145">
        <v>2</v>
      </c>
      <c r="M150" s="145">
        <v>1</v>
      </c>
      <c r="N150" s="152">
        <f>+I150</f>
        <v>1444116</v>
      </c>
      <c r="O150" s="151" t="e">
        <f>(N150/(IF(ISNA(VLOOKUP($C150,'Data Pull Sheet'!$C$2:$W$2795,7,0)),"",(VLOOKUP($C150,'Data Pull Sheet'!$C$2:$W$2795,7,0)))))</f>
        <v>#VALUE!</v>
      </c>
      <c r="P150" s="122" t="s">
        <v>9764</v>
      </c>
      <c r="Q150" s="179" t="s">
        <v>632</v>
      </c>
      <c r="R150" s="179" t="s">
        <v>633</v>
      </c>
      <c r="S150" s="219"/>
      <c r="T150" s="217"/>
    </row>
    <row r="151" spans="1:20" s="218" customFormat="1" ht="15.75" thickBot="1" x14ac:dyDescent="0.3">
      <c r="A151" s="86" t="s">
        <v>8117</v>
      </c>
      <c r="B151" s="123" t="s">
        <v>9018</v>
      </c>
      <c r="C151" s="182" t="e">
        <f>VLOOKUP(B151, 'Data Pull Sheet'!$B$2:$C$552,2,FALSE)</f>
        <v>#N/A</v>
      </c>
      <c r="D151" s="123" t="s">
        <v>418</v>
      </c>
      <c r="E151" s="123" t="s">
        <v>9080</v>
      </c>
      <c r="F151" s="123" t="s">
        <v>9166</v>
      </c>
      <c r="G151" s="123" t="s">
        <v>9343</v>
      </c>
      <c r="H151" s="183" t="s">
        <v>403</v>
      </c>
      <c r="I151" s="101">
        <v>1292</v>
      </c>
      <c r="J151" s="123" t="s">
        <v>2613</v>
      </c>
      <c r="K151" s="182"/>
      <c r="L151" s="146"/>
      <c r="M151" s="146">
        <v>1</v>
      </c>
      <c r="N151" s="147">
        <f>+I151</f>
        <v>1292</v>
      </c>
      <c r="O151" s="148" t="e">
        <f>(N151/(IF(ISNA(VLOOKUP($C151,'Data Pull Sheet'!$C$2:$W$2795,7,0)),"",(VLOOKUP($C151,'Data Pull Sheet'!$C$2:$W$2795,7,0)))))</f>
        <v>#VALUE!</v>
      </c>
      <c r="P151" s="123" t="s">
        <v>63</v>
      </c>
      <c r="Q151" s="183" t="s">
        <v>632</v>
      </c>
      <c r="R151" s="183" t="s">
        <v>637</v>
      </c>
      <c r="S151" s="221"/>
      <c r="T151" s="217"/>
    </row>
    <row r="152" spans="1:20" s="218" customFormat="1" ht="15.75" thickBot="1" x14ac:dyDescent="0.3">
      <c r="A152" s="86" t="s">
        <v>8117</v>
      </c>
      <c r="B152" s="126" t="s">
        <v>9020</v>
      </c>
      <c r="C152" s="176" t="e">
        <f>VLOOKUP(B152, 'Data Pull Sheet'!$B$2:$C$552,2,FALSE)</f>
        <v>#N/A</v>
      </c>
      <c r="D152" s="126" t="s">
        <v>457</v>
      </c>
      <c r="E152" s="126" t="s">
        <v>9085</v>
      </c>
      <c r="F152" s="126" t="s">
        <v>9059</v>
      </c>
      <c r="G152" s="126" t="s">
        <v>9380</v>
      </c>
      <c r="H152" s="177" t="s">
        <v>403</v>
      </c>
      <c r="I152" s="103">
        <v>2000</v>
      </c>
      <c r="J152" s="126" t="s">
        <v>2613</v>
      </c>
      <c r="K152" s="176"/>
      <c r="L152" s="153"/>
      <c r="M152" s="153"/>
      <c r="N152" s="154"/>
      <c r="O152" s="155" t="e">
        <f>(N152/(IF(ISNA(VLOOKUP($C152,'Data Pull Sheet'!$C$2:$W$2795,7,0)),"",(VLOOKUP($C152,'Data Pull Sheet'!$C$2:$W$2795,7,0)))))</f>
        <v>#VALUE!</v>
      </c>
      <c r="P152" s="126" t="s">
        <v>6920</v>
      </c>
      <c r="Q152" s="177" t="s">
        <v>676</v>
      </c>
      <c r="R152" s="177" t="s">
        <v>637</v>
      </c>
      <c r="S152" s="216"/>
      <c r="T152" s="217"/>
    </row>
    <row r="153" spans="1:20" s="218" customFormat="1" ht="15.75" thickBot="1" x14ac:dyDescent="0.3">
      <c r="A153" s="86" t="s">
        <v>8117</v>
      </c>
      <c r="B153" s="126" t="s">
        <v>9021</v>
      </c>
      <c r="C153" s="176" t="e">
        <f>VLOOKUP(B153, 'Data Pull Sheet'!$B$2:$C$552,2,FALSE)</f>
        <v>#N/A</v>
      </c>
      <c r="D153" s="126" t="s">
        <v>437</v>
      </c>
      <c r="E153" s="126" t="s">
        <v>9066</v>
      </c>
      <c r="F153" s="126" t="s">
        <v>9060</v>
      </c>
      <c r="G153" s="126"/>
      <c r="H153" s="176"/>
      <c r="I153" s="158"/>
      <c r="J153" s="126"/>
      <c r="K153" s="176"/>
      <c r="L153" s="153"/>
      <c r="M153" s="153"/>
      <c r="N153" s="154"/>
      <c r="O153" s="155" t="e">
        <f>(N153/(IF(ISNA(VLOOKUP($C153,'Data Pull Sheet'!$C$2:$W$2795,7,0)),"",(VLOOKUP($C153,'Data Pull Sheet'!$C$2:$W$2795,7,0)))))</f>
        <v>#VALUE!</v>
      </c>
      <c r="P153" s="126"/>
      <c r="Q153" s="177" t="s">
        <v>676</v>
      </c>
      <c r="R153" s="176"/>
      <c r="S153" s="216"/>
      <c r="T153" s="217"/>
    </row>
    <row r="154" spans="1:20" s="218" customFormat="1" ht="15.75" thickBot="1" x14ac:dyDescent="0.3">
      <c r="A154" s="86" t="s">
        <v>8117</v>
      </c>
      <c r="B154" s="126" t="s">
        <v>9024</v>
      </c>
      <c r="C154" s="176" t="e">
        <f>VLOOKUP(B154, 'Data Pull Sheet'!$B$2:$C$552,2,FALSE)</f>
        <v>#N/A</v>
      </c>
      <c r="D154" s="126" t="s">
        <v>437</v>
      </c>
      <c r="E154" s="126" t="s">
        <v>9091</v>
      </c>
      <c r="F154" s="126" t="s">
        <v>9051</v>
      </c>
      <c r="G154" s="126"/>
      <c r="H154" s="176"/>
      <c r="I154" s="158"/>
      <c r="J154" s="126"/>
      <c r="K154" s="176"/>
      <c r="L154" s="153"/>
      <c r="M154" s="153"/>
      <c r="N154" s="154"/>
      <c r="O154" s="155" t="e">
        <f>(N154/(IF(ISNA(VLOOKUP($C154,'Data Pull Sheet'!$C$2:$W$2795,7,0)),"",(VLOOKUP($C154,'Data Pull Sheet'!$C$2:$W$2795,7,0)))))</f>
        <v>#VALUE!</v>
      </c>
      <c r="P154" s="126"/>
      <c r="Q154" s="177" t="s">
        <v>676</v>
      </c>
      <c r="R154" s="176"/>
      <c r="S154" s="216"/>
      <c r="T154" s="217"/>
    </row>
    <row r="155" spans="1:20" s="218" customFormat="1" ht="15.75" thickBot="1" x14ac:dyDescent="0.3">
      <c r="A155" s="86" t="s">
        <v>8117</v>
      </c>
      <c r="B155" s="126" t="s">
        <v>9022</v>
      </c>
      <c r="C155" s="176" t="e">
        <f>VLOOKUP(B155, 'Data Pull Sheet'!$B$2:$C$552,2,FALSE)</f>
        <v>#N/A</v>
      </c>
      <c r="D155" s="126" t="s">
        <v>7387</v>
      </c>
      <c r="E155" s="126" t="s">
        <v>9088</v>
      </c>
      <c r="F155" s="126" t="s">
        <v>9051</v>
      </c>
      <c r="G155" s="126" t="s">
        <v>9391</v>
      </c>
      <c r="H155" s="177" t="s">
        <v>403</v>
      </c>
      <c r="I155" s="103">
        <v>10000</v>
      </c>
      <c r="J155" s="126" t="s">
        <v>2613</v>
      </c>
      <c r="K155" s="176"/>
      <c r="L155" s="153"/>
      <c r="M155" s="153"/>
      <c r="N155" s="154">
        <f>+I155</f>
        <v>10000</v>
      </c>
      <c r="O155" s="155" t="e">
        <f>(N155/(IF(ISNA(VLOOKUP($C155,'Data Pull Sheet'!$C$2:$W$2795,7,0)),"",(VLOOKUP($C155,'Data Pull Sheet'!$C$2:$W$2795,7,0)))))</f>
        <v>#VALUE!</v>
      </c>
      <c r="P155" s="126" t="s">
        <v>9770</v>
      </c>
      <c r="Q155" s="177" t="s">
        <v>676</v>
      </c>
      <c r="R155" s="177" t="s">
        <v>637</v>
      </c>
      <c r="S155" s="216"/>
      <c r="T155" s="217"/>
    </row>
    <row r="156" spans="1:20" s="218" customFormat="1" ht="15.75" thickBot="1" x14ac:dyDescent="0.3">
      <c r="A156" s="86" t="s">
        <v>8117</v>
      </c>
      <c r="B156" s="126" t="s">
        <v>9023</v>
      </c>
      <c r="C156" s="176" t="e">
        <f>VLOOKUP(B156, 'Data Pull Sheet'!$B$2:$C$552,2,FALSE)</f>
        <v>#N/A</v>
      </c>
      <c r="D156" s="126" t="s">
        <v>9037</v>
      </c>
      <c r="E156" s="126" t="s">
        <v>9090</v>
      </c>
      <c r="F156" s="126" t="s">
        <v>9051</v>
      </c>
      <c r="G156" s="126"/>
      <c r="H156" s="176"/>
      <c r="I156" s="158"/>
      <c r="J156" s="126"/>
      <c r="K156" s="176"/>
      <c r="L156" s="153"/>
      <c r="M156" s="153"/>
      <c r="N156" s="154"/>
      <c r="O156" s="155" t="e">
        <f>(N156/(IF(ISNA(VLOOKUP($C156,'Data Pull Sheet'!$C$2:$W$2795,7,0)),"",(VLOOKUP($C156,'Data Pull Sheet'!$C$2:$W$2795,7,0)))))</f>
        <v>#VALUE!</v>
      </c>
      <c r="P156" s="126"/>
      <c r="Q156" s="177" t="s">
        <v>676</v>
      </c>
      <c r="R156" s="176"/>
      <c r="S156" s="216"/>
      <c r="T156" s="217"/>
    </row>
    <row r="157" spans="1:20" s="86" customFormat="1" ht="15.75" thickBot="1" x14ac:dyDescent="0.3">
      <c r="A157" s="91" t="s">
        <v>10354</v>
      </c>
      <c r="B157" s="59" t="s">
        <v>10352</v>
      </c>
      <c r="C157" s="59" t="s">
        <v>10351</v>
      </c>
      <c r="D157" s="22" t="s">
        <v>8979</v>
      </c>
      <c r="E157" s="22" t="s">
        <v>465</v>
      </c>
      <c r="F157" s="15">
        <v>7</v>
      </c>
      <c r="G157" s="20" t="s">
        <v>8295</v>
      </c>
      <c r="H157" s="18" t="s">
        <v>4332</v>
      </c>
      <c r="I157" s="173" t="s">
        <v>4882</v>
      </c>
      <c r="J157" s="173" t="s">
        <v>6732</v>
      </c>
      <c r="K157" s="20"/>
      <c r="L157" s="19" t="str">
        <f>RIGHT(G157,10)</f>
        <v>04/30/2018</v>
      </c>
      <c r="M157" s="19">
        <f>L157-1</f>
        <v>43219</v>
      </c>
      <c r="N157" s="20"/>
      <c r="O157" s="20"/>
      <c r="P157" s="20"/>
    </row>
    <row r="158" spans="1:20" s="218" customFormat="1" ht="15.75" thickBot="1" x14ac:dyDescent="0.3">
      <c r="A158" s="86" t="s">
        <v>10354</v>
      </c>
      <c r="B158" s="126" t="s">
        <v>10352</v>
      </c>
      <c r="C158" s="176" t="e">
        <f>VLOOKUP(B158, 'Data Pull Sheet'!$B$2:$C$552,2,FALSE)</f>
        <v>#N/A</v>
      </c>
      <c r="D158" s="126" t="s">
        <v>465</v>
      </c>
      <c r="E158" s="126" t="s">
        <v>9086</v>
      </c>
      <c r="F158" s="126" t="s">
        <v>9051</v>
      </c>
      <c r="G158" s="126" t="s">
        <v>9403</v>
      </c>
      <c r="H158" s="177" t="s">
        <v>403</v>
      </c>
      <c r="I158" s="158"/>
      <c r="J158" s="126"/>
      <c r="K158" s="177" t="s">
        <v>10353</v>
      </c>
      <c r="L158" s="153">
        <v>1</v>
      </c>
      <c r="M158" s="153">
        <v>1</v>
      </c>
      <c r="N158" s="154">
        <f>+I158</f>
        <v>0</v>
      </c>
      <c r="O158" s="155" t="s">
        <v>4882</v>
      </c>
      <c r="P158" s="126" t="s">
        <v>9772</v>
      </c>
      <c r="Q158" s="177" t="s">
        <v>676</v>
      </c>
      <c r="R158" s="177" t="s">
        <v>637</v>
      </c>
      <c r="S158" s="216"/>
      <c r="T158" s="217"/>
    </row>
    <row r="159" spans="1:20" s="218" customFormat="1" ht="15.75" thickBot="1" x14ac:dyDescent="0.3">
      <c r="A159" s="86" t="s">
        <v>8117</v>
      </c>
      <c r="B159" s="126" t="s">
        <v>9025</v>
      </c>
      <c r="C159" s="176" t="e">
        <f>VLOOKUP(B159, 'Data Pull Sheet'!$B$2:$C$552,2,FALSE)</f>
        <v>#N/A</v>
      </c>
      <c r="D159" s="126" t="s">
        <v>437</v>
      </c>
      <c r="E159" s="126" t="s">
        <v>9099</v>
      </c>
      <c r="F159" s="126" t="s">
        <v>9073</v>
      </c>
      <c r="G159" s="126"/>
      <c r="H159" s="176"/>
      <c r="I159" s="158"/>
      <c r="J159" s="126"/>
      <c r="K159" s="176"/>
      <c r="L159" s="153"/>
      <c r="M159" s="153"/>
      <c r="N159" s="154"/>
      <c r="O159" s="155" t="e">
        <f>(N159/(IF(ISNA(VLOOKUP($C159,'Data Pull Sheet'!$C$2:$W$2795,7,0)),"",(VLOOKUP($C159,'Data Pull Sheet'!$C$2:$W$2795,7,0)))))</f>
        <v>#VALUE!</v>
      </c>
      <c r="P159" s="126"/>
      <c r="Q159" s="177" t="s">
        <v>676</v>
      </c>
      <c r="R159" s="176"/>
      <c r="S159" s="216"/>
      <c r="T159" s="217"/>
    </row>
    <row r="160" spans="1:20" s="218" customFormat="1" ht="15.75" thickBot="1" x14ac:dyDescent="0.3">
      <c r="A160" s="86" t="s">
        <v>8117</v>
      </c>
      <c r="B160" s="126" t="s">
        <v>7396</v>
      </c>
      <c r="C160" s="176" t="e">
        <f>VLOOKUP(B160, 'Data Pull Sheet'!$B$2:$C$552,2,FALSE)</f>
        <v>#N/A</v>
      </c>
      <c r="D160" s="126" t="s">
        <v>7397</v>
      </c>
      <c r="E160" s="126" t="s">
        <v>9109</v>
      </c>
      <c r="F160" s="126" t="s">
        <v>9080</v>
      </c>
      <c r="G160" s="126" t="s">
        <v>2612</v>
      </c>
      <c r="H160" s="177" t="s">
        <v>417</v>
      </c>
      <c r="I160" s="103">
        <v>1084</v>
      </c>
      <c r="J160" s="126" t="s">
        <v>2613</v>
      </c>
      <c r="K160" s="176"/>
      <c r="L160" s="153"/>
      <c r="M160" s="153"/>
      <c r="N160" s="154"/>
      <c r="O160" s="155" t="e">
        <f>(N160/(IF(ISNA(VLOOKUP($C160,'Data Pull Sheet'!$C$2:$W$2795,7,0)),"",(VLOOKUP($C160,'Data Pull Sheet'!$C$2:$W$2795,7,0)))))</f>
        <v>#VALUE!</v>
      </c>
      <c r="P160" s="126" t="s">
        <v>7401</v>
      </c>
      <c r="Q160" s="177" t="s">
        <v>676</v>
      </c>
      <c r="R160" s="177" t="s">
        <v>633</v>
      </c>
      <c r="S160" s="216"/>
      <c r="T160" s="217"/>
    </row>
    <row r="161" spans="1:20" s="218" customFormat="1" ht="15.75" thickBot="1" x14ac:dyDescent="0.3">
      <c r="A161" s="86" t="s">
        <v>8117</v>
      </c>
      <c r="B161" s="126" t="s">
        <v>9027</v>
      </c>
      <c r="C161" s="176" t="e">
        <f>VLOOKUP(B161, 'Data Pull Sheet'!$B$2:$C$552,2,FALSE)</f>
        <v>#N/A</v>
      </c>
      <c r="D161" s="126" t="s">
        <v>437</v>
      </c>
      <c r="E161" s="126" t="s">
        <v>9113</v>
      </c>
      <c r="F161" s="126" t="s">
        <v>9173</v>
      </c>
      <c r="G161" s="126"/>
      <c r="H161" s="176"/>
      <c r="I161" s="158"/>
      <c r="J161" s="126"/>
      <c r="K161" s="176"/>
      <c r="L161" s="153"/>
      <c r="M161" s="153"/>
      <c r="N161" s="154"/>
      <c r="O161" s="155" t="e">
        <f>(N161/(IF(ISNA(VLOOKUP($C161,'Data Pull Sheet'!$C$2:$W$2795,7,0)),"",(VLOOKUP($C161,'Data Pull Sheet'!$C$2:$W$2795,7,0)))))</f>
        <v>#VALUE!</v>
      </c>
      <c r="P161" s="126"/>
      <c r="Q161" s="177" t="s">
        <v>676</v>
      </c>
      <c r="R161" s="176"/>
      <c r="S161" s="216"/>
      <c r="T161" s="217"/>
    </row>
    <row r="162" spans="1:20" s="218" customFormat="1" ht="15.75" thickBot="1" x14ac:dyDescent="0.3">
      <c r="A162" s="86" t="s">
        <v>10410</v>
      </c>
      <c r="B162" s="126" t="s">
        <v>8809</v>
      </c>
      <c r="C162" s="176" t="str">
        <f>VLOOKUP(B162, 'Data Pull Sheet'!$B$2:$C$552,2,FALSE)</f>
        <v>BAA</v>
      </c>
      <c r="D162" s="126" t="s">
        <v>418</v>
      </c>
      <c r="E162" s="126" t="s">
        <v>9104</v>
      </c>
      <c r="F162" s="126" t="s">
        <v>9171</v>
      </c>
      <c r="G162" s="126" t="s">
        <v>4677</v>
      </c>
      <c r="H162" s="176"/>
      <c r="I162" s="158"/>
      <c r="J162" s="126"/>
      <c r="K162" s="176"/>
      <c r="L162" s="153"/>
      <c r="M162" s="153"/>
      <c r="N162" s="154"/>
      <c r="O162" s="155" t="e">
        <f>(N162/(IF(ISNA(VLOOKUP($C162,'Data Pull Sheet'!$C$2:$W$2795,7,0)),"",(VLOOKUP($C162,'Data Pull Sheet'!$C$2:$W$2795,7,0)))))</f>
        <v>#VALUE!</v>
      </c>
      <c r="P162" s="126"/>
      <c r="Q162" s="177" t="s">
        <v>676</v>
      </c>
      <c r="R162" s="176"/>
      <c r="S162" s="216"/>
      <c r="T162" s="217"/>
    </row>
    <row r="163" spans="1:20" s="218" customFormat="1" ht="15.75" thickBot="1" x14ac:dyDescent="0.3">
      <c r="A163" s="86" t="s">
        <v>8117</v>
      </c>
      <c r="B163" s="126" t="s">
        <v>9028</v>
      </c>
      <c r="C163" s="176" t="e">
        <f>VLOOKUP(B163, 'Data Pull Sheet'!$B$2:$C$552,2,FALSE)</f>
        <v>#N/A</v>
      </c>
      <c r="D163" s="126" t="s">
        <v>418</v>
      </c>
      <c r="E163" s="126" t="s">
        <v>9113</v>
      </c>
      <c r="F163" s="126" t="s">
        <v>9091</v>
      </c>
      <c r="G163" s="126"/>
      <c r="H163" s="176"/>
      <c r="I163" s="158"/>
      <c r="J163" s="126"/>
      <c r="K163" s="176"/>
      <c r="L163" s="153"/>
      <c r="M163" s="153"/>
      <c r="N163" s="154"/>
      <c r="O163" s="155" t="e">
        <f>(N163/(IF(ISNA(VLOOKUP($C163,'Data Pull Sheet'!$C$2:$W$2795,7,0)),"",(VLOOKUP($C163,'Data Pull Sheet'!$C$2:$W$2795,7,0)))))</f>
        <v>#VALUE!</v>
      </c>
      <c r="P163" s="126"/>
      <c r="Q163" s="177" t="s">
        <v>676</v>
      </c>
      <c r="R163" s="176"/>
      <c r="S163" s="216"/>
      <c r="T163" s="217"/>
    </row>
    <row r="164" spans="1:20" s="218" customFormat="1" ht="15.75" thickBot="1" x14ac:dyDescent="0.3">
      <c r="A164" s="86" t="s">
        <v>8117</v>
      </c>
      <c r="B164" s="126" t="s">
        <v>9029</v>
      </c>
      <c r="C164" s="176" t="e">
        <f>VLOOKUP(B164, 'Data Pull Sheet'!$B$2:$C$552,2,FALSE)</f>
        <v>#N/A</v>
      </c>
      <c r="D164" s="126" t="s">
        <v>7397</v>
      </c>
      <c r="E164" s="126" t="s">
        <v>9120</v>
      </c>
      <c r="F164" s="126" t="s">
        <v>9177</v>
      </c>
      <c r="G164" s="126" t="s">
        <v>9586</v>
      </c>
      <c r="H164" s="177" t="s">
        <v>403</v>
      </c>
      <c r="I164" s="114">
        <v>200</v>
      </c>
      <c r="J164" s="126" t="s">
        <v>813</v>
      </c>
      <c r="K164" s="176"/>
      <c r="L164" s="153"/>
      <c r="M164" s="153"/>
      <c r="N164" s="154"/>
      <c r="O164" s="155" t="e">
        <f>(N164/(IF(ISNA(VLOOKUP($C164,'Data Pull Sheet'!$C$2:$W$2795,7,0)),"",(VLOOKUP($C164,'Data Pull Sheet'!$C$2:$W$2795,7,0)))))</f>
        <v>#VALUE!</v>
      </c>
      <c r="P164" s="126" t="s">
        <v>9820</v>
      </c>
      <c r="Q164" s="177" t="s">
        <v>676</v>
      </c>
      <c r="R164" s="177" t="s">
        <v>637</v>
      </c>
      <c r="S164" s="216"/>
      <c r="T164" s="217"/>
    </row>
    <row r="165" spans="1:20" s="218" customFormat="1" ht="15.75" thickBot="1" x14ac:dyDescent="0.3">
      <c r="A165" s="86" t="s">
        <v>8117</v>
      </c>
      <c r="B165" s="124" t="s">
        <v>9030</v>
      </c>
      <c r="C165" s="184" t="e">
        <f>VLOOKUP(B165, 'Data Pull Sheet'!$B$2:$C$552,2,FALSE)</f>
        <v>#N/A</v>
      </c>
      <c r="D165" s="124" t="s">
        <v>1815</v>
      </c>
      <c r="E165" s="124" t="s">
        <v>9118</v>
      </c>
      <c r="F165" s="124" t="s">
        <v>9177</v>
      </c>
      <c r="G165" s="124"/>
      <c r="H165" s="184"/>
      <c r="I165" s="159"/>
      <c r="J165" s="124"/>
      <c r="K165" s="184"/>
      <c r="L165" s="160"/>
      <c r="M165" s="160"/>
      <c r="N165" s="161"/>
      <c r="O165" s="162" t="e">
        <f>(N165/(IF(ISNA(VLOOKUP($C165,'Data Pull Sheet'!$C$2:$W$2795,7,0)),"",(VLOOKUP($C165,'Data Pull Sheet'!$C$2:$W$2795,7,0)))))</f>
        <v>#VALUE!</v>
      </c>
      <c r="P165" s="124"/>
      <c r="Q165" s="185" t="s">
        <v>676</v>
      </c>
      <c r="R165" s="184"/>
      <c r="S165" s="224"/>
      <c r="T165" s="217"/>
    </row>
    <row r="166" spans="1:20" s="218" customFormat="1" ht="15.75" thickBot="1" x14ac:dyDescent="0.3">
      <c r="A166" s="86" t="s">
        <v>8117</v>
      </c>
      <c r="B166" s="126" t="s">
        <v>9031</v>
      </c>
      <c r="C166" s="176" t="e">
        <f>VLOOKUP(B166, 'Data Pull Sheet'!$B$2:$C$552,2,FALSE)</f>
        <v>#N/A</v>
      </c>
      <c r="D166" s="126" t="s">
        <v>1815</v>
      </c>
      <c r="E166" s="126" t="s">
        <v>9128</v>
      </c>
      <c r="F166" s="126" t="s">
        <v>9104</v>
      </c>
      <c r="G166" s="126" t="s">
        <v>9635</v>
      </c>
      <c r="H166" s="177" t="s">
        <v>403</v>
      </c>
      <c r="I166" s="158"/>
      <c r="J166" s="126"/>
      <c r="K166" s="176"/>
      <c r="L166" s="153"/>
      <c r="M166" s="153"/>
      <c r="N166" s="154"/>
      <c r="O166" s="155" t="e">
        <f>(N166/(IF(ISNA(VLOOKUP($C166,'Data Pull Sheet'!$C$2:$W$2795,7,0)),"",(VLOOKUP($C166,'Data Pull Sheet'!$C$2:$W$2795,7,0)))))</f>
        <v>#VALUE!</v>
      </c>
      <c r="P166" s="126" t="s">
        <v>9827</v>
      </c>
      <c r="Q166" s="177" t="s">
        <v>676</v>
      </c>
      <c r="R166" s="177" t="s">
        <v>637</v>
      </c>
      <c r="S166" s="216"/>
      <c r="T166" s="217"/>
    </row>
    <row r="167" spans="1:20" s="218" customFormat="1" ht="15.75" thickBot="1" x14ac:dyDescent="0.3">
      <c r="A167" s="86" t="s">
        <v>8117</v>
      </c>
      <c r="B167" s="126" t="s">
        <v>9032</v>
      </c>
      <c r="C167" s="176" t="e">
        <f>VLOOKUP(B167, 'Data Pull Sheet'!$B$2:$C$552,2,FALSE)</f>
        <v>#N/A</v>
      </c>
      <c r="D167" s="126" t="s">
        <v>7091</v>
      </c>
      <c r="E167" s="126" t="s">
        <v>9113</v>
      </c>
      <c r="F167" s="126" t="s">
        <v>9104</v>
      </c>
      <c r="G167" s="126"/>
      <c r="H167" s="176"/>
      <c r="I167" s="158"/>
      <c r="J167" s="126"/>
      <c r="K167" s="176"/>
      <c r="L167" s="153"/>
      <c r="M167" s="153"/>
      <c r="N167" s="154"/>
      <c r="O167" s="155" t="e">
        <f>(N167/(IF(ISNA(VLOOKUP($C167,'Data Pull Sheet'!$C$2:$W$2795,7,0)),"",(VLOOKUP($C167,'Data Pull Sheet'!$C$2:$W$2795,7,0)))))</f>
        <v>#VALUE!</v>
      </c>
      <c r="P167" s="126"/>
      <c r="Q167" s="177" t="s">
        <v>676</v>
      </c>
      <c r="R167" s="176"/>
      <c r="S167" s="216"/>
      <c r="T167" s="217"/>
    </row>
    <row r="168" spans="1:20" s="218" customFormat="1" ht="15.75" thickBot="1" x14ac:dyDescent="0.3">
      <c r="A168" s="86" t="s">
        <v>8117</v>
      </c>
      <c r="B168" s="126" t="s">
        <v>9033</v>
      </c>
      <c r="C168" s="176" t="e">
        <f>VLOOKUP(B168, 'Data Pull Sheet'!$B$2:$C$552,2,FALSE)</f>
        <v>#N/A</v>
      </c>
      <c r="D168" s="126" t="s">
        <v>457</v>
      </c>
      <c r="E168" s="126" t="s">
        <v>7466</v>
      </c>
      <c r="F168" s="126" t="s">
        <v>9118</v>
      </c>
      <c r="G168" s="126" t="s">
        <v>9666</v>
      </c>
      <c r="H168" s="176"/>
      <c r="I168" s="103">
        <v>3000</v>
      </c>
      <c r="J168" s="126" t="s">
        <v>2613</v>
      </c>
      <c r="K168" s="176"/>
      <c r="L168" s="153"/>
      <c r="M168" s="153"/>
      <c r="N168" s="154"/>
      <c r="O168" s="155" t="e">
        <f>(N168/(IF(ISNA(VLOOKUP($C168,'Data Pull Sheet'!$C$2:$W$2795,7,0)),"",(VLOOKUP($C168,'Data Pull Sheet'!$C$2:$W$2795,7,0)))))</f>
        <v>#VALUE!</v>
      </c>
      <c r="P168" s="126" t="s">
        <v>9730</v>
      </c>
      <c r="Q168" s="177" t="s">
        <v>676</v>
      </c>
      <c r="R168" s="176"/>
      <c r="S168" s="216"/>
      <c r="T168" s="217"/>
    </row>
    <row r="169" spans="1:20" s="218" customFormat="1" x14ac:dyDescent="0.25">
      <c r="A169" s="86" t="s">
        <v>8117</v>
      </c>
      <c r="B169" s="122" t="s">
        <v>9034</v>
      </c>
      <c r="C169" s="178" t="e">
        <f>VLOOKUP(B169, 'Data Pull Sheet'!$B$2:$C$552,2,FALSE)</f>
        <v>#N/A</v>
      </c>
      <c r="D169" s="122" t="s">
        <v>457</v>
      </c>
      <c r="E169" s="122" t="s">
        <v>9133</v>
      </c>
      <c r="F169" s="122" t="s">
        <v>9118</v>
      </c>
      <c r="G169" s="122" t="s">
        <v>9667</v>
      </c>
      <c r="H169" s="178"/>
      <c r="I169" s="112"/>
      <c r="J169" s="122"/>
      <c r="K169" s="178"/>
      <c r="L169" s="145"/>
      <c r="M169" s="145"/>
      <c r="N169" s="152"/>
      <c r="O169" s="151" t="e">
        <f>(N169/(IF(ISNA(VLOOKUP($C169,'Data Pull Sheet'!$C$2:$W$2795,7,0)),"",(VLOOKUP($C169,'Data Pull Sheet'!$C$2:$W$2795,7,0)))))</f>
        <v>#VALUE!</v>
      </c>
      <c r="P169" s="122" t="s">
        <v>7137</v>
      </c>
      <c r="Q169" s="179" t="s">
        <v>676</v>
      </c>
      <c r="R169" s="178"/>
      <c r="S169" s="219"/>
      <c r="T169" s="217"/>
    </row>
    <row r="170" spans="1:20" s="218" customFormat="1" ht="15.75" thickBot="1" x14ac:dyDescent="0.3">
      <c r="A170" s="86" t="s">
        <v>8117</v>
      </c>
      <c r="B170" s="123" t="s">
        <v>9034</v>
      </c>
      <c r="C170" s="182" t="e">
        <f>VLOOKUP(B170, 'Data Pull Sheet'!$B$2:$C$552,2,FALSE)</f>
        <v>#N/A</v>
      </c>
      <c r="D170" s="123" t="s">
        <v>457</v>
      </c>
      <c r="E170" s="123" t="s">
        <v>9133</v>
      </c>
      <c r="F170" s="123" t="s">
        <v>9118</v>
      </c>
      <c r="G170" s="123" t="s">
        <v>9668</v>
      </c>
      <c r="H170" s="182"/>
      <c r="I170" s="113"/>
      <c r="J170" s="123"/>
      <c r="K170" s="182"/>
      <c r="L170" s="146"/>
      <c r="M170" s="146"/>
      <c r="N170" s="147"/>
      <c r="O170" s="148" t="e">
        <f>(N170/(IF(ISNA(VLOOKUP($C170,'Data Pull Sheet'!$C$2:$W$2795,7,0)),"",(VLOOKUP($C170,'Data Pull Sheet'!$C$2:$W$2795,7,0)))))</f>
        <v>#VALUE!</v>
      </c>
      <c r="P170" s="123" t="s">
        <v>7137</v>
      </c>
      <c r="Q170" s="183" t="s">
        <v>676</v>
      </c>
      <c r="R170" s="182"/>
      <c r="S170" s="221"/>
      <c r="T170" s="217"/>
    </row>
    <row r="171" spans="1:20" s="218" customFormat="1" ht="15.75" thickBot="1" x14ac:dyDescent="0.3">
      <c r="A171" s="86" t="s">
        <v>8117</v>
      </c>
      <c r="B171" s="126" t="s">
        <v>7454</v>
      </c>
      <c r="C171" s="176" t="e">
        <f>VLOOKUP(B171, 'Data Pull Sheet'!$B$2:$C$552,2,FALSE)</f>
        <v>#N/A</v>
      </c>
      <c r="D171" s="126" t="s">
        <v>421</v>
      </c>
      <c r="E171" s="126" t="s">
        <v>7455</v>
      </c>
      <c r="F171" s="126" t="s">
        <v>9119</v>
      </c>
      <c r="G171" s="126" t="s">
        <v>9671</v>
      </c>
      <c r="H171" s="176"/>
      <c r="I171" s="103">
        <v>14000</v>
      </c>
      <c r="J171" s="126" t="s">
        <v>2613</v>
      </c>
      <c r="K171" s="176"/>
      <c r="L171" s="153"/>
      <c r="M171" s="153"/>
      <c r="N171" s="154"/>
      <c r="O171" s="155" t="e">
        <f>(N171/(IF(ISNA(VLOOKUP($C171,'Data Pull Sheet'!$C$2:$W$2795,7,0)),"",(VLOOKUP($C171,'Data Pull Sheet'!$C$2:$W$2795,7,0)))))</f>
        <v>#VALUE!</v>
      </c>
      <c r="P171" s="126" t="s">
        <v>9837</v>
      </c>
      <c r="Q171" s="177" t="s">
        <v>676</v>
      </c>
      <c r="R171" s="176"/>
      <c r="S171" s="216"/>
      <c r="T171" s="217"/>
    </row>
    <row r="172" spans="1:20" s="218" customFormat="1" x14ac:dyDescent="0.25">
      <c r="A172" s="86" t="s">
        <v>8117</v>
      </c>
      <c r="B172" s="201" t="s">
        <v>9036</v>
      </c>
      <c r="C172" s="225" t="e">
        <f>VLOOKUP(B172, 'Data Pull Sheet'!$B$2:$C$552,2,FALSE)</f>
        <v>#N/A</v>
      </c>
      <c r="D172" s="201" t="s">
        <v>460</v>
      </c>
      <c r="E172" s="201" t="s">
        <v>9138</v>
      </c>
      <c r="F172" s="201" t="s">
        <v>9182</v>
      </c>
      <c r="G172" s="201" t="s">
        <v>9681</v>
      </c>
      <c r="H172" s="226" t="s">
        <v>417</v>
      </c>
      <c r="I172" s="100">
        <v>152875</v>
      </c>
      <c r="J172" s="201" t="s">
        <v>9717</v>
      </c>
      <c r="K172" s="225"/>
      <c r="L172" s="202"/>
      <c r="M172" s="202"/>
      <c r="N172" s="203"/>
      <c r="O172" s="204" t="e">
        <f>(N172/(IF(ISNA(VLOOKUP($C172,'Data Pull Sheet'!$C$2:$W$2795,7,0)),"",(VLOOKUP($C172,'Data Pull Sheet'!$C$2:$W$2795,7,0)))))</f>
        <v>#VALUE!</v>
      </c>
      <c r="P172" s="201" t="s">
        <v>9839</v>
      </c>
      <c r="Q172" s="226" t="s">
        <v>632</v>
      </c>
      <c r="R172" s="226" t="s">
        <v>633</v>
      </c>
      <c r="S172" s="227"/>
      <c r="T172" s="217"/>
    </row>
    <row r="173" spans="1:20" s="218" customFormat="1" x14ac:dyDescent="0.25">
      <c r="A173" s="86" t="s">
        <v>8117</v>
      </c>
      <c r="B173" s="75" t="s">
        <v>9036</v>
      </c>
      <c r="C173" s="180" t="e">
        <f>VLOOKUP(B173, 'Data Pull Sheet'!$B$2:$C$552,2,FALSE)</f>
        <v>#N/A</v>
      </c>
      <c r="D173" s="75" t="s">
        <v>460</v>
      </c>
      <c r="E173" s="75" t="s">
        <v>9138</v>
      </c>
      <c r="F173" s="75" t="s">
        <v>9182</v>
      </c>
      <c r="G173" s="75" t="s">
        <v>9682</v>
      </c>
      <c r="H173" s="181" t="s">
        <v>417</v>
      </c>
      <c r="I173" s="80"/>
      <c r="J173" s="75"/>
      <c r="K173" s="180"/>
      <c r="L173" s="81"/>
      <c r="M173" s="81"/>
      <c r="N173" s="150"/>
      <c r="O173" s="149" t="e">
        <f>(N173/(IF(ISNA(VLOOKUP($C173,'Data Pull Sheet'!$C$2:$W$2795,7,0)),"",(VLOOKUP($C173,'Data Pull Sheet'!$C$2:$W$2795,7,0)))))</f>
        <v>#VALUE!</v>
      </c>
      <c r="P173" s="75" t="s">
        <v>9839</v>
      </c>
      <c r="Q173" s="181" t="s">
        <v>632</v>
      </c>
      <c r="R173" s="181" t="s">
        <v>633</v>
      </c>
      <c r="S173" s="220"/>
      <c r="T173" s="217"/>
    </row>
    <row r="174" spans="1:20" s="218" customFormat="1" ht="15.75" thickBot="1" x14ac:dyDescent="0.3">
      <c r="A174" s="86" t="s">
        <v>8117</v>
      </c>
      <c r="B174" s="123" t="s">
        <v>9036</v>
      </c>
      <c r="C174" s="182" t="e">
        <f>VLOOKUP(B174, 'Data Pull Sheet'!$B$2:$C$552,2,FALSE)</f>
        <v>#N/A</v>
      </c>
      <c r="D174" s="123" t="s">
        <v>460</v>
      </c>
      <c r="E174" s="123" t="s">
        <v>9138</v>
      </c>
      <c r="F174" s="123" t="s">
        <v>9182</v>
      </c>
      <c r="G174" s="123" t="s">
        <v>9683</v>
      </c>
      <c r="H174" s="182"/>
      <c r="I174" s="101">
        <v>328385</v>
      </c>
      <c r="J174" s="123" t="s">
        <v>2613</v>
      </c>
      <c r="K174" s="182"/>
      <c r="L174" s="146"/>
      <c r="M174" s="146"/>
      <c r="N174" s="147"/>
      <c r="O174" s="148" t="e">
        <f>(N174/(IF(ISNA(VLOOKUP($C174,'Data Pull Sheet'!$C$2:$W$2795,7,0)),"",(VLOOKUP($C174,'Data Pull Sheet'!$C$2:$W$2795,7,0)))))</f>
        <v>#VALUE!</v>
      </c>
      <c r="P174" s="123" t="s">
        <v>9840</v>
      </c>
      <c r="Q174" s="183" t="s">
        <v>632</v>
      </c>
      <c r="R174" s="182"/>
      <c r="S174" s="221"/>
      <c r="T174" s="217"/>
    </row>
    <row r="175" spans="1:20" s="218" customFormat="1" ht="15.75" thickBot="1" x14ac:dyDescent="0.3">
      <c r="A175" s="86" t="s">
        <v>8117</v>
      </c>
      <c r="B175" s="126" t="s">
        <v>9035</v>
      </c>
      <c r="C175" s="176" t="e">
        <f>VLOOKUP(B175, 'Data Pull Sheet'!$B$2:$C$552,2,FALSE)</f>
        <v>#N/A</v>
      </c>
      <c r="D175" s="126" t="s">
        <v>457</v>
      </c>
      <c r="E175" s="126" t="s">
        <v>9136</v>
      </c>
      <c r="F175" s="126" t="s">
        <v>9182</v>
      </c>
      <c r="G175" s="126" t="s">
        <v>9674</v>
      </c>
      <c r="H175" s="177" t="s">
        <v>403</v>
      </c>
      <c r="I175" s="103">
        <v>31</v>
      </c>
      <c r="J175" s="126" t="s">
        <v>2613</v>
      </c>
      <c r="K175" s="176"/>
      <c r="L175" s="153"/>
      <c r="M175" s="153"/>
      <c r="N175" s="154"/>
      <c r="O175" s="155" t="e">
        <f>(N175/(IF(ISNA(VLOOKUP($C175,'Data Pull Sheet'!$C$2:$W$2795,7,0)),"",(VLOOKUP($C175,'Data Pull Sheet'!$C$2:$W$2795,7,0)))))</f>
        <v>#VALUE!</v>
      </c>
      <c r="P175" s="126" t="s">
        <v>6920</v>
      </c>
      <c r="Q175" s="177" t="s">
        <v>676</v>
      </c>
      <c r="R175" s="177" t="s">
        <v>637</v>
      </c>
      <c r="S175" s="216"/>
      <c r="T175" s="217"/>
    </row>
    <row r="176" spans="1:20" s="218" customFormat="1" ht="15.75" thickBot="1" x14ac:dyDescent="0.3">
      <c r="A176" s="86" t="s">
        <v>8117</v>
      </c>
      <c r="B176" s="205" t="s">
        <v>2265</v>
      </c>
      <c r="C176" s="228" t="str">
        <f>IF(ISNA(VLOOKUP($B176,'Data Pull Sheet'!$B$2:$C$1795,2,0)),"",(VLOOKUP($B176,'Data Pull Sheet'!$B$2:$C$1795,2,0)))</f>
        <v/>
      </c>
      <c r="D176" s="205" t="s">
        <v>491</v>
      </c>
      <c r="E176" s="206" t="s">
        <v>2266</v>
      </c>
      <c r="F176" s="206" t="s">
        <v>518</v>
      </c>
      <c r="G176" s="205" t="s">
        <v>2267</v>
      </c>
      <c r="H176" s="205" t="s">
        <v>403</v>
      </c>
      <c r="I176" s="207" t="s">
        <v>6737</v>
      </c>
      <c r="J176" s="205"/>
      <c r="K176" s="205" t="s">
        <v>2268</v>
      </c>
      <c r="L176" s="208">
        <v>1</v>
      </c>
      <c r="M176" s="208">
        <v>1</v>
      </c>
      <c r="N176" s="209" t="str">
        <f>I176</f>
        <v>***</v>
      </c>
      <c r="O176" s="155" t="e">
        <f>(N176/(IF(ISNA(VLOOKUP($C176,'Data Pull Sheet'!$C$2:$W$2795,7,0)),"",(VLOOKUP($C176,'Data Pull Sheet'!$C$2:$W$2795,7,0)))))</f>
        <v>#VALUE!</v>
      </c>
      <c r="P176" s="205" t="s">
        <v>2269</v>
      </c>
      <c r="Q176" s="228" t="s">
        <v>676</v>
      </c>
      <c r="R176" s="228" t="s">
        <v>637</v>
      </c>
      <c r="S176" s="229" t="s">
        <v>634</v>
      </c>
      <c r="T176" s="217"/>
    </row>
    <row r="177" spans="1:21" s="218" customFormat="1" x14ac:dyDescent="0.25">
      <c r="A177" s="86" t="s">
        <v>8117</v>
      </c>
      <c r="B177" s="210" t="s">
        <v>3331</v>
      </c>
      <c r="C177" s="230" t="str">
        <f>IF(ISNA(VLOOKUP($B177,'Data Pull Sheet'!$B$2:$C$1795,2,0)),"",(VLOOKUP($B177,'Data Pull Sheet'!$B$2:$C$1795,2,0)))</f>
        <v/>
      </c>
      <c r="D177" s="210" t="s">
        <v>3332</v>
      </c>
      <c r="E177" s="211" t="s">
        <v>617</v>
      </c>
      <c r="F177" s="211" t="s">
        <v>3333</v>
      </c>
      <c r="G177" s="210" t="s">
        <v>3334</v>
      </c>
      <c r="H177" s="210" t="s">
        <v>403</v>
      </c>
      <c r="I177" s="195" t="s">
        <v>6737</v>
      </c>
      <c r="J177" s="210"/>
      <c r="K177" s="210" t="s">
        <v>3335</v>
      </c>
      <c r="L177" s="142">
        <v>1</v>
      </c>
      <c r="M177" s="142">
        <v>3</v>
      </c>
      <c r="N177" s="143">
        <f>SUM(I177:I179)</f>
        <v>0</v>
      </c>
      <c r="O177" s="151" t="e">
        <f>(N177/(IF(ISNA(VLOOKUP($C177,'Data Pull Sheet'!$C$2:$W$2795,7,0)),"",(VLOOKUP($C177,'Data Pull Sheet'!$C$2:$W$2795,7,0)))))</f>
        <v>#VALUE!</v>
      </c>
      <c r="P177" s="210" t="s">
        <v>3336</v>
      </c>
      <c r="Q177" s="230" t="s">
        <v>676</v>
      </c>
      <c r="R177" s="230" t="s">
        <v>646</v>
      </c>
      <c r="S177" s="231" t="s">
        <v>634</v>
      </c>
      <c r="T177" s="217"/>
    </row>
    <row r="178" spans="1:21" s="218" customFormat="1" x14ac:dyDescent="0.25">
      <c r="A178" s="86" t="s">
        <v>8117</v>
      </c>
      <c r="B178" s="197" t="s">
        <v>3331</v>
      </c>
      <c r="C178" s="232" t="str">
        <f>IF(ISNA(VLOOKUP($B178,'Data Pull Sheet'!$B$2:$C$1795,2,0)),"",(VLOOKUP($B178,'Data Pull Sheet'!$B$2:$C$1795,2,0)))</f>
        <v/>
      </c>
      <c r="D178" s="197" t="s">
        <v>3332</v>
      </c>
      <c r="E178" s="198" t="s">
        <v>617</v>
      </c>
      <c r="F178" s="198" t="s">
        <v>3333</v>
      </c>
      <c r="G178" s="197" t="s">
        <v>3337</v>
      </c>
      <c r="H178" s="197" t="s">
        <v>403</v>
      </c>
      <c r="I178" s="194" t="s">
        <v>6737</v>
      </c>
      <c r="J178" s="197"/>
      <c r="K178" s="197" t="s">
        <v>3338</v>
      </c>
      <c r="L178" s="199"/>
      <c r="M178" s="199"/>
      <c r="N178" s="200"/>
      <c r="O178" s="149"/>
      <c r="P178" s="197" t="s">
        <v>3336</v>
      </c>
      <c r="Q178" s="232" t="s">
        <v>676</v>
      </c>
      <c r="R178" s="232" t="s">
        <v>646</v>
      </c>
      <c r="S178" s="233" t="s">
        <v>634</v>
      </c>
      <c r="T178" s="217"/>
    </row>
    <row r="179" spans="1:21" s="218" customFormat="1" ht="15.75" thickBot="1" x14ac:dyDescent="0.3">
      <c r="A179" s="86" t="s">
        <v>8117</v>
      </c>
      <c r="B179" s="212" t="s">
        <v>3331</v>
      </c>
      <c r="C179" s="234" t="str">
        <f>IF(ISNA(VLOOKUP($B179,'Data Pull Sheet'!$B$2:$C$1795,2,0)),"",(VLOOKUP($B179,'Data Pull Sheet'!$B$2:$C$1795,2,0)))</f>
        <v/>
      </c>
      <c r="D179" s="212" t="s">
        <v>3332</v>
      </c>
      <c r="E179" s="213" t="s">
        <v>617</v>
      </c>
      <c r="F179" s="213" t="s">
        <v>3333</v>
      </c>
      <c r="G179" s="212" t="s">
        <v>3339</v>
      </c>
      <c r="H179" s="212" t="s">
        <v>403</v>
      </c>
      <c r="I179" s="196" t="s">
        <v>6737</v>
      </c>
      <c r="J179" s="212"/>
      <c r="K179" s="212" t="s">
        <v>3340</v>
      </c>
      <c r="L179" s="214"/>
      <c r="M179" s="214"/>
      <c r="N179" s="215"/>
      <c r="O179" s="148"/>
      <c r="P179" s="212" t="s">
        <v>3336</v>
      </c>
      <c r="Q179" s="234" t="s">
        <v>676</v>
      </c>
      <c r="R179" s="234" t="s">
        <v>646</v>
      </c>
      <c r="S179" s="235" t="s">
        <v>634</v>
      </c>
      <c r="T179" s="217"/>
    </row>
    <row r="180" spans="1:21" s="218" customFormat="1" ht="15.75" thickBot="1" x14ac:dyDescent="0.3">
      <c r="A180" s="86" t="s">
        <v>8117</v>
      </c>
      <c r="B180" s="205" t="s">
        <v>3443</v>
      </c>
      <c r="C180" s="228" t="str">
        <f>IF(ISNA(VLOOKUP($B180,'Data Pull Sheet'!$B$2:$C$1795,2,0)),"",(VLOOKUP($B180,'Data Pull Sheet'!$B$2:$C$1795,2,0)))</f>
        <v/>
      </c>
      <c r="D180" s="205" t="s">
        <v>1380</v>
      </c>
      <c r="E180" s="206" t="s">
        <v>3444</v>
      </c>
      <c r="F180" s="206" t="s">
        <v>2666</v>
      </c>
      <c r="G180" s="205" t="s">
        <v>3445</v>
      </c>
      <c r="H180" s="205" t="s">
        <v>403</v>
      </c>
      <c r="I180" s="207" t="s">
        <v>6737</v>
      </c>
      <c r="J180" s="205"/>
      <c r="K180" s="205" t="s">
        <v>3446</v>
      </c>
      <c r="L180" s="208">
        <v>1</v>
      </c>
      <c r="M180" s="208">
        <v>1</v>
      </c>
      <c r="N180" s="209" t="str">
        <f>I180</f>
        <v>***</v>
      </c>
      <c r="O180" s="155" t="e">
        <f>(N180/(IF(ISNA(VLOOKUP($C180,'Data Pull Sheet'!$C$2:$W$2795,7,0)),"",(VLOOKUP($C180,'Data Pull Sheet'!$C$2:$W$2795,7,0)))))</f>
        <v>#VALUE!</v>
      </c>
      <c r="P180" s="205" t="s">
        <v>3447</v>
      </c>
      <c r="Q180" s="228" t="s">
        <v>676</v>
      </c>
      <c r="R180" s="228" t="s">
        <v>637</v>
      </c>
      <c r="S180" s="229" t="s">
        <v>634</v>
      </c>
      <c r="T180" s="217"/>
    </row>
    <row r="181" spans="1:21" s="218" customFormat="1" ht="15.75" thickBot="1" x14ac:dyDescent="0.3">
      <c r="A181" s="86" t="s">
        <v>8117</v>
      </c>
      <c r="B181" s="205" t="s">
        <v>2515</v>
      </c>
      <c r="C181" s="228" t="str">
        <f>IF(ISNA(VLOOKUP($B181,'Data Pull Sheet'!$B$2:$C$1795,2,0)),"",(VLOOKUP($B181,'Data Pull Sheet'!$B$2:$C$1795,2,0)))</f>
        <v/>
      </c>
      <c r="D181" s="205" t="s">
        <v>2516</v>
      </c>
      <c r="E181" s="206" t="s">
        <v>2517</v>
      </c>
      <c r="F181" s="206" t="s">
        <v>401</v>
      </c>
      <c r="G181" s="205" t="s">
        <v>2518</v>
      </c>
      <c r="H181" s="205" t="s">
        <v>403</v>
      </c>
      <c r="I181" s="207" t="s">
        <v>6737</v>
      </c>
      <c r="J181" s="205"/>
      <c r="K181" s="205" t="s">
        <v>2519</v>
      </c>
      <c r="L181" s="208">
        <v>1</v>
      </c>
      <c r="M181" s="208">
        <v>1</v>
      </c>
      <c r="N181" s="209" t="str">
        <f>I181</f>
        <v>***</v>
      </c>
      <c r="O181" s="155" t="e">
        <f>(N181/(IF(ISNA(VLOOKUP($C181,'Data Pull Sheet'!$C$2:$W$2795,7,0)),"",(VLOOKUP($C181,'Data Pull Sheet'!$C$2:$W$2795,7,0)))))</f>
        <v>#VALUE!</v>
      </c>
      <c r="P181" s="205" t="s">
        <v>2520</v>
      </c>
      <c r="Q181" s="228" t="s">
        <v>676</v>
      </c>
      <c r="R181" s="228" t="s">
        <v>637</v>
      </c>
      <c r="S181" s="229" t="s">
        <v>634</v>
      </c>
      <c r="T181" s="217"/>
    </row>
    <row r="182" spans="1:21" s="218" customFormat="1" ht="15.75" thickBot="1" x14ac:dyDescent="0.3">
      <c r="A182" s="86" t="s">
        <v>8117</v>
      </c>
      <c r="B182" s="205" t="s">
        <v>1735</v>
      </c>
      <c r="C182" s="228" t="str">
        <f>IF(ISNA(VLOOKUP($B182,'Data Pull Sheet'!$B$2:$C$1795,2,0)),"",(VLOOKUP($B182,'Data Pull Sheet'!$B$2:$C$1795,2,0)))</f>
        <v/>
      </c>
      <c r="D182" s="205" t="s">
        <v>409</v>
      </c>
      <c r="E182" s="206" t="s">
        <v>1736</v>
      </c>
      <c r="F182" s="206" t="s">
        <v>1737</v>
      </c>
      <c r="G182" s="205" t="s">
        <v>1738</v>
      </c>
      <c r="H182" s="205" t="s">
        <v>403</v>
      </c>
      <c r="I182" s="207" t="s">
        <v>6737</v>
      </c>
      <c r="J182" s="205"/>
      <c r="K182" s="205" t="s">
        <v>1739</v>
      </c>
      <c r="L182" s="208">
        <v>1</v>
      </c>
      <c r="M182" s="208">
        <v>1</v>
      </c>
      <c r="N182" s="209" t="str">
        <f>I182</f>
        <v>***</v>
      </c>
      <c r="O182" s="155" t="e">
        <f>(N182/(IF(ISNA(VLOOKUP($C182,'Data Pull Sheet'!$C$2:$W$2795,7,0)),"",(VLOOKUP($C182,'Data Pull Sheet'!$C$2:$W$2795,7,0)))))</f>
        <v>#VALUE!</v>
      </c>
      <c r="P182" s="205" t="s">
        <v>1740</v>
      </c>
      <c r="Q182" s="228" t="s">
        <v>676</v>
      </c>
      <c r="R182" s="228" t="s">
        <v>637</v>
      </c>
      <c r="S182" s="229" t="s">
        <v>634</v>
      </c>
      <c r="T182" s="217"/>
    </row>
    <row r="183" spans="1:21" s="218" customFormat="1" ht="15.75" thickBot="1" x14ac:dyDescent="0.3">
      <c r="A183" s="86" t="s">
        <v>8117</v>
      </c>
      <c r="B183" s="205" t="s">
        <v>2422</v>
      </c>
      <c r="C183" s="228" t="str">
        <f>IF(ISNA(VLOOKUP($B183,'Data Pull Sheet'!$B$2:$C$1795,2,0)),"",(VLOOKUP($B183,'Data Pull Sheet'!$B$2:$C$1795,2,0)))</f>
        <v/>
      </c>
      <c r="D183" s="205" t="s">
        <v>603</v>
      </c>
      <c r="E183" s="206" t="s">
        <v>494</v>
      </c>
      <c r="F183" s="206" t="s">
        <v>495</v>
      </c>
      <c r="G183" s="205" t="s">
        <v>2423</v>
      </c>
      <c r="H183" s="205" t="s">
        <v>403</v>
      </c>
      <c r="I183" s="207" t="s">
        <v>6737</v>
      </c>
      <c r="J183" s="205"/>
      <c r="K183" s="205" t="s">
        <v>2424</v>
      </c>
      <c r="L183" s="208">
        <v>1</v>
      </c>
      <c r="M183" s="208">
        <v>1</v>
      </c>
      <c r="N183" s="209" t="str">
        <f>I183</f>
        <v>***</v>
      </c>
      <c r="O183" s="155" t="e">
        <f>(N183/(IF(ISNA(VLOOKUP($C183,'Data Pull Sheet'!$C$2:$W$2795,7,0)),"",(VLOOKUP($C183,'Data Pull Sheet'!$C$2:$W$2795,7,0)))))</f>
        <v>#VALUE!</v>
      </c>
      <c r="P183" s="205" t="s">
        <v>2425</v>
      </c>
      <c r="Q183" s="228" t="s">
        <v>676</v>
      </c>
      <c r="R183" s="228" t="s">
        <v>637</v>
      </c>
      <c r="S183" s="229" t="s">
        <v>634</v>
      </c>
      <c r="T183" s="217"/>
    </row>
    <row r="184" spans="1:21" s="218" customFormat="1" ht="15.75" thickBot="1" x14ac:dyDescent="0.3">
      <c r="A184" s="86" t="s">
        <v>8117</v>
      </c>
      <c r="B184" s="205" t="s">
        <v>2559</v>
      </c>
      <c r="C184" s="228" t="str">
        <f>IF(ISNA(VLOOKUP($B184,'Data Pull Sheet'!$B$2:$C$1795,2,0)),"",(VLOOKUP($B184,'Data Pull Sheet'!$B$2:$C$1795,2,0)))</f>
        <v/>
      </c>
      <c r="D184" s="205" t="s">
        <v>457</v>
      </c>
      <c r="E184" s="206" t="s">
        <v>2560</v>
      </c>
      <c r="F184" s="206" t="s">
        <v>486</v>
      </c>
      <c r="G184" s="205" t="s">
        <v>2561</v>
      </c>
      <c r="H184" s="205" t="s">
        <v>403</v>
      </c>
      <c r="I184" s="207" t="s">
        <v>6737</v>
      </c>
      <c r="J184" s="205"/>
      <c r="K184" s="205" t="s">
        <v>2562</v>
      </c>
      <c r="L184" s="208">
        <v>1</v>
      </c>
      <c r="M184" s="208">
        <v>1</v>
      </c>
      <c r="N184" s="209" t="str">
        <f>I184</f>
        <v>***</v>
      </c>
      <c r="O184" s="155" t="e">
        <f>(N184/(IF(ISNA(VLOOKUP($C184,'Data Pull Sheet'!$C$2:$W$2795,7,0)),"",(VLOOKUP($C184,'Data Pull Sheet'!$C$2:$W$2795,7,0)))))</f>
        <v>#VALUE!</v>
      </c>
      <c r="P184" s="205" t="s">
        <v>407</v>
      </c>
      <c r="Q184" s="228" t="s">
        <v>676</v>
      </c>
      <c r="R184" s="228" t="s">
        <v>637</v>
      </c>
      <c r="S184" s="229" t="s">
        <v>634</v>
      </c>
      <c r="T184" s="217"/>
    </row>
    <row r="185" spans="1:21" s="109" customFormat="1" x14ac:dyDescent="0.25">
      <c r="A185" s="86" t="s">
        <v>8117</v>
      </c>
      <c r="B185" s="210" t="s">
        <v>1027</v>
      </c>
      <c r="C185" s="230" t="str">
        <f>IF(ISNA(VLOOKUP($B185,'Data Pull Sheet'!$B$2:$C$1795,2,0)),"",(VLOOKUP($B185,'Data Pull Sheet'!$B$2:$C$1795,2,0)))</f>
        <v/>
      </c>
      <c r="D185" s="210" t="s">
        <v>443</v>
      </c>
      <c r="E185" s="211" t="s">
        <v>1028</v>
      </c>
      <c r="F185" s="211" t="s">
        <v>613</v>
      </c>
      <c r="G185" s="210" t="s">
        <v>1029</v>
      </c>
      <c r="H185" s="210" t="s">
        <v>403</v>
      </c>
      <c r="I185" s="195" t="s">
        <v>6737</v>
      </c>
      <c r="J185" s="210"/>
      <c r="K185" s="210" t="s">
        <v>1030</v>
      </c>
      <c r="L185" s="142">
        <v>1</v>
      </c>
      <c r="M185" s="142">
        <v>2</v>
      </c>
      <c r="N185" s="143">
        <f>SUM(I185:I186)</f>
        <v>0</v>
      </c>
      <c r="O185" s="151" t="e">
        <f>(N185/(IF(ISNA(VLOOKUP($C185,'Data Pull Sheet'!$C$2:$W$2795,7,0)),"",(VLOOKUP($C185,'Data Pull Sheet'!$C$2:$W$2795,7,0)))))</f>
        <v>#VALUE!</v>
      </c>
      <c r="P185" s="210" t="s">
        <v>1031</v>
      </c>
      <c r="Q185" s="230" t="s">
        <v>676</v>
      </c>
      <c r="R185" s="230" t="s">
        <v>646</v>
      </c>
      <c r="S185" s="231" t="s">
        <v>634</v>
      </c>
      <c r="T185" s="217"/>
      <c r="U185" s="218"/>
    </row>
    <row r="186" spans="1:21" s="109" customFormat="1" ht="15.75" thickBot="1" x14ac:dyDescent="0.3">
      <c r="A186" s="86" t="s">
        <v>8117</v>
      </c>
      <c r="B186" s="212" t="s">
        <v>1027</v>
      </c>
      <c r="C186" s="234" t="str">
        <f>IF(ISNA(VLOOKUP($B186,'Data Pull Sheet'!$B$2:$C$1795,2,0)),"",(VLOOKUP($B186,'Data Pull Sheet'!$B$2:$C$1795,2,0)))</f>
        <v/>
      </c>
      <c r="D186" s="212" t="s">
        <v>443</v>
      </c>
      <c r="E186" s="213" t="s">
        <v>1028</v>
      </c>
      <c r="F186" s="213" t="s">
        <v>613</v>
      </c>
      <c r="G186" s="212" t="s">
        <v>1032</v>
      </c>
      <c r="H186" s="212" t="s">
        <v>403</v>
      </c>
      <c r="I186" s="196" t="s">
        <v>6737</v>
      </c>
      <c r="J186" s="212"/>
      <c r="K186" s="212" t="s">
        <v>1033</v>
      </c>
      <c r="L186" s="214"/>
      <c r="M186" s="214"/>
      <c r="N186" s="215"/>
      <c r="O186" s="148"/>
      <c r="P186" s="212" t="s">
        <v>1031</v>
      </c>
      <c r="Q186" s="234" t="s">
        <v>676</v>
      </c>
      <c r="R186" s="234" t="s">
        <v>646</v>
      </c>
      <c r="S186" s="235" t="s">
        <v>634</v>
      </c>
      <c r="T186" s="217"/>
      <c r="U186" s="218"/>
    </row>
    <row r="187" spans="1:21" s="109" customFormat="1" ht="15.75" thickBot="1" x14ac:dyDescent="0.3">
      <c r="A187" s="86" t="s">
        <v>8117</v>
      </c>
      <c r="B187" s="205" t="s">
        <v>2417</v>
      </c>
      <c r="C187" s="228" t="str">
        <f>IF(ISNA(VLOOKUP($B187,'Data Pull Sheet'!$B$2:$C$1795,2,0)),"",(VLOOKUP($B187,'Data Pull Sheet'!$B$2:$C$1795,2,0)))</f>
        <v/>
      </c>
      <c r="D187" s="205" t="s">
        <v>1632</v>
      </c>
      <c r="E187" s="206" t="s">
        <v>469</v>
      </c>
      <c r="F187" s="206" t="s">
        <v>2418</v>
      </c>
      <c r="G187" s="205" t="s">
        <v>2419</v>
      </c>
      <c r="H187" s="205" t="s">
        <v>417</v>
      </c>
      <c r="I187" s="207" t="s">
        <v>6737</v>
      </c>
      <c r="J187" s="205"/>
      <c r="K187" s="205" t="s">
        <v>2420</v>
      </c>
      <c r="L187" s="208">
        <v>1</v>
      </c>
      <c r="M187" s="208">
        <v>1</v>
      </c>
      <c r="N187" s="209" t="str">
        <f>I187</f>
        <v>***</v>
      </c>
      <c r="O187" s="155" t="e">
        <f>(N187/(IF(ISNA(VLOOKUP($C187,'Data Pull Sheet'!$C$2:$W$2795,7,0)),"",(VLOOKUP($C187,'Data Pull Sheet'!$C$2:$W$2795,7,0)))))</f>
        <v>#VALUE!</v>
      </c>
      <c r="P187" s="205" t="s">
        <v>2421</v>
      </c>
      <c r="Q187" s="228" t="s">
        <v>676</v>
      </c>
      <c r="R187" s="228" t="s">
        <v>633</v>
      </c>
      <c r="S187" s="229" t="s">
        <v>634</v>
      </c>
      <c r="T187" s="217"/>
      <c r="U187" s="218"/>
    </row>
    <row r="188" spans="1:21" s="109" customFormat="1" x14ac:dyDescent="0.25">
      <c r="A188" s="86" t="s">
        <v>8117</v>
      </c>
      <c r="B188" s="210" t="s">
        <v>1115</v>
      </c>
      <c r="C188" s="230" t="str">
        <f>IF(ISNA(VLOOKUP($B188,'Data Pull Sheet'!$B$2:$C$1795,2,0)),"",(VLOOKUP($B188,'Data Pull Sheet'!$B$2:$C$1795,2,0)))</f>
        <v/>
      </c>
      <c r="D188" s="210" t="s">
        <v>1116</v>
      </c>
      <c r="E188" s="211" t="s">
        <v>495</v>
      </c>
      <c r="F188" s="211" t="s">
        <v>1117</v>
      </c>
      <c r="G188" s="210" t="s">
        <v>1118</v>
      </c>
      <c r="H188" s="210" t="s">
        <v>403</v>
      </c>
      <c r="I188" s="195" t="s">
        <v>6737</v>
      </c>
      <c r="J188" s="210"/>
      <c r="K188" s="210" t="s">
        <v>1119</v>
      </c>
      <c r="L188" s="142">
        <v>2</v>
      </c>
      <c r="M188" s="142">
        <v>2</v>
      </c>
      <c r="N188" s="143">
        <f>SUM(I188:I189)</f>
        <v>0</v>
      </c>
      <c r="O188" s="151" t="e">
        <f>(N188/(IF(ISNA(VLOOKUP($C188,'Data Pull Sheet'!$C$2:$W$2795,7,0)),"",(VLOOKUP($C188,'Data Pull Sheet'!$C$2:$W$2795,7,0)))))</f>
        <v>#VALUE!</v>
      </c>
      <c r="P188" s="210" t="s">
        <v>1120</v>
      </c>
      <c r="Q188" s="230" t="s">
        <v>676</v>
      </c>
      <c r="R188" s="230" t="s">
        <v>646</v>
      </c>
      <c r="S188" s="231" t="s">
        <v>634</v>
      </c>
      <c r="T188" s="217"/>
      <c r="U188" s="218"/>
    </row>
    <row r="189" spans="1:21" s="109" customFormat="1" ht="15.75" thickBot="1" x14ac:dyDescent="0.3">
      <c r="A189" s="86" t="s">
        <v>8117</v>
      </c>
      <c r="B189" s="212" t="s">
        <v>1115</v>
      </c>
      <c r="C189" s="234" t="str">
        <f>IF(ISNA(VLOOKUP($B189,'Data Pull Sheet'!$B$2:$C$1795,2,0)),"",(VLOOKUP($B189,'Data Pull Sheet'!$B$2:$C$1795,2,0)))</f>
        <v/>
      </c>
      <c r="D189" s="212" t="s">
        <v>1116</v>
      </c>
      <c r="E189" s="213" t="s">
        <v>495</v>
      </c>
      <c r="F189" s="213" t="s">
        <v>1117</v>
      </c>
      <c r="G189" s="212" t="s">
        <v>1121</v>
      </c>
      <c r="H189" s="212" t="s">
        <v>403</v>
      </c>
      <c r="I189" s="196" t="s">
        <v>6737</v>
      </c>
      <c r="J189" s="212"/>
      <c r="K189" s="212" t="s">
        <v>1122</v>
      </c>
      <c r="L189" s="214"/>
      <c r="M189" s="214"/>
      <c r="N189" s="215"/>
      <c r="O189" s="148"/>
      <c r="P189" s="212" t="s">
        <v>1120</v>
      </c>
      <c r="Q189" s="234" t="s">
        <v>676</v>
      </c>
      <c r="R189" s="234" t="s">
        <v>646</v>
      </c>
      <c r="S189" s="235" t="s">
        <v>634</v>
      </c>
      <c r="T189" s="217"/>
      <c r="U189" s="218"/>
    </row>
    <row r="190" spans="1:21" s="218" customFormat="1" ht="15.75" thickBot="1" x14ac:dyDescent="0.3">
      <c r="A190" s="86" t="s">
        <v>8117</v>
      </c>
      <c r="B190" s="138" t="s">
        <v>2732</v>
      </c>
      <c r="C190" s="240" t="str">
        <f>IF(ISNA(VLOOKUP($B190,'Data Pull Sheet'!$B$2:$C$1795,2,0)),"",(VLOOKUP($B190,'Data Pull Sheet'!$B$2:$C$1795,2,0)))</f>
        <v/>
      </c>
      <c r="D190" s="138" t="s">
        <v>446</v>
      </c>
      <c r="E190" s="189" t="s">
        <v>1546</v>
      </c>
      <c r="F190" s="189" t="s">
        <v>509</v>
      </c>
      <c r="G190" s="138" t="s">
        <v>2733</v>
      </c>
      <c r="H190" s="138" t="s">
        <v>403</v>
      </c>
      <c r="I190" s="139" t="s">
        <v>6737</v>
      </c>
      <c r="J190" s="138"/>
      <c r="K190" s="138" t="s">
        <v>2734</v>
      </c>
      <c r="L190" s="140">
        <v>1</v>
      </c>
      <c r="M190" s="140">
        <f>1</f>
        <v>1</v>
      </c>
      <c r="N190" s="141" t="str">
        <f>I190</f>
        <v>***</v>
      </c>
      <c r="O190" s="104" t="e">
        <f>(N190/(IF(ISNA(VLOOKUP($C190,'Data Pull Sheet'!$C$2:$W$2795,7,0)),"",(VLOOKUP($C190,'Data Pull Sheet'!$C$2:$W$2795,7,0)))))</f>
        <v>#VALUE!</v>
      </c>
      <c r="P190" s="138" t="s">
        <v>2735</v>
      </c>
      <c r="Q190" s="240" t="s">
        <v>676</v>
      </c>
      <c r="R190" s="240" t="s">
        <v>637</v>
      </c>
      <c r="S190" s="241" t="s">
        <v>634</v>
      </c>
      <c r="T190" s="217"/>
    </row>
    <row r="191" spans="1:21" s="218" customFormat="1" ht="15.75" thickBot="1" x14ac:dyDescent="0.3">
      <c r="A191" s="86" t="s">
        <v>8117</v>
      </c>
      <c r="B191" s="138" t="s">
        <v>3360</v>
      </c>
      <c r="C191" s="240" t="str">
        <f>IF(ISNA(VLOOKUP($B191,'Data Pull Sheet'!$B$2:$C$1795,2,0)),"",(VLOOKUP($B191,'Data Pull Sheet'!$B$2:$C$1795,2,0)))</f>
        <v/>
      </c>
      <c r="D191" s="138" t="s">
        <v>457</v>
      </c>
      <c r="E191" s="189" t="s">
        <v>569</v>
      </c>
      <c r="F191" s="189" t="s">
        <v>1702</v>
      </c>
      <c r="G191" s="138" t="s">
        <v>3361</v>
      </c>
      <c r="H191" s="138" t="s">
        <v>417</v>
      </c>
      <c r="I191" s="139" t="s">
        <v>6737</v>
      </c>
      <c r="J191" s="138"/>
      <c r="K191" s="138" t="s">
        <v>3362</v>
      </c>
      <c r="L191" s="140">
        <v>1</v>
      </c>
      <c r="M191" s="140">
        <v>1</v>
      </c>
      <c r="N191" s="141" t="str">
        <f>I191</f>
        <v>***</v>
      </c>
      <c r="O191" s="104" t="e">
        <f>(N191/(IF(ISNA(VLOOKUP($C191,'Data Pull Sheet'!$C$2:$W$2795,7,0)),"",(VLOOKUP($C191,'Data Pull Sheet'!$C$2:$W$2795,7,0)))))</f>
        <v>#VALUE!</v>
      </c>
      <c r="P191" s="138" t="s">
        <v>3363</v>
      </c>
      <c r="Q191" s="240" t="s">
        <v>676</v>
      </c>
      <c r="R191" s="240" t="s">
        <v>633</v>
      </c>
      <c r="S191" s="241" t="s">
        <v>404</v>
      </c>
      <c r="T191" s="217"/>
    </row>
    <row r="192" spans="1:21" s="218" customFormat="1" ht="15.75" thickBot="1" x14ac:dyDescent="0.3">
      <c r="A192" s="86" t="s">
        <v>8117</v>
      </c>
      <c r="B192" s="138" t="s">
        <v>3665</v>
      </c>
      <c r="C192" s="240" t="str">
        <f>IF(ISNA(VLOOKUP($B192,'Data Pull Sheet'!$B$2:$C$1795,2,0)),"",(VLOOKUP($B192,'Data Pull Sheet'!$B$2:$C$1795,2,0)))</f>
        <v/>
      </c>
      <c r="D192" s="138" t="s">
        <v>1632</v>
      </c>
      <c r="E192" s="189" t="s">
        <v>3666</v>
      </c>
      <c r="F192" s="189" t="s">
        <v>580</v>
      </c>
      <c r="G192" s="138" t="s">
        <v>3667</v>
      </c>
      <c r="H192" s="138" t="s">
        <v>417</v>
      </c>
      <c r="I192" s="139" t="s">
        <v>6737</v>
      </c>
      <c r="J192" s="138"/>
      <c r="K192" s="138" t="s">
        <v>3668</v>
      </c>
      <c r="L192" s="140">
        <v>1</v>
      </c>
      <c r="M192" s="140">
        <v>1</v>
      </c>
      <c r="N192" s="141" t="str">
        <f>I192</f>
        <v>***</v>
      </c>
      <c r="O192" s="104" t="e">
        <f>(N192/(IF(ISNA(VLOOKUP($C192,'Data Pull Sheet'!$C$2:$W$2795,7,0)),"",(VLOOKUP($C192,'Data Pull Sheet'!$C$2:$W$2795,7,0)))))</f>
        <v>#VALUE!</v>
      </c>
      <c r="P192" s="138" t="s">
        <v>3669</v>
      </c>
      <c r="Q192" s="228" t="s">
        <v>676</v>
      </c>
      <c r="R192" s="240" t="s">
        <v>640</v>
      </c>
      <c r="S192" s="241" t="s">
        <v>634</v>
      </c>
      <c r="T192" s="217"/>
    </row>
    <row r="193" spans="1:20" s="269" customFormat="1" x14ac:dyDescent="0.25">
      <c r="A193" s="325" t="s">
        <v>10439</v>
      </c>
      <c r="B193" s="248" t="s">
        <v>1276</v>
      </c>
      <c r="C193" s="266" t="str">
        <f>IF(ISNA(VLOOKUP($B193,'Data Pull Sheet'!$B$2:$C$1795,2,0)),"",(VLOOKUP($B193,'Data Pull Sheet'!$B$2:$C$1795,2,0)))</f>
        <v/>
      </c>
      <c r="D193" s="248" t="s">
        <v>457</v>
      </c>
      <c r="E193" s="249" t="s">
        <v>1277</v>
      </c>
      <c r="F193" s="249" t="s">
        <v>492</v>
      </c>
      <c r="G193" s="248" t="s">
        <v>1278</v>
      </c>
      <c r="H193" s="248" t="s">
        <v>403</v>
      </c>
      <c r="I193" s="250" t="s">
        <v>6738</v>
      </c>
      <c r="J193" s="248"/>
      <c r="K193" s="248" t="s">
        <v>1279</v>
      </c>
      <c r="L193" s="251">
        <v>2</v>
      </c>
      <c r="M193" s="251">
        <v>2</v>
      </c>
      <c r="N193" s="252">
        <f>SUM(I193:I194)</f>
        <v>0</v>
      </c>
      <c r="O193" s="253" t="e">
        <f>(N193/(IF(ISNA(VLOOKUP($C193,'Data Pull Sheet'!$C$2:$W$2795,7,0)),"",(VLOOKUP($C193,'Data Pull Sheet'!$C$2:$W$2795,7,0)))))</f>
        <v>#VALUE!</v>
      </c>
      <c r="P193" s="248" t="s">
        <v>1280</v>
      </c>
      <c r="Q193" s="266" t="s">
        <v>632</v>
      </c>
      <c r="R193" s="266" t="s">
        <v>646</v>
      </c>
      <c r="S193" s="267" t="s">
        <v>634</v>
      </c>
      <c r="T193" s="268"/>
    </row>
    <row r="194" spans="1:20" s="269" customFormat="1" x14ac:dyDescent="0.25">
      <c r="A194" s="325" t="s">
        <v>10439</v>
      </c>
      <c r="B194" s="254" t="s">
        <v>1276</v>
      </c>
      <c r="C194" s="270" t="str">
        <f>IF(ISNA(VLOOKUP($B194,'Data Pull Sheet'!$B$2:$C$1795,2,0)),"",(VLOOKUP($B194,'Data Pull Sheet'!$B$2:$C$1795,2,0)))</f>
        <v/>
      </c>
      <c r="D194" s="254" t="s">
        <v>457</v>
      </c>
      <c r="E194" s="255" t="s">
        <v>1277</v>
      </c>
      <c r="F194" s="255" t="s">
        <v>492</v>
      </c>
      <c r="G194" s="254" t="s">
        <v>1281</v>
      </c>
      <c r="H194" s="254" t="s">
        <v>403</v>
      </c>
      <c r="I194" s="256" t="s">
        <v>6738</v>
      </c>
      <c r="J194" s="254"/>
      <c r="K194" s="254" t="s">
        <v>1282</v>
      </c>
      <c r="L194" s="257"/>
      <c r="M194" s="257"/>
      <c r="N194" s="258"/>
      <c r="O194" s="259"/>
      <c r="P194" s="254" t="s">
        <v>1280</v>
      </c>
      <c r="Q194" s="270" t="s">
        <v>632</v>
      </c>
      <c r="R194" s="270" t="s">
        <v>646</v>
      </c>
      <c r="S194" s="271" t="s">
        <v>634</v>
      </c>
      <c r="T194" s="268"/>
    </row>
    <row r="195" spans="1:20" s="269" customFormat="1" ht="15.75" thickBot="1" x14ac:dyDescent="0.3">
      <c r="A195" s="325" t="s">
        <v>10439</v>
      </c>
      <c r="B195" s="260" t="s">
        <v>1276</v>
      </c>
      <c r="C195" s="272" t="str">
        <f>IF(ISNA(VLOOKUP($B195,'Data Pull Sheet'!$B$2:$C$1795,2,0)),"",(VLOOKUP($B195,'Data Pull Sheet'!$B$2:$C$1795,2,0)))</f>
        <v/>
      </c>
      <c r="D195" s="260" t="s">
        <v>457</v>
      </c>
      <c r="E195" s="261" t="s">
        <v>1277</v>
      </c>
      <c r="F195" s="261" t="s">
        <v>492</v>
      </c>
      <c r="G195" s="260" t="s">
        <v>1283</v>
      </c>
      <c r="H195" s="260" t="s">
        <v>403</v>
      </c>
      <c r="I195" s="262" t="s">
        <v>6738</v>
      </c>
      <c r="J195" s="260"/>
      <c r="K195" s="260" t="s">
        <v>1284</v>
      </c>
      <c r="L195" s="263"/>
      <c r="M195" s="263">
        <v>1</v>
      </c>
      <c r="N195" s="264" t="str">
        <f>I195</f>
        <v>OMIT</v>
      </c>
      <c r="O195" s="265" t="e">
        <f>(N195/(IF(ISNA(VLOOKUP($C195,'Data Pull Sheet'!$C$2:$W$2795,7,0)),"",(VLOOKUP($C195,'Data Pull Sheet'!$C$2:$W$2795,7,0)))))</f>
        <v>#VALUE!</v>
      </c>
      <c r="P195" s="260" t="s">
        <v>63</v>
      </c>
      <c r="Q195" s="272" t="s">
        <v>632</v>
      </c>
      <c r="R195" s="272" t="s">
        <v>637</v>
      </c>
      <c r="S195" s="273" t="s">
        <v>634</v>
      </c>
      <c r="T195" s="268"/>
    </row>
    <row r="196" spans="1:20" s="218" customFormat="1" x14ac:dyDescent="0.25">
      <c r="A196" s="325" t="s">
        <v>10439</v>
      </c>
      <c r="B196" s="129" t="s">
        <v>1693</v>
      </c>
      <c r="C196" s="236" t="str">
        <f>IF(ISNA(VLOOKUP($B196,'Data Pull Sheet'!$B$2:$C$1795,2,0)),"",(VLOOKUP($B196,'Data Pull Sheet'!$B$2:$C$1795,2,0)))</f>
        <v/>
      </c>
      <c r="D196" s="129" t="s">
        <v>418</v>
      </c>
      <c r="E196" s="188" t="s">
        <v>539</v>
      </c>
      <c r="F196" s="188" t="s">
        <v>1694</v>
      </c>
      <c r="G196" s="129" t="s">
        <v>1695</v>
      </c>
      <c r="H196" s="129" t="s">
        <v>403</v>
      </c>
      <c r="I196" s="136" t="s">
        <v>6738</v>
      </c>
      <c r="J196" s="129"/>
      <c r="K196" s="129" t="s">
        <v>1696</v>
      </c>
      <c r="L196" s="131">
        <v>2</v>
      </c>
      <c r="M196" s="131">
        <v>1</v>
      </c>
      <c r="N196" s="132" t="str">
        <f>I196</f>
        <v>OMIT</v>
      </c>
      <c r="O196" s="99" t="e">
        <f>(N196/(IF(ISNA(VLOOKUP($C196,'Data Pull Sheet'!$C$2:$W$2795,7,0)),"",(VLOOKUP($C196,'Data Pull Sheet'!$C$2:$W$2795,7,0)))))</f>
        <v>#VALUE!</v>
      </c>
      <c r="P196" s="129" t="s">
        <v>1280</v>
      </c>
      <c r="Q196" s="236" t="s">
        <v>632</v>
      </c>
      <c r="R196" s="236" t="s">
        <v>637</v>
      </c>
      <c r="S196" s="237" t="s">
        <v>634</v>
      </c>
      <c r="T196" s="217"/>
    </row>
    <row r="197" spans="1:20" s="218" customFormat="1" x14ac:dyDescent="0.25">
      <c r="A197" s="325" t="s">
        <v>10439</v>
      </c>
      <c r="B197" s="69" t="s">
        <v>1693</v>
      </c>
      <c r="C197" s="274" t="str">
        <f>IF(ISNA(VLOOKUP($B197,'Data Pull Sheet'!$B$2:$C$1795,2,0)),"",(VLOOKUP($B197,'Data Pull Sheet'!$B$2:$C$1795,2,0)))</f>
        <v/>
      </c>
      <c r="D197" s="69" t="s">
        <v>418</v>
      </c>
      <c r="E197" s="186" t="s">
        <v>539</v>
      </c>
      <c r="F197" s="186" t="s">
        <v>1694</v>
      </c>
      <c r="G197" s="69" t="s">
        <v>1697</v>
      </c>
      <c r="H197" s="69" t="s">
        <v>403</v>
      </c>
      <c r="I197" s="74" t="s">
        <v>6738</v>
      </c>
      <c r="J197" s="69"/>
      <c r="K197" s="69" t="s">
        <v>1698</v>
      </c>
      <c r="L197" s="71"/>
      <c r="M197" s="71">
        <v>2</v>
      </c>
      <c r="N197" s="72">
        <f>SUM(I197:I198)</f>
        <v>0</v>
      </c>
      <c r="O197" s="97" t="e">
        <f>(N197/(IF(ISNA(VLOOKUP($C197,'Data Pull Sheet'!$C$2:$W$2795,7,0)),"",(VLOOKUP($C197,'Data Pull Sheet'!$C$2:$W$2795,7,0)))))</f>
        <v>#VALUE!</v>
      </c>
      <c r="P197" s="69" t="s">
        <v>63</v>
      </c>
      <c r="Q197" s="274" t="s">
        <v>632</v>
      </c>
      <c r="R197" s="274" t="s">
        <v>646</v>
      </c>
      <c r="S197" s="275" t="s">
        <v>634</v>
      </c>
      <c r="T197" s="217"/>
    </row>
    <row r="198" spans="1:20" s="218" customFormat="1" ht="15.75" thickBot="1" x14ac:dyDescent="0.3">
      <c r="A198" s="325" t="s">
        <v>10439</v>
      </c>
      <c r="B198" s="133" t="s">
        <v>1693</v>
      </c>
      <c r="C198" s="238" t="str">
        <f>IF(ISNA(VLOOKUP($B198,'Data Pull Sheet'!$B$2:$C$1795,2,0)),"",(VLOOKUP($B198,'Data Pull Sheet'!$B$2:$C$1795,2,0)))</f>
        <v/>
      </c>
      <c r="D198" s="133" t="s">
        <v>418</v>
      </c>
      <c r="E198" s="187" t="s">
        <v>539</v>
      </c>
      <c r="F198" s="187" t="s">
        <v>1694</v>
      </c>
      <c r="G198" s="133" t="s">
        <v>1699</v>
      </c>
      <c r="H198" s="133" t="s">
        <v>403</v>
      </c>
      <c r="I198" s="137" t="s">
        <v>6738</v>
      </c>
      <c r="J198" s="133"/>
      <c r="K198" s="133" t="s">
        <v>1700</v>
      </c>
      <c r="L198" s="134"/>
      <c r="M198" s="134"/>
      <c r="N198" s="135"/>
      <c r="O198" s="102"/>
      <c r="P198" s="133" t="s">
        <v>63</v>
      </c>
      <c r="Q198" s="238" t="s">
        <v>632</v>
      </c>
      <c r="R198" s="238" t="s">
        <v>646</v>
      </c>
      <c r="S198" s="239" t="s">
        <v>634</v>
      </c>
      <c r="T198" s="217"/>
    </row>
    <row r="199" spans="1:20" s="218" customFormat="1" x14ac:dyDescent="0.25">
      <c r="A199" s="276" t="s">
        <v>8117</v>
      </c>
      <c r="B199" s="129" t="s">
        <v>2426</v>
      </c>
      <c r="C199" s="236" t="str">
        <f>IF(ISNA(VLOOKUP($B199,'Data Pull Sheet'!$B$2:$C$1795,2,0)),"",(VLOOKUP($B199,'Data Pull Sheet'!$B$2:$C$1795,2,0)))</f>
        <v/>
      </c>
      <c r="D199" s="129" t="s">
        <v>570</v>
      </c>
      <c r="E199" s="188" t="s">
        <v>580</v>
      </c>
      <c r="F199" s="188" t="s">
        <v>581</v>
      </c>
      <c r="G199" s="129" t="s">
        <v>2427</v>
      </c>
      <c r="H199" s="129" t="s">
        <v>403</v>
      </c>
      <c r="I199" s="136" t="s">
        <v>6737</v>
      </c>
      <c r="J199" s="129"/>
      <c r="K199" s="129" t="s">
        <v>2428</v>
      </c>
      <c r="L199" s="131">
        <v>2</v>
      </c>
      <c r="M199" s="131">
        <v>1</v>
      </c>
      <c r="N199" s="132" t="str">
        <f>I199</f>
        <v>***</v>
      </c>
      <c r="O199" s="99" t="e">
        <f>(N199/(IF(ISNA(VLOOKUP($C199,'Data Pull Sheet'!$C$2:$W$2795,7,0)),"",(VLOOKUP($C199,'Data Pull Sheet'!$C$2:$W$2795,7,0)))))</f>
        <v>#VALUE!</v>
      </c>
      <c r="P199" s="129" t="s">
        <v>2429</v>
      </c>
      <c r="Q199" s="236" t="s">
        <v>632</v>
      </c>
      <c r="R199" s="230" t="s">
        <v>637</v>
      </c>
      <c r="S199" s="237" t="s">
        <v>634</v>
      </c>
      <c r="T199" s="217"/>
    </row>
    <row r="200" spans="1:20" s="218" customFormat="1" x14ac:dyDescent="0.25">
      <c r="A200" s="276" t="s">
        <v>8117</v>
      </c>
      <c r="B200" s="69" t="s">
        <v>2426</v>
      </c>
      <c r="C200" s="274" t="str">
        <f>IF(ISNA(VLOOKUP($B200,'Data Pull Sheet'!$B$2:$C$1795,2,0)),"",(VLOOKUP($B200,'Data Pull Sheet'!$B$2:$C$1795,2,0)))</f>
        <v/>
      </c>
      <c r="D200" s="69" t="s">
        <v>570</v>
      </c>
      <c r="E200" s="186" t="s">
        <v>580</v>
      </c>
      <c r="F200" s="186" t="s">
        <v>581</v>
      </c>
      <c r="G200" s="69" t="s">
        <v>2430</v>
      </c>
      <c r="H200" s="69" t="s">
        <v>403</v>
      </c>
      <c r="I200" s="74" t="s">
        <v>6737</v>
      </c>
      <c r="J200" s="69"/>
      <c r="K200" s="69" t="s">
        <v>2431</v>
      </c>
      <c r="L200" s="71"/>
      <c r="M200" s="71">
        <v>5</v>
      </c>
      <c r="N200" s="72">
        <f>SUM(I200:I204)</f>
        <v>0</v>
      </c>
      <c r="O200" s="97" t="e">
        <f>(N200/(IF(ISNA(VLOOKUP($C200,'Data Pull Sheet'!$C$2:$W$2795,7,0)),"",(VLOOKUP($C200,'Data Pull Sheet'!$C$2:$W$2795,7,0)))))</f>
        <v>#VALUE!</v>
      </c>
      <c r="P200" s="69" t="s">
        <v>2432</v>
      </c>
      <c r="Q200" s="274" t="s">
        <v>632</v>
      </c>
      <c r="R200" s="274" t="s">
        <v>646</v>
      </c>
      <c r="S200" s="275" t="s">
        <v>634</v>
      </c>
      <c r="T200" s="217"/>
    </row>
    <row r="201" spans="1:20" s="218" customFormat="1" x14ac:dyDescent="0.25">
      <c r="A201" s="276" t="s">
        <v>8117</v>
      </c>
      <c r="B201" s="69" t="s">
        <v>2426</v>
      </c>
      <c r="C201" s="274" t="str">
        <f>IF(ISNA(VLOOKUP($B201,'Data Pull Sheet'!$B$2:$C$1795,2,0)),"",(VLOOKUP($B201,'Data Pull Sheet'!$B$2:$C$1795,2,0)))</f>
        <v/>
      </c>
      <c r="D201" s="69" t="s">
        <v>570</v>
      </c>
      <c r="E201" s="186" t="s">
        <v>580</v>
      </c>
      <c r="F201" s="186" t="s">
        <v>581</v>
      </c>
      <c r="G201" s="69" t="s">
        <v>2433</v>
      </c>
      <c r="H201" s="69" t="s">
        <v>403</v>
      </c>
      <c r="I201" s="74" t="s">
        <v>6737</v>
      </c>
      <c r="J201" s="69"/>
      <c r="K201" s="69" t="s">
        <v>2434</v>
      </c>
      <c r="L201" s="71"/>
      <c r="M201" s="71"/>
      <c r="N201" s="72"/>
      <c r="O201" s="97"/>
      <c r="P201" s="69" t="s">
        <v>2432</v>
      </c>
      <c r="Q201" s="274" t="s">
        <v>632</v>
      </c>
      <c r="R201" s="274" t="s">
        <v>646</v>
      </c>
      <c r="S201" s="275" t="s">
        <v>634</v>
      </c>
      <c r="T201" s="217"/>
    </row>
    <row r="202" spans="1:20" s="218" customFormat="1" x14ac:dyDescent="0.25">
      <c r="A202" s="276" t="s">
        <v>8117</v>
      </c>
      <c r="B202" s="69" t="s">
        <v>2426</v>
      </c>
      <c r="C202" s="274" t="str">
        <f>IF(ISNA(VLOOKUP($B202,'Data Pull Sheet'!$B$2:$C$1795,2,0)),"",(VLOOKUP($B202,'Data Pull Sheet'!$B$2:$C$1795,2,0)))</f>
        <v/>
      </c>
      <c r="D202" s="69" t="s">
        <v>570</v>
      </c>
      <c r="E202" s="186" t="s">
        <v>580</v>
      </c>
      <c r="F202" s="186" t="s">
        <v>581</v>
      </c>
      <c r="G202" s="69" t="s">
        <v>2435</v>
      </c>
      <c r="H202" s="69" t="s">
        <v>403</v>
      </c>
      <c r="I202" s="74" t="s">
        <v>6737</v>
      </c>
      <c r="J202" s="69"/>
      <c r="K202" s="69" t="s">
        <v>2436</v>
      </c>
      <c r="L202" s="71"/>
      <c r="M202" s="71"/>
      <c r="N202" s="72"/>
      <c r="O202" s="97"/>
      <c r="P202" s="69" t="s">
        <v>2432</v>
      </c>
      <c r="Q202" s="274" t="s">
        <v>632</v>
      </c>
      <c r="R202" s="274" t="s">
        <v>646</v>
      </c>
      <c r="S202" s="275" t="s">
        <v>634</v>
      </c>
      <c r="T202" s="217"/>
    </row>
    <row r="203" spans="1:20" s="218" customFormat="1" x14ac:dyDescent="0.25">
      <c r="A203" s="276" t="s">
        <v>8117</v>
      </c>
      <c r="B203" s="69" t="s">
        <v>2426</v>
      </c>
      <c r="C203" s="274" t="str">
        <f>IF(ISNA(VLOOKUP($B203,'Data Pull Sheet'!$B$2:$C$1795,2,0)),"",(VLOOKUP($B203,'Data Pull Sheet'!$B$2:$C$1795,2,0)))</f>
        <v/>
      </c>
      <c r="D203" s="69" t="s">
        <v>570</v>
      </c>
      <c r="E203" s="186" t="s">
        <v>580</v>
      </c>
      <c r="F203" s="186" t="s">
        <v>581</v>
      </c>
      <c r="G203" s="69" t="s">
        <v>2437</v>
      </c>
      <c r="H203" s="69" t="s">
        <v>403</v>
      </c>
      <c r="I203" s="74" t="s">
        <v>6737</v>
      </c>
      <c r="J203" s="69"/>
      <c r="K203" s="69" t="s">
        <v>2438</v>
      </c>
      <c r="L203" s="71"/>
      <c r="M203" s="71"/>
      <c r="N203" s="72"/>
      <c r="O203" s="97"/>
      <c r="P203" s="69" t="s">
        <v>2432</v>
      </c>
      <c r="Q203" s="274" t="s">
        <v>632</v>
      </c>
      <c r="R203" s="274" t="s">
        <v>646</v>
      </c>
      <c r="S203" s="275" t="s">
        <v>634</v>
      </c>
      <c r="T203" s="217"/>
    </row>
    <row r="204" spans="1:20" s="218" customFormat="1" ht="15.75" thickBot="1" x14ac:dyDescent="0.3">
      <c r="A204" s="276" t="s">
        <v>8117</v>
      </c>
      <c r="B204" s="133" t="s">
        <v>2426</v>
      </c>
      <c r="C204" s="238" t="str">
        <f>IF(ISNA(VLOOKUP($B204,'Data Pull Sheet'!$B$2:$C$1795,2,0)),"",(VLOOKUP($B204,'Data Pull Sheet'!$B$2:$C$1795,2,0)))</f>
        <v/>
      </c>
      <c r="D204" s="133" t="s">
        <v>570</v>
      </c>
      <c r="E204" s="187" t="s">
        <v>580</v>
      </c>
      <c r="F204" s="187" t="s">
        <v>581</v>
      </c>
      <c r="G204" s="133" t="s">
        <v>2439</v>
      </c>
      <c r="H204" s="133" t="s">
        <v>403</v>
      </c>
      <c r="I204" s="137" t="s">
        <v>6737</v>
      </c>
      <c r="J204" s="133"/>
      <c r="K204" s="133" t="s">
        <v>2440</v>
      </c>
      <c r="L204" s="134"/>
      <c r="M204" s="134"/>
      <c r="N204" s="135"/>
      <c r="O204" s="102"/>
      <c r="P204" s="133" t="s">
        <v>2432</v>
      </c>
      <c r="Q204" s="238" t="s">
        <v>632</v>
      </c>
      <c r="R204" s="238" t="s">
        <v>646</v>
      </c>
      <c r="S204" s="239" t="s">
        <v>634</v>
      </c>
      <c r="T204" s="217"/>
    </row>
    <row r="205" spans="1:20" s="218" customFormat="1" ht="15.75" thickBot="1" x14ac:dyDescent="0.3">
      <c r="A205" s="276" t="s">
        <v>8117</v>
      </c>
      <c r="B205" s="138" t="s">
        <v>2884</v>
      </c>
      <c r="C205" s="240" t="str">
        <f>IF(ISNA(VLOOKUP($B205,'Data Pull Sheet'!$B$2:$C$1795,2,0)),"",(VLOOKUP($B205,'Data Pull Sheet'!$B$2:$C$1795,2,0)))</f>
        <v/>
      </c>
      <c r="D205" s="138" t="s">
        <v>399</v>
      </c>
      <c r="E205" s="189" t="s">
        <v>2125</v>
      </c>
      <c r="F205" s="189" t="s">
        <v>490</v>
      </c>
      <c r="G205" s="138" t="s">
        <v>2885</v>
      </c>
      <c r="H205" s="138" t="s">
        <v>403</v>
      </c>
      <c r="I205" s="139" t="s">
        <v>6737</v>
      </c>
      <c r="J205" s="138"/>
      <c r="K205" s="138" t="s">
        <v>2886</v>
      </c>
      <c r="L205" s="140">
        <v>1</v>
      </c>
      <c r="M205" s="140">
        <v>1</v>
      </c>
      <c r="N205" s="141" t="str">
        <f>I205</f>
        <v>***</v>
      </c>
      <c r="O205" s="104" t="e">
        <f>(N205/(IF(ISNA(VLOOKUP($C205,'Data Pull Sheet'!$C$2:$W$2795,7,0)),"",(VLOOKUP($C205,'Data Pull Sheet'!$C$2:$W$2795,7,0)))))</f>
        <v>#VALUE!</v>
      </c>
      <c r="P205" s="138" t="s">
        <v>2887</v>
      </c>
      <c r="Q205" s="240" t="s">
        <v>676</v>
      </c>
      <c r="R205" s="240" t="s">
        <v>637</v>
      </c>
      <c r="S205" s="241" t="s">
        <v>634</v>
      </c>
      <c r="T205" s="217"/>
    </row>
    <row r="206" spans="1:20" s="218" customFormat="1" x14ac:dyDescent="0.25">
      <c r="A206" s="276" t="s">
        <v>8117</v>
      </c>
      <c r="B206" s="129" t="s">
        <v>3006</v>
      </c>
      <c r="C206" s="236" t="str">
        <f>IF(ISNA(VLOOKUP($B206,'Data Pull Sheet'!$B$2:$C$1795,2,0)),"",(VLOOKUP($B206,'Data Pull Sheet'!$B$2:$C$1795,2,0)))</f>
        <v/>
      </c>
      <c r="D206" s="129" t="s">
        <v>480</v>
      </c>
      <c r="E206" s="188" t="s">
        <v>461</v>
      </c>
      <c r="F206" s="188" t="s">
        <v>672</v>
      </c>
      <c r="G206" s="129" t="s">
        <v>3007</v>
      </c>
      <c r="H206" s="129" t="s">
        <v>403</v>
      </c>
      <c r="I206" s="136" t="s">
        <v>6737</v>
      </c>
      <c r="J206" s="129"/>
      <c r="K206" s="129" t="s">
        <v>3008</v>
      </c>
      <c r="L206" s="131">
        <v>2</v>
      </c>
      <c r="M206" s="131">
        <v>1</v>
      </c>
      <c r="N206" s="132" t="str">
        <f>I206</f>
        <v>***</v>
      </c>
      <c r="O206" s="99" t="e">
        <f>(N206/(IF(ISNA(VLOOKUP($C206,'Data Pull Sheet'!$C$2:$W$2795,7,0)),"",(VLOOKUP($C206,'Data Pull Sheet'!$C$2:$W$2795,7,0)))))</f>
        <v>#VALUE!</v>
      </c>
      <c r="P206" s="129" t="s">
        <v>3009</v>
      </c>
      <c r="Q206" s="236" t="s">
        <v>632</v>
      </c>
      <c r="R206" s="236" t="s">
        <v>637</v>
      </c>
      <c r="S206" s="237" t="s">
        <v>634</v>
      </c>
      <c r="T206" s="217"/>
    </row>
    <row r="207" spans="1:20" s="218" customFormat="1" ht="15.75" thickBot="1" x14ac:dyDescent="0.3">
      <c r="A207" s="276" t="s">
        <v>8117</v>
      </c>
      <c r="B207" s="133" t="s">
        <v>3006</v>
      </c>
      <c r="C207" s="238" t="str">
        <f>IF(ISNA(VLOOKUP($B207,'Data Pull Sheet'!$B$2:$C$1795,2,0)),"",(VLOOKUP($B207,'Data Pull Sheet'!$B$2:$C$1795,2,0)))</f>
        <v/>
      </c>
      <c r="D207" s="133" t="s">
        <v>480</v>
      </c>
      <c r="E207" s="187" t="s">
        <v>461</v>
      </c>
      <c r="F207" s="187" t="s">
        <v>672</v>
      </c>
      <c r="G207" s="133" t="s">
        <v>3010</v>
      </c>
      <c r="H207" s="133" t="s">
        <v>403</v>
      </c>
      <c r="I207" s="137" t="s">
        <v>6737</v>
      </c>
      <c r="J207" s="133"/>
      <c r="K207" s="133" t="s">
        <v>3011</v>
      </c>
      <c r="L207" s="134"/>
      <c r="M207" s="134">
        <v>1</v>
      </c>
      <c r="N207" s="135" t="str">
        <f>I207</f>
        <v>***</v>
      </c>
      <c r="O207" s="102" t="e">
        <f>(N207/(IF(ISNA(VLOOKUP($C207,'Data Pull Sheet'!$C$2:$W$2795,7,0)),"",(VLOOKUP($C207,'Data Pull Sheet'!$C$2:$W$2795,7,0)))))</f>
        <v>#VALUE!</v>
      </c>
      <c r="P207" s="133" t="s">
        <v>3012</v>
      </c>
      <c r="Q207" s="238" t="s">
        <v>632</v>
      </c>
      <c r="R207" s="238" t="s">
        <v>637</v>
      </c>
      <c r="S207" s="239" t="s">
        <v>634</v>
      </c>
      <c r="T207" s="217"/>
    </row>
    <row r="208" spans="1:20" s="218" customFormat="1" x14ac:dyDescent="0.25">
      <c r="A208" s="276" t="s">
        <v>8117</v>
      </c>
      <c r="B208" s="129" t="s">
        <v>30</v>
      </c>
      <c r="C208" s="236" t="str">
        <f>IF(ISNA(VLOOKUP($B208,'Data Pull Sheet'!$B$2:$C$1795,2,0)),"",(VLOOKUP($B208,'Data Pull Sheet'!$B$2:$C$1795,2,0)))</f>
        <v>PCP</v>
      </c>
      <c r="D208" s="129" t="s">
        <v>443</v>
      </c>
      <c r="E208" s="188" t="s">
        <v>572</v>
      </c>
      <c r="F208" s="188" t="s">
        <v>573</v>
      </c>
      <c r="G208" s="129" t="s">
        <v>3157</v>
      </c>
      <c r="H208" s="129" t="s">
        <v>417</v>
      </c>
      <c r="I208" s="136" t="s">
        <v>6737</v>
      </c>
      <c r="J208" s="129"/>
      <c r="K208" s="129" t="s">
        <v>3158</v>
      </c>
      <c r="L208" s="131">
        <v>3</v>
      </c>
      <c r="M208" s="131">
        <v>2</v>
      </c>
      <c r="N208" s="132">
        <f>SUM(I208:I209)</f>
        <v>0</v>
      </c>
      <c r="O208" s="99" t="e">
        <f>(N208/(IF(ISNA(VLOOKUP($C208,'Data Pull Sheet'!$C$2:$W$2795,7,0)),"",(VLOOKUP($C208,'Data Pull Sheet'!$C$2:$W$2795,7,0)))))</f>
        <v>#VALUE!</v>
      </c>
      <c r="P208" s="129" t="s">
        <v>3159</v>
      </c>
      <c r="Q208" s="236" t="s">
        <v>632</v>
      </c>
      <c r="R208" s="236" t="s">
        <v>662</v>
      </c>
      <c r="S208" s="237" t="s">
        <v>634</v>
      </c>
      <c r="T208" s="217"/>
    </row>
    <row r="209" spans="1:20" s="218" customFormat="1" ht="15.75" thickBot="1" x14ac:dyDescent="0.3">
      <c r="A209" s="276" t="s">
        <v>8117</v>
      </c>
      <c r="B209" s="133" t="s">
        <v>30</v>
      </c>
      <c r="C209" s="238" t="str">
        <f>IF(ISNA(VLOOKUP($B209,'Data Pull Sheet'!$B$2:$C$1795,2,0)),"",(VLOOKUP($B209,'Data Pull Sheet'!$B$2:$C$1795,2,0)))</f>
        <v>PCP</v>
      </c>
      <c r="D209" s="133" t="s">
        <v>443</v>
      </c>
      <c r="E209" s="187" t="s">
        <v>572</v>
      </c>
      <c r="F209" s="187" t="s">
        <v>573</v>
      </c>
      <c r="G209" s="133" t="s">
        <v>261</v>
      </c>
      <c r="H209" s="133" t="s">
        <v>417</v>
      </c>
      <c r="I209" s="137" t="s">
        <v>6737</v>
      </c>
      <c r="J209" s="133"/>
      <c r="K209" s="133" t="s">
        <v>3160</v>
      </c>
      <c r="L209" s="134"/>
      <c r="M209" s="134"/>
      <c r="N209" s="135"/>
      <c r="O209" s="102"/>
      <c r="P209" s="133" t="s">
        <v>3159</v>
      </c>
      <c r="Q209" s="238" t="s">
        <v>632</v>
      </c>
      <c r="R209" s="238" t="s">
        <v>662</v>
      </c>
      <c r="S209" s="239" t="s">
        <v>404</v>
      </c>
      <c r="T209" s="217"/>
    </row>
    <row r="210" spans="1:20" s="218" customFormat="1" x14ac:dyDescent="0.25">
      <c r="A210" s="276" t="s">
        <v>8117</v>
      </c>
      <c r="B210" s="129" t="s">
        <v>2441</v>
      </c>
      <c r="C210" s="236" t="str">
        <f>IF(ISNA(VLOOKUP($B210,'Data Pull Sheet'!$B$2:$C$1795,2,0)),"",(VLOOKUP($B210,'Data Pull Sheet'!$B$2:$C$1795,2,0)))</f>
        <v/>
      </c>
      <c r="D210" s="129" t="s">
        <v>570</v>
      </c>
      <c r="E210" s="188" t="s">
        <v>479</v>
      </c>
      <c r="F210" s="188" t="s">
        <v>1816</v>
      </c>
      <c r="G210" s="129" t="s">
        <v>2442</v>
      </c>
      <c r="H210" s="129" t="s">
        <v>403</v>
      </c>
      <c r="I210" s="136" t="s">
        <v>6737</v>
      </c>
      <c r="J210" s="129"/>
      <c r="K210" s="129" t="s">
        <v>2443</v>
      </c>
      <c r="L210" s="131">
        <v>2</v>
      </c>
      <c r="M210" s="131">
        <v>2</v>
      </c>
      <c r="N210" s="132">
        <f>SUM(I210:I211)</f>
        <v>0</v>
      </c>
      <c r="O210" s="99" t="e">
        <f>(N210/(IF(ISNA(VLOOKUP($C210,'Data Pull Sheet'!$C$2:$W$2795,7,0)),"",(VLOOKUP($C210,'Data Pull Sheet'!$C$2:$W$2795,7,0)))))</f>
        <v>#VALUE!</v>
      </c>
      <c r="P210" s="129" t="s">
        <v>2444</v>
      </c>
      <c r="Q210" s="236" t="s">
        <v>632</v>
      </c>
      <c r="R210" s="236" t="s">
        <v>646</v>
      </c>
      <c r="S210" s="237" t="s">
        <v>634</v>
      </c>
      <c r="T210" s="217"/>
    </row>
    <row r="211" spans="1:20" s="218" customFormat="1" x14ac:dyDescent="0.25">
      <c r="A211" s="276" t="s">
        <v>8117</v>
      </c>
      <c r="B211" s="69" t="s">
        <v>2441</v>
      </c>
      <c r="C211" s="274" t="str">
        <f>IF(ISNA(VLOOKUP($B211,'Data Pull Sheet'!$B$2:$C$1795,2,0)),"",(VLOOKUP($B211,'Data Pull Sheet'!$B$2:$C$1795,2,0)))</f>
        <v/>
      </c>
      <c r="D211" s="69" t="s">
        <v>570</v>
      </c>
      <c r="E211" s="186" t="s">
        <v>479</v>
      </c>
      <c r="F211" s="186" t="s">
        <v>1816</v>
      </c>
      <c r="G211" s="69" t="s">
        <v>2445</v>
      </c>
      <c r="H211" s="69" t="s">
        <v>403</v>
      </c>
      <c r="I211" s="74" t="s">
        <v>6737</v>
      </c>
      <c r="J211" s="69"/>
      <c r="K211" s="69" t="s">
        <v>2446</v>
      </c>
      <c r="L211" s="71"/>
      <c r="M211" s="71"/>
      <c r="N211" s="72"/>
      <c r="O211" s="97" t="e">
        <f>(N211/(IF(ISNA(VLOOKUP($C211,'Data Pull Sheet'!$C$2:$W$2795,7,0)),"",(VLOOKUP($C211,'Data Pull Sheet'!$C$2:$W$2795,7,0)))))</f>
        <v>#VALUE!</v>
      </c>
      <c r="P211" s="69" t="s">
        <v>2444</v>
      </c>
      <c r="Q211" s="274" t="s">
        <v>632</v>
      </c>
      <c r="R211" s="274" t="s">
        <v>646</v>
      </c>
      <c r="S211" s="275" t="s">
        <v>634</v>
      </c>
      <c r="T211" s="217"/>
    </row>
    <row r="212" spans="1:20" s="218" customFormat="1" ht="15.75" thickBot="1" x14ac:dyDescent="0.3">
      <c r="A212" s="276" t="s">
        <v>8117</v>
      </c>
      <c r="B212" s="133" t="s">
        <v>2441</v>
      </c>
      <c r="C212" s="238" t="str">
        <f>IF(ISNA(VLOOKUP($B212,'Data Pull Sheet'!$B$2:$C$1795,2,0)),"",(VLOOKUP($B212,'Data Pull Sheet'!$B$2:$C$1795,2,0)))</f>
        <v/>
      </c>
      <c r="D212" s="133" t="s">
        <v>570</v>
      </c>
      <c r="E212" s="187" t="s">
        <v>479</v>
      </c>
      <c r="F212" s="187" t="s">
        <v>1816</v>
      </c>
      <c r="G212" s="133" t="s">
        <v>2447</v>
      </c>
      <c r="H212" s="133" t="s">
        <v>403</v>
      </c>
      <c r="I212" s="137" t="s">
        <v>6737</v>
      </c>
      <c r="J212" s="133"/>
      <c r="K212" s="133" t="s">
        <v>2448</v>
      </c>
      <c r="L212" s="134"/>
      <c r="M212" s="134">
        <v>1</v>
      </c>
      <c r="N212" s="135" t="str">
        <f t="shared" ref="N212:N219" si="9">I212</f>
        <v>***</v>
      </c>
      <c r="O212" s="102" t="e">
        <f>(N212/(IF(ISNA(VLOOKUP($C212,'Data Pull Sheet'!$C$2:$W$2795,7,0)),"",(VLOOKUP($C212,'Data Pull Sheet'!$C$2:$W$2795,7,0)))))</f>
        <v>#VALUE!</v>
      </c>
      <c r="P212" s="133" t="s">
        <v>2449</v>
      </c>
      <c r="Q212" s="238" t="s">
        <v>632</v>
      </c>
      <c r="R212" s="238" t="s">
        <v>637</v>
      </c>
      <c r="S212" s="239" t="s">
        <v>634</v>
      </c>
      <c r="T212" s="217"/>
    </row>
    <row r="213" spans="1:20" s="218" customFormat="1" x14ac:dyDescent="0.25">
      <c r="A213" s="276" t="s">
        <v>8117</v>
      </c>
      <c r="B213" s="129" t="s">
        <v>3390</v>
      </c>
      <c r="C213" s="236" t="str">
        <f>IF(ISNA(VLOOKUP($B213,'Data Pull Sheet'!$B$2:$C$1795,2,0)),"",(VLOOKUP($B213,'Data Pull Sheet'!$B$2:$C$1795,2,0)))</f>
        <v/>
      </c>
      <c r="D213" s="129" t="s">
        <v>557</v>
      </c>
      <c r="E213" s="188" t="s">
        <v>589</v>
      </c>
      <c r="F213" s="188" t="s">
        <v>1816</v>
      </c>
      <c r="G213" s="129" t="s">
        <v>3391</v>
      </c>
      <c r="H213" s="129" t="s">
        <v>403</v>
      </c>
      <c r="I213" s="136" t="s">
        <v>6737</v>
      </c>
      <c r="J213" s="129"/>
      <c r="K213" s="129" t="s">
        <v>3392</v>
      </c>
      <c r="L213" s="131">
        <v>2</v>
      </c>
      <c r="M213" s="131">
        <v>1</v>
      </c>
      <c r="N213" s="132" t="str">
        <f t="shared" si="9"/>
        <v>***</v>
      </c>
      <c r="O213" s="99" t="e">
        <f>(N213/(IF(ISNA(VLOOKUP($C213,'Data Pull Sheet'!$C$2:$W$2795,7,0)),"",(VLOOKUP($C213,'Data Pull Sheet'!$C$2:$W$2795,7,0)))))</f>
        <v>#VALUE!</v>
      </c>
      <c r="P213" s="129" t="s">
        <v>3393</v>
      </c>
      <c r="Q213" s="236" t="s">
        <v>632</v>
      </c>
      <c r="R213" s="236" t="s">
        <v>637</v>
      </c>
      <c r="S213" s="237" t="s">
        <v>634</v>
      </c>
      <c r="T213" s="217"/>
    </row>
    <row r="214" spans="1:20" s="218" customFormat="1" ht="15.75" thickBot="1" x14ac:dyDescent="0.3">
      <c r="A214" s="276" t="s">
        <v>8117</v>
      </c>
      <c r="B214" s="133" t="s">
        <v>3390</v>
      </c>
      <c r="C214" s="238" t="str">
        <f>IF(ISNA(VLOOKUP($B214,'Data Pull Sheet'!$B$2:$C$1795,2,0)),"",(VLOOKUP($B214,'Data Pull Sheet'!$B$2:$C$1795,2,0)))</f>
        <v/>
      </c>
      <c r="D214" s="133" t="s">
        <v>557</v>
      </c>
      <c r="E214" s="187" t="s">
        <v>589</v>
      </c>
      <c r="F214" s="187" t="s">
        <v>1816</v>
      </c>
      <c r="G214" s="133" t="s">
        <v>3394</v>
      </c>
      <c r="H214" s="133" t="s">
        <v>403</v>
      </c>
      <c r="I214" s="137" t="s">
        <v>6737</v>
      </c>
      <c r="J214" s="133"/>
      <c r="K214" s="133" t="s">
        <v>3395</v>
      </c>
      <c r="L214" s="134"/>
      <c r="M214" s="134"/>
      <c r="N214" s="135" t="str">
        <f t="shared" si="9"/>
        <v>***</v>
      </c>
      <c r="O214" s="102" t="e">
        <f>(N214/(IF(ISNA(VLOOKUP($C214,'Data Pull Sheet'!$C$2:$W$2795,7,0)),"",(VLOOKUP($C214,'Data Pull Sheet'!$C$2:$W$2795,7,0)))))</f>
        <v>#VALUE!</v>
      </c>
      <c r="P214" s="133" t="s">
        <v>1144</v>
      </c>
      <c r="Q214" s="238" t="s">
        <v>632</v>
      </c>
      <c r="R214" s="238" t="s">
        <v>637</v>
      </c>
      <c r="S214" s="239" t="s">
        <v>634</v>
      </c>
      <c r="T214" s="217"/>
    </row>
    <row r="215" spans="1:20" s="218" customFormat="1" ht="15.75" thickBot="1" x14ac:dyDescent="0.3">
      <c r="A215" s="276" t="s">
        <v>8117</v>
      </c>
      <c r="B215" s="138" t="s">
        <v>1824</v>
      </c>
      <c r="C215" s="240" t="str">
        <f>IF(ISNA(VLOOKUP($B215,'Data Pull Sheet'!$B$2:$C$1795,2,0)),"",(VLOOKUP($B215,'Data Pull Sheet'!$B$2:$C$1795,2,0)))</f>
        <v/>
      </c>
      <c r="D215" s="138" t="s">
        <v>443</v>
      </c>
      <c r="E215" s="189" t="s">
        <v>1825</v>
      </c>
      <c r="F215" s="189" t="s">
        <v>1826</v>
      </c>
      <c r="G215" s="138" t="s">
        <v>1827</v>
      </c>
      <c r="H215" s="138" t="s">
        <v>417</v>
      </c>
      <c r="I215" s="139" t="s">
        <v>6737</v>
      </c>
      <c r="J215" s="138"/>
      <c r="K215" s="138" t="s">
        <v>1828</v>
      </c>
      <c r="L215" s="140">
        <v>1</v>
      </c>
      <c r="M215" s="140">
        <v>1</v>
      </c>
      <c r="N215" s="141" t="str">
        <f t="shared" si="9"/>
        <v>***</v>
      </c>
      <c r="O215" s="104" t="e">
        <f>(N215/(IF(ISNA(VLOOKUP($C215,'Data Pull Sheet'!$C$2:$W$2795,7,0)),"",(VLOOKUP($C215,'Data Pull Sheet'!$C$2:$W$2795,7,0)))))</f>
        <v>#VALUE!</v>
      </c>
      <c r="P215" s="138" t="s">
        <v>1829</v>
      </c>
      <c r="Q215" s="240" t="s">
        <v>676</v>
      </c>
      <c r="R215" s="240" t="s">
        <v>633</v>
      </c>
      <c r="S215" s="241" t="s">
        <v>634</v>
      </c>
      <c r="T215" s="217"/>
    </row>
    <row r="216" spans="1:20" s="218" customFormat="1" ht="15.75" thickBot="1" x14ac:dyDescent="0.3">
      <c r="A216" s="276" t="s">
        <v>8117</v>
      </c>
      <c r="B216" s="138" t="s">
        <v>3425</v>
      </c>
      <c r="C216" s="240" t="str">
        <f>IF(ISNA(VLOOKUP($B216,'Data Pull Sheet'!$B$2:$C$1795,2,0)),"",(VLOOKUP($B216,'Data Pull Sheet'!$B$2:$C$1795,2,0)))</f>
        <v/>
      </c>
      <c r="D216" s="138" t="s">
        <v>1380</v>
      </c>
      <c r="E216" s="189" t="s">
        <v>2572</v>
      </c>
      <c r="F216" s="189" t="s">
        <v>430</v>
      </c>
      <c r="G216" s="138" t="s">
        <v>3426</v>
      </c>
      <c r="H216" s="138" t="s">
        <v>403</v>
      </c>
      <c r="I216" s="139" t="s">
        <v>6737</v>
      </c>
      <c r="J216" s="138"/>
      <c r="K216" s="138" t="s">
        <v>3427</v>
      </c>
      <c r="L216" s="140">
        <v>1</v>
      </c>
      <c r="M216" s="140">
        <v>1</v>
      </c>
      <c r="N216" s="141" t="str">
        <f t="shared" si="9"/>
        <v>***</v>
      </c>
      <c r="O216" s="104" t="e">
        <f>(N216/(IF(ISNA(VLOOKUP($C216,'Data Pull Sheet'!$C$2:$W$2795,7,0)),"",(VLOOKUP($C216,'Data Pull Sheet'!$C$2:$W$2795,7,0)))))</f>
        <v>#VALUE!</v>
      </c>
      <c r="P216" s="138" t="s">
        <v>3428</v>
      </c>
      <c r="Q216" s="240" t="s">
        <v>676</v>
      </c>
      <c r="R216" s="240" t="s">
        <v>637</v>
      </c>
      <c r="S216" s="241" t="s">
        <v>634</v>
      </c>
      <c r="T216" s="217"/>
    </row>
    <row r="217" spans="1:20" s="218" customFormat="1" ht="15.75" thickBot="1" x14ac:dyDescent="0.3">
      <c r="A217" s="276" t="s">
        <v>8117</v>
      </c>
      <c r="B217" s="138" t="s">
        <v>1549</v>
      </c>
      <c r="C217" s="240" t="str">
        <f>IF(ISNA(VLOOKUP($B217,'Data Pull Sheet'!$B$2:$C$1795,2,0)),"",(VLOOKUP($B217,'Data Pull Sheet'!$B$2:$C$1795,2,0)))</f>
        <v/>
      </c>
      <c r="D217" s="138" t="s">
        <v>1380</v>
      </c>
      <c r="E217" s="189" t="s">
        <v>577</v>
      </c>
      <c r="F217" s="189" t="s">
        <v>1550</v>
      </c>
      <c r="G217" s="138" t="s">
        <v>1551</v>
      </c>
      <c r="H217" s="138" t="s">
        <v>403</v>
      </c>
      <c r="I217" s="139" t="s">
        <v>6737</v>
      </c>
      <c r="J217" s="138"/>
      <c r="K217" s="138" t="s">
        <v>1552</v>
      </c>
      <c r="L217" s="140">
        <v>1</v>
      </c>
      <c r="M217" s="140">
        <v>1</v>
      </c>
      <c r="N217" s="141" t="str">
        <f t="shared" si="9"/>
        <v>***</v>
      </c>
      <c r="O217" s="104" t="e">
        <f>(N217/(IF(ISNA(VLOOKUP($C217,'Data Pull Sheet'!$C$2:$W$2795,7,0)),"",(VLOOKUP($C217,'Data Pull Sheet'!$C$2:$W$2795,7,0)))))</f>
        <v>#VALUE!</v>
      </c>
      <c r="P217" s="138" t="s">
        <v>1553</v>
      </c>
      <c r="Q217" s="240" t="s">
        <v>676</v>
      </c>
      <c r="R217" s="240" t="s">
        <v>637</v>
      </c>
      <c r="S217" s="241" t="s">
        <v>634</v>
      </c>
      <c r="T217" s="217"/>
    </row>
    <row r="218" spans="1:20" s="218" customFormat="1" ht="15.75" thickBot="1" x14ac:dyDescent="0.3">
      <c r="A218" s="276" t="s">
        <v>8117</v>
      </c>
      <c r="B218" s="138" t="s">
        <v>2589</v>
      </c>
      <c r="C218" s="240" t="str">
        <f>IF(ISNA(VLOOKUP($B218,'Data Pull Sheet'!$B$2:$C$1795,2,0)),"",(VLOOKUP($B218,'Data Pull Sheet'!$B$2:$C$1795,2,0)))</f>
        <v/>
      </c>
      <c r="D218" s="138" t="s">
        <v>603</v>
      </c>
      <c r="E218" s="189" t="s">
        <v>433</v>
      </c>
      <c r="F218" s="189" t="s">
        <v>449</v>
      </c>
      <c r="G218" s="138" t="s">
        <v>2590</v>
      </c>
      <c r="H218" s="138" t="s">
        <v>403</v>
      </c>
      <c r="I218" s="139" t="s">
        <v>6737</v>
      </c>
      <c r="J218" s="138"/>
      <c r="K218" s="138" t="s">
        <v>2591</v>
      </c>
      <c r="L218" s="140">
        <v>1</v>
      </c>
      <c r="M218" s="140">
        <v>1</v>
      </c>
      <c r="N218" s="141" t="str">
        <f t="shared" si="9"/>
        <v>***</v>
      </c>
      <c r="O218" s="104" t="e">
        <f>(N218/(IF(ISNA(VLOOKUP($C218,'Data Pull Sheet'!$C$2:$W$2795,7,0)),"",(VLOOKUP($C218,'Data Pull Sheet'!$C$2:$W$2795,7,0)))))</f>
        <v>#VALUE!</v>
      </c>
      <c r="P218" s="138" t="s">
        <v>2592</v>
      </c>
      <c r="Q218" s="240" t="s">
        <v>676</v>
      </c>
      <c r="R218" s="240" t="s">
        <v>637</v>
      </c>
      <c r="S218" s="241" t="s">
        <v>634</v>
      </c>
      <c r="T218" s="217"/>
    </row>
    <row r="219" spans="1:20" s="218" customFormat="1" ht="15.75" thickBot="1" x14ac:dyDescent="0.3">
      <c r="A219" s="276" t="s">
        <v>8117</v>
      </c>
      <c r="B219" s="138" t="s">
        <v>2384</v>
      </c>
      <c r="C219" s="240" t="str">
        <f>IF(ISNA(VLOOKUP($B219,'Data Pull Sheet'!$B$2:$C$1795,2,0)),"",(VLOOKUP($B219,'Data Pull Sheet'!$B$2:$C$1795,2,0)))</f>
        <v/>
      </c>
      <c r="D219" s="138" t="s">
        <v>2385</v>
      </c>
      <c r="E219" s="189" t="s">
        <v>1685</v>
      </c>
      <c r="F219" s="189" t="s">
        <v>527</v>
      </c>
      <c r="G219" s="138" t="s">
        <v>2386</v>
      </c>
      <c r="H219" s="138" t="s">
        <v>417</v>
      </c>
      <c r="I219" s="139" t="s">
        <v>6737</v>
      </c>
      <c r="J219" s="138"/>
      <c r="K219" s="138" t="s">
        <v>2387</v>
      </c>
      <c r="L219" s="140">
        <v>1</v>
      </c>
      <c r="M219" s="140">
        <v>1</v>
      </c>
      <c r="N219" s="141" t="str">
        <f t="shared" si="9"/>
        <v>***</v>
      </c>
      <c r="O219" s="104" t="e">
        <f>(N219/(IF(ISNA(VLOOKUP($C219,'Data Pull Sheet'!$C$2:$W$2795,7,0)),"",(VLOOKUP($C219,'Data Pull Sheet'!$C$2:$W$2795,7,0)))))</f>
        <v>#VALUE!</v>
      </c>
      <c r="P219" s="138" t="s">
        <v>2388</v>
      </c>
      <c r="Q219" s="240" t="s">
        <v>676</v>
      </c>
      <c r="R219" s="240" t="s">
        <v>633</v>
      </c>
      <c r="S219" s="241" t="s">
        <v>634</v>
      </c>
      <c r="T219" s="217"/>
    </row>
    <row r="220" spans="1:20" s="218" customFormat="1" x14ac:dyDescent="0.25">
      <c r="A220" s="276" t="s">
        <v>8117</v>
      </c>
      <c r="B220" s="129" t="s">
        <v>1097</v>
      </c>
      <c r="C220" s="236" t="str">
        <f>IF(ISNA(VLOOKUP($B220,'Data Pull Sheet'!$B$2:$C$1795,2,0)),"",(VLOOKUP($B220,'Data Pull Sheet'!$B$2:$C$1795,2,0)))</f>
        <v/>
      </c>
      <c r="D220" s="129" t="s">
        <v>460</v>
      </c>
      <c r="E220" s="188" t="s">
        <v>1098</v>
      </c>
      <c r="F220" s="188" t="s">
        <v>523</v>
      </c>
      <c r="G220" s="129" t="s">
        <v>1099</v>
      </c>
      <c r="H220" s="129" t="s">
        <v>403</v>
      </c>
      <c r="I220" s="136" t="s">
        <v>6737</v>
      </c>
      <c r="J220" s="129"/>
      <c r="K220" s="129" t="s">
        <v>1100</v>
      </c>
      <c r="L220" s="131">
        <v>1</v>
      </c>
      <c r="M220" s="131">
        <v>2</v>
      </c>
      <c r="N220" s="132">
        <f>SUM(I220:I221)</f>
        <v>0</v>
      </c>
      <c r="O220" s="99" t="e">
        <f>(N220/(IF(ISNA(VLOOKUP($C220,'Data Pull Sheet'!$C$2:$W$2795,7,0)),"",(VLOOKUP($C220,'Data Pull Sheet'!$C$2:$W$2795,7,0)))))</f>
        <v>#VALUE!</v>
      </c>
      <c r="P220" s="129" t="s">
        <v>1101</v>
      </c>
      <c r="Q220" s="236" t="s">
        <v>676</v>
      </c>
      <c r="R220" s="236" t="s">
        <v>646</v>
      </c>
      <c r="S220" s="237" t="s">
        <v>634</v>
      </c>
      <c r="T220" s="217"/>
    </row>
    <row r="221" spans="1:20" s="218" customFormat="1" ht="15.75" thickBot="1" x14ac:dyDescent="0.3">
      <c r="A221" s="276" t="s">
        <v>8117</v>
      </c>
      <c r="B221" s="133" t="s">
        <v>1097</v>
      </c>
      <c r="C221" s="238" t="str">
        <f>IF(ISNA(VLOOKUP($B221,'Data Pull Sheet'!$B$2:$C$1795,2,0)),"",(VLOOKUP($B221,'Data Pull Sheet'!$B$2:$C$1795,2,0)))</f>
        <v/>
      </c>
      <c r="D221" s="133" t="s">
        <v>460</v>
      </c>
      <c r="E221" s="187" t="s">
        <v>1098</v>
      </c>
      <c r="F221" s="187" t="s">
        <v>523</v>
      </c>
      <c r="G221" s="133" t="s">
        <v>1102</v>
      </c>
      <c r="H221" s="133" t="s">
        <v>403</v>
      </c>
      <c r="I221" s="137" t="s">
        <v>6737</v>
      </c>
      <c r="J221" s="133"/>
      <c r="K221" s="133" t="s">
        <v>1103</v>
      </c>
      <c r="L221" s="134"/>
      <c r="M221" s="134"/>
      <c r="N221" s="135"/>
      <c r="O221" s="102" t="e">
        <f>(N221/(IF(ISNA(VLOOKUP($C221,'Data Pull Sheet'!$C$2:$W$2795,7,0)),"",(VLOOKUP($C221,'Data Pull Sheet'!$C$2:$W$2795,7,0)))))</f>
        <v>#VALUE!</v>
      </c>
      <c r="P221" s="133" t="s">
        <v>1101</v>
      </c>
      <c r="Q221" s="238" t="s">
        <v>676</v>
      </c>
      <c r="R221" s="238" t="s">
        <v>646</v>
      </c>
      <c r="S221" s="239" t="s">
        <v>634</v>
      </c>
      <c r="T221" s="217"/>
    </row>
    <row r="222" spans="1:20" s="218" customFormat="1" x14ac:dyDescent="0.25">
      <c r="A222" s="276" t="s">
        <v>8117</v>
      </c>
      <c r="B222" s="129" t="s">
        <v>559</v>
      </c>
      <c r="C222" s="236" t="str">
        <f>IF(ISNA(VLOOKUP($B222,'Data Pull Sheet'!$B$2:$C$1795,2,0)),"",(VLOOKUP($B222,'Data Pull Sheet'!$B$2:$C$1795,2,0)))</f>
        <v/>
      </c>
      <c r="D222" s="129" t="s">
        <v>437</v>
      </c>
      <c r="E222" s="188" t="s">
        <v>556</v>
      </c>
      <c r="F222" s="188" t="s">
        <v>436</v>
      </c>
      <c r="G222" s="129" t="s">
        <v>1759</v>
      </c>
      <c r="H222" s="129" t="s">
        <v>403</v>
      </c>
      <c r="I222" s="130">
        <v>47914</v>
      </c>
      <c r="J222" s="129" t="s">
        <v>1760</v>
      </c>
      <c r="K222" s="129" t="s">
        <v>1761</v>
      </c>
      <c r="L222" s="131">
        <v>1</v>
      </c>
      <c r="M222" s="131">
        <v>3</v>
      </c>
      <c r="N222" s="132">
        <f>SUM(I222:I224)</f>
        <v>47914</v>
      </c>
      <c r="O222" s="99" t="e">
        <f>(N222/(IF(ISNA(VLOOKUP($C222,'Data Pull Sheet'!$C$2:$W$2795,7,0)),"",(VLOOKUP($C222,'Data Pull Sheet'!$C$2:$W$2795,7,0)))))</f>
        <v>#VALUE!</v>
      </c>
      <c r="P222" s="129" t="s">
        <v>561</v>
      </c>
      <c r="Q222" s="236" t="s">
        <v>676</v>
      </c>
      <c r="R222" s="236" t="s">
        <v>646</v>
      </c>
      <c r="S222" s="237" t="s">
        <v>634</v>
      </c>
      <c r="T222" s="217"/>
    </row>
    <row r="223" spans="1:20" s="218" customFormat="1" x14ac:dyDescent="0.25">
      <c r="A223" s="276" t="s">
        <v>8117</v>
      </c>
      <c r="B223" s="69" t="s">
        <v>559</v>
      </c>
      <c r="C223" s="274" t="str">
        <f>IF(ISNA(VLOOKUP($B223,'Data Pull Sheet'!$B$2:$C$1795,2,0)),"",(VLOOKUP($B223,'Data Pull Sheet'!$B$2:$C$1795,2,0)))</f>
        <v/>
      </c>
      <c r="D223" s="69" t="s">
        <v>437</v>
      </c>
      <c r="E223" s="186" t="s">
        <v>556</v>
      </c>
      <c r="F223" s="186" t="s">
        <v>436</v>
      </c>
      <c r="G223" s="69" t="s">
        <v>560</v>
      </c>
      <c r="H223" s="69" t="s">
        <v>403</v>
      </c>
      <c r="I223" s="74" t="s">
        <v>6737</v>
      </c>
      <c r="J223" s="69"/>
      <c r="K223" s="69" t="s">
        <v>1762</v>
      </c>
      <c r="L223" s="71"/>
      <c r="M223" s="71"/>
      <c r="N223" s="72"/>
      <c r="O223" s="97" t="e">
        <f>(N223/(IF(ISNA(VLOOKUP($C223,'Data Pull Sheet'!$C$2:$W$2795,7,0)),"",(VLOOKUP($C223,'Data Pull Sheet'!$C$2:$W$2795,7,0)))))</f>
        <v>#VALUE!</v>
      </c>
      <c r="P223" s="69" t="s">
        <v>561</v>
      </c>
      <c r="Q223" s="274" t="s">
        <v>676</v>
      </c>
      <c r="R223" s="274" t="s">
        <v>646</v>
      </c>
      <c r="S223" s="275" t="s">
        <v>404</v>
      </c>
      <c r="T223" s="217"/>
    </row>
    <row r="224" spans="1:20" s="218" customFormat="1" ht="15.75" thickBot="1" x14ac:dyDescent="0.3">
      <c r="A224" s="276" t="s">
        <v>8117</v>
      </c>
      <c r="B224" s="133" t="s">
        <v>559</v>
      </c>
      <c r="C224" s="238" t="str">
        <f>IF(ISNA(VLOOKUP($B224,'Data Pull Sheet'!$B$2:$C$1795,2,0)),"",(VLOOKUP($B224,'Data Pull Sheet'!$B$2:$C$1795,2,0)))</f>
        <v/>
      </c>
      <c r="D224" s="133" t="s">
        <v>437</v>
      </c>
      <c r="E224" s="187" t="s">
        <v>556</v>
      </c>
      <c r="F224" s="187" t="s">
        <v>436</v>
      </c>
      <c r="G224" s="133" t="s">
        <v>1763</v>
      </c>
      <c r="H224" s="133" t="s">
        <v>403</v>
      </c>
      <c r="I224" s="137" t="s">
        <v>6737</v>
      </c>
      <c r="J224" s="133"/>
      <c r="K224" s="133" t="s">
        <v>1764</v>
      </c>
      <c r="L224" s="134"/>
      <c r="M224" s="134"/>
      <c r="N224" s="135"/>
      <c r="O224" s="102" t="e">
        <f>(N224/(IF(ISNA(VLOOKUP($C224,'Data Pull Sheet'!$C$2:$W$2795,7,0)),"",(VLOOKUP($C224,'Data Pull Sheet'!$C$2:$W$2795,7,0)))))</f>
        <v>#VALUE!</v>
      </c>
      <c r="P224" s="133" t="s">
        <v>561</v>
      </c>
      <c r="Q224" s="238" t="s">
        <v>676</v>
      </c>
      <c r="R224" s="238" t="s">
        <v>646</v>
      </c>
      <c r="S224" s="239" t="s">
        <v>634</v>
      </c>
      <c r="T224" s="217"/>
    </row>
    <row r="225" spans="1:26" s="218" customFormat="1" x14ac:dyDescent="0.25">
      <c r="A225" s="276" t="s">
        <v>8117</v>
      </c>
      <c r="B225" s="129" t="s">
        <v>2071</v>
      </c>
      <c r="C225" s="236" t="str">
        <f>IF(ISNA(VLOOKUP($B225,'Data Pull Sheet'!$B$2:$C$1795,2,0)),"",(VLOOKUP($B225,'Data Pull Sheet'!$B$2:$C$1795,2,0)))</f>
        <v/>
      </c>
      <c r="D225" s="129" t="s">
        <v>460</v>
      </c>
      <c r="E225" s="188" t="s">
        <v>435</v>
      </c>
      <c r="F225" s="188" t="s">
        <v>776</v>
      </c>
      <c r="G225" s="129" t="s">
        <v>2072</v>
      </c>
      <c r="H225" s="129" t="s">
        <v>403</v>
      </c>
      <c r="I225" s="136">
        <v>100</v>
      </c>
      <c r="J225" s="129" t="s">
        <v>813</v>
      </c>
      <c r="K225" s="129" t="s">
        <v>2073</v>
      </c>
      <c r="L225" s="131">
        <v>2</v>
      </c>
      <c r="M225" s="131">
        <v>2</v>
      </c>
      <c r="N225" s="132">
        <f>SUM(I225:I226)</f>
        <v>17223</v>
      </c>
      <c r="O225" s="99" t="e">
        <f>(N225/(IF(ISNA(VLOOKUP($C225,'Data Pull Sheet'!$C$2:$W$2795,7,0)),"",(VLOOKUP($C225,'Data Pull Sheet'!$C$2:$W$2795,7,0)))))</f>
        <v>#VALUE!</v>
      </c>
      <c r="P225" s="129" t="s">
        <v>2074</v>
      </c>
      <c r="Q225" s="236" t="s">
        <v>632</v>
      </c>
      <c r="R225" s="236" t="s">
        <v>646</v>
      </c>
      <c r="S225" s="237" t="s">
        <v>634</v>
      </c>
      <c r="T225" s="217"/>
    </row>
    <row r="226" spans="1:26" s="218" customFormat="1" x14ac:dyDescent="0.25">
      <c r="A226" s="276" t="s">
        <v>8117</v>
      </c>
      <c r="B226" s="69" t="s">
        <v>2071</v>
      </c>
      <c r="C226" s="274" t="str">
        <f>IF(ISNA(VLOOKUP($B226,'Data Pull Sheet'!$B$2:$C$1795,2,0)),"",(VLOOKUP($B226,'Data Pull Sheet'!$B$2:$C$1795,2,0)))</f>
        <v/>
      </c>
      <c r="D226" s="69" t="s">
        <v>460</v>
      </c>
      <c r="E226" s="186" t="s">
        <v>435</v>
      </c>
      <c r="F226" s="186" t="s">
        <v>776</v>
      </c>
      <c r="G226" s="69" t="s">
        <v>2075</v>
      </c>
      <c r="H226" s="69" t="s">
        <v>403</v>
      </c>
      <c r="I226" s="74">
        <v>17123</v>
      </c>
      <c r="J226" s="69" t="s">
        <v>813</v>
      </c>
      <c r="K226" s="69" t="s">
        <v>2076</v>
      </c>
      <c r="L226" s="71"/>
      <c r="M226" s="71"/>
      <c r="N226" s="72"/>
      <c r="O226" s="97"/>
      <c r="P226" s="69" t="s">
        <v>2074</v>
      </c>
      <c r="Q226" s="274" t="s">
        <v>632</v>
      </c>
      <c r="R226" s="274" t="s">
        <v>646</v>
      </c>
      <c r="S226" s="275" t="s">
        <v>634</v>
      </c>
      <c r="T226" s="217"/>
    </row>
    <row r="227" spans="1:26" s="218" customFormat="1" x14ac:dyDescent="0.25">
      <c r="A227" s="276" t="s">
        <v>8117</v>
      </c>
      <c r="B227" s="69" t="s">
        <v>2071</v>
      </c>
      <c r="C227" s="274" t="str">
        <f>IF(ISNA(VLOOKUP($B227,'Data Pull Sheet'!$B$2:$C$1795,2,0)),"",(VLOOKUP($B227,'Data Pull Sheet'!$B$2:$C$1795,2,0)))</f>
        <v/>
      </c>
      <c r="D227" s="69" t="s">
        <v>460</v>
      </c>
      <c r="E227" s="186" t="s">
        <v>435</v>
      </c>
      <c r="F227" s="186" t="s">
        <v>776</v>
      </c>
      <c r="G227" s="69" t="s">
        <v>2077</v>
      </c>
      <c r="H227" s="69" t="s">
        <v>403</v>
      </c>
      <c r="I227" s="74">
        <v>39153</v>
      </c>
      <c r="J227" s="69" t="s">
        <v>1760</v>
      </c>
      <c r="K227" s="69" t="s">
        <v>2078</v>
      </c>
      <c r="L227" s="71"/>
      <c r="M227" s="71">
        <v>4</v>
      </c>
      <c r="N227" s="72">
        <f>SUM(I227:I230)</f>
        <v>39153</v>
      </c>
      <c r="O227" s="97" t="e">
        <f>(N227/(IF(ISNA(VLOOKUP($C227,'Data Pull Sheet'!$C$2:$W$2795,7,0)),"",(VLOOKUP($C227,'Data Pull Sheet'!$C$2:$W$2795,7,0)))))</f>
        <v>#VALUE!</v>
      </c>
      <c r="P227" s="69" t="s">
        <v>2079</v>
      </c>
      <c r="Q227" s="274" t="s">
        <v>632</v>
      </c>
      <c r="R227" s="274" t="s">
        <v>662</v>
      </c>
      <c r="S227" s="275" t="s">
        <v>634</v>
      </c>
      <c r="T227" s="217"/>
    </row>
    <row r="228" spans="1:26" s="218" customFormat="1" x14ac:dyDescent="0.25">
      <c r="A228" s="276" t="s">
        <v>8117</v>
      </c>
      <c r="B228" s="69" t="s">
        <v>2071</v>
      </c>
      <c r="C228" s="274" t="str">
        <f>IF(ISNA(VLOOKUP($B228,'Data Pull Sheet'!$B$2:$C$1795,2,0)),"",(VLOOKUP($B228,'Data Pull Sheet'!$B$2:$C$1795,2,0)))</f>
        <v/>
      </c>
      <c r="D228" s="69" t="s">
        <v>460</v>
      </c>
      <c r="E228" s="186" t="s">
        <v>435</v>
      </c>
      <c r="F228" s="186" t="s">
        <v>776</v>
      </c>
      <c r="G228" s="69" t="s">
        <v>2080</v>
      </c>
      <c r="H228" s="69" t="s">
        <v>417</v>
      </c>
      <c r="I228" s="74" t="s">
        <v>6739</v>
      </c>
      <c r="J228" s="69"/>
      <c r="K228" s="69" t="s">
        <v>2081</v>
      </c>
      <c r="L228" s="71"/>
      <c r="M228" s="71"/>
      <c r="N228" s="72"/>
      <c r="O228" s="97"/>
      <c r="P228" s="69" t="s">
        <v>2079</v>
      </c>
      <c r="Q228" s="274" t="s">
        <v>632</v>
      </c>
      <c r="R228" s="274" t="s">
        <v>662</v>
      </c>
      <c r="S228" s="275" t="s">
        <v>634</v>
      </c>
      <c r="T228" s="217"/>
    </row>
    <row r="229" spans="1:26" s="218" customFormat="1" x14ac:dyDescent="0.25">
      <c r="A229" s="276" t="s">
        <v>8117</v>
      </c>
      <c r="B229" s="69" t="s">
        <v>2071</v>
      </c>
      <c r="C229" s="274" t="str">
        <f>IF(ISNA(VLOOKUP($B229,'Data Pull Sheet'!$B$2:$C$1795,2,0)),"",(VLOOKUP($B229,'Data Pull Sheet'!$B$2:$C$1795,2,0)))</f>
        <v/>
      </c>
      <c r="D229" s="69" t="s">
        <v>460</v>
      </c>
      <c r="E229" s="186" t="s">
        <v>435</v>
      </c>
      <c r="F229" s="186" t="s">
        <v>776</v>
      </c>
      <c r="G229" s="69" t="s">
        <v>2082</v>
      </c>
      <c r="H229" s="69" t="s">
        <v>403</v>
      </c>
      <c r="I229" s="74" t="s">
        <v>6739</v>
      </c>
      <c r="J229" s="69"/>
      <c r="K229" s="69" t="s">
        <v>2083</v>
      </c>
      <c r="L229" s="71"/>
      <c r="M229" s="71"/>
      <c r="N229" s="72"/>
      <c r="O229" s="97"/>
      <c r="P229" s="69" t="s">
        <v>2079</v>
      </c>
      <c r="Q229" s="274" t="s">
        <v>632</v>
      </c>
      <c r="R229" s="274" t="s">
        <v>662</v>
      </c>
      <c r="S229" s="275" t="s">
        <v>634</v>
      </c>
      <c r="T229" s="217"/>
    </row>
    <row r="230" spans="1:26" s="218" customFormat="1" ht="15.75" thickBot="1" x14ac:dyDescent="0.3">
      <c r="A230" s="276" t="s">
        <v>8117</v>
      </c>
      <c r="B230" s="133" t="s">
        <v>2071</v>
      </c>
      <c r="C230" s="238" t="str">
        <f>IF(ISNA(VLOOKUP($B230,'Data Pull Sheet'!$B$2:$C$1795,2,0)),"",(VLOOKUP($B230,'Data Pull Sheet'!$B$2:$C$1795,2,0)))</f>
        <v/>
      </c>
      <c r="D230" s="133" t="s">
        <v>460</v>
      </c>
      <c r="E230" s="187" t="s">
        <v>435</v>
      </c>
      <c r="F230" s="187" t="s">
        <v>776</v>
      </c>
      <c r="G230" s="133" t="s">
        <v>2084</v>
      </c>
      <c r="H230" s="133" t="s">
        <v>403</v>
      </c>
      <c r="I230" s="137" t="s">
        <v>6739</v>
      </c>
      <c r="J230" s="133"/>
      <c r="K230" s="133" t="s">
        <v>2085</v>
      </c>
      <c r="L230" s="134"/>
      <c r="M230" s="134"/>
      <c r="N230" s="135"/>
      <c r="O230" s="102"/>
      <c r="P230" s="133" t="s">
        <v>2079</v>
      </c>
      <c r="Q230" s="238" t="s">
        <v>632</v>
      </c>
      <c r="R230" s="238" t="s">
        <v>662</v>
      </c>
      <c r="S230" s="239" t="s">
        <v>634</v>
      </c>
      <c r="T230" s="217"/>
    </row>
    <row r="231" spans="1:26" s="218" customFormat="1" x14ac:dyDescent="0.25">
      <c r="A231" s="276" t="s">
        <v>8117</v>
      </c>
      <c r="B231" s="129" t="s">
        <v>3766</v>
      </c>
      <c r="C231" s="236" t="str">
        <f>IF(ISNA(VLOOKUP($B231,'Data Pull Sheet'!$B$2:$C$1795,2,0)),"",(VLOOKUP($B231,'Data Pull Sheet'!$B$2:$C$1795,2,0)))</f>
        <v/>
      </c>
      <c r="D231" s="129" t="s">
        <v>503</v>
      </c>
      <c r="E231" s="188" t="s">
        <v>451</v>
      </c>
      <c r="F231" s="188" t="s">
        <v>452</v>
      </c>
      <c r="G231" s="129" t="s">
        <v>3767</v>
      </c>
      <c r="H231" s="129" t="s">
        <v>403</v>
      </c>
      <c r="I231" s="136">
        <v>527690</v>
      </c>
      <c r="J231" s="129" t="s">
        <v>813</v>
      </c>
      <c r="K231" s="129" t="s">
        <v>3768</v>
      </c>
      <c r="L231" s="131">
        <v>1</v>
      </c>
      <c r="M231" s="131">
        <v>2</v>
      </c>
      <c r="N231" s="132">
        <f>SUM(I231:I232)</f>
        <v>527690</v>
      </c>
      <c r="O231" s="99" t="s">
        <v>4882</v>
      </c>
      <c r="P231" s="129" t="s">
        <v>3769</v>
      </c>
      <c r="Q231" s="236" t="s">
        <v>676</v>
      </c>
      <c r="R231" s="236" t="s">
        <v>646</v>
      </c>
      <c r="S231" s="237" t="s">
        <v>634</v>
      </c>
      <c r="T231" s="217"/>
    </row>
    <row r="232" spans="1:26" s="218" customFormat="1" ht="15.75" thickBot="1" x14ac:dyDescent="0.3">
      <c r="A232" s="276" t="s">
        <v>8117</v>
      </c>
      <c r="B232" s="133" t="s">
        <v>3766</v>
      </c>
      <c r="C232" s="238" t="str">
        <f>IF(ISNA(VLOOKUP($B232,'Data Pull Sheet'!$B$2:$C$1795,2,0)),"",(VLOOKUP($B232,'Data Pull Sheet'!$B$2:$C$1795,2,0)))</f>
        <v/>
      </c>
      <c r="D232" s="133" t="s">
        <v>503</v>
      </c>
      <c r="E232" s="187" t="s">
        <v>451</v>
      </c>
      <c r="F232" s="187" t="s">
        <v>452</v>
      </c>
      <c r="G232" s="133" t="s">
        <v>3770</v>
      </c>
      <c r="H232" s="133" t="s">
        <v>403</v>
      </c>
      <c r="I232" s="137" t="s">
        <v>6736</v>
      </c>
      <c r="J232" s="133"/>
      <c r="K232" s="133" t="s">
        <v>3771</v>
      </c>
      <c r="L232" s="134"/>
      <c r="M232" s="134"/>
      <c r="N232" s="135"/>
      <c r="O232" s="102" t="s">
        <v>4882</v>
      </c>
      <c r="P232" s="133" t="s">
        <v>3769</v>
      </c>
      <c r="Q232" s="238" t="s">
        <v>676</v>
      </c>
      <c r="R232" s="238" t="s">
        <v>646</v>
      </c>
      <c r="S232" s="239" t="s">
        <v>634</v>
      </c>
      <c r="T232" s="217"/>
    </row>
    <row r="233" spans="1:26" s="109" customFormat="1" ht="15.75" thickBot="1" x14ac:dyDescent="0.3">
      <c r="A233" s="276" t="s">
        <v>8117</v>
      </c>
      <c r="B233" s="128" t="s">
        <v>7077</v>
      </c>
      <c r="C233" s="128" t="s">
        <v>7516</v>
      </c>
      <c r="D233" s="128" t="s">
        <v>424</v>
      </c>
      <c r="E233" s="191" t="s">
        <v>7078</v>
      </c>
      <c r="F233" s="191" t="s">
        <v>7079</v>
      </c>
      <c r="G233" s="128"/>
      <c r="H233" s="128"/>
      <c r="I233" s="144"/>
      <c r="J233" s="128"/>
      <c r="K233" s="128"/>
      <c r="L233" s="128"/>
      <c r="M233" s="128"/>
      <c r="N233" s="128"/>
      <c r="O233" s="104" t="e">
        <f>(N233/(IF(ISNA(VLOOKUP($C233,'Data Pull Sheet'!$C$2:$W$2795,7,0)),"",(VLOOKUP($C233,'Data Pull Sheet'!$C$2:$W$2795,7,0)))))</f>
        <v>#VALUE!</v>
      </c>
      <c r="P233" s="128"/>
      <c r="Q233" s="326" t="s">
        <v>676</v>
      </c>
      <c r="R233" s="326" t="s">
        <v>637</v>
      </c>
      <c r="S233" s="241" t="s">
        <v>634</v>
      </c>
      <c r="T233" s="120"/>
      <c r="U233" s="106"/>
      <c r="V233" s="107"/>
      <c r="W233" s="108"/>
      <c r="X233" s="108"/>
      <c r="Y233" s="108"/>
      <c r="Z233" s="108"/>
    </row>
    <row r="234" spans="1:26" s="91" customFormat="1" x14ac:dyDescent="0.25">
      <c r="A234" s="276" t="s">
        <v>8117</v>
      </c>
      <c r="B234" s="59" t="s">
        <v>4228</v>
      </c>
      <c r="C234" s="57" t="s">
        <v>4898</v>
      </c>
      <c r="D234" s="16" t="s">
        <v>4899</v>
      </c>
      <c r="E234" s="16" t="s">
        <v>421</v>
      </c>
      <c r="F234" s="15">
        <v>5</v>
      </c>
      <c r="G234" s="13" t="s">
        <v>4900</v>
      </c>
      <c r="H234" s="277" t="s">
        <v>4901</v>
      </c>
      <c r="I234" s="175" t="s">
        <v>4882</v>
      </c>
      <c r="J234" s="173" t="s">
        <v>6732</v>
      </c>
      <c r="K234" s="20" t="s">
        <v>4287</v>
      </c>
      <c r="L234" s="278">
        <v>42562</v>
      </c>
      <c r="M234" s="278">
        <v>42561</v>
      </c>
      <c r="N234" s="277"/>
      <c r="O234" s="277"/>
      <c r="P234" s="277"/>
    </row>
    <row r="235" spans="1:26" s="91" customFormat="1" ht="15.75" thickBot="1" x14ac:dyDescent="0.3">
      <c r="A235" s="276" t="s">
        <v>8117</v>
      </c>
      <c r="B235" s="57" t="s">
        <v>4211</v>
      </c>
      <c r="C235" s="57" t="s">
        <v>4594</v>
      </c>
      <c r="D235" s="16" t="s">
        <v>4595</v>
      </c>
      <c r="E235" s="16" t="s">
        <v>545</v>
      </c>
      <c r="F235" s="15">
        <v>10</v>
      </c>
      <c r="G235" s="13" t="s">
        <v>4596</v>
      </c>
      <c r="H235" s="277" t="s">
        <v>4597</v>
      </c>
      <c r="I235" s="175" t="s">
        <v>4882</v>
      </c>
      <c r="J235" s="173" t="s">
        <v>6732</v>
      </c>
      <c r="K235" s="20" t="s">
        <v>4295</v>
      </c>
      <c r="L235" s="278">
        <v>42613</v>
      </c>
      <c r="M235" s="278">
        <v>42612</v>
      </c>
      <c r="N235" s="277"/>
      <c r="O235" s="277"/>
      <c r="P235" s="277"/>
    </row>
    <row r="236" spans="1:26" s="218" customFormat="1" ht="15.75" thickBot="1" x14ac:dyDescent="0.3">
      <c r="A236" s="276" t="s">
        <v>8117</v>
      </c>
      <c r="B236" s="126" t="s">
        <v>6916</v>
      </c>
      <c r="C236" s="126" t="s">
        <v>7550</v>
      </c>
      <c r="D236" s="126" t="s">
        <v>457</v>
      </c>
      <c r="E236" s="190" t="s">
        <v>6917</v>
      </c>
      <c r="F236" s="190" t="s">
        <v>6918</v>
      </c>
      <c r="G236" s="126" t="s">
        <v>6919</v>
      </c>
      <c r="H236" s="126" t="s">
        <v>403</v>
      </c>
      <c r="I236" s="103">
        <v>56000</v>
      </c>
      <c r="J236" s="126" t="s">
        <v>2613</v>
      </c>
      <c r="K236" s="126" t="s">
        <v>7693</v>
      </c>
      <c r="L236" s="126">
        <v>1</v>
      </c>
      <c r="M236" s="126">
        <v>1</v>
      </c>
      <c r="N236" s="127">
        <f t="shared" ref="N236:N241" si="10">I236</f>
        <v>56000</v>
      </c>
      <c r="O236" s="104" t="e">
        <f>(N236/(IF(ISNA(VLOOKUP($C236,'Data Pull Sheet'!$C$2:$W$2795,7,0)),"",(VLOOKUP($C236,'Data Pull Sheet'!$C$2:$W$2795,7,0)))))</f>
        <v>#VALUE!</v>
      </c>
      <c r="P236" s="126" t="s">
        <v>6920</v>
      </c>
      <c r="Q236" s="177" t="s">
        <v>676</v>
      </c>
      <c r="R236" s="177" t="s">
        <v>637</v>
      </c>
      <c r="S236" s="229" t="s">
        <v>634</v>
      </c>
      <c r="T236" s="120"/>
      <c r="U236" s="106"/>
      <c r="V236" s="107"/>
    </row>
    <row r="237" spans="1:26" s="218" customFormat="1" ht="15.75" thickBot="1" x14ac:dyDescent="0.3">
      <c r="A237" s="276" t="s">
        <v>8117</v>
      </c>
      <c r="B237" s="126" t="s">
        <v>6767</v>
      </c>
      <c r="C237" s="126" t="s">
        <v>7536</v>
      </c>
      <c r="D237" s="126" t="s">
        <v>817</v>
      </c>
      <c r="E237" s="190" t="s">
        <v>6768</v>
      </c>
      <c r="F237" s="190" t="s">
        <v>6765</v>
      </c>
      <c r="G237" s="126" t="s">
        <v>6769</v>
      </c>
      <c r="H237" s="126" t="s">
        <v>403</v>
      </c>
      <c r="I237" s="114">
        <v>701</v>
      </c>
      <c r="J237" s="126" t="s">
        <v>2613</v>
      </c>
      <c r="K237" s="126" t="s">
        <v>7625</v>
      </c>
      <c r="L237" s="126">
        <v>1</v>
      </c>
      <c r="M237" s="126">
        <v>1</v>
      </c>
      <c r="N237" s="126">
        <f t="shared" si="10"/>
        <v>701</v>
      </c>
      <c r="O237" s="104" t="e">
        <f>(N237/(IF(ISNA(VLOOKUP($C237,'Data Pull Sheet'!$C$2:$W$2795,7,0)),"",(VLOOKUP($C237,'Data Pull Sheet'!$C$2:$W$2795,7,0)))))</f>
        <v>#VALUE!</v>
      </c>
      <c r="P237" s="126" t="s">
        <v>6770</v>
      </c>
      <c r="Q237" s="177" t="s">
        <v>676</v>
      </c>
      <c r="R237" s="177" t="s">
        <v>637</v>
      </c>
      <c r="S237" s="229" t="s">
        <v>634</v>
      </c>
      <c r="T237" s="120"/>
      <c r="U237" s="106"/>
      <c r="V237" s="107"/>
    </row>
    <row r="238" spans="1:26" s="218" customFormat="1" ht="15.75" thickBot="1" x14ac:dyDescent="0.3">
      <c r="A238" s="276" t="s">
        <v>8117</v>
      </c>
      <c r="B238" s="124" t="s">
        <v>7456</v>
      </c>
      <c r="C238" s="124" t="s">
        <v>7526</v>
      </c>
      <c r="D238" s="124" t="s">
        <v>437</v>
      </c>
      <c r="E238" s="192" t="s">
        <v>7457</v>
      </c>
      <c r="F238" s="192" t="s">
        <v>7403</v>
      </c>
      <c r="G238" s="124" t="s">
        <v>7458</v>
      </c>
      <c r="H238" s="124" t="s">
        <v>403</v>
      </c>
      <c r="I238" s="111">
        <v>200</v>
      </c>
      <c r="J238" s="124" t="s">
        <v>2613</v>
      </c>
      <c r="K238" s="124" t="s">
        <v>7957</v>
      </c>
      <c r="L238" s="124">
        <v>1</v>
      </c>
      <c r="M238" s="124">
        <v>1</v>
      </c>
      <c r="N238" s="125">
        <f t="shared" si="10"/>
        <v>200</v>
      </c>
      <c r="O238" s="110" t="e">
        <f>(N238/(IF(ISNA(VLOOKUP($C238,'Data Pull Sheet'!$C$2:$W$2795,7,0)),"",(VLOOKUP($C238,'Data Pull Sheet'!$C$2:$W$2795,7,0)))))</f>
        <v>#VALUE!</v>
      </c>
      <c r="P238" s="124" t="s">
        <v>407</v>
      </c>
      <c r="Q238" s="185" t="s">
        <v>676</v>
      </c>
      <c r="R238" s="185" t="s">
        <v>637</v>
      </c>
      <c r="S238" s="279" t="s">
        <v>634</v>
      </c>
      <c r="T238" s="120"/>
      <c r="U238" s="106"/>
      <c r="V238" s="107"/>
    </row>
    <row r="239" spans="1:26" s="218" customFormat="1" ht="15.75" thickBot="1" x14ac:dyDescent="0.3">
      <c r="A239" s="276" t="s">
        <v>8117</v>
      </c>
      <c r="B239" s="124" t="s">
        <v>7402</v>
      </c>
      <c r="C239" s="124" t="s">
        <v>7615</v>
      </c>
      <c r="D239" s="124" t="s">
        <v>460</v>
      </c>
      <c r="E239" s="192" t="s">
        <v>6972</v>
      </c>
      <c r="F239" s="192" t="s">
        <v>7403</v>
      </c>
      <c r="G239" s="124" t="s">
        <v>7404</v>
      </c>
      <c r="H239" s="124" t="s">
        <v>403</v>
      </c>
      <c r="I239" s="111">
        <v>470</v>
      </c>
      <c r="J239" s="124" t="s">
        <v>2613</v>
      </c>
      <c r="K239" s="124" t="s">
        <v>7954</v>
      </c>
      <c r="L239" s="124">
        <v>1</v>
      </c>
      <c r="M239" s="124">
        <v>1</v>
      </c>
      <c r="N239" s="125">
        <f t="shared" si="10"/>
        <v>470</v>
      </c>
      <c r="O239" s="110" t="e">
        <f>(N239/(IF(ISNA(VLOOKUP($C239,'Data Pull Sheet'!$C$2:$W$2795,7,0)),"",(VLOOKUP($C239,'Data Pull Sheet'!$C$2:$W$2795,7,0)))))</f>
        <v>#VALUE!</v>
      </c>
      <c r="P239" s="124" t="s">
        <v>7405</v>
      </c>
      <c r="Q239" s="185" t="s">
        <v>676</v>
      </c>
      <c r="R239" s="185" t="s">
        <v>637</v>
      </c>
      <c r="S239" s="279" t="s">
        <v>634</v>
      </c>
      <c r="T239" s="120"/>
      <c r="U239" s="106"/>
      <c r="V239" s="107"/>
    </row>
    <row r="240" spans="1:26" s="218" customFormat="1" ht="15.75" thickBot="1" x14ac:dyDescent="0.3">
      <c r="A240" s="276" t="s">
        <v>8117</v>
      </c>
      <c r="B240" s="126" t="s">
        <v>7396</v>
      </c>
      <c r="C240" s="126" t="s">
        <v>7576</v>
      </c>
      <c r="D240" s="126" t="s">
        <v>7397</v>
      </c>
      <c r="E240" s="190" t="s">
        <v>7398</v>
      </c>
      <c r="F240" s="190" t="s">
        <v>7399</v>
      </c>
      <c r="G240" s="126" t="s">
        <v>2612</v>
      </c>
      <c r="H240" s="126" t="s">
        <v>417</v>
      </c>
      <c r="I240" s="103">
        <v>1084</v>
      </c>
      <c r="J240" s="126" t="s">
        <v>2613</v>
      </c>
      <c r="K240" s="126" t="s">
        <v>7944</v>
      </c>
      <c r="L240" s="126">
        <v>1</v>
      </c>
      <c r="M240" s="126">
        <v>1</v>
      </c>
      <c r="N240" s="127">
        <f t="shared" si="10"/>
        <v>1084</v>
      </c>
      <c r="O240" s="104" t="e">
        <f>(N240/(IF(ISNA(VLOOKUP($C240,'Data Pull Sheet'!$C$2:$W$2795,7,0)),"",(VLOOKUP($C240,'Data Pull Sheet'!$C$2:$W$2795,7,0)))))</f>
        <v>#VALUE!</v>
      </c>
      <c r="P240" s="126" t="s">
        <v>7401</v>
      </c>
      <c r="Q240" s="177" t="s">
        <v>676</v>
      </c>
      <c r="R240" s="177" t="s">
        <v>633</v>
      </c>
      <c r="S240" s="229" t="s">
        <v>404</v>
      </c>
      <c r="T240" s="120"/>
      <c r="U240" s="106"/>
      <c r="V240" s="107"/>
    </row>
    <row r="241" spans="1:22" s="218" customFormat="1" ht="15.75" thickBot="1" x14ac:dyDescent="0.3">
      <c r="A241" s="276" t="s">
        <v>8117</v>
      </c>
      <c r="B241" s="126" t="s">
        <v>7381</v>
      </c>
      <c r="C241" s="126" t="s">
        <v>7568</v>
      </c>
      <c r="D241" s="126" t="s">
        <v>460</v>
      </c>
      <c r="E241" s="190" t="s">
        <v>7382</v>
      </c>
      <c r="F241" s="190" t="s">
        <v>7378</v>
      </c>
      <c r="G241" s="126" t="s">
        <v>7383</v>
      </c>
      <c r="H241" s="126" t="s">
        <v>417</v>
      </c>
      <c r="I241" s="103">
        <v>1237</v>
      </c>
      <c r="J241" s="126" t="s">
        <v>2613</v>
      </c>
      <c r="K241" s="126" t="s">
        <v>7943</v>
      </c>
      <c r="L241" s="126">
        <v>1</v>
      </c>
      <c r="M241" s="126">
        <v>1</v>
      </c>
      <c r="N241" s="127">
        <f t="shared" si="10"/>
        <v>1237</v>
      </c>
      <c r="O241" s="104" t="e">
        <f>(N241/(IF(ISNA(VLOOKUP($C241,'Data Pull Sheet'!$C$2:$W$2795,7,0)),"",(VLOOKUP($C241,'Data Pull Sheet'!$C$2:$W$2795,7,0)))))</f>
        <v>#VALUE!</v>
      </c>
      <c r="P241" s="126" t="s">
        <v>2989</v>
      </c>
      <c r="Q241" s="177" t="s">
        <v>676</v>
      </c>
      <c r="R241" s="177" t="s">
        <v>633</v>
      </c>
      <c r="S241" s="229" t="s">
        <v>634</v>
      </c>
      <c r="T241" s="120"/>
      <c r="U241" s="106"/>
      <c r="V241" s="107"/>
    </row>
    <row r="242" spans="1:22" s="91" customFormat="1" x14ac:dyDescent="0.25">
      <c r="A242" s="25" t="s">
        <v>10638</v>
      </c>
      <c r="B242" s="57" t="s">
        <v>4234</v>
      </c>
      <c r="C242" s="57" t="s">
        <v>5005</v>
      </c>
      <c r="D242" s="16" t="s">
        <v>5006</v>
      </c>
      <c r="E242" s="16" t="s">
        <v>457</v>
      </c>
      <c r="F242" s="15">
        <v>9</v>
      </c>
      <c r="G242" s="13" t="s">
        <v>5007</v>
      </c>
      <c r="H242" s="277" t="s">
        <v>79</v>
      </c>
      <c r="I242" s="173">
        <v>500000000</v>
      </c>
      <c r="J242" s="173" t="str">
        <f>IF($I242&lt;='Abbrev Key'!$A$2,'Abbrev Key'!$B$2,IF($I242&lt;='Abbrev Key'!$A$3,'Abbrev Key'!$B$3,IF($I242&lt;='Abbrev Key'!$A$4,'Abbrev Key'!$B$4,IF($I242&lt;='Abbrev Key'!$A$5,'Abbrev Key'!$B$5,IF($I242&lt;='Abbrev Key'!$A$6,'Abbrev Key'!$B$6,IF($I242&gt;='Abbrev Key'!$A$7,'Abbrev Key'!$B$7,IF($I242='Abbrev Key'!$A$8,'Abbrev Key'!$B$8,"")))))))</f>
        <v>E</v>
      </c>
      <c r="K242" s="20" t="s">
        <v>4295</v>
      </c>
      <c r="L242" s="278">
        <v>42522</v>
      </c>
      <c r="M242" s="278">
        <v>42521</v>
      </c>
      <c r="N242" s="277"/>
      <c r="O242" s="277"/>
      <c r="P242" s="277"/>
    </row>
    <row r="243" spans="1:22" s="91" customFormat="1" x14ac:dyDescent="0.25">
      <c r="A243" s="25" t="s">
        <v>8117</v>
      </c>
      <c r="B243" s="57" t="s">
        <v>809</v>
      </c>
      <c r="C243" s="57" t="s">
        <v>4340</v>
      </c>
      <c r="D243" s="16" t="s">
        <v>4341</v>
      </c>
      <c r="E243" s="16" t="s">
        <v>409</v>
      </c>
      <c r="F243" s="15">
        <v>1</v>
      </c>
      <c r="G243" s="13" t="s">
        <v>4342</v>
      </c>
      <c r="H243" s="277" t="s">
        <v>4343</v>
      </c>
      <c r="I243" s="175" t="s">
        <v>4882</v>
      </c>
      <c r="J243" s="173" t="s">
        <v>6732</v>
      </c>
      <c r="K243" s="20" t="s">
        <v>4287</v>
      </c>
      <c r="L243" s="278">
        <v>42781</v>
      </c>
      <c r="M243" s="278">
        <v>42780</v>
      </c>
      <c r="N243" s="19" t="str">
        <f>_xlfn.IFNA(VLOOKUP(B243,'[1]VLOOKUP NO DUPS'!$A$1:$C$456,2,FALSE),"")</f>
        <v/>
      </c>
      <c r="O243" s="19" t="str">
        <f>_xlfn.IFNA(VLOOKUP(B243,'[1]VLOOKUP NO DUPS'!$A$1:$C$456,3,FALSE),"")</f>
        <v/>
      </c>
      <c r="P243" s="277"/>
      <c r="Q243" s="277"/>
      <c r="R243" s="277"/>
    </row>
    <row r="244" spans="1:22" s="323" customFormat="1" x14ac:dyDescent="0.25">
      <c r="A244" s="25" t="s">
        <v>8117</v>
      </c>
      <c r="B244" s="327" t="s">
        <v>816</v>
      </c>
      <c r="C244" s="327" t="s">
        <v>4344</v>
      </c>
      <c r="D244" s="328" t="s">
        <v>4345</v>
      </c>
      <c r="E244" s="328" t="s">
        <v>817</v>
      </c>
      <c r="F244" s="329">
        <v>4</v>
      </c>
      <c r="G244" s="330" t="s">
        <v>4346</v>
      </c>
      <c r="H244" s="331" t="s">
        <v>166</v>
      </c>
      <c r="I244" s="332">
        <v>1600000000</v>
      </c>
      <c r="J244" s="332" t="str">
        <f>IF($I244&lt;='Abbrev Key'!$A$2,'Abbrev Key'!$B$2,IF($I244&lt;='Abbrev Key'!$A$3,'Abbrev Key'!$B$3,IF($I244&lt;='Abbrev Key'!$A$4,'Abbrev Key'!$B$4,IF($I244&lt;='Abbrev Key'!$A$5,'Abbrev Key'!$B$5,IF($I244&lt;='Abbrev Key'!$A$6,'Abbrev Key'!$B$6,IF($I244&gt;='Abbrev Key'!$A$7,'Abbrev Key'!$B$7,IF($I244='Abbrev Key'!$A$8,'Abbrev Key'!$B$8,"")))))))</f>
        <v>F</v>
      </c>
      <c r="K244" s="330" t="s">
        <v>4287</v>
      </c>
      <c r="L244" s="333">
        <v>42748</v>
      </c>
      <c r="M244" s="333">
        <v>42747</v>
      </c>
      <c r="N244" s="333" t="str">
        <f>_xlfn.IFNA(VLOOKUP(B244,'[1]VLOOKUP NO DUPS'!$A$1:$C$456,2,FALSE),"")</f>
        <v/>
      </c>
      <c r="O244" s="333" t="str">
        <f>_xlfn.IFNA(VLOOKUP(B244,'[1]VLOOKUP NO DUPS'!$A$1:$C$456,3,FALSE),"")</f>
        <v/>
      </c>
      <c r="P244" s="331"/>
      <c r="Q244" s="331"/>
      <c r="R244" s="331"/>
    </row>
    <row r="245" spans="1:22" s="91" customFormat="1" x14ac:dyDescent="0.25">
      <c r="A245" s="25" t="s">
        <v>8117</v>
      </c>
      <c r="B245" s="57" t="s">
        <v>4203</v>
      </c>
      <c r="C245" s="57" t="s">
        <v>4366</v>
      </c>
      <c r="D245" s="16" t="s">
        <v>4367</v>
      </c>
      <c r="E245" s="16" t="s">
        <v>457</v>
      </c>
      <c r="F245" s="15">
        <v>9</v>
      </c>
      <c r="G245" s="13" t="s">
        <v>4368</v>
      </c>
      <c r="H245" s="277" t="s">
        <v>4369</v>
      </c>
      <c r="I245" s="175" t="s">
        <v>4882</v>
      </c>
      <c r="J245" s="173" t="s">
        <v>6732</v>
      </c>
      <c r="K245" s="20" t="s">
        <v>4295</v>
      </c>
      <c r="L245" s="278">
        <v>42747</v>
      </c>
      <c r="M245" s="278">
        <v>42746</v>
      </c>
      <c r="N245" s="19" t="str">
        <f>_xlfn.IFNA(VLOOKUP(B245,'[1]VLOOKUP NO DUPS'!$A$1:$C$456,2,FALSE),"")</f>
        <v/>
      </c>
      <c r="O245" s="19" t="str">
        <f>_xlfn.IFNA(VLOOKUP(B245,'[1]VLOOKUP NO DUPS'!$A$1:$C$456,3,FALSE),"")</f>
        <v/>
      </c>
      <c r="P245" s="277"/>
      <c r="Q245" s="277"/>
      <c r="R245" s="277"/>
    </row>
    <row r="246" spans="1:22" s="91" customFormat="1" x14ac:dyDescent="0.25">
      <c r="A246" s="25" t="s">
        <v>8117</v>
      </c>
      <c r="B246" s="57" t="s">
        <v>1027</v>
      </c>
      <c r="C246" s="57" t="s">
        <v>4401</v>
      </c>
      <c r="D246" s="16" t="s">
        <v>4402</v>
      </c>
      <c r="E246" s="16" t="s">
        <v>443</v>
      </c>
      <c r="F246" s="15">
        <v>9</v>
      </c>
      <c r="G246" s="13" t="s">
        <v>4403</v>
      </c>
      <c r="H246" s="277" t="s">
        <v>4404</v>
      </c>
      <c r="I246" s="175" t="s">
        <v>4882</v>
      </c>
      <c r="J246" s="173" t="s">
        <v>6732</v>
      </c>
      <c r="K246" s="20" t="s">
        <v>4287</v>
      </c>
      <c r="L246" s="278">
        <v>42433</v>
      </c>
      <c r="M246" s="278">
        <v>42432</v>
      </c>
      <c r="N246" s="19" t="str">
        <f>_xlfn.IFNA(VLOOKUP(B246,'[1]VLOOKUP NO DUPS'!$A$1:$C$456,2,FALSE),"")</f>
        <v/>
      </c>
      <c r="O246" s="19" t="str">
        <f>_xlfn.IFNA(VLOOKUP(B246,'[1]VLOOKUP NO DUPS'!$A$1:$C$456,3,FALSE),"")</f>
        <v/>
      </c>
      <c r="P246" s="277"/>
      <c r="Q246" s="277"/>
      <c r="R246" s="277"/>
    </row>
    <row r="247" spans="1:22" s="323" customFormat="1" x14ac:dyDescent="0.25">
      <c r="A247" s="25" t="s">
        <v>8117</v>
      </c>
      <c r="B247" s="327" t="s">
        <v>1060</v>
      </c>
      <c r="C247" s="327" t="s">
        <v>4409</v>
      </c>
      <c r="D247" s="328" t="s">
        <v>4410</v>
      </c>
      <c r="E247" s="328" t="s">
        <v>457</v>
      </c>
      <c r="F247" s="329">
        <v>9</v>
      </c>
      <c r="G247" s="330" t="s">
        <v>4411</v>
      </c>
      <c r="H247" s="331" t="s">
        <v>7</v>
      </c>
      <c r="I247" s="332">
        <v>160000000</v>
      </c>
      <c r="J247" s="332" t="str">
        <f>IF($I247&lt;='Abbrev Key'!$A$2,'Abbrev Key'!$B$2,IF($I247&lt;='Abbrev Key'!$A$3,'Abbrev Key'!$B$3,IF($I247&lt;='Abbrev Key'!$A$4,'Abbrev Key'!$B$4,IF($I247&lt;='Abbrev Key'!$A$5,'Abbrev Key'!$B$5,IF($I247&lt;='Abbrev Key'!$A$6,'Abbrev Key'!$B$6,IF($I247&gt;='Abbrev Key'!$A$7,'Abbrev Key'!$B$7,IF($I247='Abbrev Key'!$A$8,'Abbrev Key'!$B$8,"")))))))</f>
        <v>D</v>
      </c>
      <c r="K247" s="330" t="s">
        <v>4287</v>
      </c>
      <c r="L247" s="333">
        <v>42716</v>
      </c>
      <c r="M247" s="333">
        <v>42715</v>
      </c>
      <c r="N247" s="333" t="str">
        <f>_xlfn.IFNA(VLOOKUP(B247,'[1]VLOOKUP NO DUPS'!$A$1:$C$456,2,FALSE),"")</f>
        <v/>
      </c>
      <c r="O247" s="333" t="str">
        <f>_xlfn.IFNA(VLOOKUP(B247,'[1]VLOOKUP NO DUPS'!$A$1:$C$456,3,FALSE),"")</f>
        <v/>
      </c>
      <c r="P247" s="331"/>
      <c r="Q247" s="331"/>
      <c r="R247" s="331"/>
    </row>
    <row r="248" spans="1:22" s="91" customFormat="1" x14ac:dyDescent="0.25">
      <c r="A248" s="25" t="s">
        <v>8117</v>
      </c>
      <c r="B248" s="57" t="s">
        <v>1097</v>
      </c>
      <c r="C248" s="57" t="s">
        <v>4418</v>
      </c>
      <c r="D248" s="16" t="s">
        <v>4419</v>
      </c>
      <c r="E248" s="16" t="s">
        <v>460</v>
      </c>
      <c r="F248" s="15">
        <v>4</v>
      </c>
      <c r="G248" s="13" t="s">
        <v>4420</v>
      </c>
      <c r="H248" s="277" t="s">
        <v>4421</v>
      </c>
      <c r="I248" s="175" t="s">
        <v>4882</v>
      </c>
      <c r="J248" s="173" t="s">
        <v>6732</v>
      </c>
      <c r="K248" s="20" t="s">
        <v>4295</v>
      </c>
      <c r="L248" s="278">
        <v>42724</v>
      </c>
      <c r="M248" s="278">
        <v>42723</v>
      </c>
      <c r="N248" s="19" t="str">
        <f>_xlfn.IFNA(VLOOKUP(B248,'[1]VLOOKUP NO DUPS'!$A$1:$C$456,2,FALSE),"")</f>
        <v/>
      </c>
      <c r="O248" s="19" t="str">
        <f>_xlfn.IFNA(VLOOKUP(B248,'[1]VLOOKUP NO DUPS'!$A$1:$C$456,3,FALSE),"")</f>
        <v/>
      </c>
      <c r="P248" s="277"/>
      <c r="Q248" s="277"/>
      <c r="R248" s="277"/>
    </row>
    <row r="249" spans="1:22" s="91" customFormat="1" x14ac:dyDescent="0.25">
      <c r="A249" s="25" t="s">
        <v>8117</v>
      </c>
      <c r="B249" s="57" t="s">
        <v>1115</v>
      </c>
      <c r="C249" s="57" t="s">
        <v>4425</v>
      </c>
      <c r="D249" s="16" t="s">
        <v>4426</v>
      </c>
      <c r="E249" s="16" t="s">
        <v>1116</v>
      </c>
      <c r="F249" s="15">
        <v>11</v>
      </c>
      <c r="G249" s="13" t="s">
        <v>4427</v>
      </c>
      <c r="H249" s="277" t="s">
        <v>4428</v>
      </c>
      <c r="I249" s="175" t="s">
        <v>4882</v>
      </c>
      <c r="J249" s="173" t="s">
        <v>6732</v>
      </c>
      <c r="K249" s="20" t="s">
        <v>4295</v>
      </c>
      <c r="L249" s="278">
        <v>42432</v>
      </c>
      <c r="M249" s="278">
        <v>42431</v>
      </c>
      <c r="N249" s="19" t="str">
        <f>_xlfn.IFNA(VLOOKUP(B249,'[1]VLOOKUP NO DUPS'!$A$1:$C$456,2,FALSE),"")</f>
        <v/>
      </c>
      <c r="O249" s="19" t="str">
        <f>_xlfn.IFNA(VLOOKUP(B249,'[1]VLOOKUP NO DUPS'!$A$1:$C$456,3,FALSE),"")</f>
        <v/>
      </c>
      <c r="P249" s="277"/>
      <c r="Q249" s="277"/>
      <c r="R249" s="277"/>
    </row>
    <row r="250" spans="1:22" s="91" customFormat="1" x14ac:dyDescent="0.25">
      <c r="A250" s="25" t="s">
        <v>8117</v>
      </c>
      <c r="B250" s="59" t="s">
        <v>4205</v>
      </c>
      <c r="C250" s="57" t="s">
        <v>4457</v>
      </c>
      <c r="D250" s="16" t="s">
        <v>4458</v>
      </c>
      <c r="E250" s="16" t="s">
        <v>542</v>
      </c>
      <c r="F250" s="15">
        <v>3</v>
      </c>
      <c r="G250" s="13" t="s">
        <v>4459</v>
      </c>
      <c r="H250" s="277" t="s">
        <v>4460</v>
      </c>
      <c r="I250" s="175" t="s">
        <v>4882</v>
      </c>
      <c r="J250" s="173" t="s">
        <v>6732</v>
      </c>
      <c r="K250" s="20" t="s">
        <v>4295</v>
      </c>
      <c r="L250" s="278">
        <v>42691</v>
      </c>
      <c r="M250" s="278">
        <v>42690</v>
      </c>
      <c r="N250" s="19" t="str">
        <f>_xlfn.IFNA(VLOOKUP(B250,'[1]VLOOKUP NO DUPS'!$A$1:$C$456,2,FALSE),"")</f>
        <v/>
      </c>
      <c r="O250" s="19" t="str">
        <f>_xlfn.IFNA(VLOOKUP(B250,'[1]VLOOKUP NO DUPS'!$A$1:$C$456,3,FALSE),"")</f>
        <v/>
      </c>
      <c r="P250" s="277"/>
      <c r="Q250" s="277"/>
      <c r="R250" s="277"/>
    </row>
    <row r="251" spans="1:22" s="91" customFormat="1" x14ac:dyDescent="0.25">
      <c r="A251" s="25" t="s">
        <v>8117</v>
      </c>
      <c r="B251" s="57" t="s">
        <v>4207</v>
      </c>
      <c r="C251" s="57" t="s">
        <v>4496</v>
      </c>
      <c r="D251" s="16" t="s">
        <v>4497</v>
      </c>
      <c r="E251" s="16" t="s">
        <v>817</v>
      </c>
      <c r="F251" s="15">
        <v>4</v>
      </c>
      <c r="G251" s="13" t="s">
        <v>4498</v>
      </c>
      <c r="H251" s="277" t="s">
        <v>4499</v>
      </c>
      <c r="I251" s="175" t="s">
        <v>4882</v>
      </c>
      <c r="J251" s="173" t="s">
        <v>6732</v>
      </c>
      <c r="K251" s="20" t="s">
        <v>4287</v>
      </c>
      <c r="L251" s="278">
        <v>42642</v>
      </c>
      <c r="M251" s="278">
        <v>42641</v>
      </c>
      <c r="N251" s="19" t="str">
        <f>_xlfn.IFNA(VLOOKUP(B251,'[1]VLOOKUP NO DUPS'!$A$1:$C$456,2,FALSE),"")</f>
        <v/>
      </c>
      <c r="O251" s="19" t="str">
        <f>_xlfn.IFNA(VLOOKUP(B251,'[1]VLOOKUP NO DUPS'!$A$1:$C$456,3,FALSE),"")</f>
        <v/>
      </c>
      <c r="P251" s="277"/>
      <c r="Q251" s="277"/>
      <c r="R251" s="277"/>
    </row>
    <row r="252" spans="1:22" s="91" customFormat="1" x14ac:dyDescent="0.25">
      <c r="A252" s="25" t="s">
        <v>8117</v>
      </c>
      <c r="B252" s="57" t="s">
        <v>1549</v>
      </c>
      <c r="C252" s="57" t="s">
        <v>4515</v>
      </c>
      <c r="D252" s="16" t="s">
        <v>4516</v>
      </c>
      <c r="E252" s="16" t="s">
        <v>1380</v>
      </c>
      <c r="F252" s="15">
        <v>5</v>
      </c>
      <c r="G252" s="13" t="s">
        <v>4517</v>
      </c>
      <c r="H252" s="277" t="s">
        <v>407</v>
      </c>
      <c r="I252" s="175" t="s">
        <v>4882</v>
      </c>
      <c r="J252" s="173" t="s">
        <v>6732</v>
      </c>
      <c r="K252" s="20" t="s">
        <v>4295</v>
      </c>
      <c r="L252" s="278">
        <v>42639</v>
      </c>
      <c r="M252" s="278">
        <v>42638</v>
      </c>
      <c r="N252" s="19" t="str">
        <f>_xlfn.IFNA(VLOOKUP(B252,'[1]VLOOKUP NO DUPS'!$A$1:$C$456,2,FALSE),"")</f>
        <v/>
      </c>
      <c r="O252" s="19" t="str">
        <f>_xlfn.IFNA(VLOOKUP(B252,'[1]VLOOKUP NO DUPS'!$A$1:$C$456,3,FALSE),"")</f>
        <v/>
      </c>
      <c r="P252" s="277"/>
      <c r="Q252" s="277"/>
      <c r="R252" s="277"/>
    </row>
    <row r="253" spans="1:22" s="91" customFormat="1" x14ac:dyDescent="0.25">
      <c r="A253" s="25" t="s">
        <v>8117</v>
      </c>
      <c r="B253" s="57" t="s">
        <v>4209</v>
      </c>
      <c r="C253" s="57" t="s">
        <v>4521</v>
      </c>
      <c r="D253" s="16" t="s">
        <v>4522</v>
      </c>
      <c r="E253" s="16" t="s">
        <v>437</v>
      </c>
      <c r="F253" s="15">
        <v>3</v>
      </c>
      <c r="G253" s="13" t="s">
        <v>4523</v>
      </c>
      <c r="H253" s="277" t="s">
        <v>4524</v>
      </c>
      <c r="I253" s="175" t="s">
        <v>4882</v>
      </c>
      <c r="J253" s="173" t="s">
        <v>6732</v>
      </c>
      <c r="K253" s="20" t="s">
        <v>4287</v>
      </c>
      <c r="L253" s="278">
        <v>42790</v>
      </c>
      <c r="M253" s="278">
        <v>42789</v>
      </c>
      <c r="N253" s="19" t="str">
        <f>_xlfn.IFNA(VLOOKUP(B253,'[1]VLOOKUP NO DUPS'!$A$1:$C$456,2,FALSE),"")</f>
        <v/>
      </c>
      <c r="O253" s="19" t="str">
        <f>_xlfn.IFNA(VLOOKUP(B253,'[1]VLOOKUP NO DUPS'!$A$1:$C$456,3,FALSE),"")</f>
        <v/>
      </c>
      <c r="P253" s="277"/>
      <c r="Q253" s="277"/>
      <c r="R253" s="277"/>
    </row>
    <row r="254" spans="1:22" s="91" customFormat="1" x14ac:dyDescent="0.25">
      <c r="A254" s="25" t="s">
        <v>8117</v>
      </c>
      <c r="B254" s="57" t="s">
        <v>4210</v>
      </c>
      <c r="C254" s="57" t="s">
        <v>4572</v>
      </c>
      <c r="D254" s="16" t="s">
        <v>4573</v>
      </c>
      <c r="E254" s="16" t="s">
        <v>446</v>
      </c>
      <c r="F254" s="15">
        <v>9</v>
      </c>
      <c r="G254" s="13" t="s">
        <v>4574</v>
      </c>
      <c r="H254" s="277" t="s">
        <v>4575</v>
      </c>
      <c r="I254" s="175" t="s">
        <v>4882</v>
      </c>
      <c r="J254" s="173" t="s">
        <v>6732</v>
      </c>
      <c r="K254" s="20" t="s">
        <v>4287</v>
      </c>
      <c r="L254" s="278">
        <v>42541</v>
      </c>
      <c r="M254" s="278">
        <v>42540</v>
      </c>
      <c r="N254" s="19" t="str">
        <f>_xlfn.IFNA(VLOOKUP(B254,'[1]VLOOKUP NO DUPS'!$A$1:$C$456,2,FALSE),"")</f>
        <v/>
      </c>
      <c r="O254" s="19" t="str">
        <f>_xlfn.IFNA(VLOOKUP(B254,'[1]VLOOKUP NO DUPS'!$A$1:$C$456,3,FALSE),"")</f>
        <v/>
      </c>
      <c r="P254" s="277"/>
      <c r="Q254" s="277"/>
      <c r="R254" s="277"/>
    </row>
    <row r="255" spans="1:22" s="91" customFormat="1" x14ac:dyDescent="0.25">
      <c r="A255" s="25" t="s">
        <v>8117</v>
      </c>
      <c r="B255" s="57" t="s">
        <v>1735</v>
      </c>
      <c r="C255" s="57" t="s">
        <v>4579</v>
      </c>
      <c r="D255" s="16" t="s">
        <v>4580</v>
      </c>
      <c r="E255" s="16" t="s">
        <v>409</v>
      </c>
      <c r="F255" s="15">
        <v>1</v>
      </c>
      <c r="G255" s="13" t="s">
        <v>4581</v>
      </c>
      <c r="H255" s="277" t="s">
        <v>4582</v>
      </c>
      <c r="I255" s="175" t="s">
        <v>4882</v>
      </c>
      <c r="J255" s="173" t="s">
        <v>6732</v>
      </c>
      <c r="K255" s="20" t="s">
        <v>4295</v>
      </c>
      <c r="L255" s="278">
        <v>42380</v>
      </c>
      <c r="M255" s="278">
        <v>42379</v>
      </c>
      <c r="N255" s="19" t="str">
        <f>_xlfn.IFNA(VLOOKUP(B255,'[1]VLOOKUP NO DUPS'!$A$1:$C$456,2,FALSE),"")</f>
        <v/>
      </c>
      <c r="O255" s="19" t="str">
        <f>_xlfn.IFNA(VLOOKUP(B255,'[1]VLOOKUP NO DUPS'!$A$1:$C$456,3,FALSE),"")</f>
        <v/>
      </c>
      <c r="P255" s="277"/>
      <c r="Q255" s="277"/>
      <c r="R255" s="277"/>
    </row>
    <row r="256" spans="1:22" s="91" customFormat="1" x14ac:dyDescent="0.25">
      <c r="A256" s="25" t="s">
        <v>8117</v>
      </c>
      <c r="B256" s="57" t="s">
        <v>559</v>
      </c>
      <c r="C256" s="57" t="s">
        <v>4591</v>
      </c>
      <c r="D256" s="16" t="s">
        <v>4592</v>
      </c>
      <c r="E256" s="16" t="s">
        <v>437</v>
      </c>
      <c r="F256" s="15">
        <v>3</v>
      </c>
      <c r="G256" s="13" t="s">
        <v>4593</v>
      </c>
      <c r="H256" s="277" t="s">
        <v>561</v>
      </c>
      <c r="I256" s="175" t="s">
        <v>4882</v>
      </c>
      <c r="J256" s="173" t="s">
        <v>6732</v>
      </c>
      <c r="K256" s="20" t="s">
        <v>4287</v>
      </c>
      <c r="L256" s="278">
        <v>42741</v>
      </c>
      <c r="M256" s="278">
        <v>42740</v>
      </c>
      <c r="N256" s="19" t="str">
        <f>_xlfn.IFNA(VLOOKUP(B256,'[1]VLOOKUP NO DUPS'!$A$1:$C$456,2,FALSE),"")</f>
        <v/>
      </c>
      <c r="O256" s="19" t="str">
        <f>_xlfn.IFNA(VLOOKUP(B256,'[1]VLOOKUP NO DUPS'!$A$1:$C$456,3,FALSE),"")</f>
        <v/>
      </c>
      <c r="P256" s="277"/>
      <c r="Q256" s="277"/>
      <c r="R256" s="277"/>
    </row>
    <row r="257" spans="1:18" s="91" customFormat="1" x14ac:dyDescent="0.25">
      <c r="A257" s="25" t="s">
        <v>8117</v>
      </c>
      <c r="B257" s="57" t="s">
        <v>1824</v>
      </c>
      <c r="C257" s="57" t="s">
        <v>4616</v>
      </c>
      <c r="D257" s="16" t="s">
        <v>4617</v>
      </c>
      <c r="E257" s="16" t="s">
        <v>443</v>
      </c>
      <c r="F257" s="15">
        <v>9</v>
      </c>
      <c r="G257" s="13" t="s">
        <v>4618</v>
      </c>
      <c r="H257" s="277" t="s">
        <v>7</v>
      </c>
      <c r="I257" s="175" t="s">
        <v>4882</v>
      </c>
      <c r="J257" s="173" t="s">
        <v>6732</v>
      </c>
      <c r="K257" s="20" t="s">
        <v>4287</v>
      </c>
      <c r="L257" s="278">
        <v>42516</v>
      </c>
      <c r="M257" s="278">
        <v>42515</v>
      </c>
      <c r="N257" s="19" t="str">
        <f>_xlfn.IFNA(VLOOKUP(B257,'[1]VLOOKUP NO DUPS'!$A$1:$C$456,2,FALSE),"")</f>
        <v/>
      </c>
      <c r="O257" s="19" t="str">
        <f>_xlfn.IFNA(VLOOKUP(B257,'[1]VLOOKUP NO DUPS'!$A$1:$C$456,3,FALSE),"")</f>
        <v/>
      </c>
      <c r="P257" s="277"/>
      <c r="Q257" s="277"/>
      <c r="R257" s="277"/>
    </row>
    <row r="258" spans="1:18" s="91" customFormat="1" x14ac:dyDescent="0.25">
      <c r="A258" s="25" t="s">
        <v>8117</v>
      </c>
      <c r="B258" s="57" t="s">
        <v>4213</v>
      </c>
      <c r="C258" s="57" t="s">
        <v>4635</v>
      </c>
      <c r="D258" s="16" t="s">
        <v>4636</v>
      </c>
      <c r="E258" s="16" t="s">
        <v>496</v>
      </c>
      <c r="F258" s="15">
        <v>6</v>
      </c>
      <c r="G258" s="13" t="s">
        <v>4637</v>
      </c>
      <c r="H258" s="277" t="s">
        <v>4638</v>
      </c>
      <c r="I258" s="175" t="s">
        <v>4882</v>
      </c>
      <c r="J258" s="173" t="s">
        <v>6732</v>
      </c>
      <c r="K258" s="20" t="s">
        <v>4287</v>
      </c>
      <c r="L258" s="278">
        <v>42395</v>
      </c>
      <c r="M258" s="278">
        <v>42394</v>
      </c>
      <c r="N258" s="19" t="str">
        <f>_xlfn.IFNA(VLOOKUP(B258,'[1]VLOOKUP NO DUPS'!$A$1:$C$456,2,FALSE),"")</f>
        <v/>
      </c>
      <c r="O258" s="19" t="str">
        <f>_xlfn.IFNA(VLOOKUP(B258,'[1]VLOOKUP NO DUPS'!$A$1:$C$456,3,FALSE),"")</f>
        <v/>
      </c>
      <c r="P258" s="277"/>
      <c r="Q258" s="277"/>
      <c r="R258" s="277"/>
    </row>
    <row r="259" spans="1:18" s="91" customFormat="1" x14ac:dyDescent="0.25">
      <c r="A259" s="25" t="s">
        <v>8117</v>
      </c>
      <c r="B259" s="57" t="s">
        <v>4215</v>
      </c>
      <c r="C259" s="57" t="s">
        <v>4661</v>
      </c>
      <c r="D259" s="16" t="s">
        <v>4662</v>
      </c>
      <c r="E259" s="16" t="s">
        <v>817</v>
      </c>
      <c r="F259" s="15">
        <v>4</v>
      </c>
      <c r="G259" s="13" t="s">
        <v>4663</v>
      </c>
      <c r="H259" s="277" t="s">
        <v>4664</v>
      </c>
      <c r="I259" s="175" t="s">
        <v>4882</v>
      </c>
      <c r="J259" s="173" t="s">
        <v>6732</v>
      </c>
      <c r="K259" s="20" t="s">
        <v>4287</v>
      </c>
      <c r="L259" s="278">
        <v>42636</v>
      </c>
      <c r="M259" s="278">
        <v>42635</v>
      </c>
      <c r="N259" s="19" t="str">
        <f>_xlfn.IFNA(VLOOKUP(B259,'[1]VLOOKUP NO DUPS'!$A$1:$C$456,2,FALSE),"")</f>
        <v/>
      </c>
      <c r="O259" s="19" t="str">
        <f>_xlfn.IFNA(VLOOKUP(B259,'[1]VLOOKUP NO DUPS'!$A$1:$C$456,3,FALSE),"")</f>
        <v/>
      </c>
      <c r="P259" s="277"/>
      <c r="Q259" s="277"/>
      <c r="R259" s="277"/>
    </row>
    <row r="260" spans="1:18" s="323" customFormat="1" x14ac:dyDescent="0.25">
      <c r="A260" s="25" t="s">
        <v>8117</v>
      </c>
      <c r="B260" s="327" t="s">
        <v>2071</v>
      </c>
      <c r="C260" s="327" t="s">
        <v>4683</v>
      </c>
      <c r="D260" s="328" t="s">
        <v>4684</v>
      </c>
      <c r="E260" s="328" t="s">
        <v>460</v>
      </c>
      <c r="F260" s="329">
        <v>4</v>
      </c>
      <c r="G260" s="330" t="s">
        <v>4685</v>
      </c>
      <c r="H260" s="331" t="s">
        <v>4686</v>
      </c>
      <c r="I260" s="332">
        <v>250000000</v>
      </c>
      <c r="J260" s="332" t="str">
        <f>IF($I260&lt;='Abbrev Key'!$A$2,'Abbrev Key'!$B$2,IF($I260&lt;='Abbrev Key'!$A$3,'Abbrev Key'!$B$3,IF($I260&lt;='Abbrev Key'!$A$4,'Abbrev Key'!$B$4,IF($I260&lt;='Abbrev Key'!$A$5,'Abbrev Key'!$B$5,IF($I260&lt;='Abbrev Key'!$A$6,'Abbrev Key'!$B$6,IF($I260&gt;='Abbrev Key'!$A$7,'Abbrev Key'!$B$7,IF($I260='Abbrev Key'!$A$8,'Abbrev Key'!$B$8,"")))))))</f>
        <v>D</v>
      </c>
      <c r="K260" s="330" t="s">
        <v>4287</v>
      </c>
      <c r="L260" s="333">
        <v>42758</v>
      </c>
      <c r="M260" s="333">
        <v>42757</v>
      </c>
      <c r="N260" s="333" t="str">
        <f>_xlfn.IFNA(VLOOKUP(B260,'[1]VLOOKUP NO DUPS'!$A$1:$C$456,2,FALSE),"")</f>
        <v/>
      </c>
      <c r="O260" s="333" t="str">
        <f>_xlfn.IFNA(VLOOKUP(B260,'[1]VLOOKUP NO DUPS'!$A$1:$C$456,3,FALSE),"")</f>
        <v/>
      </c>
      <c r="P260" s="331"/>
      <c r="Q260" s="331"/>
      <c r="R260" s="331"/>
    </row>
    <row r="261" spans="1:18" s="91" customFormat="1" x14ac:dyDescent="0.25">
      <c r="A261" s="25" t="s">
        <v>8117</v>
      </c>
      <c r="B261" s="57" t="s">
        <v>2209</v>
      </c>
      <c r="C261" s="57" t="s">
        <v>4714</v>
      </c>
      <c r="D261" s="16" t="s">
        <v>4715</v>
      </c>
      <c r="E261" s="16" t="s">
        <v>511</v>
      </c>
      <c r="F261" s="15">
        <v>2</v>
      </c>
      <c r="G261" s="13" t="s">
        <v>4716</v>
      </c>
      <c r="H261" s="277" t="s">
        <v>7</v>
      </c>
      <c r="I261" s="175" t="s">
        <v>4882</v>
      </c>
      <c r="J261" s="173" t="s">
        <v>6732</v>
      </c>
      <c r="K261" s="20" t="s">
        <v>4287</v>
      </c>
      <c r="L261" s="278">
        <v>42745</v>
      </c>
      <c r="M261" s="278">
        <v>42744</v>
      </c>
      <c r="N261" s="19" t="str">
        <f>_xlfn.IFNA(VLOOKUP(B261,'[1]VLOOKUP NO DUPS'!$A$1:$C$456,2,FALSE),"")</f>
        <v/>
      </c>
      <c r="O261" s="19" t="str">
        <f>_xlfn.IFNA(VLOOKUP(B261,'[1]VLOOKUP NO DUPS'!$A$1:$C$456,3,FALSE),"")</f>
        <v/>
      </c>
      <c r="P261" s="277"/>
      <c r="Q261" s="277"/>
      <c r="R261" s="277"/>
    </row>
    <row r="262" spans="1:18" s="91" customFormat="1" x14ac:dyDescent="0.25">
      <c r="A262" s="25" t="s">
        <v>8117</v>
      </c>
      <c r="B262" s="57" t="s">
        <v>2265</v>
      </c>
      <c r="C262" s="57" t="s">
        <v>4740</v>
      </c>
      <c r="D262" s="16" t="s">
        <v>4741</v>
      </c>
      <c r="E262" s="16" t="s">
        <v>491</v>
      </c>
      <c r="F262" s="15">
        <v>8</v>
      </c>
      <c r="G262" s="13" t="s">
        <v>4742</v>
      </c>
      <c r="H262" s="277" t="s">
        <v>407</v>
      </c>
      <c r="I262" s="175" t="s">
        <v>4882</v>
      </c>
      <c r="J262" s="173" t="s">
        <v>6732</v>
      </c>
      <c r="K262" s="20" t="s">
        <v>4287</v>
      </c>
      <c r="L262" s="278">
        <v>42310</v>
      </c>
      <c r="M262" s="278">
        <v>42309</v>
      </c>
      <c r="N262" s="19" t="str">
        <f>_xlfn.IFNA(VLOOKUP(B262,'[1]VLOOKUP NO DUPS'!$A$1:$C$456,2,FALSE),"")</f>
        <v/>
      </c>
      <c r="O262" s="19" t="str">
        <f>_xlfn.IFNA(VLOOKUP(B262,'[1]VLOOKUP NO DUPS'!$A$1:$C$456,3,FALSE),"")</f>
        <v/>
      </c>
      <c r="P262" s="277"/>
      <c r="Q262" s="277"/>
      <c r="R262" s="277"/>
    </row>
    <row r="263" spans="1:18" s="91" customFormat="1" x14ac:dyDescent="0.25">
      <c r="A263" s="25" t="s">
        <v>8117</v>
      </c>
      <c r="B263" s="59" t="s">
        <v>4222</v>
      </c>
      <c r="C263" s="57" t="s">
        <v>4782</v>
      </c>
      <c r="D263" s="16" t="s">
        <v>4783</v>
      </c>
      <c r="E263" s="16" t="s">
        <v>465</v>
      </c>
      <c r="F263" s="15">
        <v>7</v>
      </c>
      <c r="G263" s="13" t="s">
        <v>4784</v>
      </c>
      <c r="H263" s="277" t="s">
        <v>4785</v>
      </c>
      <c r="I263" s="175" t="s">
        <v>4882</v>
      </c>
      <c r="J263" s="173" t="s">
        <v>6732</v>
      </c>
      <c r="K263" s="20" t="s">
        <v>4295</v>
      </c>
      <c r="L263" s="278">
        <v>42719</v>
      </c>
      <c r="M263" s="278">
        <v>42718</v>
      </c>
      <c r="N263" s="19" t="str">
        <f>_xlfn.IFNA(VLOOKUP(B263,'[1]VLOOKUP NO DUPS'!$A$1:$C$456,2,FALSE),"")</f>
        <v/>
      </c>
      <c r="O263" s="19" t="str">
        <f>_xlfn.IFNA(VLOOKUP(B263,'[1]VLOOKUP NO DUPS'!$A$1:$C$456,3,FALSE),"")</f>
        <v/>
      </c>
      <c r="P263" s="277"/>
      <c r="Q263" s="277"/>
      <c r="R263" s="277"/>
    </row>
    <row r="264" spans="1:18" s="91" customFormat="1" x14ac:dyDescent="0.25">
      <c r="A264" s="25" t="s">
        <v>8117</v>
      </c>
      <c r="B264" s="57" t="s">
        <v>2384</v>
      </c>
      <c r="C264" s="334" t="s">
        <v>4786</v>
      </c>
      <c r="D264" s="16" t="s">
        <v>4787</v>
      </c>
      <c r="E264" s="16" t="s">
        <v>2385</v>
      </c>
      <c r="F264" s="15">
        <v>7</v>
      </c>
      <c r="G264" s="13" t="s">
        <v>4788</v>
      </c>
      <c r="H264" s="277" t="s">
        <v>7</v>
      </c>
      <c r="I264" s="175" t="s">
        <v>4882</v>
      </c>
      <c r="J264" s="173" t="s">
        <v>6732</v>
      </c>
      <c r="K264" s="20" t="s">
        <v>4287</v>
      </c>
      <c r="L264" s="278">
        <v>42643</v>
      </c>
      <c r="M264" s="278">
        <v>42642</v>
      </c>
      <c r="N264" s="19" t="str">
        <f>_xlfn.IFNA(VLOOKUP(B264,'[1]VLOOKUP NO DUPS'!$A$1:$C$456,2,FALSE),"")</f>
        <v/>
      </c>
      <c r="O264" s="19" t="str">
        <f>_xlfn.IFNA(VLOOKUP(B264,'[1]VLOOKUP NO DUPS'!$A$1:$C$456,3,FALSE),"")</f>
        <v/>
      </c>
      <c r="P264" s="277"/>
      <c r="Q264" s="277"/>
      <c r="R264" s="277"/>
    </row>
    <row r="265" spans="1:18" s="91" customFormat="1" x14ac:dyDescent="0.25">
      <c r="A265" s="25" t="s">
        <v>8117</v>
      </c>
      <c r="B265" s="59" t="s">
        <v>2417</v>
      </c>
      <c r="C265" s="57" t="s">
        <v>4801</v>
      </c>
      <c r="D265" s="16" t="s">
        <v>4802</v>
      </c>
      <c r="E265" s="22" t="s">
        <v>8609</v>
      </c>
      <c r="F265" s="15">
        <v>6</v>
      </c>
      <c r="G265" s="13" t="s">
        <v>4803</v>
      </c>
      <c r="H265" s="277" t="s">
        <v>4804</v>
      </c>
      <c r="I265" s="175" t="s">
        <v>4882</v>
      </c>
      <c r="J265" s="173" t="s">
        <v>6732</v>
      </c>
      <c r="K265" s="20" t="s">
        <v>4287</v>
      </c>
      <c r="L265" s="278">
        <v>42409</v>
      </c>
      <c r="M265" s="278">
        <v>42408</v>
      </c>
      <c r="N265" s="19" t="str">
        <f>_xlfn.IFNA(VLOOKUP(B265,'[1]VLOOKUP NO DUPS'!$A$1:$C$456,2,FALSE),"")</f>
        <v/>
      </c>
      <c r="O265" s="19" t="str">
        <f>_xlfn.IFNA(VLOOKUP(B265,'[1]VLOOKUP NO DUPS'!$A$1:$C$456,3,FALSE),"")</f>
        <v/>
      </c>
      <c r="P265" s="277"/>
      <c r="Q265" s="277"/>
      <c r="R265" s="277"/>
    </row>
    <row r="266" spans="1:18" s="91" customFormat="1" x14ac:dyDescent="0.25">
      <c r="A266" s="25" t="s">
        <v>8117</v>
      </c>
      <c r="B266" s="57" t="s">
        <v>2426</v>
      </c>
      <c r="C266" s="57" t="s">
        <v>4808</v>
      </c>
      <c r="D266" s="16" t="s">
        <v>4809</v>
      </c>
      <c r="E266" s="16" t="s">
        <v>570</v>
      </c>
      <c r="F266" s="15">
        <v>7</v>
      </c>
      <c r="G266" s="13" t="s">
        <v>4810</v>
      </c>
      <c r="H266" s="277" t="s">
        <v>4811</v>
      </c>
      <c r="I266" s="175" t="s">
        <v>4882</v>
      </c>
      <c r="J266" s="173" t="s">
        <v>6732</v>
      </c>
      <c r="K266" s="20" t="s">
        <v>4287</v>
      </c>
      <c r="L266" s="278">
        <v>42393</v>
      </c>
      <c r="M266" s="278">
        <v>42392</v>
      </c>
      <c r="N266" s="19" t="str">
        <f>_xlfn.IFNA(VLOOKUP(B266,'[1]VLOOKUP NO DUPS'!$A$1:$C$456,2,FALSE),"")</f>
        <v/>
      </c>
      <c r="O266" s="19" t="str">
        <f>_xlfn.IFNA(VLOOKUP(B266,'[1]VLOOKUP NO DUPS'!$A$1:$C$456,3,FALSE),"")</f>
        <v/>
      </c>
      <c r="P266" s="277"/>
      <c r="Q266" s="277"/>
      <c r="R266" s="277"/>
    </row>
    <row r="267" spans="1:18" s="91" customFormat="1" x14ac:dyDescent="0.25">
      <c r="A267" s="25" t="s">
        <v>8117</v>
      </c>
      <c r="B267" s="57" t="s">
        <v>2441</v>
      </c>
      <c r="C267" s="57" t="s">
        <v>4812</v>
      </c>
      <c r="D267" s="16" t="s">
        <v>4813</v>
      </c>
      <c r="E267" s="16" t="s">
        <v>570</v>
      </c>
      <c r="F267" s="15">
        <v>7</v>
      </c>
      <c r="G267" s="13" t="s">
        <v>4814</v>
      </c>
      <c r="H267" s="277" t="s">
        <v>4815</v>
      </c>
      <c r="I267" s="175" t="s">
        <v>4882</v>
      </c>
      <c r="J267" s="173" t="s">
        <v>6732</v>
      </c>
      <c r="K267" s="20" t="s">
        <v>4287</v>
      </c>
      <c r="L267" s="278">
        <v>42614</v>
      </c>
      <c r="M267" s="278">
        <v>42613</v>
      </c>
      <c r="N267" s="19" t="str">
        <f>_xlfn.IFNA(VLOOKUP(B267,'[1]VLOOKUP NO DUPS'!$A$1:$C$456,2,FALSE),"")</f>
        <v/>
      </c>
      <c r="O267" s="19" t="str">
        <f>_xlfn.IFNA(VLOOKUP(B267,'[1]VLOOKUP NO DUPS'!$A$1:$C$456,3,FALSE),"")</f>
        <v/>
      </c>
      <c r="P267" s="277"/>
      <c r="Q267" s="277"/>
      <c r="R267" s="277"/>
    </row>
    <row r="268" spans="1:18" s="323" customFormat="1" x14ac:dyDescent="0.25">
      <c r="A268" s="25" t="s">
        <v>8117</v>
      </c>
      <c r="B268" s="327" t="s">
        <v>2515</v>
      </c>
      <c r="C268" s="327" t="s">
        <v>4828</v>
      </c>
      <c r="D268" s="328" t="s">
        <v>4829</v>
      </c>
      <c r="E268" s="328" t="s">
        <v>2516</v>
      </c>
      <c r="F268" s="329">
        <v>2</v>
      </c>
      <c r="G268" s="330" t="s">
        <v>4830</v>
      </c>
      <c r="H268" s="331" t="s">
        <v>7</v>
      </c>
      <c r="I268" s="332">
        <v>310000000</v>
      </c>
      <c r="J268" s="332" t="str">
        <f>IF($I268&lt;='Abbrev Key'!$A$2,'Abbrev Key'!$B$2,IF($I268&lt;='Abbrev Key'!$A$3,'Abbrev Key'!$B$3,IF($I268&lt;='Abbrev Key'!$A$4,'Abbrev Key'!$B$4,IF($I268&lt;='Abbrev Key'!$A$5,'Abbrev Key'!$B$5,IF($I268&lt;='Abbrev Key'!$A$6,'Abbrev Key'!$B$6,IF($I268&gt;='Abbrev Key'!$A$7,'Abbrev Key'!$B$7,IF($I268='Abbrev Key'!$A$8,'Abbrev Key'!$B$8,"")))))))</f>
        <v>E</v>
      </c>
      <c r="K268" s="330" t="s">
        <v>4287</v>
      </c>
      <c r="L268" s="333">
        <v>42345</v>
      </c>
      <c r="M268" s="333">
        <v>42344</v>
      </c>
      <c r="N268" s="333" t="str">
        <f>_xlfn.IFNA(VLOOKUP(B268,'[1]VLOOKUP NO DUPS'!$A$1:$C$456,2,FALSE),"")</f>
        <v/>
      </c>
      <c r="O268" s="333" t="str">
        <f>_xlfn.IFNA(VLOOKUP(B268,'[1]VLOOKUP NO DUPS'!$A$1:$C$456,3,FALSE),"")</f>
        <v/>
      </c>
      <c r="P268" s="331"/>
      <c r="Q268" s="331"/>
      <c r="R268" s="331"/>
    </row>
    <row r="269" spans="1:18" s="91" customFormat="1" x14ac:dyDescent="0.25">
      <c r="A269" s="25" t="s">
        <v>8117</v>
      </c>
      <c r="B269" s="59" t="s">
        <v>4224</v>
      </c>
      <c r="C269" s="57" t="s">
        <v>4837</v>
      </c>
      <c r="D269" s="16" t="s">
        <v>4838</v>
      </c>
      <c r="E269" s="16" t="s">
        <v>503</v>
      </c>
      <c r="F269" s="15">
        <v>4</v>
      </c>
      <c r="G269" s="13" t="s">
        <v>4839</v>
      </c>
      <c r="H269" s="277" t="s">
        <v>4840</v>
      </c>
      <c r="I269" s="175" t="s">
        <v>4882</v>
      </c>
      <c r="J269" s="173" t="s">
        <v>6732</v>
      </c>
      <c r="K269" s="20" t="s">
        <v>4287</v>
      </c>
      <c r="L269" s="278">
        <v>42545</v>
      </c>
      <c r="M269" s="278">
        <v>42544</v>
      </c>
      <c r="N269" s="19" t="str">
        <f>_xlfn.IFNA(VLOOKUP(B269,'[1]VLOOKUP NO DUPS'!$A$1:$C$456,2,FALSE),"")</f>
        <v/>
      </c>
      <c r="O269" s="19" t="str">
        <f>_xlfn.IFNA(VLOOKUP(B269,'[1]VLOOKUP NO DUPS'!$A$1:$C$456,3,FALSE),"")</f>
        <v/>
      </c>
      <c r="P269" s="277"/>
      <c r="Q269" s="277"/>
      <c r="R269" s="277"/>
    </row>
    <row r="270" spans="1:18" s="91" customFormat="1" x14ac:dyDescent="0.25">
      <c r="A270" s="25" t="s">
        <v>8117</v>
      </c>
      <c r="B270" s="57" t="s">
        <v>4225</v>
      </c>
      <c r="C270" s="57" t="s">
        <v>4852</v>
      </c>
      <c r="D270" s="16" t="s">
        <v>4853</v>
      </c>
      <c r="E270" s="16" t="s">
        <v>545</v>
      </c>
      <c r="F270" s="15">
        <v>10</v>
      </c>
      <c r="G270" s="13" t="s">
        <v>4854</v>
      </c>
      <c r="H270" s="277" t="s">
        <v>4855</v>
      </c>
      <c r="I270" s="175" t="s">
        <v>4882</v>
      </c>
      <c r="J270" s="173" t="s">
        <v>6732</v>
      </c>
      <c r="K270" s="20" t="s">
        <v>4287</v>
      </c>
      <c r="L270" s="278">
        <v>42752</v>
      </c>
      <c r="M270" s="278">
        <v>42751</v>
      </c>
      <c r="N270" s="19" t="str">
        <f>_xlfn.IFNA(VLOOKUP(B270,'[1]VLOOKUP NO DUPS'!$A$1:$C$456,2,FALSE),"")</f>
        <v/>
      </c>
      <c r="O270" s="19" t="str">
        <f>_xlfn.IFNA(VLOOKUP(B270,'[1]VLOOKUP NO DUPS'!$A$1:$C$456,3,FALSE),"")</f>
        <v/>
      </c>
      <c r="P270" s="277"/>
      <c r="Q270" s="277"/>
      <c r="R270" s="277"/>
    </row>
    <row r="271" spans="1:18" s="91" customFormat="1" x14ac:dyDescent="0.25">
      <c r="A271" s="25" t="s">
        <v>8117</v>
      </c>
      <c r="B271" s="57" t="s">
        <v>2610</v>
      </c>
      <c r="C271" s="57" t="s">
        <v>4868</v>
      </c>
      <c r="D271" s="16" t="s">
        <v>4869</v>
      </c>
      <c r="E271" s="16" t="s">
        <v>409</v>
      </c>
      <c r="F271" s="15">
        <v>1</v>
      </c>
      <c r="G271" s="13" t="s">
        <v>4870</v>
      </c>
      <c r="H271" s="277" t="s">
        <v>63</v>
      </c>
      <c r="I271" s="175" t="s">
        <v>4882</v>
      </c>
      <c r="J271" s="173" t="s">
        <v>6732</v>
      </c>
      <c r="K271" s="20" t="s">
        <v>4295</v>
      </c>
      <c r="L271" s="278">
        <v>42761</v>
      </c>
      <c r="M271" s="278">
        <v>42760</v>
      </c>
      <c r="N271" s="19" t="str">
        <f>_xlfn.IFNA(VLOOKUP(B271,'[1]VLOOKUP NO DUPS'!$A$1:$C$456,2,FALSE),"")</f>
        <v/>
      </c>
      <c r="O271" s="19" t="str">
        <f>_xlfn.IFNA(VLOOKUP(B271,'[1]VLOOKUP NO DUPS'!$A$1:$C$456,3,FALSE),"")</f>
        <v/>
      </c>
      <c r="P271" s="277"/>
      <c r="Q271" s="277"/>
      <c r="R271" s="277"/>
    </row>
    <row r="272" spans="1:18" s="86" customFormat="1" x14ac:dyDescent="0.25">
      <c r="A272" s="25" t="s">
        <v>8117</v>
      </c>
      <c r="B272" s="57" t="s">
        <v>4226</v>
      </c>
      <c r="C272" s="334" t="s">
        <v>4895</v>
      </c>
      <c r="D272" s="16" t="s">
        <v>4896</v>
      </c>
      <c r="E272" s="16" t="s">
        <v>457</v>
      </c>
      <c r="F272" s="15">
        <v>9</v>
      </c>
      <c r="G272" s="13" t="s">
        <v>4897</v>
      </c>
      <c r="H272" s="277" t="s">
        <v>407</v>
      </c>
      <c r="I272" s="175" t="s">
        <v>4882</v>
      </c>
      <c r="J272" s="173" t="s">
        <v>6732</v>
      </c>
      <c r="K272" s="20" t="s">
        <v>4295</v>
      </c>
      <c r="L272" s="278">
        <v>42404</v>
      </c>
      <c r="M272" s="278">
        <v>42403</v>
      </c>
      <c r="N272" s="19" t="str">
        <f>_xlfn.IFNA(VLOOKUP(B272,'[1]VLOOKUP NO DUPS'!$A$1:$C$456,2,FALSE),"")</f>
        <v/>
      </c>
      <c r="O272" s="19" t="str">
        <f>_xlfn.IFNA(VLOOKUP(B272,'[1]VLOOKUP NO DUPS'!$A$1:$C$456,3,FALSE),"")</f>
        <v/>
      </c>
      <c r="P272" s="277"/>
      <c r="Q272" s="277"/>
      <c r="R272" s="277"/>
    </row>
    <row r="273" spans="1:18" s="86" customFormat="1" x14ac:dyDescent="0.25">
      <c r="A273" s="25" t="s">
        <v>8117</v>
      </c>
      <c r="B273" s="59" t="s">
        <v>4229</v>
      </c>
      <c r="C273" s="57" t="s">
        <v>4905</v>
      </c>
      <c r="D273" s="16" t="s">
        <v>4906</v>
      </c>
      <c r="E273" s="22" t="s">
        <v>8609</v>
      </c>
      <c r="F273" s="15">
        <v>6</v>
      </c>
      <c r="G273" s="13" t="s">
        <v>4907</v>
      </c>
      <c r="H273" s="277" t="s">
        <v>4908</v>
      </c>
      <c r="I273" s="175" t="s">
        <v>4882</v>
      </c>
      <c r="J273" s="173" t="s">
        <v>6732</v>
      </c>
      <c r="K273" s="20" t="s">
        <v>4287</v>
      </c>
      <c r="L273" s="278">
        <v>42782</v>
      </c>
      <c r="M273" s="278">
        <v>42781</v>
      </c>
      <c r="N273" s="19" t="str">
        <f>_xlfn.IFNA(VLOOKUP(B273,'[1]VLOOKUP NO DUPS'!$A$1:$C$456,2,FALSE),"")</f>
        <v/>
      </c>
      <c r="O273" s="19" t="str">
        <f>_xlfn.IFNA(VLOOKUP(B273,'[1]VLOOKUP NO DUPS'!$A$1:$C$456,3,FALSE),"")</f>
        <v/>
      </c>
      <c r="P273" s="277"/>
      <c r="Q273" s="277"/>
      <c r="R273" s="277"/>
    </row>
    <row r="274" spans="1:18" s="86" customFormat="1" x14ac:dyDescent="0.25">
      <c r="A274" s="25" t="s">
        <v>8117</v>
      </c>
      <c r="B274" s="57" t="s">
        <v>2732</v>
      </c>
      <c r="C274" s="334" t="s">
        <v>4924</v>
      </c>
      <c r="D274" s="16" t="s">
        <v>4925</v>
      </c>
      <c r="E274" s="16" t="s">
        <v>446</v>
      </c>
      <c r="F274" s="15">
        <v>9</v>
      </c>
      <c r="G274" s="13" t="s">
        <v>4897</v>
      </c>
      <c r="H274" s="277" t="s">
        <v>4926</v>
      </c>
      <c r="I274" s="175" t="s">
        <v>4882</v>
      </c>
      <c r="J274" s="173" t="s">
        <v>6732</v>
      </c>
      <c r="K274" s="20" t="s">
        <v>4287</v>
      </c>
      <c r="L274" s="278">
        <v>42404</v>
      </c>
      <c r="M274" s="278">
        <v>42403</v>
      </c>
      <c r="N274" s="19" t="str">
        <f>_xlfn.IFNA(VLOOKUP(B274,'[1]VLOOKUP NO DUPS'!$A$1:$C$456,2,FALSE),"")</f>
        <v/>
      </c>
      <c r="O274" s="19" t="str">
        <f>_xlfn.IFNA(VLOOKUP(B274,'[1]VLOOKUP NO DUPS'!$A$1:$C$456,3,FALSE),"")</f>
        <v/>
      </c>
      <c r="P274" s="277"/>
      <c r="Q274" s="277"/>
      <c r="R274" s="277"/>
    </row>
    <row r="275" spans="1:18" s="86" customFormat="1" x14ac:dyDescent="0.25">
      <c r="A275" s="25" t="s">
        <v>8117</v>
      </c>
      <c r="B275" s="59" t="s">
        <v>2884</v>
      </c>
      <c r="C275" s="57" t="s">
        <v>4976</v>
      </c>
      <c r="D275" s="16" t="s">
        <v>4977</v>
      </c>
      <c r="E275" s="22" t="s">
        <v>437</v>
      </c>
      <c r="F275" s="15">
        <v>3</v>
      </c>
      <c r="G275" s="13" t="s">
        <v>4978</v>
      </c>
      <c r="H275" s="277" t="s">
        <v>4979</v>
      </c>
      <c r="I275" s="175" t="s">
        <v>4882</v>
      </c>
      <c r="J275" s="173" t="s">
        <v>6732</v>
      </c>
      <c r="K275" s="20" t="s">
        <v>4287</v>
      </c>
      <c r="L275" s="278">
        <v>42544</v>
      </c>
      <c r="M275" s="278">
        <v>42543</v>
      </c>
      <c r="N275" s="19" t="str">
        <f>_xlfn.IFNA(VLOOKUP(B275,'[1]VLOOKUP NO DUPS'!$A$1:$C$456,2,FALSE),"")</f>
        <v/>
      </c>
      <c r="O275" s="19" t="str">
        <f>_xlfn.IFNA(VLOOKUP(B275,'[1]VLOOKUP NO DUPS'!$A$1:$C$456,3,FALSE),"")</f>
        <v/>
      </c>
      <c r="P275" s="277"/>
      <c r="Q275" s="277"/>
      <c r="R275" s="277"/>
    </row>
    <row r="276" spans="1:18" s="86" customFormat="1" x14ac:dyDescent="0.25">
      <c r="A276" s="25" t="s">
        <v>8117</v>
      </c>
      <c r="B276" s="57" t="s">
        <v>4232</v>
      </c>
      <c r="C276" s="57" t="s">
        <v>4980</v>
      </c>
      <c r="D276" s="16" t="s">
        <v>4981</v>
      </c>
      <c r="E276" s="16" t="s">
        <v>817</v>
      </c>
      <c r="F276" s="15">
        <v>4</v>
      </c>
      <c r="G276" s="13" t="s">
        <v>4982</v>
      </c>
      <c r="H276" s="277" t="s">
        <v>4983</v>
      </c>
      <c r="I276" s="175" t="s">
        <v>4882</v>
      </c>
      <c r="J276" s="173" t="s">
        <v>6732</v>
      </c>
      <c r="K276" s="20" t="s">
        <v>4287</v>
      </c>
      <c r="L276" s="278">
        <v>42692</v>
      </c>
      <c r="M276" s="278">
        <v>42691</v>
      </c>
      <c r="N276" s="19" t="str">
        <f>_xlfn.IFNA(VLOOKUP(B276,'[1]VLOOKUP NO DUPS'!$A$1:$C$456,2,FALSE),"")</f>
        <v/>
      </c>
      <c r="O276" s="19" t="str">
        <f>_xlfn.IFNA(VLOOKUP(B276,'[1]VLOOKUP NO DUPS'!$A$1:$C$456,3,FALSE),"")</f>
        <v/>
      </c>
      <c r="P276" s="277"/>
      <c r="Q276" s="277"/>
      <c r="R276" s="277"/>
    </row>
    <row r="277" spans="1:18" s="86" customFormat="1" x14ac:dyDescent="0.25">
      <c r="A277" s="25" t="s">
        <v>8117</v>
      </c>
      <c r="B277" s="57" t="s">
        <v>4233</v>
      </c>
      <c r="C277" s="57" t="s">
        <v>4984</v>
      </c>
      <c r="D277" s="16" t="s">
        <v>4985</v>
      </c>
      <c r="E277" s="16" t="s">
        <v>817</v>
      </c>
      <c r="F277" s="15">
        <v>4</v>
      </c>
      <c r="G277" s="13" t="s">
        <v>4982</v>
      </c>
      <c r="H277" s="277" t="s">
        <v>4986</v>
      </c>
      <c r="I277" s="175" t="s">
        <v>4882</v>
      </c>
      <c r="J277" s="173" t="s">
        <v>6732</v>
      </c>
      <c r="K277" s="20" t="s">
        <v>4287</v>
      </c>
      <c r="L277" s="278">
        <v>42692</v>
      </c>
      <c r="M277" s="278">
        <v>42691</v>
      </c>
      <c r="N277" s="19" t="str">
        <f>_xlfn.IFNA(VLOOKUP(B277,'[1]VLOOKUP NO DUPS'!$A$1:$C$456,2,FALSE),"")</f>
        <v/>
      </c>
      <c r="O277" s="19" t="str">
        <f>_xlfn.IFNA(VLOOKUP(B277,'[1]VLOOKUP NO DUPS'!$A$1:$C$456,3,FALSE),"")</f>
        <v/>
      </c>
      <c r="P277" s="277"/>
      <c r="Q277" s="277"/>
      <c r="R277" s="277"/>
    </row>
    <row r="278" spans="1:18" s="86" customFormat="1" x14ac:dyDescent="0.25">
      <c r="A278" s="25" t="s">
        <v>8117</v>
      </c>
      <c r="B278" s="57" t="s">
        <v>3006</v>
      </c>
      <c r="C278" s="57" t="s">
        <v>5014</v>
      </c>
      <c r="D278" s="16" t="s">
        <v>5015</v>
      </c>
      <c r="E278" s="16" t="s">
        <v>480</v>
      </c>
      <c r="F278" s="15">
        <v>9</v>
      </c>
      <c r="G278" s="13" t="s">
        <v>5016</v>
      </c>
      <c r="H278" s="277" t="s">
        <v>7</v>
      </c>
      <c r="I278" s="175" t="s">
        <v>4882</v>
      </c>
      <c r="J278" s="173" t="s">
        <v>6732</v>
      </c>
      <c r="K278" s="20" t="s">
        <v>4287</v>
      </c>
      <c r="L278" s="278">
        <v>42576</v>
      </c>
      <c r="M278" s="278">
        <v>42575</v>
      </c>
      <c r="N278" s="19" t="str">
        <f>_xlfn.IFNA(VLOOKUP(B278,'[1]VLOOKUP NO DUPS'!$A$1:$C$456,2,FALSE),"")</f>
        <v/>
      </c>
      <c r="O278" s="19" t="str">
        <f>_xlfn.IFNA(VLOOKUP(B278,'[1]VLOOKUP NO DUPS'!$A$1:$C$456,3,FALSE),"")</f>
        <v/>
      </c>
      <c r="P278" s="277"/>
      <c r="Q278" s="277"/>
      <c r="R278" s="277"/>
    </row>
    <row r="279" spans="1:18" s="86" customFormat="1" x14ac:dyDescent="0.25">
      <c r="A279" s="25" t="s">
        <v>8117</v>
      </c>
      <c r="B279" s="59" t="s">
        <v>4235</v>
      </c>
      <c r="C279" s="57" t="s">
        <v>5084</v>
      </c>
      <c r="D279" s="16" t="s">
        <v>4939</v>
      </c>
      <c r="E279" s="16" t="s">
        <v>536</v>
      </c>
      <c r="F279" s="15">
        <v>10</v>
      </c>
      <c r="G279" s="13" t="s">
        <v>5085</v>
      </c>
      <c r="H279" s="277" t="s">
        <v>5086</v>
      </c>
      <c r="I279" s="175" t="s">
        <v>4882</v>
      </c>
      <c r="J279" s="173" t="s">
        <v>6732</v>
      </c>
      <c r="K279" s="20" t="s">
        <v>4287</v>
      </c>
      <c r="L279" s="278">
        <v>42401</v>
      </c>
      <c r="M279" s="278">
        <v>42400</v>
      </c>
      <c r="N279" s="19" t="str">
        <f>_xlfn.IFNA(VLOOKUP(B279,'[1]VLOOKUP NO DUPS'!$A$1:$C$456,2,FALSE),"")</f>
        <v/>
      </c>
      <c r="O279" s="19" t="str">
        <f>_xlfn.IFNA(VLOOKUP(B279,'[1]VLOOKUP NO DUPS'!$A$1:$C$456,3,FALSE),"")</f>
        <v/>
      </c>
      <c r="P279" s="277"/>
      <c r="Q279" s="277"/>
      <c r="R279" s="277"/>
    </row>
    <row r="280" spans="1:18" s="86" customFormat="1" x14ac:dyDescent="0.25">
      <c r="A280" s="25" t="s">
        <v>8117</v>
      </c>
      <c r="B280" s="57" t="s">
        <v>3390</v>
      </c>
      <c r="C280" s="57" t="s">
        <v>5145</v>
      </c>
      <c r="D280" s="16" t="s">
        <v>5146</v>
      </c>
      <c r="E280" s="16" t="s">
        <v>557</v>
      </c>
      <c r="F280" s="15">
        <v>9</v>
      </c>
      <c r="G280" s="13" t="s">
        <v>5147</v>
      </c>
      <c r="H280" s="277" t="s">
        <v>7</v>
      </c>
      <c r="I280" s="175" t="s">
        <v>4882</v>
      </c>
      <c r="J280" s="173" t="s">
        <v>6732</v>
      </c>
      <c r="K280" s="20" t="s">
        <v>4287</v>
      </c>
      <c r="L280" s="278">
        <v>42591</v>
      </c>
      <c r="M280" s="278">
        <v>42590</v>
      </c>
      <c r="N280" s="19" t="str">
        <f>_xlfn.IFNA(VLOOKUP(B280,'[1]VLOOKUP NO DUPS'!$A$1:$C$456,2,FALSE),"")</f>
        <v/>
      </c>
      <c r="O280" s="19" t="str">
        <f>_xlfn.IFNA(VLOOKUP(B280,'[1]VLOOKUP NO DUPS'!$A$1:$C$456,3,FALSE),"")</f>
        <v/>
      </c>
      <c r="P280" s="277"/>
      <c r="Q280" s="277"/>
      <c r="R280" s="277"/>
    </row>
    <row r="281" spans="1:18" s="86" customFormat="1" x14ac:dyDescent="0.25">
      <c r="A281" s="25" t="s">
        <v>8117</v>
      </c>
      <c r="B281" s="57" t="s">
        <v>3425</v>
      </c>
      <c r="C281" s="57" t="s">
        <v>5158</v>
      </c>
      <c r="D281" s="16" t="s">
        <v>5159</v>
      </c>
      <c r="E281" s="16" t="s">
        <v>1380</v>
      </c>
      <c r="F281" s="15">
        <v>5</v>
      </c>
      <c r="G281" s="13" t="s">
        <v>5160</v>
      </c>
      <c r="H281" s="277" t="s">
        <v>4979</v>
      </c>
      <c r="I281" s="175" t="s">
        <v>4882</v>
      </c>
      <c r="J281" s="173" t="s">
        <v>6732</v>
      </c>
      <c r="K281" s="20" t="s">
        <v>4295</v>
      </c>
      <c r="L281" s="278">
        <v>42628</v>
      </c>
      <c r="M281" s="278">
        <v>42627</v>
      </c>
      <c r="N281" s="19" t="str">
        <f>_xlfn.IFNA(VLOOKUP(B281,'[1]VLOOKUP NO DUPS'!$A$1:$C$456,2,FALSE),"")</f>
        <v/>
      </c>
      <c r="O281" s="19" t="str">
        <f>_xlfn.IFNA(VLOOKUP(B281,'[1]VLOOKUP NO DUPS'!$A$1:$C$456,3,FALSE),"")</f>
        <v/>
      </c>
      <c r="P281" s="277"/>
      <c r="Q281" s="277"/>
      <c r="R281" s="277"/>
    </row>
    <row r="282" spans="1:18" s="86" customFormat="1" x14ac:dyDescent="0.25">
      <c r="A282" s="25" t="s">
        <v>8117</v>
      </c>
      <c r="B282" s="57" t="s">
        <v>4236</v>
      </c>
      <c r="C282" s="57" t="s">
        <v>5170</v>
      </c>
      <c r="D282" s="16" t="s">
        <v>5171</v>
      </c>
      <c r="E282" s="16" t="s">
        <v>421</v>
      </c>
      <c r="F282" s="15">
        <v>5</v>
      </c>
      <c r="G282" s="13" t="s">
        <v>5172</v>
      </c>
      <c r="H282" s="277" t="s">
        <v>5173</v>
      </c>
      <c r="I282" s="175" t="s">
        <v>4882</v>
      </c>
      <c r="J282" s="173" t="s">
        <v>6732</v>
      </c>
      <c r="K282" s="20" t="s">
        <v>4295</v>
      </c>
      <c r="L282" s="278">
        <v>42653</v>
      </c>
      <c r="M282" s="278">
        <v>42652</v>
      </c>
      <c r="N282" s="19" t="str">
        <f>_xlfn.IFNA(VLOOKUP(B282,'[1]VLOOKUP NO DUPS'!$A$1:$C$456,2,FALSE),"")</f>
        <v/>
      </c>
      <c r="O282" s="19" t="str">
        <f>_xlfn.IFNA(VLOOKUP(B282,'[1]VLOOKUP NO DUPS'!$A$1:$C$456,3,FALSE),"")</f>
        <v/>
      </c>
      <c r="P282" s="277"/>
      <c r="Q282" s="277"/>
      <c r="R282" s="277"/>
    </row>
    <row r="283" spans="1:18" s="324" customFormat="1" x14ac:dyDescent="0.25">
      <c r="A283" s="25" t="s">
        <v>8117</v>
      </c>
      <c r="B283" s="327" t="s">
        <v>4237</v>
      </c>
      <c r="C283" s="327" t="s">
        <v>5177</v>
      </c>
      <c r="D283" s="328" t="s">
        <v>5178</v>
      </c>
      <c r="E283" s="328" t="s">
        <v>491</v>
      </c>
      <c r="F283" s="329">
        <v>8</v>
      </c>
      <c r="G283" s="330" t="s">
        <v>5179</v>
      </c>
      <c r="H283" s="331" t="s">
        <v>5180</v>
      </c>
      <c r="I283" s="332">
        <v>50000000</v>
      </c>
      <c r="J283" s="332" t="str">
        <f>IF($I283&lt;='Abbrev Key'!$A$2,'Abbrev Key'!$B$2,IF($I283&lt;='Abbrev Key'!$A$3,'Abbrev Key'!$B$3,IF($I283&lt;='Abbrev Key'!$A$4,'Abbrev Key'!$B$4,IF($I283&lt;='Abbrev Key'!$A$5,'Abbrev Key'!$B$5,IF($I283&lt;='Abbrev Key'!$A$6,'Abbrev Key'!$B$6,IF($I283&gt;='Abbrev Key'!$A$7,'Abbrev Key'!$B$7,IF($I283='Abbrev Key'!$A$8,'Abbrev Key'!$B$8,"")))))))</f>
        <v>B</v>
      </c>
      <c r="K283" s="330" t="s">
        <v>4287</v>
      </c>
      <c r="L283" s="333">
        <v>42488</v>
      </c>
      <c r="M283" s="333">
        <v>42487</v>
      </c>
      <c r="N283" s="333" t="str">
        <f>_xlfn.IFNA(VLOOKUP(B283,'[1]VLOOKUP NO DUPS'!$A$1:$C$456,2,FALSE),"")</f>
        <v/>
      </c>
      <c r="O283" s="333" t="str">
        <f>_xlfn.IFNA(VLOOKUP(B283,'[1]VLOOKUP NO DUPS'!$A$1:$C$456,3,FALSE),"")</f>
        <v/>
      </c>
      <c r="P283" s="331"/>
      <c r="Q283" s="331"/>
      <c r="R283" s="331"/>
    </row>
    <row r="284" spans="1:18" s="86" customFormat="1" x14ac:dyDescent="0.25">
      <c r="A284" s="25" t="s">
        <v>8117</v>
      </c>
      <c r="B284" s="59" t="s">
        <v>4239</v>
      </c>
      <c r="C284" s="57" t="s">
        <v>5194</v>
      </c>
      <c r="D284" s="16" t="s">
        <v>5195</v>
      </c>
      <c r="E284" s="16" t="s">
        <v>545</v>
      </c>
      <c r="F284" s="15">
        <v>10</v>
      </c>
      <c r="G284" s="13" t="s">
        <v>5196</v>
      </c>
      <c r="H284" s="277" t="s">
        <v>5197</v>
      </c>
      <c r="I284" s="175" t="s">
        <v>4882</v>
      </c>
      <c r="J284" s="173" t="s">
        <v>6732</v>
      </c>
      <c r="K284" s="20" t="s">
        <v>4287</v>
      </c>
      <c r="L284" s="278">
        <v>42762</v>
      </c>
      <c r="M284" s="278">
        <v>42761</v>
      </c>
      <c r="N284" s="19" t="str">
        <f>_xlfn.IFNA(VLOOKUP(B284,'[1]VLOOKUP NO DUPS'!$A$1:$C$456,2,FALSE),"")</f>
        <v/>
      </c>
      <c r="O284" s="19" t="str">
        <f>_xlfn.IFNA(VLOOKUP(B284,'[1]VLOOKUP NO DUPS'!$A$1:$C$456,3,FALSE),"")</f>
        <v/>
      </c>
      <c r="P284" s="277"/>
      <c r="Q284" s="277"/>
      <c r="R284" s="277"/>
    </row>
    <row r="285" spans="1:18" s="86" customFormat="1" x14ac:dyDescent="0.25">
      <c r="A285" s="25" t="s">
        <v>8117</v>
      </c>
      <c r="B285" s="57" t="s">
        <v>4240</v>
      </c>
      <c r="C285" s="57" t="s">
        <v>5198</v>
      </c>
      <c r="D285" s="16" t="s">
        <v>5199</v>
      </c>
      <c r="E285" s="16" t="s">
        <v>496</v>
      </c>
      <c r="F285" s="15">
        <v>6</v>
      </c>
      <c r="G285" s="13" t="s">
        <v>5200</v>
      </c>
      <c r="H285" s="277" t="s">
        <v>5201</v>
      </c>
      <c r="I285" s="175" t="s">
        <v>4882</v>
      </c>
      <c r="J285" s="173" t="s">
        <v>6732</v>
      </c>
      <c r="K285" s="20" t="s">
        <v>4295</v>
      </c>
      <c r="L285" s="278">
        <v>42802</v>
      </c>
      <c r="M285" s="278">
        <v>42801</v>
      </c>
      <c r="N285" s="19" t="str">
        <f>_xlfn.IFNA(VLOOKUP(B285,'[1]VLOOKUP NO DUPS'!$A$1:$C$456,2,FALSE),"")</f>
        <v/>
      </c>
      <c r="O285" s="19" t="str">
        <f>_xlfn.IFNA(VLOOKUP(B285,'[1]VLOOKUP NO DUPS'!$A$1:$C$456,3,FALSE),"")</f>
        <v/>
      </c>
      <c r="P285" s="277"/>
      <c r="Q285" s="277"/>
      <c r="R285" s="277"/>
    </row>
    <row r="286" spans="1:18" s="86" customFormat="1" x14ac:dyDescent="0.25">
      <c r="A286" s="25" t="s">
        <v>8117</v>
      </c>
      <c r="B286" s="57" t="s">
        <v>4241</v>
      </c>
      <c r="C286" s="57" t="s">
        <v>5208</v>
      </c>
      <c r="D286" s="16" t="s">
        <v>5209</v>
      </c>
      <c r="E286" s="16" t="s">
        <v>1008</v>
      </c>
      <c r="F286" s="15">
        <v>2</v>
      </c>
      <c r="G286" s="13" t="s">
        <v>5210</v>
      </c>
      <c r="H286" s="277" t="s">
        <v>5211</v>
      </c>
      <c r="I286" s="175" t="s">
        <v>4882</v>
      </c>
      <c r="J286" s="173" t="s">
        <v>6732</v>
      </c>
      <c r="K286" s="20" t="s">
        <v>4287</v>
      </c>
      <c r="L286" s="278">
        <v>42586</v>
      </c>
      <c r="M286" s="278">
        <v>42585</v>
      </c>
      <c r="N286" s="19" t="str">
        <f>_xlfn.IFNA(VLOOKUP(B286,'[1]VLOOKUP NO DUPS'!$A$1:$C$456,2,FALSE),"")</f>
        <v/>
      </c>
      <c r="O286" s="19" t="str">
        <f>_xlfn.IFNA(VLOOKUP(B286,'[1]VLOOKUP NO DUPS'!$A$1:$C$456,3,FALSE),"")</f>
        <v/>
      </c>
      <c r="P286" s="277"/>
      <c r="Q286" s="277"/>
      <c r="R286" s="277"/>
    </row>
    <row r="287" spans="1:18" s="86" customFormat="1" x14ac:dyDescent="0.25">
      <c r="A287" s="25" t="s">
        <v>8117</v>
      </c>
      <c r="B287" s="59" t="s">
        <v>4243</v>
      </c>
      <c r="C287" s="57" t="s">
        <v>5228</v>
      </c>
      <c r="D287" s="16" t="s">
        <v>5229</v>
      </c>
      <c r="E287" s="16" t="s">
        <v>437</v>
      </c>
      <c r="F287" s="15">
        <v>3</v>
      </c>
      <c r="G287" s="13" t="s">
        <v>5230</v>
      </c>
      <c r="H287" s="277" t="s">
        <v>5231</v>
      </c>
      <c r="I287" s="175" t="s">
        <v>4882</v>
      </c>
      <c r="J287" s="173" t="s">
        <v>6732</v>
      </c>
      <c r="K287" s="20" t="s">
        <v>4287</v>
      </c>
      <c r="L287" s="278">
        <v>42794</v>
      </c>
      <c r="M287" s="278">
        <v>42793</v>
      </c>
      <c r="N287" s="19" t="str">
        <f>_xlfn.IFNA(VLOOKUP(B287,'[1]VLOOKUP NO DUPS'!$A$1:$C$456,2,FALSE),"")</f>
        <v/>
      </c>
      <c r="O287" s="19" t="str">
        <f>_xlfn.IFNA(VLOOKUP(B287,'[1]VLOOKUP NO DUPS'!$A$1:$C$456,3,FALSE),"")</f>
        <v/>
      </c>
      <c r="P287" s="277"/>
      <c r="Q287" s="277"/>
      <c r="R287" s="277"/>
    </row>
    <row r="288" spans="1:18" s="86" customFormat="1" x14ac:dyDescent="0.25">
      <c r="A288" s="25" t="s">
        <v>8117</v>
      </c>
      <c r="B288" s="57" t="s">
        <v>3665</v>
      </c>
      <c r="C288" s="57" t="s">
        <v>5238</v>
      </c>
      <c r="D288" s="16" t="s">
        <v>5239</v>
      </c>
      <c r="E288" s="22" t="s">
        <v>8609</v>
      </c>
      <c r="F288" s="15">
        <v>6</v>
      </c>
      <c r="G288" s="13" t="s">
        <v>4637</v>
      </c>
      <c r="H288" s="277" t="s">
        <v>7</v>
      </c>
      <c r="I288" s="175" t="s">
        <v>4882</v>
      </c>
      <c r="J288" s="173" t="s">
        <v>6732</v>
      </c>
      <c r="K288" s="20" t="s">
        <v>4287</v>
      </c>
      <c r="L288" s="278">
        <v>42395</v>
      </c>
      <c r="M288" s="278">
        <v>42394</v>
      </c>
      <c r="N288" s="19" t="str">
        <f>_xlfn.IFNA(VLOOKUP(B288,'[1]VLOOKUP NO DUPS'!$A$1:$C$456,2,FALSE),"")</f>
        <v/>
      </c>
      <c r="O288" s="19" t="str">
        <f>_xlfn.IFNA(VLOOKUP(B288,'[1]VLOOKUP NO DUPS'!$A$1:$C$456,3,FALSE),"")</f>
        <v/>
      </c>
      <c r="P288" s="277"/>
      <c r="Q288" s="277"/>
      <c r="R288" s="277"/>
    </row>
    <row r="289" spans="1:20" s="86" customFormat="1" x14ac:dyDescent="0.25">
      <c r="A289" s="25" t="s">
        <v>8117</v>
      </c>
      <c r="B289" s="59" t="s">
        <v>4244</v>
      </c>
      <c r="C289" s="57" t="s">
        <v>5253</v>
      </c>
      <c r="D289" s="16" t="s">
        <v>5254</v>
      </c>
      <c r="E289" s="16" t="s">
        <v>515</v>
      </c>
      <c r="F289" s="15">
        <v>6</v>
      </c>
      <c r="G289" s="13" t="s">
        <v>5255</v>
      </c>
      <c r="H289" s="277" t="s">
        <v>5256</v>
      </c>
      <c r="I289" s="175" t="s">
        <v>4882</v>
      </c>
      <c r="J289" s="173" t="s">
        <v>6732</v>
      </c>
      <c r="K289" s="20" t="s">
        <v>4287</v>
      </c>
      <c r="L289" s="278">
        <v>42706</v>
      </c>
      <c r="M289" s="278">
        <v>42705</v>
      </c>
      <c r="N289" s="19" t="str">
        <f>_xlfn.IFNA(VLOOKUP(B289,'[1]VLOOKUP NO DUPS'!$A$1:$C$456,2,FALSE),"")</f>
        <v/>
      </c>
      <c r="O289" s="19" t="str">
        <f>_xlfn.IFNA(VLOOKUP(B289,'[1]VLOOKUP NO DUPS'!$A$1:$C$456,3,FALSE),"")</f>
        <v/>
      </c>
      <c r="P289" s="277"/>
      <c r="Q289" s="277"/>
      <c r="R289" s="277"/>
    </row>
    <row r="290" spans="1:20" s="86" customFormat="1" x14ac:dyDescent="0.25">
      <c r="A290" s="25" t="s">
        <v>8117</v>
      </c>
      <c r="B290" s="57" t="s">
        <v>3766</v>
      </c>
      <c r="C290" s="57" t="s">
        <v>5281</v>
      </c>
      <c r="D290" s="16" t="s">
        <v>5282</v>
      </c>
      <c r="E290" s="16" t="s">
        <v>503</v>
      </c>
      <c r="F290" s="15">
        <v>4</v>
      </c>
      <c r="G290" s="13" t="s">
        <v>5283</v>
      </c>
      <c r="H290" s="277" t="s">
        <v>5284</v>
      </c>
      <c r="I290" s="175" t="s">
        <v>4882</v>
      </c>
      <c r="J290" s="173" t="s">
        <v>6732</v>
      </c>
      <c r="K290" s="20" t="s">
        <v>4287</v>
      </c>
      <c r="L290" s="278">
        <v>42443</v>
      </c>
      <c r="M290" s="278">
        <v>42442</v>
      </c>
      <c r="N290" s="19" t="str">
        <f>_xlfn.IFNA(VLOOKUP(B290,'[1]VLOOKUP NO DUPS'!$A$1:$C$456,2,FALSE),"")</f>
        <v/>
      </c>
      <c r="O290" s="19" t="str">
        <f>_xlfn.IFNA(VLOOKUP(B290,'[1]VLOOKUP NO DUPS'!$A$1:$C$456,3,FALSE),"")</f>
        <v/>
      </c>
      <c r="P290" s="277"/>
      <c r="Q290" s="277"/>
      <c r="R290" s="277"/>
    </row>
    <row r="291" spans="1:20" s="86" customFormat="1" x14ac:dyDescent="0.25">
      <c r="A291" s="25" t="s">
        <v>8117</v>
      </c>
      <c r="B291" s="59" t="s">
        <v>4245</v>
      </c>
      <c r="C291" s="57" t="s">
        <v>5299</v>
      </c>
      <c r="D291" s="16" t="s">
        <v>5300</v>
      </c>
      <c r="E291" s="16" t="s">
        <v>545</v>
      </c>
      <c r="F291" s="15">
        <v>10</v>
      </c>
      <c r="G291" s="13" t="s">
        <v>5301</v>
      </c>
      <c r="H291" s="277" t="s">
        <v>5302</v>
      </c>
      <c r="I291" s="175" t="s">
        <v>4882</v>
      </c>
      <c r="J291" s="173" t="s">
        <v>6732</v>
      </c>
      <c r="K291" s="20" t="s">
        <v>4287</v>
      </c>
      <c r="L291" s="278">
        <v>42580</v>
      </c>
      <c r="M291" s="278">
        <v>42579</v>
      </c>
      <c r="N291" s="19" t="str">
        <f>_xlfn.IFNA(VLOOKUP(B291,'[1]VLOOKUP NO DUPS'!$A$1:$C$456,2,FALSE),"")</f>
        <v/>
      </c>
      <c r="O291" s="19" t="str">
        <f>_xlfn.IFNA(VLOOKUP(B291,'[1]VLOOKUP NO DUPS'!$A$1:$C$456,3,FALSE),"")</f>
        <v/>
      </c>
      <c r="P291" s="277"/>
      <c r="Q291" s="277"/>
      <c r="R291" s="277"/>
    </row>
    <row r="292" spans="1:20" s="86" customFormat="1" x14ac:dyDescent="0.25">
      <c r="A292" s="25" t="s">
        <v>8117</v>
      </c>
      <c r="B292" s="57" t="s">
        <v>4246</v>
      </c>
      <c r="C292" s="57" t="s">
        <v>5307</v>
      </c>
      <c r="D292" s="16" t="s">
        <v>5308</v>
      </c>
      <c r="E292" s="16" t="s">
        <v>457</v>
      </c>
      <c r="F292" s="15">
        <v>9</v>
      </c>
      <c r="G292" s="13" t="s">
        <v>5309</v>
      </c>
      <c r="H292" s="277" t="s">
        <v>5310</v>
      </c>
      <c r="I292" s="175" t="s">
        <v>4882</v>
      </c>
      <c r="J292" s="173" t="s">
        <v>6732</v>
      </c>
      <c r="K292" s="20" t="s">
        <v>4287</v>
      </c>
      <c r="L292" s="278">
        <v>42585</v>
      </c>
      <c r="M292" s="278">
        <v>42584</v>
      </c>
      <c r="N292" s="19" t="str">
        <f>_xlfn.IFNA(VLOOKUP(B292,'[1]VLOOKUP NO DUPS'!$A$1:$C$456,2,FALSE),"")</f>
        <v/>
      </c>
      <c r="O292" s="19" t="str">
        <f>_xlfn.IFNA(VLOOKUP(B292,'[1]VLOOKUP NO DUPS'!$A$1:$C$456,3,FALSE),"")</f>
        <v/>
      </c>
      <c r="P292" s="277"/>
      <c r="Q292" s="277"/>
      <c r="R292" s="277"/>
    </row>
    <row r="293" spans="1:20" s="86" customFormat="1" x14ac:dyDescent="0.25">
      <c r="A293" s="25" t="s">
        <v>8117</v>
      </c>
      <c r="B293" s="57" t="s">
        <v>4248</v>
      </c>
      <c r="C293" s="57" t="s">
        <v>5321</v>
      </c>
      <c r="D293" s="16" t="s">
        <v>5322</v>
      </c>
      <c r="E293" s="16" t="s">
        <v>4249</v>
      </c>
      <c r="F293" s="15">
        <v>8</v>
      </c>
      <c r="G293" s="13" t="s">
        <v>5323</v>
      </c>
      <c r="H293" s="277" t="s">
        <v>5324</v>
      </c>
      <c r="I293" s="175" t="s">
        <v>4882</v>
      </c>
      <c r="J293" s="173" t="s">
        <v>6732</v>
      </c>
      <c r="K293" s="20" t="s">
        <v>4287</v>
      </c>
      <c r="L293" s="278">
        <v>42783</v>
      </c>
      <c r="M293" s="278">
        <v>42782</v>
      </c>
      <c r="N293" s="19" t="str">
        <f>_xlfn.IFNA(VLOOKUP(B293,'[1]VLOOKUP NO DUPS'!$A$1:$C$456,2,FALSE),"")</f>
        <v/>
      </c>
      <c r="O293" s="19" t="str">
        <f>_xlfn.IFNA(VLOOKUP(B293,'[1]VLOOKUP NO DUPS'!$A$1:$C$456,3,FALSE),"")</f>
        <v/>
      </c>
      <c r="P293" s="277"/>
      <c r="Q293" s="277"/>
      <c r="R293" s="277"/>
    </row>
    <row r="294" spans="1:20" s="86" customFormat="1" x14ac:dyDescent="0.25">
      <c r="A294" s="25" t="s">
        <v>8117</v>
      </c>
      <c r="B294" s="57" t="s">
        <v>4250</v>
      </c>
      <c r="C294" s="57" t="s">
        <v>5328</v>
      </c>
      <c r="D294" s="16" t="s">
        <v>5329</v>
      </c>
      <c r="E294" s="16" t="s">
        <v>457</v>
      </c>
      <c r="F294" s="15">
        <v>9</v>
      </c>
      <c r="G294" s="13" t="s">
        <v>5330</v>
      </c>
      <c r="H294" s="277" t="s">
        <v>5331</v>
      </c>
      <c r="I294" s="175" t="s">
        <v>4882</v>
      </c>
      <c r="J294" s="173" t="s">
        <v>6732</v>
      </c>
      <c r="K294" s="20" t="s">
        <v>4287</v>
      </c>
      <c r="L294" s="278">
        <v>42710</v>
      </c>
      <c r="M294" s="278">
        <v>42709</v>
      </c>
      <c r="N294" s="19" t="str">
        <f>_xlfn.IFNA(VLOOKUP(B294,'[1]VLOOKUP NO DUPS'!$A$1:$C$456,2,FALSE),"")</f>
        <v/>
      </c>
      <c r="O294" s="19" t="str">
        <f>_xlfn.IFNA(VLOOKUP(B294,'[1]VLOOKUP NO DUPS'!$A$1:$C$456,3,FALSE),"")</f>
        <v/>
      </c>
      <c r="P294" s="277"/>
      <c r="Q294" s="277"/>
      <c r="R294" s="277"/>
    </row>
    <row r="295" spans="1:20" s="86" customFormat="1" x14ac:dyDescent="0.25">
      <c r="A295" s="25" t="s">
        <v>8117</v>
      </c>
      <c r="B295" s="59" t="s">
        <v>4251</v>
      </c>
      <c r="C295" s="57" t="s">
        <v>5361</v>
      </c>
      <c r="D295" s="16" t="s">
        <v>5362</v>
      </c>
      <c r="E295" s="16" t="s">
        <v>446</v>
      </c>
      <c r="F295" s="15">
        <v>9</v>
      </c>
      <c r="G295" s="13" t="s">
        <v>4342</v>
      </c>
      <c r="H295" s="277" t="s">
        <v>5231</v>
      </c>
      <c r="I295" s="175" t="s">
        <v>4882</v>
      </c>
      <c r="J295" s="173" t="s">
        <v>6732</v>
      </c>
      <c r="K295" s="20" t="s">
        <v>4287</v>
      </c>
      <c r="L295" s="278">
        <v>42781</v>
      </c>
      <c r="M295" s="278">
        <v>42780</v>
      </c>
      <c r="N295" s="19" t="str">
        <f>_xlfn.IFNA(VLOOKUP(B295,'[1]VLOOKUP NO DUPS'!$A$1:$C$456,2,FALSE),"")</f>
        <v/>
      </c>
      <c r="O295" s="19" t="str">
        <f>_xlfn.IFNA(VLOOKUP(B295,'[1]VLOOKUP NO DUPS'!$A$1:$C$456,3,FALSE),"")</f>
        <v/>
      </c>
      <c r="P295" s="277"/>
      <c r="Q295" s="277"/>
      <c r="R295" s="277"/>
    </row>
    <row r="296" spans="1:20" s="86" customFormat="1" x14ac:dyDescent="0.25">
      <c r="A296" s="25" t="s">
        <v>8117</v>
      </c>
      <c r="B296" s="57" t="s">
        <v>4252</v>
      </c>
      <c r="C296" s="57" t="s">
        <v>5386</v>
      </c>
      <c r="D296" s="22" t="s">
        <v>5387</v>
      </c>
      <c r="E296" s="16" t="s">
        <v>4253</v>
      </c>
      <c r="F296" s="15">
        <v>11</v>
      </c>
      <c r="G296" s="13" t="s">
        <v>5388</v>
      </c>
      <c r="H296" s="277" t="s">
        <v>5389</v>
      </c>
      <c r="I296" s="175" t="s">
        <v>4882</v>
      </c>
      <c r="J296" s="173" t="s">
        <v>6732</v>
      </c>
      <c r="K296" s="20" t="s">
        <v>4295</v>
      </c>
      <c r="L296" s="278">
        <v>42697</v>
      </c>
      <c r="M296" s="278">
        <v>42696</v>
      </c>
      <c r="N296" s="19" t="str">
        <f>_xlfn.IFNA(VLOOKUP(B296,'[1]VLOOKUP NO DUPS'!$A$1:$C$456,2,FALSE),"")</f>
        <v/>
      </c>
      <c r="O296" s="19" t="str">
        <f>_xlfn.IFNA(VLOOKUP(B296,'[1]VLOOKUP NO DUPS'!$A$1:$C$456,3,FALSE),"")</f>
        <v/>
      </c>
      <c r="P296" s="277"/>
      <c r="Q296" s="277"/>
      <c r="R296" s="277"/>
    </row>
    <row r="297" spans="1:20" s="109" customFormat="1" x14ac:dyDescent="0.25">
      <c r="A297" s="25" t="s">
        <v>8117</v>
      </c>
      <c r="B297" s="69" t="s">
        <v>1060</v>
      </c>
      <c r="C297" s="274" t="str">
        <f>IF(ISNA(VLOOKUP($B297,'Data Pull Sheet'!$B$2:$C$1795,2,0)),"",(VLOOKUP($B297,'Data Pull Sheet'!$B$2:$C$1795,2,0)))</f>
        <v/>
      </c>
      <c r="D297" s="69" t="s">
        <v>457</v>
      </c>
      <c r="E297" s="186" t="s">
        <v>505</v>
      </c>
      <c r="F297" s="186" t="s">
        <v>451</v>
      </c>
      <c r="G297" s="69" t="s">
        <v>1061</v>
      </c>
      <c r="H297" s="197" t="s">
        <v>417</v>
      </c>
      <c r="I297" s="70">
        <v>959025</v>
      </c>
      <c r="J297" s="69" t="s">
        <v>1062</v>
      </c>
      <c r="K297" s="69" t="s">
        <v>1063</v>
      </c>
      <c r="L297" s="71">
        <v>1</v>
      </c>
      <c r="M297" s="71">
        <v>1</v>
      </c>
      <c r="N297" s="72">
        <f t="shared" ref="N297:N302" si="11">I297</f>
        <v>959025</v>
      </c>
      <c r="O297" s="97" t="e">
        <f>(N297/(IF(ISNA(VLOOKUP($C297,'Data Pull Sheet'!$C$2:$W$2795,7,0)),"",(VLOOKUP($C297,'Data Pull Sheet'!$C$2:$W$2795,7,0)))))</f>
        <v>#VALUE!</v>
      </c>
      <c r="P297" s="69" t="s">
        <v>1064</v>
      </c>
      <c r="Q297" s="274" t="s">
        <v>676</v>
      </c>
      <c r="R297" s="274" t="s">
        <v>633</v>
      </c>
      <c r="S297" s="275" t="str">
        <f>IF(COUNTIF(G$297:G$297,G297)&gt;=2,"FF","")</f>
        <v/>
      </c>
      <c r="T297" s="217"/>
    </row>
    <row r="298" spans="1:20" s="218" customFormat="1" x14ac:dyDescent="0.25">
      <c r="A298" s="25" t="s">
        <v>8117</v>
      </c>
      <c r="B298" s="69" t="s">
        <v>816</v>
      </c>
      <c r="C298" s="274" t="str">
        <f>IF(ISNA(VLOOKUP($B298,'Data Pull Sheet'!$B$2:$C$1795,2,0)),"",(VLOOKUP($B298,'Data Pull Sheet'!$B$2:$C$1795,2,0)))</f>
        <v/>
      </c>
      <c r="D298" s="69" t="s">
        <v>817</v>
      </c>
      <c r="E298" s="186" t="s">
        <v>556</v>
      </c>
      <c r="F298" s="186" t="s">
        <v>464</v>
      </c>
      <c r="G298" s="69" t="s">
        <v>818</v>
      </c>
      <c r="H298" s="197" t="s">
        <v>403</v>
      </c>
      <c r="I298" s="70">
        <v>30000</v>
      </c>
      <c r="J298" s="69" t="s">
        <v>813</v>
      </c>
      <c r="K298" s="69" t="s">
        <v>819</v>
      </c>
      <c r="L298" s="71">
        <v>2</v>
      </c>
      <c r="M298" s="71">
        <v>1</v>
      </c>
      <c r="N298" s="72">
        <f t="shared" si="11"/>
        <v>30000</v>
      </c>
      <c r="O298" s="97" t="e">
        <f>(N298/(IF(ISNA(VLOOKUP($C298,'Data Pull Sheet'!$C$2:$W$2795,7,0)),"",(VLOOKUP($C298,'Data Pull Sheet'!$C$2:$W$2795,7,0)))))</f>
        <v>#VALUE!</v>
      </c>
      <c r="P298" s="69" t="s">
        <v>820</v>
      </c>
      <c r="Q298" s="274" t="s">
        <v>632</v>
      </c>
      <c r="R298" s="274" t="s">
        <v>637</v>
      </c>
      <c r="S298" s="275" t="str">
        <f>IF(COUNTIF(G$298:G$299,G298)&gt;=2,"FF","")</f>
        <v/>
      </c>
      <c r="T298" s="217"/>
    </row>
    <row r="299" spans="1:20" s="218" customFormat="1" x14ac:dyDescent="0.25">
      <c r="A299" s="25" t="s">
        <v>8117</v>
      </c>
      <c r="B299" s="69" t="s">
        <v>816</v>
      </c>
      <c r="C299" s="274" t="str">
        <f>IF(ISNA(VLOOKUP($B299,'Data Pull Sheet'!$B$2:$C$1795,2,0)),"",(VLOOKUP($B299,'Data Pull Sheet'!$B$2:$C$1795,2,0)))</f>
        <v/>
      </c>
      <c r="D299" s="69" t="s">
        <v>817</v>
      </c>
      <c r="E299" s="186" t="s">
        <v>556</v>
      </c>
      <c r="F299" s="186" t="s">
        <v>464</v>
      </c>
      <c r="G299" s="69" t="s">
        <v>821</v>
      </c>
      <c r="H299" s="197" t="s">
        <v>403</v>
      </c>
      <c r="I299" s="70">
        <v>1800</v>
      </c>
      <c r="J299" s="69" t="s">
        <v>813</v>
      </c>
      <c r="K299" s="69" t="s">
        <v>822</v>
      </c>
      <c r="L299" s="71"/>
      <c r="M299" s="71">
        <v>1</v>
      </c>
      <c r="N299" s="72">
        <f t="shared" si="11"/>
        <v>1800</v>
      </c>
      <c r="O299" s="97" t="e">
        <f>(N299/(IF(ISNA(VLOOKUP($C299,'Data Pull Sheet'!$C$2:$W$2795,7,0)),"",(VLOOKUP($C299,'Data Pull Sheet'!$C$2:$W$2795,7,0)))))</f>
        <v>#VALUE!</v>
      </c>
      <c r="P299" s="69" t="s">
        <v>823</v>
      </c>
      <c r="Q299" s="274" t="s">
        <v>632</v>
      </c>
      <c r="R299" s="274" t="s">
        <v>637</v>
      </c>
      <c r="S299" s="275" t="str">
        <f>IF(COUNTIF(G$298:G$299,G299)&gt;=2,"FF","")</f>
        <v/>
      </c>
      <c r="T299" s="217"/>
    </row>
    <row r="300" spans="1:20" s="218" customFormat="1" x14ac:dyDescent="0.25">
      <c r="A300" s="25" t="s">
        <v>8117</v>
      </c>
      <c r="B300" s="69" t="s">
        <v>809</v>
      </c>
      <c r="C300" s="274" t="str">
        <f>IF(ISNA(VLOOKUP($B300,'Data Pull Sheet'!$B$2:$C$1795,2,0)),"",(VLOOKUP($B300,'Data Pull Sheet'!$B$2:$C$1795,2,0)))</f>
        <v/>
      </c>
      <c r="D300" s="69" t="s">
        <v>409</v>
      </c>
      <c r="E300" s="186" t="s">
        <v>810</v>
      </c>
      <c r="F300" s="186" t="s">
        <v>811</v>
      </c>
      <c r="G300" s="69" t="s">
        <v>812</v>
      </c>
      <c r="H300" s="197" t="s">
        <v>403</v>
      </c>
      <c r="I300" s="194">
        <v>55053</v>
      </c>
      <c r="J300" s="69" t="s">
        <v>813</v>
      </c>
      <c r="K300" s="69" t="s">
        <v>814</v>
      </c>
      <c r="L300" s="71">
        <v>1</v>
      </c>
      <c r="M300" s="71">
        <v>1</v>
      </c>
      <c r="N300" s="72">
        <f t="shared" si="11"/>
        <v>55053</v>
      </c>
      <c r="O300" s="97" t="s">
        <v>4882</v>
      </c>
      <c r="P300" s="69" t="s">
        <v>815</v>
      </c>
      <c r="Q300" s="274" t="s">
        <v>676</v>
      </c>
      <c r="R300" s="274" t="s">
        <v>637</v>
      </c>
      <c r="S300" s="275" t="str">
        <f>IF(COUNTIF(G$300:G$300,G300)&gt;=2,"FF","")</f>
        <v/>
      </c>
      <c r="T300" s="217"/>
    </row>
    <row r="301" spans="1:20" s="218" customFormat="1" x14ac:dyDescent="0.25">
      <c r="A301" s="25" t="s">
        <v>8117</v>
      </c>
      <c r="B301" s="69" t="s">
        <v>2209</v>
      </c>
      <c r="C301" s="274" t="str">
        <f>IF(ISNA(VLOOKUP($B301,'Data Pull Sheet'!$B$2:$C$1795,2,0)),"",(VLOOKUP($B301,'Data Pull Sheet'!$B$2:$C$1795,2,0)))</f>
        <v/>
      </c>
      <c r="D301" s="69" t="s">
        <v>511</v>
      </c>
      <c r="E301" s="186" t="s">
        <v>810</v>
      </c>
      <c r="F301" s="186" t="s">
        <v>776</v>
      </c>
      <c r="G301" s="69" t="s">
        <v>2210</v>
      </c>
      <c r="H301" s="197" t="s">
        <v>403</v>
      </c>
      <c r="I301" s="194">
        <v>509.8</v>
      </c>
      <c r="J301" s="69" t="s">
        <v>813</v>
      </c>
      <c r="K301" s="69" t="s">
        <v>2211</v>
      </c>
      <c r="L301" s="71">
        <v>1</v>
      </c>
      <c r="M301" s="71">
        <v>1</v>
      </c>
      <c r="N301" s="72">
        <f t="shared" si="11"/>
        <v>509.8</v>
      </c>
      <c r="O301" s="97" t="s">
        <v>4882</v>
      </c>
      <c r="P301" s="69" t="s">
        <v>2212</v>
      </c>
      <c r="Q301" s="274" t="s">
        <v>676</v>
      </c>
      <c r="R301" s="274" t="s">
        <v>637</v>
      </c>
      <c r="S301" s="275" t="str">
        <f>IF(COUNTIF(G$301:G$301,G301)&gt;=2,"FF","")</f>
        <v/>
      </c>
      <c r="T301" s="217"/>
    </row>
    <row r="302" spans="1:20" s="218" customFormat="1" x14ac:dyDescent="0.25">
      <c r="A302" s="25" t="s">
        <v>8117</v>
      </c>
      <c r="B302" s="69" t="s">
        <v>2610</v>
      </c>
      <c r="C302" s="274" t="str">
        <f>IF(ISNA(VLOOKUP($B302,'Data Pull Sheet'!$B$2:$C$1795,2,0)),"",(VLOOKUP($B302,'Data Pull Sheet'!$B$2:$C$1795,2,0)))</f>
        <v/>
      </c>
      <c r="D302" s="69" t="s">
        <v>437</v>
      </c>
      <c r="E302" s="186" t="s">
        <v>2611</v>
      </c>
      <c r="F302" s="186" t="s">
        <v>1125</v>
      </c>
      <c r="G302" s="69" t="s">
        <v>2612</v>
      </c>
      <c r="H302" s="197" t="s">
        <v>417</v>
      </c>
      <c r="I302" s="194">
        <v>4170</v>
      </c>
      <c r="J302" s="69" t="s">
        <v>2613</v>
      </c>
      <c r="K302" s="69" t="s">
        <v>2614</v>
      </c>
      <c r="L302" s="71">
        <v>1</v>
      </c>
      <c r="M302" s="71">
        <v>1</v>
      </c>
      <c r="N302" s="72">
        <f t="shared" si="11"/>
        <v>4170</v>
      </c>
      <c r="O302" s="97" t="s">
        <v>4882</v>
      </c>
      <c r="P302" s="69" t="s">
        <v>2615</v>
      </c>
      <c r="Q302" s="274" t="s">
        <v>676</v>
      </c>
      <c r="R302" s="274" t="s">
        <v>633</v>
      </c>
      <c r="S302" s="275" t="str">
        <f>IF(COUNTIF(G$302:G$302,G302)&gt;=2,"FF","")</f>
        <v/>
      </c>
      <c r="T302" s="335"/>
    </row>
    <row r="303" spans="1:20" s="91" customFormat="1" x14ac:dyDescent="0.25">
      <c r="A303" s="25" t="s">
        <v>8117</v>
      </c>
      <c r="B303" s="59" t="s">
        <v>4310</v>
      </c>
      <c r="C303" s="57" t="s">
        <v>4311</v>
      </c>
      <c r="D303" s="16" t="s">
        <v>4312</v>
      </c>
      <c r="E303" s="16" t="s">
        <v>542</v>
      </c>
      <c r="F303" s="15">
        <v>3</v>
      </c>
      <c r="G303" s="13" t="s">
        <v>4313</v>
      </c>
      <c r="H303" s="277" t="s">
        <v>407</v>
      </c>
      <c r="I303" s="175" t="s">
        <v>4882</v>
      </c>
      <c r="J303" s="173" t="s">
        <v>6732</v>
      </c>
      <c r="K303" s="20" t="s">
        <v>4295</v>
      </c>
      <c r="L303" s="278">
        <v>42325</v>
      </c>
      <c r="M303" s="278">
        <v>42324</v>
      </c>
      <c r="N303" s="19" t="str">
        <f>_xlfn.IFNA(VLOOKUP(B303,'[1]VLOOKUP NO DUPS'!$A$1:$C$456,2,FALSE),"")</f>
        <v/>
      </c>
      <c r="O303" s="19" t="str">
        <f>_xlfn.IFNA(VLOOKUP(B303,'[1]VLOOKUP NO DUPS'!$A$1:$C$456,3,FALSE),"")</f>
        <v/>
      </c>
      <c r="P303" s="277"/>
      <c r="Q303" s="277"/>
      <c r="R303" s="277"/>
    </row>
    <row r="304" spans="1:20" s="86" customFormat="1" x14ac:dyDescent="0.25">
      <c r="A304" s="25" t="s">
        <v>8117</v>
      </c>
      <c r="B304" s="57" t="s">
        <v>3018</v>
      </c>
      <c r="C304" s="57" t="s">
        <v>5019</v>
      </c>
      <c r="D304" s="16" t="s">
        <v>5020</v>
      </c>
      <c r="E304" s="16" t="s">
        <v>418</v>
      </c>
      <c r="F304" s="15">
        <v>2</v>
      </c>
      <c r="G304" s="13" t="s">
        <v>5021</v>
      </c>
      <c r="H304" s="277" t="s">
        <v>4392</v>
      </c>
      <c r="I304" s="173">
        <v>140000000</v>
      </c>
      <c r="J304" s="173" t="str">
        <f>IF($I304&lt;='Abbrev Key'!$A$2,'Abbrev Key'!$B$2,IF($I304&lt;='Abbrev Key'!$A$3,'Abbrev Key'!$B$3,IF($I304&lt;='Abbrev Key'!$A$4,'Abbrev Key'!$B$4,IF($I304&lt;='Abbrev Key'!$A$5,'Abbrev Key'!$B$5,IF($I304&lt;='Abbrev Key'!$A$6,'Abbrev Key'!$B$6,IF($I304&gt;='Abbrev Key'!$A$7,'Abbrev Key'!$B$7,IF($I304='Abbrev Key'!$A$8,'Abbrev Key'!$B$8,"")))))))</f>
        <v>D</v>
      </c>
      <c r="K304" s="20" t="s">
        <v>4287</v>
      </c>
      <c r="L304" s="278">
        <v>42326</v>
      </c>
      <c r="M304" s="278">
        <v>42325</v>
      </c>
      <c r="N304" s="19" t="str">
        <f>_xlfn.IFNA(VLOOKUP(B304,'[1]VLOOKUP NO DUPS'!$A$1:$C$456,2,FALSE),"")</f>
        <v/>
      </c>
      <c r="O304" s="19" t="str">
        <f>_xlfn.IFNA(VLOOKUP(B304,'[1]VLOOKUP NO DUPS'!$A$1:$C$456,3,FALSE),"")</f>
        <v/>
      </c>
      <c r="P304" s="277"/>
      <c r="Q304" s="277"/>
      <c r="R304" s="277"/>
    </row>
    <row r="305" spans="1:20" s="109" customFormat="1" x14ac:dyDescent="0.25">
      <c r="A305" s="25" t="s">
        <v>8117</v>
      </c>
      <c r="B305" s="69" t="s">
        <v>3018</v>
      </c>
      <c r="C305" s="274" t="str">
        <f>IF(ISNA(VLOOKUP($B305,'Data Pull Sheet'!$B$2:$C$1795,2,0)),"",(VLOOKUP($B305,'Data Pull Sheet'!$B$2:$C$1795,2,0)))</f>
        <v/>
      </c>
      <c r="D305" s="69" t="s">
        <v>418</v>
      </c>
      <c r="E305" s="186" t="s">
        <v>3019</v>
      </c>
      <c r="F305" s="186" t="s">
        <v>1389</v>
      </c>
      <c r="G305" s="69" t="s">
        <v>3020</v>
      </c>
      <c r="H305" s="197" t="s">
        <v>403</v>
      </c>
      <c r="I305" s="70">
        <v>89050</v>
      </c>
      <c r="J305" s="69" t="s">
        <v>442</v>
      </c>
      <c r="K305" s="69" t="s">
        <v>3021</v>
      </c>
      <c r="L305" s="71">
        <v>3</v>
      </c>
      <c r="M305" s="71">
        <v>1</v>
      </c>
      <c r="N305" s="72">
        <f>I305</f>
        <v>89050</v>
      </c>
      <c r="O305" s="97" t="e">
        <f>(N305/(IF(ISNA(VLOOKUP($C305,'Data Pull Sheet'!$C$2:$W$2795,7,0)),"",(VLOOKUP($C305,'Data Pull Sheet'!$C$2:$W$2795,7,0)))))</f>
        <v>#VALUE!</v>
      </c>
      <c r="P305" s="69" t="s">
        <v>10807</v>
      </c>
      <c r="Q305" s="274" t="s">
        <v>632</v>
      </c>
      <c r="R305" s="274" t="s">
        <v>637</v>
      </c>
      <c r="S305" s="275" t="str">
        <f>IF(COUNTIF(G$305:G$308,G305)&gt;=2,"FF","")</f>
        <v/>
      </c>
      <c r="T305" s="121"/>
    </row>
    <row r="306" spans="1:20" s="109" customFormat="1" x14ac:dyDescent="0.25">
      <c r="A306" s="25" t="s">
        <v>8117</v>
      </c>
      <c r="B306" s="69" t="s">
        <v>3018</v>
      </c>
      <c r="C306" s="274" t="str">
        <f>IF(ISNA(VLOOKUP($B306,'Data Pull Sheet'!$B$2:$C$1795,2,0)),"",(VLOOKUP($B306,'Data Pull Sheet'!$B$2:$C$1795,2,0)))</f>
        <v/>
      </c>
      <c r="D306" s="69" t="s">
        <v>418</v>
      </c>
      <c r="E306" s="186" t="s">
        <v>3019</v>
      </c>
      <c r="F306" s="186" t="s">
        <v>1389</v>
      </c>
      <c r="G306" s="69" t="s">
        <v>3023</v>
      </c>
      <c r="H306" s="197" t="s">
        <v>403</v>
      </c>
      <c r="I306" s="70">
        <v>1408.84</v>
      </c>
      <c r="J306" s="69"/>
      <c r="K306" s="69" t="s">
        <v>3024</v>
      </c>
      <c r="L306" s="71"/>
      <c r="M306" s="71">
        <v>1</v>
      </c>
      <c r="N306" s="72">
        <f>I306</f>
        <v>1408.84</v>
      </c>
      <c r="O306" s="97" t="e">
        <f>(N306/(IF(ISNA(VLOOKUP($C306,'Data Pull Sheet'!$C$2:$W$2795,7,0)),"",(VLOOKUP($C306,'Data Pull Sheet'!$C$2:$W$2795,7,0)))))</f>
        <v>#VALUE!</v>
      </c>
      <c r="P306" s="69" t="s">
        <v>63</v>
      </c>
      <c r="Q306" s="274" t="s">
        <v>632</v>
      </c>
      <c r="R306" s="274" t="s">
        <v>637</v>
      </c>
      <c r="S306" s="275" t="str">
        <f>IF(COUNTIF(G$305:G$308,G306)&gt;=2,"FF","")</f>
        <v/>
      </c>
      <c r="T306" s="121"/>
    </row>
    <row r="307" spans="1:20" s="109" customFormat="1" x14ac:dyDescent="0.25">
      <c r="A307" s="25" t="s">
        <v>8117</v>
      </c>
      <c r="B307" s="69" t="s">
        <v>3018</v>
      </c>
      <c r="C307" s="274" t="str">
        <f>IF(ISNA(VLOOKUP($B307,'Data Pull Sheet'!$B$2:$C$1795,2,0)),"",(VLOOKUP($B307,'Data Pull Sheet'!$B$2:$C$1795,2,0)))</f>
        <v/>
      </c>
      <c r="D307" s="69" t="s">
        <v>418</v>
      </c>
      <c r="E307" s="186" t="s">
        <v>3019</v>
      </c>
      <c r="F307" s="186" t="s">
        <v>1389</v>
      </c>
      <c r="G307" s="69" t="s">
        <v>3025</v>
      </c>
      <c r="H307" s="197" t="s">
        <v>403</v>
      </c>
      <c r="I307" s="70">
        <v>568</v>
      </c>
      <c r="J307" s="69"/>
      <c r="K307" s="69" t="s">
        <v>3026</v>
      </c>
      <c r="L307" s="71"/>
      <c r="M307" s="71">
        <v>2</v>
      </c>
      <c r="N307" s="72">
        <f>SUM(I307:I308)</f>
        <v>12112</v>
      </c>
      <c r="O307" s="97" t="e">
        <f>(N307/(IF(ISNA(VLOOKUP($C307,'Data Pull Sheet'!$C$2:$W$2795,7,0)),"",(VLOOKUP($C307,'Data Pull Sheet'!$C$2:$W$2795,7,0)))))</f>
        <v>#VALUE!</v>
      </c>
      <c r="P307" s="69" t="s">
        <v>682</v>
      </c>
      <c r="Q307" s="274" t="s">
        <v>632</v>
      </c>
      <c r="R307" s="274" t="s">
        <v>646</v>
      </c>
      <c r="S307" s="275" t="str">
        <f>IF(COUNTIF(G$305:G$308,G307)&gt;=2,"FF","")</f>
        <v/>
      </c>
      <c r="T307" s="121"/>
    </row>
    <row r="308" spans="1:20" s="109" customFormat="1" x14ac:dyDescent="0.25">
      <c r="A308" s="25" t="s">
        <v>8117</v>
      </c>
      <c r="B308" s="69" t="s">
        <v>3018</v>
      </c>
      <c r="C308" s="274" t="str">
        <f>IF(ISNA(VLOOKUP($B308,'Data Pull Sheet'!$B$2:$C$1795,2,0)),"",(VLOOKUP($B308,'Data Pull Sheet'!$B$2:$C$1795,2,0)))</f>
        <v/>
      </c>
      <c r="D308" s="69" t="s">
        <v>418</v>
      </c>
      <c r="E308" s="186" t="s">
        <v>3019</v>
      </c>
      <c r="F308" s="186" t="s">
        <v>1389</v>
      </c>
      <c r="G308" s="69" t="s">
        <v>3027</v>
      </c>
      <c r="H308" s="197" t="s">
        <v>403</v>
      </c>
      <c r="I308" s="70">
        <v>11544</v>
      </c>
      <c r="J308" s="69"/>
      <c r="K308" s="69" t="s">
        <v>3028</v>
      </c>
      <c r="L308" s="71"/>
      <c r="M308" s="71"/>
      <c r="N308" s="72"/>
      <c r="O308" s="97"/>
      <c r="P308" s="69" t="s">
        <v>682</v>
      </c>
      <c r="Q308" s="274" t="s">
        <v>632</v>
      </c>
      <c r="R308" s="274" t="s">
        <v>646</v>
      </c>
      <c r="S308" s="275" t="str">
        <f>IF(COUNTIF(G$305:G$308,G308)&gt;=2,"FF","")</f>
        <v/>
      </c>
      <c r="T308" s="121"/>
    </row>
    <row r="309" spans="1:20" s="91" customFormat="1" ht="15.75" x14ac:dyDescent="0.25">
      <c r="A309" s="25" t="s">
        <v>10638</v>
      </c>
      <c r="B309" s="59" t="s">
        <v>4299</v>
      </c>
      <c r="C309" s="57" t="s">
        <v>4300</v>
      </c>
      <c r="D309" s="16" t="s">
        <v>4301</v>
      </c>
      <c r="E309" s="16" t="s">
        <v>511</v>
      </c>
      <c r="F309" s="380">
        <v>2</v>
      </c>
      <c r="G309" s="13" t="s">
        <v>4302</v>
      </c>
      <c r="H309" s="277" t="s">
        <v>4303</v>
      </c>
      <c r="I309" s="173">
        <v>180000000</v>
      </c>
      <c r="J309" s="173" t="str">
        <f>IF($I309&lt;='Abbrev Key'!$A$2,'Abbrev Key'!$B$2,IF($I309&lt;='Abbrev Key'!$A$3,'Abbrev Key'!$B$3,IF($I309&lt;='Abbrev Key'!$A$4,'Abbrev Key'!$B$4,IF($I309&lt;='Abbrev Key'!$A$5,'Abbrev Key'!$B$5,IF($I309&lt;='Abbrev Key'!$A$6,'Abbrev Key'!$B$6,IF($I309&gt;='Abbrev Key'!$A$7,'Abbrev Key'!$B$7,IF($I309='Abbrev Key'!$A$8,'Abbrev Key'!$B$8,"")))))))</f>
        <v>D</v>
      </c>
      <c r="K309" s="20" t="s">
        <v>4295</v>
      </c>
      <c r="L309" s="278">
        <v>42755</v>
      </c>
      <c r="M309" s="278">
        <v>42754</v>
      </c>
      <c r="N309" s="19" t="str">
        <f>_xlfn.IFNA(VLOOKUP(B309,'[1]VLOOKUP NO DUPS'!$A$1:$C$456,2,FALSE),"")</f>
        <v>02/03/2017</v>
      </c>
      <c r="O309" s="19" t="str">
        <f>_xlfn.IFNA(VLOOKUP(B309,'[1]VLOOKUP NO DUPS'!$A$1:$C$456,3,FALSE),"")</f>
        <v>Levi &amp; Korsinsky, LLP</v>
      </c>
      <c r="P309" s="277"/>
      <c r="Q309" s="277"/>
      <c r="R309" s="277"/>
    </row>
    <row r="310" spans="1:20" s="91" customFormat="1" x14ac:dyDescent="0.25">
      <c r="A310" s="25" t="s">
        <v>10638</v>
      </c>
      <c r="B310" s="59" t="s">
        <v>8793</v>
      </c>
      <c r="C310" s="59" t="s">
        <v>8470</v>
      </c>
      <c r="D310" s="22" t="s">
        <v>8629</v>
      </c>
      <c r="E310" s="22" t="s">
        <v>1116</v>
      </c>
      <c r="F310" s="15">
        <v>11</v>
      </c>
      <c r="G310" s="20" t="s">
        <v>8260</v>
      </c>
      <c r="H310" s="18" t="s">
        <v>4332</v>
      </c>
      <c r="I310" s="173">
        <v>80000000</v>
      </c>
      <c r="J310" s="173" t="str">
        <f>IF($I310&lt;='Abbrev Key'!$A$2,'Abbrev Key'!$B$2,IF($I310&lt;='Abbrev Key'!$A$3,'Abbrev Key'!$B$3,IF($I310&lt;='Abbrev Key'!$A$4,'Abbrev Key'!$B$4,IF($I310&lt;='Abbrev Key'!$A$5,'Abbrev Key'!$B$5,IF($I310&lt;='Abbrev Key'!$A$6,'Abbrev Key'!$B$6,IF($I310&gt;='Abbrev Key'!$A$7,'Abbrev Key'!$B$7,IF($I310='Abbrev Key'!$A$8,'Abbrev Key'!$B$8,"")))))))</f>
        <v>C</v>
      </c>
      <c r="K310" s="20"/>
      <c r="L310" s="19" t="str">
        <f>RIGHT(G310,10)</f>
        <v>01/11/2018</v>
      </c>
      <c r="M310" s="19">
        <f>L310-1</f>
        <v>43110</v>
      </c>
      <c r="N310" s="19" t="str">
        <f>_xlfn.IFNA(VLOOKUP(B310,'[1]VLOOKUP NO DUPS'!$A$1:$C$456,2,FALSE),"")</f>
        <v>02/09/2018</v>
      </c>
      <c r="O310" s="19" t="str">
        <f>_xlfn.IFNA(VLOOKUP(B310,'[1]VLOOKUP NO DUPS'!$A$1:$C$456,3,FALSE),"")</f>
        <v>Law Offices of David A. Bain, LLC; Levi &amp; Korsinsky, LLP</v>
      </c>
      <c r="P310" s="20"/>
      <c r="Q310" s="20"/>
      <c r="R310" s="20"/>
    </row>
    <row r="311" spans="1:20" s="351" customFormat="1" x14ac:dyDescent="0.25">
      <c r="A311" s="381" t="s">
        <v>10439</v>
      </c>
      <c r="B311" s="382" t="s">
        <v>1276</v>
      </c>
      <c r="C311" s="382" t="s">
        <v>4450</v>
      </c>
      <c r="D311" s="383" t="s">
        <v>4451</v>
      </c>
      <c r="E311" s="16" t="s">
        <v>457</v>
      </c>
      <c r="F311" s="15">
        <v>9</v>
      </c>
      <c r="G311" s="13" t="s">
        <v>4452</v>
      </c>
      <c r="H311" s="384" t="s">
        <v>1280</v>
      </c>
      <c r="I311" s="173">
        <v>100000000</v>
      </c>
      <c r="J311" s="173" t="str">
        <f>IF($I311&lt;='Abbrev Key'!$A$2,'Abbrev Key'!$B$2,IF($I311&lt;='Abbrev Key'!$A$3,'Abbrev Key'!$B$3,IF($I311&lt;='Abbrev Key'!$A$4,'Abbrev Key'!$B$4,IF($I311&lt;='Abbrev Key'!$A$5,'Abbrev Key'!$B$5,IF($I311&lt;='Abbrev Key'!$A$6,'Abbrev Key'!$B$6,IF($I311&gt;='Abbrev Key'!$A$7,'Abbrev Key'!$B$7,IF($I311='Abbrev Key'!$A$8,'Abbrev Key'!$B$8,"")))))))</f>
        <v>C</v>
      </c>
      <c r="K311" s="385" t="s">
        <v>4287</v>
      </c>
      <c r="L311" s="386">
        <v>42564</v>
      </c>
      <c r="M311" s="386">
        <v>42563</v>
      </c>
      <c r="N311" s="386" t="str">
        <f>_xlfn.IFNA(VLOOKUP(B311,'[1]VLOOKUP NO DUPS'!$A$1:$C$456,2,FALSE),"")</f>
        <v>07/13/2016</v>
      </c>
      <c r="O311" s="386" t="str">
        <f>_xlfn.IFNA(VLOOKUP(B311,'[1]VLOOKUP NO DUPS'!$A$1:$C$456,3,FALSE),"")</f>
        <v>Levi &amp; Korsinsky, LLP</v>
      </c>
      <c r="P311" s="384"/>
      <c r="Q311" s="384"/>
      <c r="R311" s="384"/>
    </row>
    <row r="312" spans="1:20" s="351" customFormat="1" x14ac:dyDescent="0.25">
      <c r="A312" s="381" t="s">
        <v>10439</v>
      </c>
      <c r="B312" s="382" t="s">
        <v>1693</v>
      </c>
      <c r="C312" s="382" t="s">
        <v>4559</v>
      </c>
      <c r="D312" s="383" t="s">
        <v>4560</v>
      </c>
      <c r="E312" s="16" t="s">
        <v>418</v>
      </c>
      <c r="F312" s="15">
        <v>2</v>
      </c>
      <c r="G312" s="13" t="s">
        <v>4561</v>
      </c>
      <c r="H312" s="384" t="s">
        <v>63</v>
      </c>
      <c r="I312" s="173">
        <v>100000000</v>
      </c>
      <c r="J312" s="173" t="str">
        <f>IF($I312&lt;='Abbrev Key'!$A$2,'Abbrev Key'!$B$2,IF($I312&lt;='Abbrev Key'!$A$3,'Abbrev Key'!$B$3,IF($I312&lt;='Abbrev Key'!$A$4,'Abbrev Key'!$B$4,IF($I312&lt;='Abbrev Key'!$A$5,'Abbrev Key'!$B$5,IF($I312&lt;='Abbrev Key'!$A$6,'Abbrev Key'!$B$6,IF($I312&gt;='Abbrev Key'!$A$7,'Abbrev Key'!$B$7,IF($I312='Abbrev Key'!$A$8,'Abbrev Key'!$B$8,"")))))))</f>
        <v>C</v>
      </c>
      <c r="K312" s="385" t="s">
        <v>4287</v>
      </c>
      <c r="L312" s="386">
        <v>42776</v>
      </c>
      <c r="M312" s="386">
        <v>42775</v>
      </c>
      <c r="N312" s="386" t="str">
        <f>_xlfn.IFNA(VLOOKUP(B312,'[1]VLOOKUP NO DUPS'!$A$1:$C$456,2,FALSE),"")</f>
        <v>07/22/2016</v>
      </c>
      <c r="O312" s="386" t="str">
        <f>_xlfn.IFNA(VLOOKUP(B312,'[1]VLOOKUP NO DUPS'!$A$1:$C$456,3,FALSE),"")</f>
        <v>Levi &amp; Korsinsky, LLP</v>
      </c>
      <c r="P312" s="384"/>
      <c r="Q312" s="384"/>
      <c r="R312" s="384"/>
    </row>
    <row r="313" spans="1:20" s="351" customFormat="1" x14ac:dyDescent="0.25">
      <c r="A313" s="25" t="s">
        <v>8117</v>
      </c>
      <c r="B313" s="382" t="s">
        <v>2422</v>
      </c>
      <c r="C313" s="382" t="s">
        <v>4805</v>
      </c>
      <c r="D313" s="383" t="s">
        <v>4806</v>
      </c>
      <c r="E313" s="16" t="s">
        <v>603</v>
      </c>
      <c r="F313" s="15">
        <v>11</v>
      </c>
      <c r="G313" s="13" t="s">
        <v>4807</v>
      </c>
      <c r="H313" s="384" t="s">
        <v>7</v>
      </c>
      <c r="I313" s="175" t="s">
        <v>4882</v>
      </c>
      <c r="J313" s="173" t="s">
        <v>6732</v>
      </c>
      <c r="K313" s="385" t="s">
        <v>4295</v>
      </c>
      <c r="L313" s="386">
        <v>42352</v>
      </c>
      <c r="M313" s="386">
        <v>42351</v>
      </c>
      <c r="N313" s="386" t="s">
        <v>4258</v>
      </c>
      <c r="O313" s="386" t="s">
        <v>682</v>
      </c>
      <c r="P313" s="384"/>
      <c r="Q313" s="384"/>
      <c r="R313" s="384"/>
    </row>
    <row r="314" spans="1:20" s="351" customFormat="1" x14ac:dyDescent="0.25">
      <c r="A314" s="25" t="s">
        <v>8117</v>
      </c>
      <c r="B314" s="382" t="s">
        <v>2559</v>
      </c>
      <c r="C314" s="382" t="s">
        <v>4846</v>
      </c>
      <c r="D314" s="383" t="s">
        <v>4847</v>
      </c>
      <c r="E314" s="16" t="s">
        <v>457</v>
      </c>
      <c r="F314" s="15">
        <v>9</v>
      </c>
      <c r="G314" s="13" t="s">
        <v>4848</v>
      </c>
      <c r="H314" s="384" t="s">
        <v>4849</v>
      </c>
      <c r="I314" s="173">
        <v>55000000</v>
      </c>
      <c r="J314" s="173" t="str">
        <f>IF($I314&lt;='Abbrev Key'!$A$2,'Abbrev Key'!$B$2,IF($I314&lt;='Abbrev Key'!$A$3,'Abbrev Key'!$B$3,IF($I314&lt;='Abbrev Key'!$A$4,'Abbrev Key'!$B$4,IF($I314&lt;='Abbrev Key'!$A$5,'Abbrev Key'!$B$5,IF($I314&lt;='Abbrev Key'!$A$6,'Abbrev Key'!$B$6,IF($I314&gt;='Abbrev Key'!$A$7,'Abbrev Key'!$B$7,IF($I314='Abbrev Key'!$A$8,'Abbrev Key'!$B$8,"")))))))</f>
        <v>C</v>
      </c>
      <c r="K314" s="385" t="s">
        <v>4287</v>
      </c>
      <c r="L314" s="386">
        <v>42166</v>
      </c>
      <c r="M314" s="386">
        <v>42165</v>
      </c>
      <c r="N314" s="386">
        <v>42027</v>
      </c>
      <c r="O314" s="386" t="s">
        <v>10937</v>
      </c>
      <c r="P314" s="384"/>
      <c r="Q314" s="384"/>
      <c r="R314" s="384"/>
    </row>
    <row r="315" spans="1:20" s="351" customFormat="1" x14ac:dyDescent="0.25">
      <c r="A315" s="25" t="s">
        <v>8117</v>
      </c>
      <c r="B315" s="382" t="s">
        <v>2589</v>
      </c>
      <c r="C315" s="382" t="s">
        <v>4862</v>
      </c>
      <c r="D315" s="383" t="s">
        <v>4863</v>
      </c>
      <c r="E315" s="16" t="s">
        <v>603</v>
      </c>
      <c r="F315" s="15">
        <v>11</v>
      </c>
      <c r="G315" s="13" t="s">
        <v>4864</v>
      </c>
      <c r="H315" s="384" t="s">
        <v>4865</v>
      </c>
      <c r="I315" s="173" t="s">
        <v>4882</v>
      </c>
      <c r="J315" s="173" t="s">
        <v>6732</v>
      </c>
      <c r="K315" s="385" t="s">
        <v>4287</v>
      </c>
      <c r="L315" s="386">
        <v>41939</v>
      </c>
      <c r="M315" s="386">
        <v>41938</v>
      </c>
      <c r="N315" s="386" t="str">
        <f>_xlfn.IFNA(VLOOKUP(B315,'[1]VLOOKUP NO DUPS'!$A$1:$C$456,2,FALSE),"")</f>
        <v>10/24/2016</v>
      </c>
      <c r="O315" s="386" t="str">
        <f>_xlfn.IFNA(VLOOKUP(B315,'[1]VLOOKUP NO DUPS'!$A$1:$C$456,3,FALSE),"")</f>
        <v>Fischler &amp; Friedman, P.A.; Wolf Haldenstein Adler Freeman &amp; Herz LLP</v>
      </c>
      <c r="P315" s="384"/>
      <c r="Q315" s="384"/>
      <c r="R315" s="384"/>
    </row>
    <row r="316" spans="1:20" s="109" customFormat="1" x14ac:dyDescent="0.25">
      <c r="A316" s="25" t="s">
        <v>8117</v>
      </c>
      <c r="B316" s="59" t="s">
        <v>7242</v>
      </c>
      <c r="C316" s="59" t="s">
        <v>7588</v>
      </c>
      <c r="D316" s="59" t="s">
        <v>491</v>
      </c>
      <c r="E316" s="356" t="s">
        <v>3811</v>
      </c>
      <c r="F316" s="356" t="s">
        <v>6945</v>
      </c>
      <c r="G316" s="59" t="s">
        <v>7243</v>
      </c>
      <c r="H316" s="59" t="s">
        <v>403</v>
      </c>
      <c r="I316" s="353">
        <v>17720</v>
      </c>
      <c r="J316" s="59" t="s">
        <v>813</v>
      </c>
      <c r="K316" s="59" t="s">
        <v>7862</v>
      </c>
      <c r="L316" s="20">
        <v>1</v>
      </c>
      <c r="M316" s="20">
        <v>1</v>
      </c>
      <c r="N316" s="357">
        <f>I316</f>
        <v>17720</v>
      </c>
      <c r="O316" s="355" t="s">
        <v>4882</v>
      </c>
      <c r="P316" s="59" t="s">
        <v>7244</v>
      </c>
      <c r="Q316" s="18" t="s">
        <v>676</v>
      </c>
      <c r="R316" s="18" t="s">
        <v>637</v>
      </c>
      <c r="S316" s="387" t="str">
        <f>IF(COUNTIF(G$316:G$316,G316)&gt;=2,"FF","")</f>
        <v/>
      </c>
      <c r="T316" s="121"/>
    </row>
    <row r="317" spans="1:20" s="88" customFormat="1" x14ac:dyDescent="0.25">
      <c r="A317" s="25" t="s">
        <v>8117</v>
      </c>
      <c r="B317" s="382" t="s">
        <v>3443</v>
      </c>
      <c r="C317" s="382" t="s">
        <v>5167</v>
      </c>
      <c r="D317" s="383" t="s">
        <v>5168</v>
      </c>
      <c r="E317" s="16" t="s">
        <v>1380</v>
      </c>
      <c r="F317" s="15">
        <v>5</v>
      </c>
      <c r="G317" s="13" t="s">
        <v>5169</v>
      </c>
      <c r="H317" s="384" t="s">
        <v>7</v>
      </c>
      <c r="I317" s="173">
        <v>145000000</v>
      </c>
      <c r="J317" s="173" t="str">
        <f>IF($I317&lt;='Abbrev Key'!$A$2,'Abbrev Key'!$B$2,IF($I317&lt;='Abbrev Key'!$A$3,'Abbrev Key'!$B$3,IF($I317&lt;='Abbrev Key'!$A$4,'Abbrev Key'!$B$4,IF($I317&lt;='Abbrev Key'!$A$5,'Abbrev Key'!$B$5,IF($I317&lt;='Abbrev Key'!$A$6,'Abbrev Key'!$B$6,IF($I317&gt;='Abbrev Key'!$A$7,'Abbrev Key'!$B$7,IF($I317='Abbrev Key'!$A$8,'Abbrev Key'!$B$8,"")))))))</f>
        <v>D</v>
      </c>
      <c r="K317" s="385" t="s">
        <v>4287</v>
      </c>
      <c r="L317" s="386">
        <v>42405</v>
      </c>
      <c r="M317" s="386">
        <v>42404</v>
      </c>
      <c r="N317" s="386">
        <v>42366</v>
      </c>
      <c r="O317" s="386" t="s">
        <v>7</v>
      </c>
      <c r="P317" s="384"/>
      <c r="Q317" s="384"/>
      <c r="R317" s="384"/>
    </row>
    <row r="318" spans="1:20" s="88" customFormat="1" x14ac:dyDescent="0.25">
      <c r="A318" s="25" t="s">
        <v>10638</v>
      </c>
      <c r="B318" s="382" t="s">
        <v>8902</v>
      </c>
      <c r="C318" s="382" t="s">
        <v>8581</v>
      </c>
      <c r="D318" s="383" t="s">
        <v>8769</v>
      </c>
      <c r="E318" s="22" t="s">
        <v>409</v>
      </c>
      <c r="F318" s="20">
        <v>1</v>
      </c>
      <c r="G318" s="20" t="s">
        <v>8422</v>
      </c>
      <c r="H318" s="384" t="s">
        <v>4332</v>
      </c>
      <c r="I318" s="173">
        <v>107000000</v>
      </c>
      <c r="J318" s="173" t="str">
        <f>IF($I318&lt;='Abbrev Key'!$A$2,'Abbrev Key'!$B$2,IF($I318&lt;='Abbrev Key'!$A$3,'Abbrev Key'!$B$3,IF($I318&lt;='Abbrev Key'!$A$4,'Abbrev Key'!$B$4,IF($I318&lt;='Abbrev Key'!$A$5,'Abbrev Key'!$B$5,IF($I318&lt;='Abbrev Key'!$A$6,'Abbrev Key'!$B$6,IF($I318&gt;='Abbrev Key'!$A$7,'Abbrev Key'!$B$7,IF($I318='Abbrev Key'!$A$8,'Abbrev Key'!$B$8,"")))))))</f>
        <v>D</v>
      </c>
      <c r="K318" s="385"/>
      <c r="L318" s="386" t="str">
        <f>RIGHT(G318,10)</f>
        <v>03/14/2018</v>
      </c>
      <c r="M318" s="386">
        <f>L318-1</f>
        <v>43172</v>
      </c>
      <c r="N318" s="386" t="str">
        <f>_xlfn.IFNA(VLOOKUP(B318,'[1]VLOOKUP NO DUPS'!$A$1:$C$456,2,FALSE),"")</f>
        <v>03/27/2018</v>
      </c>
      <c r="O318" s="386" t="str">
        <f>_xlfn.IFNA(VLOOKUP(B318,'[1]VLOOKUP NO DUPS'!$A$1:$C$456,3,FALSE),"")</f>
        <v>Andrews DeValerio LLP; Glancy Prongay &amp; Murray, LLP</v>
      </c>
      <c r="P318" s="385"/>
      <c r="Q318" s="385"/>
      <c r="R318" s="385"/>
    </row>
    <row r="319" spans="1:20" s="88" customFormat="1" x14ac:dyDescent="0.25">
      <c r="A319" s="91" t="s">
        <v>10638</v>
      </c>
      <c r="B319" s="382" t="s">
        <v>8907</v>
      </c>
      <c r="C319" s="382" t="s">
        <v>8590</v>
      </c>
      <c r="D319" s="383" t="s">
        <v>8935</v>
      </c>
      <c r="E319" s="22" t="s">
        <v>446</v>
      </c>
      <c r="F319" s="20">
        <v>9</v>
      </c>
      <c r="G319" s="20" t="s">
        <v>8435</v>
      </c>
      <c r="H319" s="384" t="s">
        <v>4332</v>
      </c>
      <c r="I319" s="173">
        <v>6600000</v>
      </c>
      <c r="J319" s="173" t="str">
        <f>IF($I319&lt;='Abbrev Key'!$A$2,'Abbrev Key'!$B$2,IF($I319&lt;='Abbrev Key'!$A$3,'Abbrev Key'!$B$3,IF($I319&lt;='Abbrev Key'!$A$4,'Abbrev Key'!$B$4,IF($I319&lt;='Abbrev Key'!$A$5,'Abbrev Key'!$B$5,IF($I319&lt;='Abbrev Key'!$A$6,'Abbrev Key'!$B$6,IF($I319&gt;='Abbrev Key'!$A$7,'Abbrev Key'!$B$7,IF($I319='Abbrev Key'!$A$8,'Abbrev Key'!$B$8,"")))))))</f>
        <v>A</v>
      </c>
      <c r="K319" s="385"/>
      <c r="L319" s="386" t="str">
        <f>RIGHT(G319,10)</f>
        <v>12/18/2017</v>
      </c>
      <c r="M319" s="386">
        <f>L319-1</f>
        <v>43086</v>
      </c>
      <c r="N319" s="386" t="str">
        <f>_xlfn.IFNA(VLOOKUP(B319,'[1]VLOOKUP NO DUPS'!$A$1:$C$456,2,FALSE),"")</f>
        <v>12/21/2017</v>
      </c>
      <c r="O319" s="386" t="str">
        <f>_xlfn.IFNA(VLOOKUP(B319,'[1]VLOOKUP NO DUPS'!$A$1:$C$456,3,FALSE),"")</f>
        <v>Bronstein, Gewirtz &amp; Grossman, LLC; Pomerantz LLP</v>
      </c>
      <c r="P319" s="385"/>
      <c r="Q319" s="385"/>
      <c r="R319" s="385"/>
    </row>
    <row r="320" spans="1:20" s="109" customFormat="1" x14ac:dyDescent="0.25">
      <c r="A320" s="91" t="s">
        <v>10638</v>
      </c>
      <c r="B320" s="57" t="s">
        <v>3855</v>
      </c>
      <c r="C320" s="277" t="str">
        <f>IF(ISNA(VLOOKUP($B320,'Data Pull Sheet'!$B$2:$C$1795,2,0)),"",(VLOOKUP($B320,'Data Pull Sheet'!$B$2:$C$1795,2,0)))</f>
        <v/>
      </c>
      <c r="D320" s="57" t="s">
        <v>409</v>
      </c>
      <c r="E320" s="352" t="s">
        <v>1702</v>
      </c>
      <c r="F320" s="352" t="s">
        <v>3856</v>
      </c>
      <c r="G320" s="57" t="s">
        <v>3857</v>
      </c>
      <c r="H320" s="59" t="s">
        <v>403</v>
      </c>
      <c r="I320" s="358">
        <v>390105</v>
      </c>
      <c r="J320" s="57"/>
      <c r="K320" s="57" t="s">
        <v>3858</v>
      </c>
      <c r="L320" s="13">
        <v>2</v>
      </c>
      <c r="M320" s="13">
        <v>1</v>
      </c>
      <c r="N320" s="354">
        <f>I320</f>
        <v>390105</v>
      </c>
      <c r="O320" s="355" t="e">
        <f>(N320/(IF(ISNA(VLOOKUP($C320,'Data Pull Sheet'!$C$2:$W$2795,7,0)),"",(VLOOKUP($C320,'Data Pull Sheet'!$C$2:$W$2795,7,0)))))</f>
        <v>#VALUE!</v>
      </c>
      <c r="P320" s="57" t="s">
        <v>79</v>
      </c>
      <c r="Q320" s="277" t="s">
        <v>632</v>
      </c>
      <c r="R320" s="277" t="s">
        <v>637</v>
      </c>
      <c r="S320" s="387" t="str">
        <f>IF(COUNTIF(G$320:G$321,G320)&gt;=2,"FF","")</f>
        <v/>
      </c>
      <c r="T320" s="121"/>
    </row>
    <row r="321" spans="1:22" s="109" customFormat="1" x14ac:dyDescent="0.25">
      <c r="A321" s="91" t="s">
        <v>10638</v>
      </c>
      <c r="B321" s="57" t="s">
        <v>3855</v>
      </c>
      <c r="C321" s="277" t="str">
        <f>IF(ISNA(VLOOKUP($B321,'Data Pull Sheet'!$B$2:$C$1795,2,0)),"",(VLOOKUP($B321,'Data Pull Sheet'!$B$2:$C$1795,2,0)))</f>
        <v/>
      </c>
      <c r="D321" s="57" t="s">
        <v>409</v>
      </c>
      <c r="E321" s="352" t="s">
        <v>1702</v>
      </c>
      <c r="F321" s="352" t="s">
        <v>3856</v>
      </c>
      <c r="G321" s="57" t="s">
        <v>3859</v>
      </c>
      <c r="H321" s="59" t="s">
        <v>403</v>
      </c>
      <c r="I321" s="353">
        <v>8386.76</v>
      </c>
      <c r="J321" s="57"/>
      <c r="K321" s="57" t="s">
        <v>3860</v>
      </c>
      <c r="L321" s="13"/>
      <c r="M321" s="13">
        <v>1</v>
      </c>
      <c r="N321" s="354">
        <f>I321</f>
        <v>8386.76</v>
      </c>
      <c r="O321" s="355" t="e">
        <f>(N321/(IF(ISNA(VLOOKUP($C321,'Data Pull Sheet'!$C$2:$W$2795,7,0)),"",(VLOOKUP($C321,'Data Pull Sheet'!$C$2:$W$2795,7,0)))))</f>
        <v>#VALUE!</v>
      </c>
      <c r="P321" s="57" t="s">
        <v>682</v>
      </c>
      <c r="Q321" s="277" t="s">
        <v>632</v>
      </c>
      <c r="R321" s="277" t="s">
        <v>646</v>
      </c>
      <c r="S321" s="387" t="str">
        <f>IF(COUNTIF(G$320:G$321,G321)&gt;=2,"FF","")</f>
        <v/>
      </c>
      <c r="T321" s="121"/>
    </row>
    <row r="322" spans="1:22" s="88" customFormat="1" x14ac:dyDescent="0.25">
      <c r="A322" s="25" t="s">
        <v>10638</v>
      </c>
      <c r="B322" s="382" t="s">
        <v>3855</v>
      </c>
      <c r="C322" s="382" t="s">
        <v>5311</v>
      </c>
      <c r="D322" s="383" t="s">
        <v>5312</v>
      </c>
      <c r="E322" s="16" t="s">
        <v>409</v>
      </c>
      <c r="F322" s="15">
        <v>1</v>
      </c>
      <c r="G322" s="13" t="s">
        <v>5313</v>
      </c>
      <c r="H322" s="384" t="s">
        <v>5314</v>
      </c>
      <c r="I322" s="173">
        <v>20000000</v>
      </c>
      <c r="J322" s="173" t="str">
        <f>IF($I322&lt;='Abbrev Key'!$A$2,'Abbrev Key'!$B$2,IF($I322&lt;='Abbrev Key'!$A$3,'Abbrev Key'!$B$3,IF($I322&lt;='Abbrev Key'!$A$4,'Abbrev Key'!$B$4,IF($I322&lt;='Abbrev Key'!$A$5,'Abbrev Key'!$B$5,IF($I322&lt;='Abbrev Key'!$A$6,'Abbrev Key'!$B$6,IF($I322&gt;='Abbrev Key'!$A$7,'Abbrev Key'!$B$7,IF($I322='Abbrev Key'!$A$8,'Abbrev Key'!$B$8,"")))))))</f>
        <v>A</v>
      </c>
      <c r="K322" s="385" t="s">
        <v>4287</v>
      </c>
      <c r="L322" s="386">
        <v>42576</v>
      </c>
      <c r="M322" s="386">
        <v>42575</v>
      </c>
      <c r="N322" s="386" t="str">
        <f>_xlfn.IFNA(VLOOKUP(B322,'[1]VLOOKUP NO DUPS'!$A$1:$C$456,2,FALSE),"")</f>
        <v>08/01/2016</v>
      </c>
      <c r="O322" s="386" t="str">
        <f>_xlfn.IFNA(VLOOKUP(B322,'[1]VLOOKUP NO DUPS'!$A$1:$C$456,3,FALSE),"")</f>
        <v>Goldberg Law PC; Pomerantz LLP</v>
      </c>
      <c r="P322" s="384"/>
      <c r="Q322" s="384"/>
      <c r="R322" s="384"/>
    </row>
    <row r="323" spans="1:22" s="88" customFormat="1" x14ac:dyDescent="0.25">
      <c r="A323" s="25" t="s">
        <v>11106</v>
      </c>
      <c r="B323" s="382" t="s">
        <v>6976</v>
      </c>
      <c r="C323" s="382" t="s">
        <v>7600</v>
      </c>
      <c r="D323" s="383" t="s">
        <v>8087</v>
      </c>
      <c r="E323" s="22" t="s">
        <v>545</v>
      </c>
      <c r="F323" s="20">
        <v>10</v>
      </c>
      <c r="G323" s="20" t="s">
        <v>8086</v>
      </c>
      <c r="H323" s="384" t="s">
        <v>11079</v>
      </c>
      <c r="I323" s="173">
        <v>170000000</v>
      </c>
      <c r="J323" s="173" t="str">
        <f>IF($I323&lt;='Abbrev Key'!$A$2,'Abbrev Key'!$B$2,IF($I323&lt;='Abbrev Key'!$A$3,'Abbrev Key'!$B$3,IF($I323&lt;='Abbrev Key'!$A$4,'Abbrev Key'!$B$4,IF($I323&lt;='Abbrev Key'!$A$5,'Abbrev Key'!$B$5,IF($I323&lt;='Abbrev Key'!$A$6,'Abbrev Key'!$B$6,IF($I323&gt;='Abbrev Key'!$A$7,'Abbrev Key'!$B$7,IF($I323='Abbrev Key'!$A$8,'Abbrev Key'!$B$8,"")))))))</f>
        <v>D</v>
      </c>
      <c r="K323" s="385"/>
      <c r="L323" s="386" t="str">
        <f>RIGHT(G323,10)</f>
        <v>07/23/2015</v>
      </c>
      <c r="M323" s="386">
        <f>L323-1</f>
        <v>42207</v>
      </c>
      <c r="N323" s="386">
        <v>42243</v>
      </c>
      <c r="O323" s="386" t="s">
        <v>597</v>
      </c>
      <c r="P323" s="385"/>
      <c r="Q323" s="385"/>
      <c r="R323" s="384"/>
    </row>
    <row r="324" spans="1:22" s="88" customFormat="1" x14ac:dyDescent="0.25">
      <c r="A324" s="25" t="s">
        <v>11106</v>
      </c>
      <c r="B324" s="382" t="s">
        <v>7364</v>
      </c>
      <c r="C324" s="382" t="s">
        <v>7597</v>
      </c>
      <c r="D324" s="383" t="s">
        <v>8988</v>
      </c>
      <c r="E324" s="22" t="s">
        <v>418</v>
      </c>
      <c r="F324" s="20">
        <v>2</v>
      </c>
      <c r="G324" s="20" t="s">
        <v>8989</v>
      </c>
      <c r="H324" s="384" t="s">
        <v>166</v>
      </c>
      <c r="I324" s="173">
        <v>444000000</v>
      </c>
      <c r="J324" s="173" t="str">
        <f>IF('Data Pull Sheet'!$H476&lt;='Abbrev Key'!$A$2,'Abbrev Key'!$B$2,IF('Data Pull Sheet'!$H476&lt;='Abbrev Key'!$A$3,'Abbrev Key'!$B$3,IF('Data Pull Sheet'!$H476&lt;='Abbrev Key'!$A$4,'Abbrev Key'!$B$4,IF('Data Pull Sheet'!$H476&lt;='Abbrev Key'!$A$5,'Abbrev Key'!$B$5,IF('Data Pull Sheet'!$H476&lt;='Abbrev Key'!$A$6,'Abbrev Key'!$B$6,IF('Data Pull Sheet'!$H476&gt;='Abbrev Key'!$A$7,'Abbrev Key'!$B$7,IF('Data Pull Sheet'!$H476='Abbrev Key'!$A$8,'Abbrev Key'!$B$8,"")))))))</f>
        <v>F</v>
      </c>
      <c r="K324" s="385" t="s">
        <v>4408</v>
      </c>
      <c r="L324" s="386" t="str">
        <f>RIGHT(G324,10)</f>
        <v>10/29/2015</v>
      </c>
      <c r="M324" s="386">
        <f>L324-1</f>
        <v>42305</v>
      </c>
      <c r="N324" s="386">
        <v>42306</v>
      </c>
      <c r="O324" s="386" t="s">
        <v>125</v>
      </c>
      <c r="P324" s="385"/>
      <c r="Q324" s="385"/>
      <c r="R324" s="384"/>
    </row>
    <row r="325" spans="1:22" s="88" customFormat="1" x14ac:dyDescent="0.25">
      <c r="A325" s="25" t="s">
        <v>8117</v>
      </c>
      <c r="B325" s="382" t="s">
        <v>3360</v>
      </c>
      <c r="C325" s="382" t="s">
        <v>5123</v>
      </c>
      <c r="D325" s="383" t="s">
        <v>5124</v>
      </c>
      <c r="E325" s="16" t="s">
        <v>457</v>
      </c>
      <c r="F325" s="15">
        <v>9</v>
      </c>
      <c r="G325" s="13" t="s">
        <v>5125</v>
      </c>
      <c r="H325" s="384" t="s">
        <v>5126</v>
      </c>
      <c r="I325" s="175" t="s">
        <v>4882</v>
      </c>
      <c r="J325" s="173" t="s">
        <v>6732</v>
      </c>
      <c r="K325" s="385" t="s">
        <v>4287</v>
      </c>
      <c r="L325" s="386">
        <v>42463</v>
      </c>
      <c r="M325" s="386">
        <v>42462</v>
      </c>
      <c r="N325" s="386" t="str">
        <f>_xlfn.IFNA(VLOOKUP(B325,'[1]VLOOKUP NO DUPS'!$A$1:$C$456,2,FALSE),"")</f>
        <v>05/31/2016</v>
      </c>
      <c r="O325" s="386" t="str">
        <f>_xlfn.IFNA(VLOOKUP(B325,'[1]VLOOKUP NO DUPS'!$A$1:$C$456,3,FALSE),"")</f>
        <v>Faruqi &amp; Faruqi, LLP</v>
      </c>
      <c r="P325" s="384"/>
      <c r="Q325" s="384"/>
      <c r="R325" s="384"/>
    </row>
    <row r="326" spans="1:22" s="88" customFormat="1" x14ac:dyDescent="0.25">
      <c r="A326" s="25" t="s">
        <v>8117</v>
      </c>
      <c r="B326" s="382" t="s">
        <v>3331</v>
      </c>
      <c r="C326" s="382" t="s">
        <v>5110</v>
      </c>
      <c r="D326" s="383" t="s">
        <v>5111</v>
      </c>
      <c r="E326" s="16" t="s">
        <v>3332</v>
      </c>
      <c r="F326" s="15">
        <v>3</v>
      </c>
      <c r="G326" s="13" t="s">
        <v>5112</v>
      </c>
      <c r="H326" s="384" t="s">
        <v>7</v>
      </c>
      <c r="I326" s="175" t="s">
        <v>4882</v>
      </c>
      <c r="J326" s="173" t="s">
        <v>6732</v>
      </c>
      <c r="K326" s="385" t="s">
        <v>4287</v>
      </c>
      <c r="L326" s="386">
        <v>42304</v>
      </c>
      <c r="M326" s="386">
        <v>42303</v>
      </c>
      <c r="N326" s="386" t="str">
        <f>_xlfn.IFNA(VLOOKUP(B326,'[1]VLOOKUP NO DUPS'!$A$1:$C$456,2,FALSE),"")</f>
        <v>11/02/2018</v>
      </c>
      <c r="O326" s="386" t="str">
        <f>_xlfn.IFNA(VLOOKUP(B326,'[1]VLOOKUP NO DUPS'!$A$1:$C$456,3,FALSE),"")</f>
        <v>Kaufman, Coren &amp; Ress, P.C.; Robbins, Geller, Rudman &amp; Dowd, LLP</v>
      </c>
      <c r="P326" s="384"/>
      <c r="Q326" s="384"/>
      <c r="R326" s="384"/>
    </row>
    <row r="327" spans="1:22" s="88" customFormat="1" x14ac:dyDescent="0.25">
      <c r="A327" s="25" t="s">
        <v>11170</v>
      </c>
      <c r="B327" s="382" t="s">
        <v>4231</v>
      </c>
      <c r="C327" s="382" t="s">
        <v>4918</v>
      </c>
      <c r="D327" s="383" t="s">
        <v>4919</v>
      </c>
      <c r="E327" s="16" t="s">
        <v>603</v>
      </c>
      <c r="F327" s="15">
        <v>11</v>
      </c>
      <c r="G327" s="13" t="s">
        <v>4920</v>
      </c>
      <c r="H327" s="384" t="s">
        <v>4921</v>
      </c>
      <c r="I327" s="173" t="s">
        <v>4882</v>
      </c>
      <c r="J327" s="173" t="s">
        <v>6732</v>
      </c>
      <c r="K327" s="385" t="s">
        <v>4295</v>
      </c>
      <c r="L327" s="386">
        <v>42544</v>
      </c>
      <c r="M327" s="386">
        <v>42543</v>
      </c>
      <c r="N327" s="386" t="str">
        <f>_xlfn.IFNA(VLOOKUP(B327,'[1]VLOOKUP NO DUPS'!$A$1:$C$456,2,FALSE),"")</f>
        <v>12/09/2016</v>
      </c>
      <c r="O327" s="386" t="str">
        <f>_xlfn.IFNA(VLOOKUP(B327,'[1]VLOOKUP NO DUPS'!$A$1:$C$456,3,FALSE),"")</f>
        <v>Crabtree &amp; Auslander</v>
      </c>
      <c r="P327" s="384"/>
      <c r="Q327" s="384"/>
      <c r="R327" s="384"/>
    </row>
    <row r="328" spans="1:22" s="109" customFormat="1" x14ac:dyDescent="0.25">
      <c r="A328" s="86" t="s">
        <v>8117</v>
      </c>
      <c r="B328" s="382" t="s">
        <v>11364</v>
      </c>
      <c r="C328" s="18" t="str">
        <f>IF(ISNA(VLOOKUP(B328,'Data Pull Sheet'!$B$2:$C$1795,2,0)),"",(VLOOKUP(B328,'Data Pull Sheet'!$B$2:$C$1795,2,0)))</f>
        <v/>
      </c>
      <c r="D328" s="59" t="s">
        <v>437</v>
      </c>
      <c r="E328" s="356" t="s">
        <v>11365</v>
      </c>
      <c r="F328" s="356" t="s">
        <v>11366</v>
      </c>
      <c r="G328" s="1"/>
      <c r="H328" s="1"/>
      <c r="I328" s="2"/>
      <c r="J328" s="1"/>
      <c r="K328" s="1"/>
      <c r="L328" s="1"/>
      <c r="M328" s="33"/>
      <c r="N328" s="388"/>
      <c r="O328" s="33"/>
      <c r="P328" s="1"/>
      <c r="Q328" s="36"/>
      <c r="R328" s="96"/>
      <c r="S328" s="388"/>
      <c r="T328" s="35"/>
      <c r="U328" s="291"/>
      <c r="V328" s="35"/>
    </row>
    <row r="329" spans="1:22" s="109" customFormat="1" x14ac:dyDescent="0.25">
      <c r="A329" s="86" t="s">
        <v>8117</v>
      </c>
      <c r="B329" s="382" t="s">
        <v>11371</v>
      </c>
      <c r="C329" s="18" t="str">
        <f>IF(ISNA(VLOOKUP(B329,'Data Pull Sheet'!$B$2:$C$1795,2,0)),"",(VLOOKUP(B329,'Data Pull Sheet'!$B$2:$C$1795,2,0)))</f>
        <v/>
      </c>
      <c r="D329" s="59" t="s">
        <v>437</v>
      </c>
      <c r="E329" s="356" t="s">
        <v>9156</v>
      </c>
      <c r="F329" s="356" t="s">
        <v>10884</v>
      </c>
      <c r="G329" s="59"/>
      <c r="H329" s="59"/>
      <c r="I329" s="353"/>
      <c r="J329" s="59"/>
      <c r="K329" s="59"/>
      <c r="L329" s="20"/>
      <c r="M329" s="20"/>
      <c r="N329" s="357"/>
      <c r="O329" s="355" t="str">
        <f>IFERROR((N329/(VLOOKUP(C329,'Data Pull Sheet'!$C:$H,8,FALSE))),"DC")</f>
        <v>DC</v>
      </c>
      <c r="P329" s="59"/>
      <c r="Q329" s="18"/>
      <c r="R329" s="18"/>
      <c r="S329" s="18" t="str">
        <f>IF(COUNTIF(G$329:G$329,G329)&gt;=2,"FF","")</f>
        <v/>
      </c>
      <c r="T329" s="35"/>
      <c r="U329" s="291"/>
      <c r="V329" s="35"/>
    </row>
    <row r="330" spans="1:22" s="109" customFormat="1" x14ac:dyDescent="0.25">
      <c r="A330" s="86" t="s">
        <v>8117</v>
      </c>
      <c r="B330" s="382" t="s">
        <v>11375</v>
      </c>
      <c r="C330" s="18" t="str">
        <f>IF(ISNA(VLOOKUP(B330,'Data Pull Sheet'!$B$2:$C$1795,2,0)),"",(VLOOKUP(B330,'Data Pull Sheet'!$B$2:$C$1795,2,0)))</f>
        <v/>
      </c>
      <c r="D330" s="59" t="s">
        <v>437</v>
      </c>
      <c r="E330" s="356" t="s">
        <v>9156</v>
      </c>
      <c r="F330" s="356" t="s">
        <v>11376</v>
      </c>
      <c r="G330" s="59" t="s">
        <v>378</v>
      </c>
      <c r="H330" s="59"/>
      <c r="I330" s="353">
        <v>419943</v>
      </c>
      <c r="J330" s="59" t="s">
        <v>2613</v>
      </c>
      <c r="K330" s="59"/>
      <c r="L330" s="20"/>
      <c r="M330" s="20"/>
      <c r="N330" s="357"/>
      <c r="O330" s="355" t="str">
        <f>IFERROR((N330/(VLOOKUP(C330,'Data Pull Sheet'!$C:$H,8,FALSE))),"DC")</f>
        <v>DC</v>
      </c>
      <c r="P330" s="59" t="s">
        <v>56</v>
      </c>
      <c r="Q330" s="18"/>
      <c r="R330" s="18"/>
      <c r="S330" s="384" t="str">
        <f>IF(COUNTIF(G$330:G$330,G330)&gt;=2,"FF","")</f>
        <v/>
      </c>
      <c r="T330" s="35"/>
      <c r="U330" s="291"/>
      <c r="V330" s="35"/>
    </row>
    <row r="331" spans="1:22" s="109" customFormat="1" x14ac:dyDescent="0.25">
      <c r="A331" s="86" t="s">
        <v>8117</v>
      </c>
      <c r="B331" s="59" t="s">
        <v>6921</v>
      </c>
      <c r="C331" s="18" t="str">
        <f>IF(ISNA(VLOOKUP(B331,'Data Pull Sheet'!$B$2:$C$1795,2,0)),"",(VLOOKUP(B331,'Data Pull Sheet'!$B$2:$C$1795,2,0)))</f>
        <v>EVHC</v>
      </c>
      <c r="D331" s="59" t="s">
        <v>437</v>
      </c>
      <c r="E331" s="356" t="s">
        <v>9043</v>
      </c>
      <c r="F331" s="356" t="s">
        <v>11229</v>
      </c>
      <c r="G331" s="59" t="s">
        <v>11398</v>
      </c>
      <c r="H331" s="59" t="s">
        <v>403</v>
      </c>
      <c r="I331" s="353"/>
      <c r="J331" s="59"/>
      <c r="K331" s="59"/>
      <c r="L331" s="20"/>
      <c r="M331" s="20"/>
      <c r="N331" s="357"/>
      <c r="O331" s="355" t="str">
        <f>IFERROR((N331/(VLOOKUP(C331,'Data Pull Sheet'!$C:$H,8,FALSE))),"DC")</f>
        <v>DC</v>
      </c>
      <c r="P331" s="59" t="s">
        <v>11399</v>
      </c>
      <c r="Q331" s="18"/>
      <c r="R331" s="18"/>
      <c r="S331" s="18" t="str">
        <f>IF(COUNTIF(G$331:G$331,G331)&gt;=2,"FF","")</f>
        <v/>
      </c>
      <c r="T331" s="35"/>
      <c r="U331" s="291"/>
      <c r="V331" s="35"/>
    </row>
    <row r="332" spans="1:22" s="109" customFormat="1" x14ac:dyDescent="0.25">
      <c r="A332" s="86" t="s">
        <v>8117</v>
      </c>
      <c r="B332" s="382" t="s">
        <v>11400</v>
      </c>
      <c r="C332" s="18" t="str">
        <f>IF(ISNA(VLOOKUP(B332,'Data Pull Sheet'!$B$2:$C$1795,2,0)),"",(VLOOKUP(B332,'Data Pull Sheet'!$B$2:$C$1795,2,0)))</f>
        <v/>
      </c>
      <c r="D332" s="59" t="s">
        <v>817</v>
      </c>
      <c r="E332" s="356" t="s">
        <v>11401</v>
      </c>
      <c r="F332" s="356" t="s">
        <v>11242</v>
      </c>
      <c r="G332" s="59" t="s">
        <v>11402</v>
      </c>
      <c r="H332" s="59" t="s">
        <v>403</v>
      </c>
      <c r="I332" s="353">
        <v>8901</v>
      </c>
      <c r="J332" s="59" t="s">
        <v>2613</v>
      </c>
      <c r="K332" s="59"/>
      <c r="L332" s="20"/>
      <c r="M332" s="20"/>
      <c r="N332" s="357"/>
      <c r="O332" s="355" t="str">
        <f>IFERROR((N332/(VLOOKUP(C332,'Data Pull Sheet'!$C:$H,8,FALSE))),"DC")</f>
        <v>DC</v>
      </c>
      <c r="P332" s="59" t="s">
        <v>11569</v>
      </c>
      <c r="Q332" s="18"/>
      <c r="R332" s="18"/>
      <c r="S332" s="18" t="str">
        <f>IF(COUNTIF(G$332:G$332,G332)&gt;=2,"FF","")</f>
        <v/>
      </c>
      <c r="T332" s="35"/>
      <c r="U332" s="291"/>
      <c r="V332" s="35"/>
    </row>
    <row r="333" spans="1:22" s="109" customFormat="1" x14ac:dyDescent="0.25">
      <c r="A333" s="389" t="s">
        <v>11597</v>
      </c>
      <c r="B333" s="382" t="s">
        <v>11403</v>
      </c>
      <c r="C333" s="18" t="str">
        <f>IF(ISNA(VLOOKUP(B333,'Data Pull Sheet'!$B$2:$C$1795,2,0)),"",(VLOOKUP(B333,'Data Pull Sheet'!$B$2:$C$1795,2,0)))</f>
        <v/>
      </c>
      <c r="D333" s="59" t="s">
        <v>557</v>
      </c>
      <c r="E333" s="356" t="s">
        <v>470</v>
      </c>
      <c r="F333" s="356" t="s">
        <v>11243</v>
      </c>
      <c r="G333" s="59" t="s">
        <v>11404</v>
      </c>
      <c r="H333" s="59" t="s">
        <v>403</v>
      </c>
      <c r="I333" s="353"/>
      <c r="J333" s="59"/>
      <c r="K333" s="59"/>
      <c r="L333" s="20"/>
      <c r="M333" s="20"/>
      <c r="N333" s="357"/>
      <c r="O333" s="355" t="str">
        <f>IFERROR((N333/(VLOOKUP(C333,'Data Pull Sheet'!$C:$H,8,FALSE))),"DC")</f>
        <v>DC</v>
      </c>
      <c r="P333" s="59" t="s">
        <v>11405</v>
      </c>
      <c r="Q333" s="18"/>
      <c r="R333" s="18"/>
      <c r="S333" s="18" t="str">
        <f>IF(COUNTIF(G$333:G$334,G333)&gt;=2,"FF","")</f>
        <v/>
      </c>
      <c r="T333" s="35"/>
      <c r="U333" s="291"/>
      <c r="V333" s="35"/>
    </row>
    <row r="334" spans="1:22" s="109" customFormat="1" x14ac:dyDescent="0.25">
      <c r="A334" s="389" t="s">
        <v>11597</v>
      </c>
      <c r="B334" s="382" t="s">
        <v>11403</v>
      </c>
      <c r="C334" s="18" t="str">
        <f>IF(ISNA(VLOOKUP(B334,'Data Pull Sheet'!$B$2:$C$1795,2,0)),"",(VLOOKUP(B334,'Data Pull Sheet'!$B$2:$C$1795,2,0)))</f>
        <v/>
      </c>
      <c r="D334" s="59" t="s">
        <v>557</v>
      </c>
      <c r="E334" s="356" t="s">
        <v>470</v>
      </c>
      <c r="F334" s="356" t="s">
        <v>11243</v>
      </c>
      <c r="G334" s="59" t="s">
        <v>11406</v>
      </c>
      <c r="H334" s="59" t="s">
        <v>403</v>
      </c>
      <c r="I334" s="353"/>
      <c r="J334" s="59"/>
      <c r="K334" s="59"/>
      <c r="L334" s="20"/>
      <c r="M334" s="20"/>
      <c r="N334" s="357"/>
      <c r="O334" s="355" t="str">
        <f>IFERROR((N334/(VLOOKUP(C334,'Data Pull Sheet'!$C:$H,8,FALSE))),"DC")</f>
        <v>DC</v>
      </c>
      <c r="P334" s="59" t="s">
        <v>11405</v>
      </c>
      <c r="Q334" s="18"/>
      <c r="R334" s="18"/>
      <c r="S334" s="18" t="str">
        <f>IF(COUNTIF(G$333:G$334,G334)&gt;=2,"FF","")</f>
        <v/>
      </c>
      <c r="T334" s="35"/>
      <c r="U334" s="291"/>
      <c r="V334" s="35"/>
    </row>
    <row r="335" spans="1:22" s="109" customFormat="1" x14ac:dyDescent="0.25">
      <c r="A335" s="86" t="s">
        <v>8117</v>
      </c>
      <c r="B335" s="382" t="s">
        <v>11409</v>
      </c>
      <c r="C335" s="18" t="str">
        <f>IF(ISNA(VLOOKUP(B335,'Data Pull Sheet'!$B$2:$C$1795,2,0)),"",(VLOOKUP(B335,'Data Pull Sheet'!$B$2:$C$1795,2,0)))</f>
        <v/>
      </c>
      <c r="D335" s="59" t="s">
        <v>437</v>
      </c>
      <c r="E335" s="356" t="s">
        <v>9149</v>
      </c>
      <c r="F335" s="356" t="s">
        <v>11243</v>
      </c>
      <c r="G335" s="59"/>
      <c r="H335" s="59"/>
      <c r="I335" s="353"/>
      <c r="J335" s="59"/>
      <c r="K335" s="59"/>
      <c r="L335" s="20"/>
      <c r="M335" s="20"/>
      <c r="N335" s="357"/>
      <c r="O335" s="355" t="str">
        <f>IFERROR((N335/(VLOOKUP(C335,'Data Pull Sheet'!$C:$H,8,FALSE))),"DC")</f>
        <v>DC</v>
      </c>
      <c r="P335" s="59"/>
      <c r="Q335" s="18"/>
      <c r="R335" s="18"/>
      <c r="S335" s="18" t="str">
        <f>IF(COUNTIF(G$335:G$335,G335)&gt;=2,"FF","")</f>
        <v/>
      </c>
      <c r="T335" s="35"/>
      <c r="U335" s="291"/>
      <c r="V335" s="35"/>
    </row>
    <row r="336" spans="1:22" s="109" customFormat="1" x14ac:dyDescent="0.25">
      <c r="A336" s="86" t="s">
        <v>8117</v>
      </c>
      <c r="B336" s="382" t="s">
        <v>11457</v>
      </c>
      <c r="C336" s="18" t="str">
        <f>IF(ISNA(VLOOKUP(B336,'Data Pull Sheet'!$B$2:$C$1795,2,0)),"",(VLOOKUP(B336,'Data Pull Sheet'!$B$2:$C$1795,2,0)))</f>
        <v/>
      </c>
      <c r="D336" s="59" t="s">
        <v>421</v>
      </c>
      <c r="E336" s="356" t="s">
        <v>9145</v>
      </c>
      <c r="F336" s="356" t="s">
        <v>11234</v>
      </c>
      <c r="G336" s="379"/>
      <c r="H336" s="379"/>
      <c r="I336" s="353"/>
      <c r="J336" s="59"/>
      <c r="K336" s="59"/>
      <c r="L336" s="20"/>
      <c r="M336" s="20"/>
      <c r="N336" s="357"/>
      <c r="O336" s="355" t="str">
        <f>IFERROR((N336/(VLOOKUP(C336,'Data Pull Sheet'!$C:$H,8,FALSE))),"DC")</f>
        <v>DC</v>
      </c>
      <c r="P336" s="59"/>
      <c r="Q336" s="18"/>
      <c r="R336" s="18"/>
      <c r="S336" s="18" t="str">
        <f>IF(COUNTIF(G$336:G$336,G336)&gt;=2,"FF","")</f>
        <v/>
      </c>
      <c r="T336" s="35"/>
      <c r="U336" s="291"/>
      <c r="V336" s="35"/>
    </row>
    <row r="337" spans="1:26" s="109" customFormat="1" x14ac:dyDescent="0.25">
      <c r="A337" s="86" t="s">
        <v>8117</v>
      </c>
      <c r="B337" s="382" t="s">
        <v>11522</v>
      </c>
      <c r="C337" s="18" t="str">
        <f>IF(ISNA(VLOOKUP(B337,'Data Pull Sheet'!$B$2:$C$1795,2,0)),"",(VLOOKUP(B337,'Data Pull Sheet'!$B$2:$C$1795,2,0)))</f>
        <v/>
      </c>
      <c r="D337" s="59" t="s">
        <v>437</v>
      </c>
      <c r="E337" s="356" t="s">
        <v>11517</v>
      </c>
      <c r="F337" s="356" t="s">
        <v>11518</v>
      </c>
      <c r="G337" s="379"/>
      <c r="H337" s="379"/>
      <c r="I337" s="353"/>
      <c r="J337" s="59"/>
      <c r="K337" s="59"/>
      <c r="L337" s="20"/>
      <c r="M337" s="20"/>
      <c r="N337" s="357"/>
      <c r="O337" s="355" t="str">
        <f>IFERROR((N337/(VLOOKUP(C337,'Data Pull Sheet'!$C:$H,8,FALSE))),"DC")</f>
        <v>DC</v>
      </c>
      <c r="P337" s="59"/>
      <c r="Q337" s="18"/>
      <c r="R337" s="18"/>
      <c r="S337" s="18" t="str">
        <f>IF(COUNTIF(G$337:G$338,G337)&gt;=2,"FF","")</f>
        <v/>
      </c>
      <c r="T337" s="35"/>
      <c r="U337" s="291"/>
      <c r="V337" s="35"/>
    </row>
    <row r="338" spans="1:26" s="109" customFormat="1" x14ac:dyDescent="0.25">
      <c r="A338" s="86" t="s">
        <v>8117</v>
      </c>
      <c r="B338" s="382" t="s">
        <v>11523</v>
      </c>
      <c r="C338" s="18" t="str">
        <f>IF(ISNA(VLOOKUP(B338,'Data Pull Sheet'!$B$2:$C$1795,2,0)),"",(VLOOKUP(B338,'Data Pull Sheet'!$B$2:$C$1795,2,0)))</f>
        <v/>
      </c>
      <c r="D338" s="59" t="s">
        <v>437</v>
      </c>
      <c r="E338" s="356" t="s">
        <v>9145</v>
      </c>
      <c r="F338" s="356" t="s">
        <v>11247</v>
      </c>
      <c r="G338" s="379"/>
      <c r="H338" s="379"/>
      <c r="I338" s="353"/>
      <c r="J338" s="59"/>
      <c r="K338" s="59"/>
      <c r="L338" s="20"/>
      <c r="M338" s="20"/>
      <c r="N338" s="357"/>
      <c r="O338" s="355" t="str">
        <f>IFERROR((N338/(VLOOKUP(C338,'Data Pull Sheet'!$C:$H,8,FALSE))),"DC")</f>
        <v>DC</v>
      </c>
      <c r="P338" s="59"/>
      <c r="Q338" s="18"/>
      <c r="R338" s="18"/>
      <c r="S338" s="18" t="str">
        <f>IF(COUNTIF(G$337:G$338,G338)&gt;=2,"FF","")</f>
        <v/>
      </c>
      <c r="T338" s="35"/>
      <c r="U338" s="291"/>
      <c r="V338" s="35"/>
    </row>
    <row r="339" spans="1:26" s="109" customFormat="1" x14ac:dyDescent="0.25">
      <c r="A339" s="86" t="s">
        <v>8117</v>
      </c>
      <c r="B339" s="382" t="s">
        <v>11553</v>
      </c>
      <c r="C339" s="18" t="str">
        <f>IF(ISNA(VLOOKUP(B339,'Data Pull Sheet'!$B$2:$C$1795,2,0)),"",(VLOOKUP(B339,'Data Pull Sheet'!$B$2:$C$1795,2,0)))</f>
        <v/>
      </c>
      <c r="D339" s="59" t="s">
        <v>437</v>
      </c>
      <c r="E339" s="356" t="s">
        <v>11554</v>
      </c>
      <c r="F339" s="356" t="s">
        <v>11249</v>
      </c>
      <c r="G339" s="59"/>
      <c r="H339" s="59"/>
      <c r="I339" s="353"/>
      <c r="J339" s="59"/>
      <c r="K339" s="59"/>
      <c r="L339" s="20"/>
      <c r="M339" s="20"/>
      <c r="N339" s="357"/>
      <c r="O339" s="355" t="str">
        <f>IFERROR((N339/(VLOOKUP(C339,'Data Pull Sheet'!$C:$H,8,FALSE))),"DC")</f>
        <v>DC</v>
      </c>
      <c r="P339" s="59"/>
      <c r="Q339" s="18"/>
      <c r="R339" s="18"/>
      <c r="S339" s="18" t="str">
        <f>IF(COUNTIF(G$339:G$339,G339)&gt;=2,"FF","")</f>
        <v/>
      </c>
      <c r="T339" s="35"/>
      <c r="U339" s="291"/>
      <c r="V339" s="35"/>
    </row>
    <row r="340" spans="1:26" s="91" customFormat="1" x14ac:dyDescent="0.25">
      <c r="A340" s="86" t="s">
        <v>10638</v>
      </c>
      <c r="B340" s="379" t="s">
        <v>3379</v>
      </c>
      <c r="C340" s="59" t="s">
        <v>5135</v>
      </c>
      <c r="D340" s="22" t="s">
        <v>5136</v>
      </c>
      <c r="E340" s="16" t="s">
        <v>424</v>
      </c>
      <c r="F340" s="15">
        <v>3</v>
      </c>
      <c r="G340" s="13" t="s">
        <v>5137</v>
      </c>
      <c r="H340" s="18" t="s">
        <v>4332</v>
      </c>
      <c r="I340" s="18"/>
      <c r="J340" s="173">
        <v>9000000</v>
      </c>
      <c r="K340" s="173" t="str">
        <f>IF($J340&lt;='Abbrev Key'!$A$2,'Abbrev Key'!$B$2,IF($J340&lt;='Abbrev Key'!$A$3,'Abbrev Key'!$B$3,IF($J340&lt;='Abbrev Key'!$A$4,'Abbrev Key'!$B$4,IF($J340&lt;='Abbrev Key'!$A$5,'Abbrev Key'!$B$5,IF($J340&lt;='Abbrev Key'!$A$6,'Abbrev Key'!$B$6,IF($J340&gt;='Abbrev Key'!$A$7,'Abbrev Key'!$B$7,IF($J340='Abbrev Key'!$A$8,'Abbrev Key'!$B$8,"")))))))</f>
        <v>A</v>
      </c>
      <c r="L340" s="20" t="s">
        <v>4295</v>
      </c>
      <c r="M340" s="19">
        <v>42796</v>
      </c>
      <c r="N340" s="19">
        <v>42795</v>
      </c>
      <c r="O340" s="19" t="str">
        <f>_xlfn.IFNA(VLOOKUP(B340,'[1]VLOOKUP NO DUPS'!$A$1:$C$456,2,FALSE),"")</f>
        <v>03/08/2017</v>
      </c>
      <c r="P340" s="19" t="str">
        <f>_xlfn.IFNA(VLOOKUP(B340,'[1]VLOOKUP NO DUPS'!$A$1:$C$456,3,FALSE),"")</f>
        <v>Lite Depalma Greenberg, LLC; Pomerantz LLP</v>
      </c>
      <c r="Q340" s="18"/>
      <c r="R340" s="18"/>
      <c r="S340" s="18"/>
    </row>
    <row r="341" spans="1:26" s="218" customFormat="1" x14ac:dyDescent="0.25">
      <c r="A341" s="86" t="s">
        <v>10638</v>
      </c>
      <c r="B341" s="57" t="s">
        <v>3379</v>
      </c>
      <c r="C341" s="277" t="str">
        <f>IF(ISNA(VLOOKUP($B341,'Data Pull Sheet'!$B$2:$C$1795,2,0)),"",(VLOOKUP($B341,'Data Pull Sheet'!$B$2:$C$1795,2,0)))</f>
        <v/>
      </c>
      <c r="D341" s="57" t="s">
        <v>424</v>
      </c>
      <c r="E341" s="352" t="s">
        <v>3380</v>
      </c>
      <c r="F341" s="352" t="s">
        <v>600</v>
      </c>
      <c r="G341" s="57" t="s">
        <v>3381</v>
      </c>
      <c r="H341" s="59" t="s">
        <v>403</v>
      </c>
      <c r="I341" s="358">
        <v>10565.47</v>
      </c>
      <c r="J341" s="57"/>
      <c r="K341" s="57" t="s">
        <v>3382</v>
      </c>
      <c r="L341" s="13">
        <v>1</v>
      </c>
      <c r="M341" s="13">
        <v>1</v>
      </c>
      <c r="N341" s="354">
        <f>I341</f>
        <v>10565.47</v>
      </c>
      <c r="O341" s="355" t="str">
        <f>IFERROR((N341/(VLOOKUP(C341,'Data Pull Sheet'!$C:$H,8,FALSE))),"DC")</f>
        <v>DC</v>
      </c>
      <c r="P341" s="57" t="s">
        <v>877</v>
      </c>
      <c r="Q341" s="277" t="s">
        <v>676</v>
      </c>
      <c r="R341" s="277" t="s">
        <v>637</v>
      </c>
      <c r="S341" s="391" t="str">
        <f>IF(COUNTIF(G$341:G$341,G341)&gt;=2,"FF","")</f>
        <v/>
      </c>
      <c r="T341" s="217"/>
    </row>
    <row r="342" spans="1:26" s="86" customFormat="1" ht="45" x14ac:dyDescent="0.25">
      <c r="A342" s="86" t="s">
        <v>10638</v>
      </c>
      <c r="B342" s="23" t="s">
        <v>2795</v>
      </c>
      <c r="C342" s="23" t="s">
        <v>4947</v>
      </c>
      <c r="D342" s="166" t="s">
        <v>4948</v>
      </c>
      <c r="E342" s="242" t="s">
        <v>409</v>
      </c>
      <c r="F342" s="169">
        <v>1</v>
      </c>
      <c r="G342" s="243" t="s">
        <v>4949</v>
      </c>
      <c r="H342" s="23"/>
      <c r="I342" s="92"/>
      <c r="J342" s="398"/>
      <c r="K342" s="92" t="s">
        <v>109</v>
      </c>
      <c r="L342" s="92"/>
      <c r="M342" s="89">
        <v>45000000</v>
      </c>
      <c r="N342" s="89" t="str">
        <f>IF($M342&lt;='Abbrev Key'!$A$2,'Abbrev Key'!$B$2,IF($M342&lt;='Abbrev Key'!$A$3,'Abbrev Key'!$B$3,IF($M342&lt;='Abbrev Key'!$A$4,'Abbrev Key'!$B$4,IF($M342&lt;='Abbrev Key'!$A$5,'Abbrev Key'!$B$5,IF($M342&lt;='Abbrev Key'!$A$6,'Abbrev Key'!$B$6,IF($M342&gt;='Abbrev Key'!$A$7,'Abbrev Key'!$B$7,IF($M342='Abbrev Key'!$A$8,'Abbrev Key'!$B$8,"")))))))</f>
        <v>B</v>
      </c>
      <c r="O342" s="167" t="s">
        <v>4295</v>
      </c>
      <c r="P342" s="392">
        <v>42509</v>
      </c>
      <c r="Q342" s="392">
        <v>42508</v>
      </c>
      <c r="R342" s="392" t="str">
        <f>_xlfn.IFNA(VLOOKUP(B342,'[1]VLOOKUP NO DUPS'!$A$1:$C$456,2,FALSE),"")</f>
        <v>06/06/2016</v>
      </c>
      <c r="S342" s="168" t="str">
        <f>_xlfn.IFNA(VLOOKUP(B342,'[1]VLOOKUP NO DUPS'!$A$1:$C$456,3,FALSE),"")</f>
        <v>Saxena White P.A.</v>
      </c>
      <c r="T342" s="92"/>
      <c r="U342" s="92"/>
      <c r="V342" s="92"/>
    </row>
    <row r="343" spans="1:26" s="109" customFormat="1" ht="60" x14ac:dyDescent="0.25">
      <c r="A343" s="86" t="s">
        <v>10638</v>
      </c>
      <c r="B343" s="17" t="s">
        <v>2795</v>
      </c>
      <c r="C343" s="277" t="str">
        <f>IF(ISNA(VLOOKUP($B343,'Data Pull Sheet'!$B$2:$C$1795,2,0)),"",(VLOOKUP($B343,'Data Pull Sheet'!$B$2:$C$1795,2,0)))</f>
        <v/>
      </c>
      <c r="D343" s="57" t="s">
        <v>409</v>
      </c>
      <c r="E343" s="352" t="s">
        <v>2796</v>
      </c>
      <c r="F343" s="352" t="s">
        <v>2797</v>
      </c>
      <c r="G343" s="17" t="s">
        <v>2798</v>
      </c>
      <c r="H343" s="23" t="s">
        <v>403</v>
      </c>
      <c r="I343" s="358">
        <v>14604.02</v>
      </c>
      <c r="J343" s="57"/>
      <c r="K343" s="57" t="s">
        <v>2799</v>
      </c>
      <c r="L343" s="13">
        <v>3</v>
      </c>
      <c r="M343" s="13">
        <v>1</v>
      </c>
      <c r="N343" s="354">
        <f>I343</f>
        <v>14604.02</v>
      </c>
      <c r="O343" s="355" t="str">
        <f>IFERROR((N343/(VLOOKUP(C343,'Data Pull Sheet'!$C:$H,10,FALSE))),"DC")</f>
        <v>DC</v>
      </c>
      <c r="P343" s="17" t="s">
        <v>63</v>
      </c>
      <c r="Q343" s="14" t="s">
        <v>632</v>
      </c>
      <c r="R343" s="14" t="s">
        <v>637</v>
      </c>
      <c r="S343" s="372" t="str">
        <f>IF(COUNTIF(G$343:G$345,G343)&gt;=2,"FF","")</f>
        <v/>
      </c>
      <c r="T343" s="121"/>
    </row>
    <row r="344" spans="1:26" s="109" customFormat="1" ht="60" x14ac:dyDescent="0.25">
      <c r="A344" s="86" t="s">
        <v>10638</v>
      </c>
      <c r="B344" s="17" t="s">
        <v>2795</v>
      </c>
      <c r="C344" s="277" t="str">
        <f>IF(ISNA(VLOOKUP($B344,'Data Pull Sheet'!$B$2:$C$1795,2,0)),"",(VLOOKUP($B344,'Data Pull Sheet'!$B$2:$C$1795,2,0)))</f>
        <v/>
      </c>
      <c r="D344" s="57" t="s">
        <v>409</v>
      </c>
      <c r="E344" s="352" t="s">
        <v>2796</v>
      </c>
      <c r="F344" s="352" t="s">
        <v>2797</v>
      </c>
      <c r="G344" s="17" t="s">
        <v>2800</v>
      </c>
      <c r="H344" s="23" t="s">
        <v>403</v>
      </c>
      <c r="I344" s="358">
        <v>3362</v>
      </c>
      <c r="J344" s="57" t="s">
        <v>442</v>
      </c>
      <c r="K344" s="57" t="s">
        <v>2801</v>
      </c>
      <c r="L344" s="13"/>
      <c r="M344" s="13">
        <v>1</v>
      </c>
      <c r="N344" s="354">
        <f>I344</f>
        <v>3362</v>
      </c>
      <c r="O344" s="355" t="str">
        <f>IFERROR((N344/(VLOOKUP(C344,'Data Pull Sheet'!$C:$H,10,FALSE))),"DC")</f>
        <v>DC</v>
      </c>
      <c r="P344" s="17" t="s">
        <v>109</v>
      </c>
      <c r="Q344" s="14" t="s">
        <v>632</v>
      </c>
      <c r="R344" s="14" t="s">
        <v>637</v>
      </c>
      <c r="S344" s="372" t="str">
        <f>IF(COUNTIF(G$343:G$345,G344)&gt;=2,"FF","")</f>
        <v/>
      </c>
      <c r="T344" s="121"/>
    </row>
    <row r="345" spans="1:26" s="109" customFormat="1" ht="165" x14ac:dyDescent="0.25">
      <c r="A345" s="86" t="s">
        <v>10638</v>
      </c>
      <c r="B345" s="17" t="s">
        <v>2795</v>
      </c>
      <c r="C345" s="277" t="str">
        <f>IF(ISNA(VLOOKUP($B345,'Data Pull Sheet'!$B$2:$C$1795,2,0)),"",(VLOOKUP($B345,'Data Pull Sheet'!$B$2:$C$1795,2,0)))</f>
        <v/>
      </c>
      <c r="D345" s="57" t="s">
        <v>409</v>
      </c>
      <c r="E345" s="352" t="s">
        <v>2796</v>
      </c>
      <c r="F345" s="352" t="s">
        <v>2797</v>
      </c>
      <c r="G345" s="17" t="s">
        <v>2802</v>
      </c>
      <c r="H345" s="23" t="s">
        <v>403</v>
      </c>
      <c r="I345" s="358">
        <v>33693.89</v>
      </c>
      <c r="J345" s="57"/>
      <c r="K345" s="57" t="s">
        <v>2803</v>
      </c>
      <c r="L345" s="13"/>
      <c r="M345" s="13">
        <v>1</v>
      </c>
      <c r="N345" s="354">
        <f>I345</f>
        <v>33693.89</v>
      </c>
      <c r="O345" s="355" t="str">
        <f>IFERROR((N345/(VLOOKUP(C345,'Data Pull Sheet'!$C:$H,10,FALSE))),"DC")</f>
        <v>DC</v>
      </c>
      <c r="P345" s="17" t="s">
        <v>2326</v>
      </c>
      <c r="Q345" s="14" t="s">
        <v>632</v>
      </c>
      <c r="R345" s="14" t="s">
        <v>637</v>
      </c>
      <c r="S345" s="372" t="str">
        <f>IF(COUNTIF(G$343:G$345,G345)&gt;=2,"FF","")</f>
        <v/>
      </c>
      <c r="T345" s="121"/>
    </row>
    <row r="346" spans="1:26" s="109" customFormat="1" ht="210" x14ac:dyDescent="0.25">
      <c r="A346" s="86" t="s">
        <v>8117</v>
      </c>
      <c r="B346" s="23" t="s">
        <v>7164</v>
      </c>
      <c r="C346" s="59" t="s">
        <v>7525</v>
      </c>
      <c r="D346" s="59" t="s">
        <v>545</v>
      </c>
      <c r="E346" s="356" t="s">
        <v>7168</v>
      </c>
      <c r="F346" s="356" t="s">
        <v>7165</v>
      </c>
      <c r="G346" s="23" t="s">
        <v>7166</v>
      </c>
      <c r="H346" s="59" t="s">
        <v>403</v>
      </c>
      <c r="I346" s="353">
        <v>343</v>
      </c>
      <c r="J346" s="59" t="s">
        <v>2613</v>
      </c>
      <c r="K346" s="59" t="s">
        <v>7797</v>
      </c>
      <c r="L346" s="20">
        <v>2</v>
      </c>
      <c r="M346" s="20">
        <v>1</v>
      </c>
      <c r="N346" s="357">
        <f>I346</f>
        <v>343</v>
      </c>
      <c r="O346" s="355" t="str">
        <f>IFERROR((N346/(VLOOKUP(C346,'Data Pull Sheet'!$C:$H,6,FALSE))),"DC")</f>
        <v>DC</v>
      </c>
      <c r="P346" s="23" t="s">
        <v>7167</v>
      </c>
      <c r="Q346" s="18" t="s">
        <v>632</v>
      </c>
      <c r="R346" s="18" t="s">
        <v>637</v>
      </c>
      <c r="S346" s="372" t="str">
        <f>IF(COUNTIF(G$346:G$347,G346)&gt;=2,"FF","")</f>
        <v/>
      </c>
      <c r="T346" s="372" t="e">
        <f>VLOOKUP(C346,'Data Pull Sheet'!$C$1:$I$590,7,FALSE)</f>
        <v>#N/A</v>
      </c>
      <c r="U346" s="106"/>
      <c r="V346" s="107"/>
      <c r="W346" s="108"/>
      <c r="X346" s="108"/>
      <c r="Y346" s="108"/>
      <c r="Z346" s="108"/>
    </row>
    <row r="347" spans="1:26" s="109" customFormat="1" ht="30" x14ac:dyDescent="0.25">
      <c r="A347" s="86" t="s">
        <v>8117</v>
      </c>
      <c r="B347" s="23" t="s">
        <v>7164</v>
      </c>
      <c r="C347" s="59" t="s">
        <v>7525</v>
      </c>
      <c r="D347" s="59" t="s">
        <v>545</v>
      </c>
      <c r="E347" s="356" t="s">
        <v>7168</v>
      </c>
      <c r="F347" s="356" t="s">
        <v>7165</v>
      </c>
      <c r="G347" s="23" t="s">
        <v>7169</v>
      </c>
      <c r="H347" s="59" t="s">
        <v>403</v>
      </c>
      <c r="I347" s="353">
        <v>400</v>
      </c>
      <c r="J347" s="59" t="s">
        <v>2613</v>
      </c>
      <c r="K347" s="59" t="s">
        <v>7823</v>
      </c>
      <c r="L347" s="20"/>
      <c r="M347" s="20">
        <v>1</v>
      </c>
      <c r="N347" s="357">
        <f>I347</f>
        <v>400</v>
      </c>
      <c r="O347" s="355" t="str">
        <f>IFERROR((N347/(VLOOKUP(C347,'Data Pull Sheet'!$C:$H,6,FALSE))),"DC")</f>
        <v>DC</v>
      </c>
      <c r="P347" s="23" t="s">
        <v>1328</v>
      </c>
      <c r="Q347" s="18" t="s">
        <v>632</v>
      </c>
      <c r="R347" s="18" t="s">
        <v>637</v>
      </c>
      <c r="S347" s="372" t="str">
        <f>IF(COUNTIF(G$346:G$347,G347)&gt;=2,"FF","")</f>
        <v/>
      </c>
      <c r="T347" s="372" t="e">
        <f>VLOOKUP(C347,'Data Pull Sheet'!$C$1:$I$590,7,FALSE)</f>
        <v>#N/A</v>
      </c>
      <c r="U347" s="106"/>
      <c r="V347" s="107"/>
      <c r="W347" s="108"/>
      <c r="X347" s="108"/>
      <c r="Y347" s="108"/>
      <c r="Z347" s="108"/>
    </row>
    <row r="348" spans="1:26" s="109" customFormat="1" ht="120" x14ac:dyDescent="0.25">
      <c r="A348" s="86" t="s">
        <v>10638</v>
      </c>
      <c r="B348" s="17" t="s">
        <v>8907</v>
      </c>
      <c r="C348" s="277" t="e">
        <f>VLOOKUP(B348, 'Data Pull Sheet'!$B$2:$C$552,2,FALSE)</f>
        <v>#N/A</v>
      </c>
      <c r="D348" s="57" t="s">
        <v>446</v>
      </c>
      <c r="E348" s="352" t="s">
        <v>9131</v>
      </c>
      <c r="F348" s="352" t="s">
        <v>9099</v>
      </c>
      <c r="G348" s="17" t="s">
        <v>9644</v>
      </c>
      <c r="H348" s="92" t="s">
        <v>403</v>
      </c>
      <c r="I348" s="353">
        <v>32385.46</v>
      </c>
      <c r="J348" s="57"/>
      <c r="K348" s="277" t="s">
        <v>9924</v>
      </c>
      <c r="L348" s="13">
        <v>1</v>
      </c>
      <c r="M348" s="13">
        <v>2</v>
      </c>
      <c r="N348" s="354">
        <f>SUM(I348:I349)</f>
        <v>60448.06</v>
      </c>
      <c r="O348" s="355" t="str">
        <f>IFERROR((N348/(VLOOKUP(C348,'Data Pull Sheet'!$C:$H,6,FALSE))),"DC")</f>
        <v>DC</v>
      </c>
      <c r="P348" s="17" t="s">
        <v>192</v>
      </c>
      <c r="Q348" s="14" t="s">
        <v>676</v>
      </c>
      <c r="R348" s="14" t="s">
        <v>646</v>
      </c>
      <c r="S348" s="372" t="str">
        <f>IF(COUNTIF(G$348:G$349,G348)&gt;=2,"FF","")</f>
        <v/>
      </c>
      <c r="T348" s="372" t="e">
        <f>VLOOKUP(C348,'Data Pull Sheet'!$C$1:$I$590,7,FALSE)</f>
        <v>#N/A</v>
      </c>
    </row>
    <row r="349" spans="1:26" s="109" customFormat="1" ht="120" x14ac:dyDescent="0.25">
      <c r="A349" s="86" t="s">
        <v>10638</v>
      </c>
      <c r="B349" s="17" t="s">
        <v>8907</v>
      </c>
      <c r="C349" s="277" t="e">
        <f>VLOOKUP(B349, 'Data Pull Sheet'!$B$2:$C$552,2,FALSE)</f>
        <v>#N/A</v>
      </c>
      <c r="D349" s="57" t="s">
        <v>446</v>
      </c>
      <c r="E349" s="352" t="s">
        <v>9131</v>
      </c>
      <c r="F349" s="352" t="s">
        <v>9099</v>
      </c>
      <c r="G349" s="17" t="s">
        <v>9645</v>
      </c>
      <c r="H349" s="92" t="s">
        <v>403</v>
      </c>
      <c r="I349" s="353">
        <v>28062.6</v>
      </c>
      <c r="J349" s="57"/>
      <c r="K349" s="277" t="s">
        <v>9925</v>
      </c>
      <c r="L349" s="13"/>
      <c r="M349" s="13"/>
      <c r="N349" s="354"/>
      <c r="O349" s="355"/>
      <c r="P349" s="17" t="s">
        <v>192</v>
      </c>
      <c r="Q349" s="14" t="s">
        <v>676</v>
      </c>
      <c r="R349" s="14" t="s">
        <v>646</v>
      </c>
      <c r="S349" s="372" t="str">
        <f>IF(COUNTIF(G$348:G$349,G349)&gt;=2,"FF","")</f>
        <v/>
      </c>
      <c r="T349" s="372" t="e">
        <f>VLOOKUP(C349,'Data Pull Sheet'!$C$1:$I$590,7,FALSE)</f>
        <v>#N/A</v>
      </c>
    </row>
  </sheetData>
  <conditionalFormatting sqref="K2">
    <cfRule type="containsText" dxfId="959" priority="965" operator="containsText" text="Pending">
      <formula>NOT(ISERROR(SEARCH("Pending",K2)))</formula>
    </cfRule>
  </conditionalFormatting>
  <conditionalFormatting sqref="B2:P2">
    <cfRule type="containsBlanks" dxfId="958" priority="964">
      <formula>LEN(TRIM(B2))=0</formula>
    </cfRule>
  </conditionalFormatting>
  <conditionalFormatting sqref="I2:J2">
    <cfRule type="containsText" dxfId="957" priority="962" operator="containsText" text="N/A">
      <formula>NOT(ISERROR(SEARCH("N/A",I2)))</formula>
    </cfRule>
    <cfRule type="containsText" dxfId="956" priority="963" operator="containsText" text="DC">
      <formula>NOT(ISERROR(SEARCH("DC",I2)))</formula>
    </cfRule>
  </conditionalFormatting>
  <conditionalFormatting sqref="K1">
    <cfRule type="containsText" dxfId="955" priority="961" operator="containsText" text="Pending">
      <formula>NOT(ISERROR(SEARCH("Pending",K1)))</formula>
    </cfRule>
  </conditionalFormatting>
  <conditionalFormatting sqref="B1:P1">
    <cfRule type="containsBlanks" dxfId="954" priority="960">
      <formula>LEN(TRIM(B1))=0</formula>
    </cfRule>
  </conditionalFormatting>
  <conditionalFormatting sqref="I1:J1">
    <cfRule type="containsText" dxfId="953" priority="958" operator="containsText" text="N/A">
      <formula>NOT(ISERROR(SEARCH("N/A",I1)))</formula>
    </cfRule>
    <cfRule type="containsText" dxfId="952" priority="959" operator="containsText" text="DC">
      <formula>NOT(ISERROR(SEARCH("DC",I1)))</formula>
    </cfRule>
  </conditionalFormatting>
  <conditionalFormatting sqref="K3">
    <cfRule type="containsText" dxfId="951" priority="957" operator="containsText" text="Pending">
      <formula>NOT(ISERROR(SEARCH("Pending",K3)))</formula>
    </cfRule>
  </conditionalFormatting>
  <conditionalFormatting sqref="B3:P3">
    <cfRule type="containsBlanks" dxfId="950" priority="956">
      <formula>LEN(TRIM(B3))=0</formula>
    </cfRule>
  </conditionalFormatting>
  <conditionalFormatting sqref="I3:J3">
    <cfRule type="containsText" dxfId="949" priority="954" operator="containsText" text="N/A">
      <formula>NOT(ISERROR(SEARCH("N/A",I3)))</formula>
    </cfRule>
    <cfRule type="containsText" dxfId="948" priority="955" operator="containsText" text="DC">
      <formula>NOT(ISERROR(SEARCH("DC",I3)))</formula>
    </cfRule>
  </conditionalFormatting>
  <conditionalFormatting sqref="K4">
    <cfRule type="containsText" dxfId="947" priority="953" operator="containsText" text="Pending">
      <formula>NOT(ISERROR(SEARCH("Pending",K4)))</formula>
    </cfRule>
  </conditionalFormatting>
  <conditionalFormatting sqref="B4:P4">
    <cfRule type="containsBlanks" dxfId="946" priority="952">
      <formula>LEN(TRIM(B4))=0</formula>
    </cfRule>
  </conditionalFormatting>
  <conditionalFormatting sqref="I4:J4">
    <cfRule type="containsText" dxfId="945" priority="950" operator="containsText" text="N/A">
      <formula>NOT(ISERROR(SEARCH("N/A",I4)))</formula>
    </cfRule>
    <cfRule type="containsText" dxfId="944" priority="951" operator="containsText" text="DC">
      <formula>NOT(ISERROR(SEARCH("DC",I4)))</formula>
    </cfRule>
  </conditionalFormatting>
  <conditionalFormatting sqref="K5">
    <cfRule type="containsText" dxfId="943" priority="949" operator="containsText" text="Pending">
      <formula>NOT(ISERROR(SEARCH("Pending",K5)))</formula>
    </cfRule>
  </conditionalFormatting>
  <conditionalFormatting sqref="B5:P5">
    <cfRule type="containsBlanks" dxfId="942" priority="948">
      <formula>LEN(TRIM(B5))=0</formula>
    </cfRule>
  </conditionalFormatting>
  <conditionalFormatting sqref="I5:J5">
    <cfRule type="containsText" dxfId="941" priority="946" operator="containsText" text="N/A">
      <formula>NOT(ISERROR(SEARCH("N/A",I5)))</formula>
    </cfRule>
    <cfRule type="containsText" dxfId="940" priority="947" operator="containsText" text="DC">
      <formula>NOT(ISERROR(SEARCH("DC",I5)))</formula>
    </cfRule>
  </conditionalFormatting>
  <conditionalFormatting sqref="K6">
    <cfRule type="containsText" dxfId="939" priority="945" operator="containsText" text="Pending">
      <formula>NOT(ISERROR(SEARCH("Pending",K6)))</formula>
    </cfRule>
  </conditionalFormatting>
  <conditionalFormatting sqref="B6:P6">
    <cfRule type="containsBlanks" dxfId="938" priority="944">
      <formula>LEN(TRIM(B6))=0</formula>
    </cfRule>
  </conditionalFormatting>
  <conditionalFormatting sqref="I6:J6">
    <cfRule type="containsText" dxfId="937" priority="942" operator="containsText" text="N/A">
      <formula>NOT(ISERROR(SEARCH("N/A",I6)))</formula>
    </cfRule>
    <cfRule type="containsText" dxfId="936" priority="943" operator="containsText" text="DC">
      <formula>NOT(ISERROR(SEARCH("DC",I6)))</formula>
    </cfRule>
  </conditionalFormatting>
  <conditionalFormatting sqref="K7">
    <cfRule type="containsText" dxfId="935" priority="941" operator="containsText" text="Pending">
      <formula>NOT(ISERROR(SEARCH("Pending",K7)))</formula>
    </cfRule>
  </conditionalFormatting>
  <conditionalFormatting sqref="B7:P7">
    <cfRule type="containsBlanks" dxfId="934" priority="940">
      <formula>LEN(TRIM(B7))=0</formula>
    </cfRule>
  </conditionalFormatting>
  <conditionalFormatting sqref="I7:J7">
    <cfRule type="containsText" dxfId="933" priority="938" operator="containsText" text="N/A">
      <formula>NOT(ISERROR(SEARCH("N/A",I7)))</formula>
    </cfRule>
    <cfRule type="containsText" dxfId="932" priority="939" operator="containsText" text="DC">
      <formula>NOT(ISERROR(SEARCH("DC",I7)))</formula>
    </cfRule>
  </conditionalFormatting>
  <conditionalFormatting sqref="K8">
    <cfRule type="containsText" dxfId="931" priority="937" operator="containsText" text="Pending">
      <formula>NOT(ISERROR(SEARCH("Pending",K8)))</formula>
    </cfRule>
  </conditionalFormatting>
  <conditionalFormatting sqref="B8:P8">
    <cfRule type="containsBlanks" dxfId="930" priority="936">
      <formula>LEN(TRIM(B8))=0</formula>
    </cfRule>
  </conditionalFormatting>
  <conditionalFormatting sqref="I8:J8">
    <cfRule type="containsText" dxfId="929" priority="934" operator="containsText" text="N/A">
      <formula>NOT(ISERROR(SEARCH("N/A",I8)))</formula>
    </cfRule>
    <cfRule type="containsText" dxfId="928" priority="935" operator="containsText" text="DC">
      <formula>NOT(ISERROR(SEARCH("DC",I8)))</formula>
    </cfRule>
  </conditionalFormatting>
  <conditionalFormatting sqref="K9">
    <cfRule type="containsText" dxfId="927" priority="933" operator="containsText" text="Pending">
      <formula>NOT(ISERROR(SEARCH("Pending",K9)))</formula>
    </cfRule>
  </conditionalFormatting>
  <conditionalFormatting sqref="B9:P9">
    <cfRule type="containsBlanks" dxfId="926" priority="932">
      <formula>LEN(TRIM(B9))=0</formula>
    </cfRule>
  </conditionalFormatting>
  <conditionalFormatting sqref="I9:J9">
    <cfRule type="containsText" dxfId="925" priority="930" operator="containsText" text="N/A">
      <formula>NOT(ISERROR(SEARCH("N/A",I9)))</formula>
    </cfRule>
    <cfRule type="containsText" dxfId="924" priority="931" operator="containsText" text="DC">
      <formula>NOT(ISERROR(SEARCH("DC",I9)))</formula>
    </cfRule>
  </conditionalFormatting>
  <conditionalFormatting sqref="K10">
    <cfRule type="containsText" dxfId="923" priority="929" operator="containsText" text="Pending">
      <formula>NOT(ISERROR(SEARCH("Pending",K10)))</formula>
    </cfRule>
  </conditionalFormatting>
  <conditionalFormatting sqref="B10:P10">
    <cfRule type="containsBlanks" dxfId="922" priority="928">
      <formula>LEN(TRIM(B10))=0</formula>
    </cfRule>
  </conditionalFormatting>
  <conditionalFormatting sqref="I10:J10">
    <cfRule type="containsText" dxfId="921" priority="926" operator="containsText" text="N/A">
      <formula>NOT(ISERROR(SEARCH("N/A",I10)))</formula>
    </cfRule>
    <cfRule type="containsText" dxfId="920" priority="927" operator="containsText" text="DC">
      <formula>NOT(ISERROR(SEARCH("DC",I10)))</formula>
    </cfRule>
  </conditionalFormatting>
  <conditionalFormatting sqref="K11">
    <cfRule type="containsText" dxfId="919" priority="925" operator="containsText" text="Pending">
      <formula>NOT(ISERROR(SEARCH("Pending",K11)))</formula>
    </cfRule>
  </conditionalFormatting>
  <conditionalFormatting sqref="B11:P11">
    <cfRule type="containsBlanks" dxfId="918" priority="924">
      <formula>LEN(TRIM(B11))=0</formula>
    </cfRule>
  </conditionalFormatting>
  <conditionalFormatting sqref="I11:J11">
    <cfRule type="containsText" dxfId="917" priority="922" operator="containsText" text="N/A">
      <formula>NOT(ISERROR(SEARCH("N/A",I11)))</formula>
    </cfRule>
    <cfRule type="containsText" dxfId="916" priority="923" operator="containsText" text="DC">
      <formula>NOT(ISERROR(SEARCH("DC",I11)))</formula>
    </cfRule>
  </conditionalFormatting>
  <conditionalFormatting sqref="K12">
    <cfRule type="containsText" dxfId="915" priority="921" operator="containsText" text="Pending">
      <formula>NOT(ISERROR(SEARCH("Pending",K12)))</formula>
    </cfRule>
  </conditionalFormatting>
  <conditionalFormatting sqref="B12:P12">
    <cfRule type="containsBlanks" dxfId="914" priority="920">
      <formula>LEN(TRIM(B12))=0</formula>
    </cfRule>
  </conditionalFormatting>
  <conditionalFormatting sqref="I12:J12">
    <cfRule type="containsText" dxfId="913" priority="918" operator="containsText" text="N/A">
      <formula>NOT(ISERROR(SEARCH("N/A",I12)))</formula>
    </cfRule>
    <cfRule type="containsText" dxfId="912" priority="919" operator="containsText" text="DC">
      <formula>NOT(ISERROR(SEARCH("DC",I12)))</formula>
    </cfRule>
  </conditionalFormatting>
  <conditionalFormatting sqref="K13">
    <cfRule type="containsText" dxfId="911" priority="917" operator="containsText" text="Pending">
      <formula>NOT(ISERROR(SEARCH("Pending",K13)))</formula>
    </cfRule>
  </conditionalFormatting>
  <conditionalFormatting sqref="B13:P13">
    <cfRule type="containsBlanks" dxfId="910" priority="916">
      <formula>LEN(TRIM(B13))=0</formula>
    </cfRule>
  </conditionalFormatting>
  <conditionalFormatting sqref="I13:J13">
    <cfRule type="containsText" dxfId="909" priority="914" operator="containsText" text="N/A">
      <formula>NOT(ISERROR(SEARCH("N/A",I13)))</formula>
    </cfRule>
    <cfRule type="containsText" dxfId="908" priority="915" operator="containsText" text="DC">
      <formula>NOT(ISERROR(SEARCH("DC",I13)))</formula>
    </cfRule>
  </conditionalFormatting>
  <conditionalFormatting sqref="K14">
    <cfRule type="containsText" dxfId="907" priority="913" operator="containsText" text="Pending">
      <formula>NOT(ISERROR(SEARCH("Pending",K14)))</formula>
    </cfRule>
  </conditionalFormatting>
  <conditionalFormatting sqref="B14:P14">
    <cfRule type="containsBlanks" dxfId="906" priority="912">
      <formula>LEN(TRIM(B14))=0</formula>
    </cfRule>
  </conditionalFormatting>
  <conditionalFormatting sqref="I14:J14">
    <cfRule type="containsText" dxfId="905" priority="910" operator="containsText" text="N/A">
      <formula>NOT(ISERROR(SEARCH("N/A",I14)))</formula>
    </cfRule>
    <cfRule type="containsText" dxfId="904" priority="911" operator="containsText" text="DC">
      <formula>NOT(ISERROR(SEARCH("DC",I14)))</formula>
    </cfRule>
  </conditionalFormatting>
  <conditionalFormatting sqref="K15">
    <cfRule type="containsText" dxfId="903" priority="909" operator="containsText" text="Pending">
      <formula>NOT(ISERROR(SEARCH("Pending",K15)))</formula>
    </cfRule>
  </conditionalFormatting>
  <conditionalFormatting sqref="B15:P15">
    <cfRule type="containsBlanks" dxfId="902" priority="908">
      <formula>LEN(TRIM(B15))=0</formula>
    </cfRule>
  </conditionalFormatting>
  <conditionalFormatting sqref="I15:J15">
    <cfRule type="containsText" dxfId="901" priority="906" operator="containsText" text="N/A">
      <formula>NOT(ISERROR(SEARCH("N/A",I15)))</formula>
    </cfRule>
    <cfRule type="containsText" dxfId="900" priority="907" operator="containsText" text="DC">
      <formula>NOT(ISERROR(SEARCH("DC",I15)))</formula>
    </cfRule>
  </conditionalFormatting>
  <conditionalFormatting sqref="K16">
    <cfRule type="containsText" dxfId="899" priority="905" operator="containsText" text="Pending">
      <formula>NOT(ISERROR(SEARCH("Pending",K16)))</formula>
    </cfRule>
  </conditionalFormatting>
  <conditionalFormatting sqref="B16:P16">
    <cfRule type="containsBlanks" dxfId="898" priority="904">
      <formula>LEN(TRIM(B16))=0</formula>
    </cfRule>
  </conditionalFormatting>
  <conditionalFormatting sqref="I16:J16">
    <cfRule type="containsText" dxfId="897" priority="902" operator="containsText" text="N/A">
      <formula>NOT(ISERROR(SEARCH("N/A",I16)))</formula>
    </cfRule>
    <cfRule type="containsText" dxfId="896" priority="903" operator="containsText" text="DC">
      <formula>NOT(ISERROR(SEARCH("DC",I16)))</formula>
    </cfRule>
  </conditionalFormatting>
  <conditionalFormatting sqref="K17">
    <cfRule type="containsText" dxfId="895" priority="901" operator="containsText" text="Pending">
      <formula>NOT(ISERROR(SEARCH("Pending",K17)))</formula>
    </cfRule>
  </conditionalFormatting>
  <conditionalFormatting sqref="B17:P17">
    <cfRule type="containsBlanks" dxfId="894" priority="900">
      <formula>LEN(TRIM(B17))=0</formula>
    </cfRule>
  </conditionalFormatting>
  <conditionalFormatting sqref="I17:J17">
    <cfRule type="containsText" dxfId="893" priority="898" operator="containsText" text="N/A">
      <formula>NOT(ISERROR(SEARCH("N/A",I17)))</formula>
    </cfRule>
    <cfRule type="containsText" dxfId="892" priority="899" operator="containsText" text="DC">
      <formula>NOT(ISERROR(SEARCH("DC",I17)))</formula>
    </cfRule>
  </conditionalFormatting>
  <conditionalFormatting sqref="K18">
    <cfRule type="containsText" dxfId="891" priority="897" operator="containsText" text="Pending">
      <formula>NOT(ISERROR(SEARCH("Pending",K18)))</formula>
    </cfRule>
  </conditionalFormatting>
  <conditionalFormatting sqref="B18:P18">
    <cfRule type="containsBlanks" dxfId="890" priority="896">
      <formula>LEN(TRIM(B18))=0</formula>
    </cfRule>
  </conditionalFormatting>
  <conditionalFormatting sqref="I18:J18">
    <cfRule type="containsText" dxfId="889" priority="894" operator="containsText" text="N/A">
      <formula>NOT(ISERROR(SEARCH("N/A",I18)))</formula>
    </cfRule>
    <cfRule type="containsText" dxfId="888" priority="895" operator="containsText" text="DC">
      <formula>NOT(ISERROR(SEARCH("DC",I18)))</formula>
    </cfRule>
  </conditionalFormatting>
  <conditionalFormatting sqref="K19">
    <cfRule type="containsText" dxfId="887" priority="893" operator="containsText" text="Pending">
      <formula>NOT(ISERROR(SEARCH("Pending",K19)))</formula>
    </cfRule>
  </conditionalFormatting>
  <conditionalFormatting sqref="B19:P19">
    <cfRule type="containsBlanks" dxfId="886" priority="892">
      <formula>LEN(TRIM(B19))=0</formula>
    </cfRule>
  </conditionalFormatting>
  <conditionalFormatting sqref="I19:J19">
    <cfRule type="containsText" dxfId="885" priority="890" operator="containsText" text="N/A">
      <formula>NOT(ISERROR(SEARCH("N/A",I19)))</formula>
    </cfRule>
    <cfRule type="containsText" dxfId="884" priority="891" operator="containsText" text="DC">
      <formula>NOT(ISERROR(SEARCH("DC",I19)))</formula>
    </cfRule>
  </conditionalFormatting>
  <conditionalFormatting sqref="K20">
    <cfRule type="containsText" dxfId="883" priority="889" operator="containsText" text="Pending">
      <formula>NOT(ISERROR(SEARCH("Pending",K20)))</formula>
    </cfRule>
  </conditionalFormatting>
  <conditionalFormatting sqref="B20:P20">
    <cfRule type="containsBlanks" dxfId="882" priority="888">
      <formula>LEN(TRIM(B20))=0</formula>
    </cfRule>
  </conditionalFormatting>
  <conditionalFormatting sqref="I20:J20">
    <cfRule type="containsText" dxfId="881" priority="886" operator="containsText" text="N/A">
      <formula>NOT(ISERROR(SEARCH("N/A",I20)))</formula>
    </cfRule>
    <cfRule type="containsText" dxfId="880" priority="887" operator="containsText" text="DC">
      <formula>NOT(ISERROR(SEARCH("DC",I20)))</formula>
    </cfRule>
  </conditionalFormatting>
  <conditionalFormatting sqref="K21">
    <cfRule type="containsText" dxfId="879" priority="885" operator="containsText" text="Pending">
      <formula>NOT(ISERROR(SEARCH("Pending",K21)))</formula>
    </cfRule>
  </conditionalFormatting>
  <conditionalFormatting sqref="B21:P21">
    <cfRule type="containsBlanks" dxfId="878" priority="884">
      <formula>LEN(TRIM(B21))=0</formula>
    </cfRule>
  </conditionalFormatting>
  <conditionalFormatting sqref="I21:J21">
    <cfRule type="containsText" dxfId="877" priority="882" operator="containsText" text="N/A">
      <formula>NOT(ISERROR(SEARCH("N/A",I21)))</formula>
    </cfRule>
    <cfRule type="containsText" dxfId="876" priority="883" operator="containsText" text="DC">
      <formula>NOT(ISERROR(SEARCH("DC",I21)))</formula>
    </cfRule>
  </conditionalFormatting>
  <conditionalFormatting sqref="K22">
    <cfRule type="containsText" dxfId="875" priority="881" operator="containsText" text="Pending">
      <formula>NOT(ISERROR(SEARCH("Pending",K22)))</formula>
    </cfRule>
  </conditionalFormatting>
  <conditionalFormatting sqref="B22:P22">
    <cfRule type="containsBlanks" dxfId="874" priority="880">
      <formula>LEN(TRIM(B22))=0</formula>
    </cfRule>
  </conditionalFormatting>
  <conditionalFormatting sqref="I22:J22">
    <cfRule type="containsText" dxfId="873" priority="878" operator="containsText" text="N/A">
      <formula>NOT(ISERROR(SEARCH("N/A",I22)))</formula>
    </cfRule>
    <cfRule type="containsText" dxfId="872" priority="879" operator="containsText" text="DC">
      <formula>NOT(ISERROR(SEARCH("DC",I22)))</formula>
    </cfRule>
  </conditionalFormatting>
  <conditionalFormatting sqref="K23">
    <cfRule type="containsText" dxfId="871" priority="877" operator="containsText" text="Pending">
      <formula>NOT(ISERROR(SEARCH("Pending",K23)))</formula>
    </cfRule>
  </conditionalFormatting>
  <conditionalFormatting sqref="B23:P23">
    <cfRule type="containsBlanks" dxfId="870" priority="876">
      <formula>LEN(TRIM(B23))=0</formula>
    </cfRule>
  </conditionalFormatting>
  <conditionalFormatting sqref="I23:J23">
    <cfRule type="containsText" dxfId="869" priority="874" operator="containsText" text="N/A">
      <formula>NOT(ISERROR(SEARCH("N/A",I23)))</formula>
    </cfRule>
    <cfRule type="containsText" dxfId="868" priority="875" operator="containsText" text="DC">
      <formula>NOT(ISERROR(SEARCH("DC",I23)))</formula>
    </cfRule>
  </conditionalFormatting>
  <conditionalFormatting sqref="K24">
    <cfRule type="containsText" dxfId="867" priority="873" operator="containsText" text="Pending">
      <formula>NOT(ISERROR(SEARCH("Pending",K24)))</formula>
    </cfRule>
  </conditionalFormatting>
  <conditionalFormatting sqref="B24:P24">
    <cfRule type="containsBlanks" dxfId="866" priority="872">
      <formula>LEN(TRIM(B24))=0</formula>
    </cfRule>
  </conditionalFormatting>
  <conditionalFormatting sqref="I24:J24">
    <cfRule type="containsText" dxfId="865" priority="870" operator="containsText" text="N/A">
      <formula>NOT(ISERROR(SEARCH("N/A",I24)))</formula>
    </cfRule>
    <cfRule type="containsText" dxfId="864" priority="871" operator="containsText" text="DC">
      <formula>NOT(ISERROR(SEARCH("DC",I24)))</formula>
    </cfRule>
  </conditionalFormatting>
  <conditionalFormatting sqref="K25">
    <cfRule type="containsText" dxfId="863" priority="869" operator="containsText" text="Pending">
      <formula>NOT(ISERROR(SEARCH("Pending",K25)))</formula>
    </cfRule>
  </conditionalFormatting>
  <conditionalFormatting sqref="B25:P25">
    <cfRule type="containsBlanks" dxfId="862" priority="868">
      <formula>LEN(TRIM(B25))=0</formula>
    </cfRule>
  </conditionalFormatting>
  <conditionalFormatting sqref="I25:J25">
    <cfRule type="containsText" dxfId="861" priority="866" operator="containsText" text="N/A">
      <formula>NOT(ISERROR(SEARCH("N/A",I25)))</formula>
    </cfRule>
    <cfRule type="containsText" dxfId="860" priority="867" operator="containsText" text="DC">
      <formula>NOT(ISERROR(SEARCH("DC",I25)))</formula>
    </cfRule>
  </conditionalFormatting>
  <conditionalFormatting sqref="K26">
    <cfRule type="containsText" dxfId="859" priority="865" operator="containsText" text="Pending">
      <formula>NOT(ISERROR(SEARCH("Pending",K26)))</formula>
    </cfRule>
  </conditionalFormatting>
  <conditionalFormatting sqref="B26:P26">
    <cfRule type="containsBlanks" dxfId="858" priority="864">
      <formula>LEN(TRIM(B26))=0</formula>
    </cfRule>
  </conditionalFormatting>
  <conditionalFormatting sqref="I26:J26">
    <cfRule type="containsText" dxfId="857" priority="862" operator="containsText" text="N/A">
      <formula>NOT(ISERROR(SEARCH("N/A",I26)))</formula>
    </cfRule>
    <cfRule type="containsText" dxfId="856" priority="863" operator="containsText" text="DC">
      <formula>NOT(ISERROR(SEARCH("DC",I26)))</formula>
    </cfRule>
  </conditionalFormatting>
  <conditionalFormatting sqref="K27">
    <cfRule type="containsText" dxfId="855" priority="861" operator="containsText" text="Pending">
      <formula>NOT(ISERROR(SEARCH("Pending",K27)))</formula>
    </cfRule>
  </conditionalFormatting>
  <conditionalFormatting sqref="B27:P27">
    <cfRule type="containsBlanks" dxfId="854" priority="860">
      <formula>LEN(TRIM(B27))=0</formula>
    </cfRule>
  </conditionalFormatting>
  <conditionalFormatting sqref="I27:J27">
    <cfRule type="containsText" dxfId="853" priority="858" operator="containsText" text="N/A">
      <formula>NOT(ISERROR(SEARCH("N/A",I27)))</formula>
    </cfRule>
    <cfRule type="containsText" dxfId="852" priority="859" operator="containsText" text="DC">
      <formula>NOT(ISERROR(SEARCH("DC",I27)))</formula>
    </cfRule>
  </conditionalFormatting>
  <conditionalFormatting sqref="K28">
    <cfRule type="containsText" dxfId="851" priority="857" operator="containsText" text="Pending">
      <formula>NOT(ISERROR(SEARCH("Pending",K28)))</formula>
    </cfRule>
  </conditionalFormatting>
  <conditionalFormatting sqref="B28:P28">
    <cfRule type="containsBlanks" dxfId="850" priority="856">
      <formula>LEN(TRIM(B28))=0</formula>
    </cfRule>
  </conditionalFormatting>
  <conditionalFormatting sqref="I28:J28">
    <cfRule type="containsText" dxfId="849" priority="854" operator="containsText" text="N/A">
      <formula>NOT(ISERROR(SEARCH("N/A",I28)))</formula>
    </cfRule>
    <cfRule type="containsText" dxfId="848" priority="855" operator="containsText" text="DC">
      <formula>NOT(ISERROR(SEARCH("DC",I28)))</formula>
    </cfRule>
  </conditionalFormatting>
  <conditionalFormatting sqref="K29">
    <cfRule type="containsText" dxfId="847" priority="853" operator="containsText" text="Pending">
      <formula>NOT(ISERROR(SEARCH("Pending",K29)))</formula>
    </cfRule>
  </conditionalFormatting>
  <conditionalFormatting sqref="B29:P29">
    <cfRule type="containsBlanks" dxfId="846" priority="852">
      <formula>LEN(TRIM(B29))=0</formula>
    </cfRule>
  </conditionalFormatting>
  <conditionalFormatting sqref="I29:J29">
    <cfRule type="containsText" dxfId="845" priority="850" operator="containsText" text="N/A">
      <formula>NOT(ISERROR(SEARCH("N/A",I29)))</formula>
    </cfRule>
    <cfRule type="containsText" dxfId="844" priority="851" operator="containsText" text="DC">
      <formula>NOT(ISERROR(SEARCH("DC",I29)))</formula>
    </cfRule>
  </conditionalFormatting>
  <conditionalFormatting sqref="K30">
    <cfRule type="containsText" dxfId="843" priority="849" operator="containsText" text="Pending">
      <formula>NOT(ISERROR(SEARCH("Pending",K30)))</formula>
    </cfRule>
  </conditionalFormatting>
  <conditionalFormatting sqref="B30:P30">
    <cfRule type="containsBlanks" dxfId="842" priority="848">
      <formula>LEN(TRIM(B30))=0</formula>
    </cfRule>
  </conditionalFormatting>
  <conditionalFormatting sqref="I30:J30">
    <cfRule type="containsText" dxfId="841" priority="846" operator="containsText" text="N/A">
      <formula>NOT(ISERROR(SEARCH("N/A",I30)))</formula>
    </cfRule>
    <cfRule type="containsText" dxfId="840" priority="847" operator="containsText" text="DC">
      <formula>NOT(ISERROR(SEARCH("DC",I30)))</formula>
    </cfRule>
  </conditionalFormatting>
  <conditionalFormatting sqref="K31">
    <cfRule type="containsText" dxfId="839" priority="845" operator="containsText" text="Pending">
      <formula>NOT(ISERROR(SEARCH("Pending",K31)))</formula>
    </cfRule>
  </conditionalFormatting>
  <conditionalFormatting sqref="B31:P31">
    <cfRule type="containsBlanks" dxfId="838" priority="844">
      <formula>LEN(TRIM(B31))=0</formula>
    </cfRule>
  </conditionalFormatting>
  <conditionalFormatting sqref="I31:J31">
    <cfRule type="containsText" dxfId="837" priority="842" operator="containsText" text="N/A">
      <formula>NOT(ISERROR(SEARCH("N/A",I31)))</formula>
    </cfRule>
    <cfRule type="containsText" dxfId="836" priority="843" operator="containsText" text="DC">
      <formula>NOT(ISERROR(SEARCH("DC",I31)))</formula>
    </cfRule>
  </conditionalFormatting>
  <conditionalFormatting sqref="K32">
    <cfRule type="containsText" dxfId="835" priority="841" operator="containsText" text="Pending">
      <formula>NOT(ISERROR(SEARCH("Pending",K32)))</formula>
    </cfRule>
  </conditionalFormatting>
  <conditionalFormatting sqref="B32:P32">
    <cfRule type="containsBlanks" dxfId="834" priority="840">
      <formula>LEN(TRIM(B32))=0</formula>
    </cfRule>
  </conditionalFormatting>
  <conditionalFormatting sqref="I32:J32">
    <cfRule type="containsText" dxfId="833" priority="838" operator="containsText" text="N/A">
      <formula>NOT(ISERROR(SEARCH("N/A",I32)))</formula>
    </cfRule>
    <cfRule type="containsText" dxfId="832" priority="839" operator="containsText" text="DC">
      <formula>NOT(ISERROR(SEARCH("DC",I32)))</formula>
    </cfRule>
  </conditionalFormatting>
  <conditionalFormatting sqref="K33">
    <cfRule type="containsText" dxfId="831" priority="837" operator="containsText" text="Pending">
      <formula>NOT(ISERROR(SEARCH("Pending",K33)))</formula>
    </cfRule>
  </conditionalFormatting>
  <conditionalFormatting sqref="B33:P33">
    <cfRule type="containsBlanks" dxfId="830" priority="836">
      <formula>LEN(TRIM(B33))=0</formula>
    </cfRule>
  </conditionalFormatting>
  <conditionalFormatting sqref="I33:J33">
    <cfRule type="containsText" dxfId="829" priority="834" operator="containsText" text="N/A">
      <formula>NOT(ISERROR(SEARCH("N/A",I33)))</formula>
    </cfRule>
    <cfRule type="containsText" dxfId="828" priority="835" operator="containsText" text="DC">
      <formula>NOT(ISERROR(SEARCH("DC",I33)))</formula>
    </cfRule>
  </conditionalFormatting>
  <conditionalFormatting sqref="K34">
    <cfRule type="containsText" dxfId="827" priority="833" operator="containsText" text="Pending">
      <formula>NOT(ISERROR(SEARCH("Pending",K34)))</formula>
    </cfRule>
  </conditionalFormatting>
  <conditionalFormatting sqref="B34:P34">
    <cfRule type="containsBlanks" dxfId="826" priority="832">
      <formula>LEN(TRIM(B34))=0</formula>
    </cfRule>
  </conditionalFormatting>
  <conditionalFormatting sqref="I34:J34">
    <cfRule type="containsText" dxfId="825" priority="830" operator="containsText" text="N/A">
      <formula>NOT(ISERROR(SEARCH("N/A",I34)))</formula>
    </cfRule>
    <cfRule type="containsText" dxfId="824" priority="831" operator="containsText" text="DC">
      <formula>NOT(ISERROR(SEARCH("DC",I34)))</formula>
    </cfRule>
  </conditionalFormatting>
  <conditionalFormatting sqref="K35">
    <cfRule type="containsText" dxfId="823" priority="829" operator="containsText" text="Pending">
      <formula>NOT(ISERROR(SEARCH("Pending",K35)))</formula>
    </cfRule>
  </conditionalFormatting>
  <conditionalFormatting sqref="B35:P35">
    <cfRule type="containsBlanks" dxfId="822" priority="828">
      <formula>LEN(TRIM(B35))=0</formula>
    </cfRule>
  </conditionalFormatting>
  <conditionalFormatting sqref="I35:J35">
    <cfRule type="containsText" dxfId="821" priority="826" operator="containsText" text="N/A">
      <formula>NOT(ISERROR(SEARCH("N/A",I35)))</formula>
    </cfRule>
    <cfRule type="containsText" dxfId="820" priority="827" operator="containsText" text="DC">
      <formula>NOT(ISERROR(SEARCH("DC",I35)))</formula>
    </cfRule>
  </conditionalFormatting>
  <conditionalFormatting sqref="K36">
    <cfRule type="containsText" dxfId="819" priority="825" operator="containsText" text="Pending">
      <formula>NOT(ISERROR(SEARCH("Pending",K36)))</formula>
    </cfRule>
  </conditionalFormatting>
  <conditionalFormatting sqref="B36:P36">
    <cfRule type="containsBlanks" dxfId="818" priority="824">
      <formula>LEN(TRIM(B36))=0</formula>
    </cfRule>
  </conditionalFormatting>
  <conditionalFormatting sqref="I36:J36">
    <cfRule type="containsText" dxfId="817" priority="822" operator="containsText" text="N/A">
      <formula>NOT(ISERROR(SEARCH("N/A",I36)))</formula>
    </cfRule>
    <cfRule type="containsText" dxfId="816" priority="823" operator="containsText" text="DC">
      <formula>NOT(ISERROR(SEARCH("DC",I36)))</formula>
    </cfRule>
  </conditionalFormatting>
  <conditionalFormatting sqref="K37">
    <cfRule type="containsText" dxfId="815" priority="821" operator="containsText" text="Pending">
      <formula>NOT(ISERROR(SEARCH("Pending",K37)))</formula>
    </cfRule>
  </conditionalFormatting>
  <conditionalFormatting sqref="B37:P37">
    <cfRule type="containsBlanks" dxfId="814" priority="820">
      <formula>LEN(TRIM(B37))=0</formula>
    </cfRule>
  </conditionalFormatting>
  <conditionalFormatting sqref="I37:J37">
    <cfRule type="containsText" dxfId="813" priority="818" operator="containsText" text="N/A">
      <formula>NOT(ISERROR(SEARCH("N/A",I37)))</formula>
    </cfRule>
    <cfRule type="containsText" dxfId="812" priority="819" operator="containsText" text="DC">
      <formula>NOT(ISERROR(SEARCH("DC",I37)))</formula>
    </cfRule>
  </conditionalFormatting>
  <conditionalFormatting sqref="K38">
    <cfRule type="containsText" dxfId="811" priority="817" operator="containsText" text="Pending">
      <formula>NOT(ISERROR(SEARCH("Pending",K38)))</formula>
    </cfRule>
  </conditionalFormatting>
  <conditionalFormatting sqref="B38:P38">
    <cfRule type="containsBlanks" dxfId="810" priority="816">
      <formula>LEN(TRIM(B38))=0</formula>
    </cfRule>
  </conditionalFormatting>
  <conditionalFormatting sqref="I38:J38">
    <cfRule type="containsText" dxfId="809" priority="814" operator="containsText" text="N/A">
      <formula>NOT(ISERROR(SEARCH("N/A",I38)))</formula>
    </cfRule>
    <cfRule type="containsText" dxfId="808" priority="815" operator="containsText" text="DC">
      <formula>NOT(ISERROR(SEARCH("DC",I38)))</formula>
    </cfRule>
  </conditionalFormatting>
  <conditionalFormatting sqref="K39">
    <cfRule type="containsText" dxfId="807" priority="813" operator="containsText" text="Pending">
      <formula>NOT(ISERROR(SEARCH("Pending",K39)))</formula>
    </cfRule>
  </conditionalFormatting>
  <conditionalFormatting sqref="B39:P39">
    <cfRule type="containsBlanks" dxfId="806" priority="812">
      <formula>LEN(TRIM(B39))=0</formula>
    </cfRule>
  </conditionalFormatting>
  <conditionalFormatting sqref="I39:J39">
    <cfRule type="containsText" dxfId="805" priority="810" operator="containsText" text="N/A">
      <formula>NOT(ISERROR(SEARCH("N/A",I39)))</formula>
    </cfRule>
    <cfRule type="containsText" dxfId="804" priority="811" operator="containsText" text="DC">
      <formula>NOT(ISERROR(SEARCH("DC",I39)))</formula>
    </cfRule>
  </conditionalFormatting>
  <conditionalFormatting sqref="K40">
    <cfRule type="containsText" dxfId="803" priority="809" operator="containsText" text="Pending">
      <formula>NOT(ISERROR(SEARCH("Pending",K40)))</formula>
    </cfRule>
  </conditionalFormatting>
  <conditionalFormatting sqref="B40:P40">
    <cfRule type="containsBlanks" dxfId="802" priority="808">
      <formula>LEN(TRIM(B40))=0</formula>
    </cfRule>
  </conditionalFormatting>
  <conditionalFormatting sqref="I40:J40">
    <cfRule type="containsText" dxfId="801" priority="806" operator="containsText" text="N/A">
      <formula>NOT(ISERROR(SEARCH("N/A",I40)))</formula>
    </cfRule>
    <cfRule type="containsText" dxfId="800" priority="807" operator="containsText" text="DC">
      <formula>NOT(ISERROR(SEARCH("DC",I40)))</formula>
    </cfRule>
  </conditionalFormatting>
  <conditionalFormatting sqref="K41">
    <cfRule type="containsText" dxfId="799" priority="805" operator="containsText" text="Pending">
      <formula>NOT(ISERROR(SEARCH("Pending",K41)))</formula>
    </cfRule>
  </conditionalFormatting>
  <conditionalFormatting sqref="B41:P41">
    <cfRule type="containsBlanks" dxfId="798" priority="804">
      <formula>LEN(TRIM(B41))=0</formula>
    </cfRule>
  </conditionalFormatting>
  <conditionalFormatting sqref="I41:J41">
    <cfRule type="containsText" dxfId="797" priority="802" operator="containsText" text="N/A">
      <formula>NOT(ISERROR(SEARCH("N/A",I41)))</formula>
    </cfRule>
    <cfRule type="containsText" dxfId="796" priority="803" operator="containsText" text="DC">
      <formula>NOT(ISERROR(SEARCH("DC",I41)))</formula>
    </cfRule>
  </conditionalFormatting>
  <conditionalFormatting sqref="K42">
    <cfRule type="containsText" dxfId="795" priority="801" operator="containsText" text="Pending">
      <formula>NOT(ISERROR(SEARCH("Pending",K42)))</formula>
    </cfRule>
  </conditionalFormatting>
  <conditionalFormatting sqref="B42:P42">
    <cfRule type="containsBlanks" dxfId="794" priority="800">
      <formula>LEN(TRIM(B42))=0</formula>
    </cfRule>
  </conditionalFormatting>
  <conditionalFormatting sqref="I42:J42">
    <cfRule type="containsText" dxfId="793" priority="798" operator="containsText" text="N/A">
      <formula>NOT(ISERROR(SEARCH("N/A",I42)))</formula>
    </cfRule>
    <cfRule type="containsText" dxfId="792" priority="799" operator="containsText" text="DC">
      <formula>NOT(ISERROR(SEARCH("DC",I42)))</formula>
    </cfRule>
  </conditionalFormatting>
  <conditionalFormatting sqref="K43">
    <cfRule type="containsText" dxfId="791" priority="797" operator="containsText" text="Pending">
      <formula>NOT(ISERROR(SEARCH("Pending",K43)))</formula>
    </cfRule>
  </conditionalFormatting>
  <conditionalFormatting sqref="B43:P43">
    <cfRule type="containsBlanks" dxfId="790" priority="796">
      <formula>LEN(TRIM(B43))=0</formula>
    </cfRule>
  </conditionalFormatting>
  <conditionalFormatting sqref="I43:J43">
    <cfRule type="containsText" dxfId="789" priority="794" operator="containsText" text="N/A">
      <formula>NOT(ISERROR(SEARCH("N/A",I43)))</formula>
    </cfRule>
    <cfRule type="containsText" dxfId="788" priority="795" operator="containsText" text="DC">
      <formula>NOT(ISERROR(SEARCH("DC",I43)))</formula>
    </cfRule>
  </conditionalFormatting>
  <conditionalFormatting sqref="K44">
    <cfRule type="containsText" dxfId="787" priority="793" operator="containsText" text="Pending">
      <formula>NOT(ISERROR(SEARCH("Pending",K44)))</formula>
    </cfRule>
  </conditionalFormatting>
  <conditionalFormatting sqref="B44:P44">
    <cfRule type="containsBlanks" dxfId="786" priority="792">
      <formula>LEN(TRIM(B44))=0</formula>
    </cfRule>
  </conditionalFormatting>
  <conditionalFormatting sqref="I44:J44">
    <cfRule type="containsText" dxfId="785" priority="790" operator="containsText" text="N/A">
      <formula>NOT(ISERROR(SEARCH("N/A",I44)))</formula>
    </cfRule>
    <cfRule type="containsText" dxfId="784" priority="791" operator="containsText" text="DC">
      <formula>NOT(ISERROR(SEARCH("DC",I44)))</formula>
    </cfRule>
  </conditionalFormatting>
  <conditionalFormatting sqref="K45">
    <cfRule type="containsText" dxfId="783" priority="789" operator="containsText" text="Pending">
      <formula>NOT(ISERROR(SEARCH("Pending",K45)))</formula>
    </cfRule>
  </conditionalFormatting>
  <conditionalFormatting sqref="B45:P45">
    <cfRule type="containsBlanks" dxfId="782" priority="788">
      <formula>LEN(TRIM(B45))=0</formula>
    </cfRule>
  </conditionalFormatting>
  <conditionalFormatting sqref="I45:J45">
    <cfRule type="containsText" dxfId="781" priority="786" operator="containsText" text="N/A">
      <formula>NOT(ISERROR(SEARCH("N/A",I45)))</formula>
    </cfRule>
    <cfRule type="containsText" dxfId="780" priority="787" operator="containsText" text="DC">
      <formula>NOT(ISERROR(SEARCH("DC",I45)))</formula>
    </cfRule>
  </conditionalFormatting>
  <conditionalFormatting sqref="K46">
    <cfRule type="containsText" dxfId="779" priority="785" operator="containsText" text="Pending">
      <formula>NOT(ISERROR(SEARCH("Pending",K46)))</formula>
    </cfRule>
  </conditionalFormatting>
  <conditionalFormatting sqref="B46:P46">
    <cfRule type="containsBlanks" dxfId="778" priority="784">
      <formula>LEN(TRIM(B46))=0</formula>
    </cfRule>
  </conditionalFormatting>
  <conditionalFormatting sqref="I46:J46">
    <cfRule type="containsText" dxfId="777" priority="782" operator="containsText" text="N/A">
      <formula>NOT(ISERROR(SEARCH("N/A",I46)))</formula>
    </cfRule>
    <cfRule type="containsText" dxfId="776" priority="783" operator="containsText" text="DC">
      <formula>NOT(ISERROR(SEARCH("DC",I46)))</formula>
    </cfRule>
  </conditionalFormatting>
  <conditionalFormatting sqref="K47">
    <cfRule type="containsText" dxfId="775" priority="781" operator="containsText" text="Pending">
      <formula>NOT(ISERROR(SEARCH("Pending",K47)))</formula>
    </cfRule>
  </conditionalFormatting>
  <conditionalFormatting sqref="B47:P47">
    <cfRule type="containsBlanks" dxfId="774" priority="780">
      <formula>LEN(TRIM(B47))=0</formula>
    </cfRule>
  </conditionalFormatting>
  <conditionalFormatting sqref="I47:J47">
    <cfRule type="containsText" dxfId="773" priority="778" operator="containsText" text="N/A">
      <formula>NOT(ISERROR(SEARCH("N/A",I47)))</formula>
    </cfRule>
    <cfRule type="containsText" dxfId="772" priority="779" operator="containsText" text="DC">
      <formula>NOT(ISERROR(SEARCH("DC",I47)))</formula>
    </cfRule>
  </conditionalFormatting>
  <conditionalFormatting sqref="K48">
    <cfRule type="containsText" dxfId="771" priority="777" operator="containsText" text="Pending">
      <formula>NOT(ISERROR(SEARCH("Pending",K48)))</formula>
    </cfRule>
  </conditionalFormatting>
  <conditionalFormatting sqref="B48:P48">
    <cfRule type="containsBlanks" dxfId="770" priority="776">
      <formula>LEN(TRIM(B48))=0</formula>
    </cfRule>
  </conditionalFormatting>
  <conditionalFormatting sqref="I48:J48">
    <cfRule type="containsText" dxfId="769" priority="774" operator="containsText" text="N/A">
      <formula>NOT(ISERROR(SEARCH("N/A",I48)))</formula>
    </cfRule>
    <cfRule type="containsText" dxfId="768" priority="775" operator="containsText" text="DC">
      <formula>NOT(ISERROR(SEARCH("DC",I48)))</formula>
    </cfRule>
  </conditionalFormatting>
  <conditionalFormatting sqref="K49">
    <cfRule type="containsText" dxfId="767" priority="773" operator="containsText" text="Pending">
      <formula>NOT(ISERROR(SEARCH("Pending",K49)))</formula>
    </cfRule>
  </conditionalFormatting>
  <conditionalFormatting sqref="B49:P49">
    <cfRule type="containsBlanks" dxfId="766" priority="772">
      <formula>LEN(TRIM(B49))=0</formula>
    </cfRule>
  </conditionalFormatting>
  <conditionalFormatting sqref="I49:J49">
    <cfRule type="containsText" dxfId="765" priority="770" operator="containsText" text="N/A">
      <formula>NOT(ISERROR(SEARCH("N/A",I49)))</formula>
    </cfRule>
    <cfRule type="containsText" dxfId="764" priority="771" operator="containsText" text="DC">
      <formula>NOT(ISERROR(SEARCH("DC",I49)))</formula>
    </cfRule>
  </conditionalFormatting>
  <conditionalFormatting sqref="K50">
    <cfRule type="containsText" dxfId="763" priority="769" operator="containsText" text="Pending">
      <formula>NOT(ISERROR(SEARCH("Pending",K50)))</formula>
    </cfRule>
  </conditionalFormatting>
  <conditionalFormatting sqref="B50:P50">
    <cfRule type="containsBlanks" dxfId="762" priority="768">
      <formula>LEN(TRIM(B50))=0</formula>
    </cfRule>
  </conditionalFormatting>
  <conditionalFormatting sqref="I50:J50">
    <cfRule type="containsText" dxfId="761" priority="766" operator="containsText" text="N/A">
      <formula>NOT(ISERROR(SEARCH("N/A",I50)))</formula>
    </cfRule>
    <cfRule type="containsText" dxfId="760" priority="767" operator="containsText" text="DC">
      <formula>NOT(ISERROR(SEARCH("DC",I50)))</formula>
    </cfRule>
  </conditionalFormatting>
  <conditionalFormatting sqref="K51">
    <cfRule type="containsText" dxfId="759" priority="765" operator="containsText" text="Pending">
      <formula>NOT(ISERROR(SEARCH("Pending",K51)))</formula>
    </cfRule>
  </conditionalFormatting>
  <conditionalFormatting sqref="B51:P51">
    <cfRule type="containsBlanks" dxfId="758" priority="764">
      <formula>LEN(TRIM(B51))=0</formula>
    </cfRule>
  </conditionalFormatting>
  <conditionalFormatting sqref="I51:J51">
    <cfRule type="containsText" dxfId="757" priority="762" operator="containsText" text="N/A">
      <formula>NOT(ISERROR(SEARCH("N/A",I51)))</formula>
    </cfRule>
    <cfRule type="containsText" dxfId="756" priority="763" operator="containsText" text="DC">
      <formula>NOT(ISERROR(SEARCH("DC",I51)))</formula>
    </cfRule>
  </conditionalFormatting>
  <conditionalFormatting sqref="K52">
    <cfRule type="containsText" dxfId="755" priority="761" operator="containsText" text="Pending">
      <formula>NOT(ISERROR(SEARCH("Pending",K52)))</formula>
    </cfRule>
  </conditionalFormatting>
  <conditionalFormatting sqref="B52:P52">
    <cfRule type="containsBlanks" dxfId="754" priority="760">
      <formula>LEN(TRIM(B52))=0</formula>
    </cfRule>
  </conditionalFormatting>
  <conditionalFormatting sqref="I52:J52">
    <cfRule type="containsText" dxfId="753" priority="758" operator="containsText" text="N/A">
      <formula>NOT(ISERROR(SEARCH("N/A",I52)))</formula>
    </cfRule>
    <cfRule type="containsText" dxfId="752" priority="759" operator="containsText" text="DC">
      <formula>NOT(ISERROR(SEARCH("DC",I52)))</formula>
    </cfRule>
  </conditionalFormatting>
  <conditionalFormatting sqref="K53">
    <cfRule type="containsText" dxfId="751" priority="757" operator="containsText" text="Pending">
      <formula>NOT(ISERROR(SEARCH("Pending",K53)))</formula>
    </cfRule>
  </conditionalFormatting>
  <conditionalFormatting sqref="B53:P53">
    <cfRule type="containsBlanks" dxfId="750" priority="756">
      <formula>LEN(TRIM(B53))=0</formula>
    </cfRule>
  </conditionalFormatting>
  <conditionalFormatting sqref="I53:J53">
    <cfRule type="containsText" dxfId="749" priority="754" operator="containsText" text="N/A">
      <formula>NOT(ISERROR(SEARCH("N/A",I53)))</formula>
    </cfRule>
    <cfRule type="containsText" dxfId="748" priority="755" operator="containsText" text="DC">
      <formula>NOT(ISERROR(SEARCH("DC",I53)))</formula>
    </cfRule>
  </conditionalFormatting>
  <conditionalFormatting sqref="K54">
    <cfRule type="containsText" dxfId="747" priority="753" operator="containsText" text="Pending">
      <formula>NOT(ISERROR(SEARCH("Pending",K54)))</formula>
    </cfRule>
  </conditionalFormatting>
  <conditionalFormatting sqref="B54:P54">
    <cfRule type="containsBlanks" dxfId="746" priority="752">
      <formula>LEN(TRIM(B54))=0</formula>
    </cfRule>
  </conditionalFormatting>
  <conditionalFormatting sqref="I54:J54">
    <cfRule type="containsText" dxfId="745" priority="750" operator="containsText" text="N/A">
      <formula>NOT(ISERROR(SEARCH("N/A",I54)))</formula>
    </cfRule>
    <cfRule type="containsText" dxfId="744" priority="751" operator="containsText" text="DC">
      <formula>NOT(ISERROR(SEARCH("DC",I54)))</formula>
    </cfRule>
  </conditionalFormatting>
  <conditionalFormatting sqref="K55">
    <cfRule type="containsText" dxfId="743" priority="749" operator="containsText" text="Pending">
      <formula>NOT(ISERROR(SEARCH("Pending",K55)))</formula>
    </cfRule>
  </conditionalFormatting>
  <conditionalFormatting sqref="B55:P55">
    <cfRule type="containsBlanks" dxfId="742" priority="748">
      <formula>LEN(TRIM(B55))=0</formula>
    </cfRule>
  </conditionalFormatting>
  <conditionalFormatting sqref="I55:J55">
    <cfRule type="containsText" dxfId="741" priority="746" operator="containsText" text="N/A">
      <formula>NOT(ISERROR(SEARCH("N/A",I55)))</formula>
    </cfRule>
    <cfRule type="containsText" dxfId="740" priority="747" operator="containsText" text="DC">
      <formula>NOT(ISERROR(SEARCH("DC",I55)))</formula>
    </cfRule>
  </conditionalFormatting>
  <conditionalFormatting sqref="K56">
    <cfRule type="containsText" dxfId="739" priority="745" operator="containsText" text="Pending">
      <formula>NOT(ISERROR(SEARCH("Pending",K56)))</formula>
    </cfRule>
  </conditionalFormatting>
  <conditionalFormatting sqref="B56:P56">
    <cfRule type="containsBlanks" dxfId="738" priority="744">
      <formula>LEN(TRIM(B56))=0</formula>
    </cfRule>
  </conditionalFormatting>
  <conditionalFormatting sqref="I56:J56">
    <cfRule type="containsText" dxfId="737" priority="742" operator="containsText" text="N/A">
      <formula>NOT(ISERROR(SEARCH("N/A",I56)))</formula>
    </cfRule>
    <cfRule type="containsText" dxfId="736" priority="743" operator="containsText" text="DC">
      <formula>NOT(ISERROR(SEARCH("DC",I56)))</formula>
    </cfRule>
  </conditionalFormatting>
  <conditionalFormatting sqref="K57">
    <cfRule type="containsText" dxfId="735" priority="741" operator="containsText" text="Pending">
      <formula>NOT(ISERROR(SEARCH("Pending",K57)))</formula>
    </cfRule>
  </conditionalFormatting>
  <conditionalFormatting sqref="B57:P57">
    <cfRule type="containsBlanks" dxfId="734" priority="740">
      <formula>LEN(TRIM(B57))=0</formula>
    </cfRule>
  </conditionalFormatting>
  <conditionalFormatting sqref="I57:J57">
    <cfRule type="containsText" dxfId="733" priority="738" operator="containsText" text="N/A">
      <formula>NOT(ISERROR(SEARCH("N/A",I57)))</formula>
    </cfRule>
    <cfRule type="containsText" dxfId="732" priority="739" operator="containsText" text="DC">
      <formula>NOT(ISERROR(SEARCH("DC",I57)))</formula>
    </cfRule>
  </conditionalFormatting>
  <conditionalFormatting sqref="K58">
    <cfRule type="containsText" dxfId="731" priority="737" operator="containsText" text="Pending">
      <formula>NOT(ISERROR(SEARCH("Pending",K58)))</formula>
    </cfRule>
  </conditionalFormatting>
  <conditionalFormatting sqref="B58:P58">
    <cfRule type="containsBlanks" dxfId="730" priority="736">
      <formula>LEN(TRIM(B58))=0</formula>
    </cfRule>
  </conditionalFormatting>
  <conditionalFormatting sqref="I58:J58">
    <cfRule type="containsText" dxfId="729" priority="734" operator="containsText" text="N/A">
      <formula>NOT(ISERROR(SEARCH("N/A",I58)))</formula>
    </cfRule>
    <cfRule type="containsText" dxfId="728" priority="735" operator="containsText" text="DC">
      <formula>NOT(ISERROR(SEARCH("DC",I58)))</formula>
    </cfRule>
  </conditionalFormatting>
  <conditionalFormatting sqref="K59">
    <cfRule type="containsText" dxfId="727" priority="733" operator="containsText" text="Pending">
      <formula>NOT(ISERROR(SEARCH("Pending",K59)))</formula>
    </cfRule>
  </conditionalFormatting>
  <conditionalFormatting sqref="B59:P59">
    <cfRule type="containsBlanks" dxfId="726" priority="732">
      <formula>LEN(TRIM(B59))=0</formula>
    </cfRule>
  </conditionalFormatting>
  <conditionalFormatting sqref="I59:J59">
    <cfRule type="containsText" dxfId="725" priority="730" operator="containsText" text="N/A">
      <formula>NOT(ISERROR(SEARCH("N/A",I59)))</formula>
    </cfRule>
    <cfRule type="containsText" dxfId="724" priority="731" operator="containsText" text="DC">
      <formula>NOT(ISERROR(SEARCH("DC",I59)))</formula>
    </cfRule>
  </conditionalFormatting>
  <conditionalFormatting sqref="K60">
    <cfRule type="containsText" dxfId="723" priority="729" operator="containsText" text="Pending">
      <formula>NOT(ISERROR(SEARCH("Pending",K60)))</formula>
    </cfRule>
  </conditionalFormatting>
  <conditionalFormatting sqref="B60:P60">
    <cfRule type="containsBlanks" dxfId="722" priority="728">
      <formula>LEN(TRIM(B60))=0</formula>
    </cfRule>
  </conditionalFormatting>
  <conditionalFormatting sqref="I60:J60">
    <cfRule type="containsText" dxfId="721" priority="726" operator="containsText" text="N/A">
      <formula>NOT(ISERROR(SEARCH("N/A",I60)))</formula>
    </cfRule>
    <cfRule type="containsText" dxfId="720" priority="727" operator="containsText" text="DC">
      <formula>NOT(ISERROR(SEARCH("DC",I60)))</formula>
    </cfRule>
  </conditionalFormatting>
  <conditionalFormatting sqref="K61">
    <cfRule type="containsText" dxfId="719" priority="725" operator="containsText" text="Pending">
      <formula>NOT(ISERROR(SEARCH("Pending",K61)))</formula>
    </cfRule>
  </conditionalFormatting>
  <conditionalFormatting sqref="B61:P61">
    <cfRule type="containsBlanks" dxfId="718" priority="724">
      <formula>LEN(TRIM(B61))=0</formula>
    </cfRule>
  </conditionalFormatting>
  <conditionalFormatting sqref="I61:J61">
    <cfRule type="containsText" dxfId="717" priority="722" operator="containsText" text="N/A">
      <formula>NOT(ISERROR(SEARCH("N/A",I61)))</formula>
    </cfRule>
    <cfRule type="containsText" dxfId="716" priority="723" operator="containsText" text="DC">
      <formula>NOT(ISERROR(SEARCH("DC",I61)))</formula>
    </cfRule>
  </conditionalFormatting>
  <conditionalFormatting sqref="K62">
    <cfRule type="containsText" dxfId="715" priority="721" operator="containsText" text="Pending">
      <formula>NOT(ISERROR(SEARCH("Pending",K62)))</formula>
    </cfRule>
  </conditionalFormatting>
  <conditionalFormatting sqref="B62:P62">
    <cfRule type="containsBlanks" dxfId="714" priority="720">
      <formula>LEN(TRIM(B62))=0</formula>
    </cfRule>
  </conditionalFormatting>
  <conditionalFormatting sqref="I62:J62">
    <cfRule type="containsText" dxfId="713" priority="718" operator="containsText" text="N/A">
      <formula>NOT(ISERROR(SEARCH("N/A",I62)))</formula>
    </cfRule>
    <cfRule type="containsText" dxfId="712" priority="719" operator="containsText" text="DC">
      <formula>NOT(ISERROR(SEARCH("DC",I62)))</formula>
    </cfRule>
  </conditionalFormatting>
  <conditionalFormatting sqref="K63">
    <cfRule type="containsText" dxfId="711" priority="717" operator="containsText" text="Pending">
      <formula>NOT(ISERROR(SEARCH("Pending",K63)))</formula>
    </cfRule>
  </conditionalFormatting>
  <conditionalFormatting sqref="B63:P63">
    <cfRule type="containsBlanks" dxfId="710" priority="716">
      <formula>LEN(TRIM(B63))=0</formula>
    </cfRule>
  </conditionalFormatting>
  <conditionalFormatting sqref="I63:J63">
    <cfRule type="containsText" dxfId="709" priority="714" operator="containsText" text="N/A">
      <formula>NOT(ISERROR(SEARCH("N/A",I63)))</formula>
    </cfRule>
    <cfRule type="containsText" dxfId="708" priority="715" operator="containsText" text="DC">
      <formula>NOT(ISERROR(SEARCH("DC",I63)))</formula>
    </cfRule>
  </conditionalFormatting>
  <conditionalFormatting sqref="K64">
    <cfRule type="containsText" dxfId="707" priority="713" operator="containsText" text="Pending">
      <formula>NOT(ISERROR(SEARCH("Pending",K64)))</formula>
    </cfRule>
  </conditionalFormatting>
  <conditionalFormatting sqref="B64:P64">
    <cfRule type="containsBlanks" dxfId="706" priority="712">
      <formula>LEN(TRIM(B64))=0</formula>
    </cfRule>
  </conditionalFormatting>
  <conditionalFormatting sqref="I64:J64">
    <cfRule type="containsText" dxfId="705" priority="710" operator="containsText" text="N/A">
      <formula>NOT(ISERROR(SEARCH("N/A",I64)))</formula>
    </cfRule>
    <cfRule type="containsText" dxfId="704" priority="711" operator="containsText" text="DC">
      <formula>NOT(ISERROR(SEARCH("DC",I64)))</formula>
    </cfRule>
  </conditionalFormatting>
  <conditionalFormatting sqref="K65">
    <cfRule type="containsText" dxfId="703" priority="709" operator="containsText" text="Pending">
      <formula>NOT(ISERROR(SEARCH("Pending",K65)))</formula>
    </cfRule>
  </conditionalFormatting>
  <conditionalFormatting sqref="B65:P65">
    <cfRule type="containsBlanks" dxfId="702" priority="708">
      <formula>LEN(TRIM(B65))=0</formula>
    </cfRule>
  </conditionalFormatting>
  <conditionalFormatting sqref="I65:J65">
    <cfRule type="containsText" dxfId="701" priority="706" operator="containsText" text="N/A">
      <formula>NOT(ISERROR(SEARCH("N/A",I65)))</formula>
    </cfRule>
    <cfRule type="containsText" dxfId="700" priority="707" operator="containsText" text="DC">
      <formula>NOT(ISERROR(SEARCH("DC",I65)))</formula>
    </cfRule>
  </conditionalFormatting>
  <conditionalFormatting sqref="K66">
    <cfRule type="containsText" dxfId="699" priority="705" operator="containsText" text="Pending">
      <formula>NOT(ISERROR(SEARCH("Pending",K66)))</formula>
    </cfRule>
  </conditionalFormatting>
  <conditionalFormatting sqref="B66:P66">
    <cfRule type="containsBlanks" dxfId="698" priority="704">
      <formula>LEN(TRIM(B66))=0</formula>
    </cfRule>
  </conditionalFormatting>
  <conditionalFormatting sqref="I66:J66">
    <cfRule type="containsText" dxfId="697" priority="702" operator="containsText" text="N/A">
      <formula>NOT(ISERROR(SEARCH("N/A",I66)))</formula>
    </cfRule>
    <cfRule type="containsText" dxfId="696" priority="703" operator="containsText" text="DC">
      <formula>NOT(ISERROR(SEARCH("DC",I66)))</formula>
    </cfRule>
  </conditionalFormatting>
  <conditionalFormatting sqref="K67">
    <cfRule type="containsText" dxfId="695" priority="701" operator="containsText" text="Pending">
      <formula>NOT(ISERROR(SEARCH("Pending",K67)))</formula>
    </cfRule>
  </conditionalFormatting>
  <conditionalFormatting sqref="B67:P67">
    <cfRule type="containsBlanks" dxfId="694" priority="700">
      <formula>LEN(TRIM(B67))=0</formula>
    </cfRule>
  </conditionalFormatting>
  <conditionalFormatting sqref="I67:J67">
    <cfRule type="containsText" dxfId="693" priority="698" operator="containsText" text="N/A">
      <formula>NOT(ISERROR(SEARCH("N/A",I67)))</formula>
    </cfRule>
    <cfRule type="containsText" dxfId="692" priority="699" operator="containsText" text="DC">
      <formula>NOT(ISERROR(SEARCH("DC",I67)))</formula>
    </cfRule>
  </conditionalFormatting>
  <conditionalFormatting sqref="K68">
    <cfRule type="containsText" dxfId="691" priority="697" operator="containsText" text="Pending">
      <formula>NOT(ISERROR(SEARCH("Pending",K68)))</formula>
    </cfRule>
  </conditionalFormatting>
  <conditionalFormatting sqref="B68:P68">
    <cfRule type="containsBlanks" dxfId="690" priority="696">
      <formula>LEN(TRIM(B68))=0</formula>
    </cfRule>
  </conditionalFormatting>
  <conditionalFormatting sqref="I68:J68">
    <cfRule type="containsText" dxfId="689" priority="694" operator="containsText" text="N/A">
      <formula>NOT(ISERROR(SEARCH("N/A",I68)))</formula>
    </cfRule>
    <cfRule type="containsText" dxfId="688" priority="695" operator="containsText" text="DC">
      <formula>NOT(ISERROR(SEARCH("DC",I68)))</formula>
    </cfRule>
  </conditionalFormatting>
  <conditionalFormatting sqref="K69">
    <cfRule type="containsText" dxfId="687" priority="693" operator="containsText" text="Pending">
      <formula>NOT(ISERROR(SEARCH("Pending",K69)))</formula>
    </cfRule>
  </conditionalFormatting>
  <conditionalFormatting sqref="B69:P69">
    <cfRule type="containsBlanks" dxfId="686" priority="692">
      <formula>LEN(TRIM(B69))=0</formula>
    </cfRule>
  </conditionalFormatting>
  <conditionalFormatting sqref="I69:J69">
    <cfRule type="containsText" dxfId="685" priority="690" operator="containsText" text="N/A">
      <formula>NOT(ISERROR(SEARCH("N/A",I69)))</formula>
    </cfRule>
    <cfRule type="containsText" dxfId="684" priority="691" operator="containsText" text="DC">
      <formula>NOT(ISERROR(SEARCH("DC",I69)))</formula>
    </cfRule>
  </conditionalFormatting>
  <conditionalFormatting sqref="K70:K71">
    <cfRule type="containsText" dxfId="683" priority="689" operator="containsText" text="Pending">
      <formula>NOT(ISERROR(SEARCH("Pending",K70)))</formula>
    </cfRule>
  </conditionalFormatting>
  <conditionalFormatting sqref="B70:P71">
    <cfRule type="containsBlanks" dxfId="682" priority="688">
      <formula>LEN(TRIM(B70))=0</formula>
    </cfRule>
  </conditionalFormatting>
  <conditionalFormatting sqref="I70:J71">
    <cfRule type="containsText" dxfId="681" priority="686" operator="containsText" text="N/A">
      <formula>NOT(ISERROR(SEARCH("N/A",I70)))</formula>
    </cfRule>
    <cfRule type="containsText" dxfId="680" priority="687" operator="containsText" text="DC">
      <formula>NOT(ISERROR(SEARCH("DC",I70)))</formula>
    </cfRule>
  </conditionalFormatting>
  <conditionalFormatting sqref="K72">
    <cfRule type="containsText" dxfId="679" priority="685" operator="containsText" text="Pending">
      <formula>NOT(ISERROR(SEARCH("Pending",K72)))</formula>
    </cfRule>
  </conditionalFormatting>
  <conditionalFormatting sqref="B72:P72">
    <cfRule type="containsBlanks" dxfId="678" priority="684">
      <formula>LEN(TRIM(B72))=0</formula>
    </cfRule>
  </conditionalFormatting>
  <conditionalFormatting sqref="I72:J72">
    <cfRule type="containsText" dxfId="677" priority="682" operator="containsText" text="N/A">
      <formula>NOT(ISERROR(SEARCH("N/A",I72)))</formula>
    </cfRule>
    <cfRule type="containsText" dxfId="676" priority="683" operator="containsText" text="DC">
      <formula>NOT(ISERROR(SEARCH("DC",I72)))</formula>
    </cfRule>
  </conditionalFormatting>
  <conditionalFormatting sqref="K73">
    <cfRule type="containsText" dxfId="675" priority="681" operator="containsText" text="Pending">
      <formula>NOT(ISERROR(SEARCH("Pending",K73)))</formula>
    </cfRule>
  </conditionalFormatting>
  <conditionalFormatting sqref="B73:P73">
    <cfRule type="containsBlanks" dxfId="674" priority="680">
      <formula>LEN(TRIM(B73))=0</formula>
    </cfRule>
  </conditionalFormatting>
  <conditionalFormatting sqref="I73:J73">
    <cfRule type="containsText" dxfId="673" priority="678" operator="containsText" text="N/A">
      <formula>NOT(ISERROR(SEARCH("N/A",I73)))</formula>
    </cfRule>
    <cfRule type="containsText" dxfId="672" priority="679" operator="containsText" text="DC">
      <formula>NOT(ISERROR(SEARCH("DC",I73)))</formula>
    </cfRule>
  </conditionalFormatting>
  <conditionalFormatting sqref="K75">
    <cfRule type="containsText" dxfId="671" priority="677" operator="containsText" text="Pending">
      <formula>NOT(ISERROR(SEARCH("Pending",K75)))</formula>
    </cfRule>
  </conditionalFormatting>
  <conditionalFormatting sqref="B75:P75">
    <cfRule type="containsBlanks" dxfId="670" priority="676">
      <formula>LEN(TRIM(B75))=0</formula>
    </cfRule>
  </conditionalFormatting>
  <conditionalFormatting sqref="I75:J75">
    <cfRule type="containsText" dxfId="669" priority="674" operator="containsText" text="N/A">
      <formula>NOT(ISERROR(SEARCH("N/A",I75)))</formula>
    </cfRule>
    <cfRule type="containsText" dxfId="668" priority="675" operator="containsText" text="DC">
      <formula>NOT(ISERROR(SEARCH("DC",I75)))</formula>
    </cfRule>
  </conditionalFormatting>
  <conditionalFormatting sqref="K74">
    <cfRule type="containsText" dxfId="667" priority="673" operator="containsText" text="Pending">
      <formula>NOT(ISERROR(SEARCH("Pending",K74)))</formula>
    </cfRule>
  </conditionalFormatting>
  <conditionalFormatting sqref="B74:P74">
    <cfRule type="containsBlanks" dxfId="666" priority="672">
      <formula>LEN(TRIM(B74))=0</formula>
    </cfRule>
  </conditionalFormatting>
  <conditionalFormatting sqref="I74:J74">
    <cfRule type="containsText" dxfId="665" priority="670" operator="containsText" text="N/A">
      <formula>NOT(ISERROR(SEARCH("N/A",I74)))</formula>
    </cfRule>
    <cfRule type="containsText" dxfId="664" priority="671" operator="containsText" text="DC">
      <formula>NOT(ISERROR(SEARCH("DC",I74)))</formula>
    </cfRule>
  </conditionalFormatting>
  <conditionalFormatting sqref="K76:K77">
    <cfRule type="containsText" dxfId="663" priority="669" operator="containsText" text="Pending">
      <formula>NOT(ISERROR(SEARCH("Pending",K76)))</formula>
    </cfRule>
  </conditionalFormatting>
  <conditionalFormatting sqref="B76:P77">
    <cfRule type="containsBlanks" dxfId="662" priority="668">
      <formula>LEN(TRIM(B76))=0</formula>
    </cfRule>
  </conditionalFormatting>
  <conditionalFormatting sqref="I76:J77">
    <cfRule type="containsText" dxfId="661" priority="666" operator="containsText" text="N/A">
      <formula>NOT(ISERROR(SEARCH("N/A",I76)))</formula>
    </cfRule>
    <cfRule type="containsText" dxfId="660" priority="667" operator="containsText" text="DC">
      <formula>NOT(ISERROR(SEARCH("DC",I76)))</formula>
    </cfRule>
  </conditionalFormatting>
  <conditionalFormatting sqref="K78">
    <cfRule type="containsText" dxfId="659" priority="665" operator="containsText" text="Pending">
      <formula>NOT(ISERROR(SEARCH("Pending",K78)))</formula>
    </cfRule>
  </conditionalFormatting>
  <conditionalFormatting sqref="B78:P78">
    <cfRule type="containsBlanks" dxfId="658" priority="664">
      <formula>LEN(TRIM(B78))=0</formula>
    </cfRule>
  </conditionalFormatting>
  <conditionalFormatting sqref="I78:J78">
    <cfRule type="containsText" dxfId="657" priority="662" operator="containsText" text="N/A">
      <formula>NOT(ISERROR(SEARCH("N/A",I78)))</formula>
    </cfRule>
    <cfRule type="containsText" dxfId="656" priority="663" operator="containsText" text="DC">
      <formula>NOT(ISERROR(SEARCH("DC",I78)))</formula>
    </cfRule>
  </conditionalFormatting>
  <conditionalFormatting sqref="K79">
    <cfRule type="containsText" dxfId="655" priority="661" operator="containsText" text="Pending">
      <formula>NOT(ISERROR(SEARCH("Pending",K79)))</formula>
    </cfRule>
  </conditionalFormatting>
  <conditionalFormatting sqref="B79:P79">
    <cfRule type="containsBlanks" dxfId="654" priority="660">
      <formula>LEN(TRIM(B79))=0</formula>
    </cfRule>
  </conditionalFormatting>
  <conditionalFormatting sqref="I79:J79">
    <cfRule type="containsText" dxfId="653" priority="658" operator="containsText" text="N/A">
      <formula>NOT(ISERROR(SEARCH("N/A",I79)))</formula>
    </cfRule>
    <cfRule type="containsText" dxfId="652" priority="659" operator="containsText" text="DC">
      <formula>NOT(ISERROR(SEARCH("DC",I79)))</formula>
    </cfRule>
  </conditionalFormatting>
  <conditionalFormatting sqref="K80">
    <cfRule type="containsText" dxfId="651" priority="653" operator="containsText" text="Pending">
      <formula>NOT(ISERROR(SEARCH("Pending",K80)))</formula>
    </cfRule>
  </conditionalFormatting>
  <conditionalFormatting sqref="B80:P80">
    <cfRule type="containsBlanks" dxfId="650" priority="652">
      <formula>LEN(TRIM(B80))=0</formula>
    </cfRule>
  </conditionalFormatting>
  <conditionalFormatting sqref="I80:J80">
    <cfRule type="containsText" dxfId="649" priority="650" operator="containsText" text="N/A">
      <formula>NOT(ISERROR(SEARCH("N/A",I80)))</formula>
    </cfRule>
    <cfRule type="containsText" dxfId="648" priority="651" operator="containsText" text="DC">
      <formula>NOT(ISERROR(SEARCH("DC",I80)))</formula>
    </cfRule>
  </conditionalFormatting>
  <conditionalFormatting sqref="K81">
    <cfRule type="containsText" dxfId="647" priority="649" operator="containsText" text="Pending">
      <formula>NOT(ISERROR(SEARCH("Pending",K81)))</formula>
    </cfRule>
  </conditionalFormatting>
  <conditionalFormatting sqref="B81:P81">
    <cfRule type="containsBlanks" dxfId="646" priority="648">
      <formula>LEN(TRIM(B81))=0</formula>
    </cfRule>
  </conditionalFormatting>
  <conditionalFormatting sqref="I81:J81">
    <cfRule type="containsText" dxfId="645" priority="646" operator="containsText" text="N/A">
      <formula>NOT(ISERROR(SEARCH("N/A",I81)))</formula>
    </cfRule>
    <cfRule type="containsText" dxfId="644" priority="647" operator="containsText" text="DC">
      <formula>NOT(ISERROR(SEARCH("DC",I81)))</formula>
    </cfRule>
  </conditionalFormatting>
  <conditionalFormatting sqref="K82">
    <cfRule type="containsText" dxfId="643" priority="645" operator="containsText" text="Pending">
      <formula>NOT(ISERROR(SEARCH("Pending",K82)))</formula>
    </cfRule>
  </conditionalFormatting>
  <conditionalFormatting sqref="B82:P82">
    <cfRule type="containsBlanks" dxfId="642" priority="644">
      <formula>LEN(TRIM(B82))=0</formula>
    </cfRule>
  </conditionalFormatting>
  <conditionalFormatting sqref="I82:J82">
    <cfRule type="containsText" dxfId="641" priority="642" operator="containsText" text="N/A">
      <formula>NOT(ISERROR(SEARCH("N/A",I82)))</formula>
    </cfRule>
    <cfRule type="containsText" dxfId="640" priority="643" operator="containsText" text="DC">
      <formula>NOT(ISERROR(SEARCH("DC",I82)))</formula>
    </cfRule>
  </conditionalFormatting>
  <conditionalFormatting sqref="I83:J83">
    <cfRule type="containsText" dxfId="639" priority="638" operator="containsText" text="N/A">
      <formula>NOT(ISERROR(SEARCH("N/A",I83)))</formula>
    </cfRule>
    <cfRule type="containsText" dxfId="638" priority="639" operator="containsText" text="DC">
      <formula>NOT(ISERROR(SEARCH("DC",I83)))</formula>
    </cfRule>
  </conditionalFormatting>
  <conditionalFormatting sqref="K83">
    <cfRule type="containsText" dxfId="637" priority="641" operator="containsText" text="Pending">
      <formula>NOT(ISERROR(SEARCH("Pending",K83)))</formula>
    </cfRule>
  </conditionalFormatting>
  <conditionalFormatting sqref="B83:P83">
    <cfRule type="containsBlanks" dxfId="636" priority="640">
      <formula>LEN(TRIM(B83))=0</formula>
    </cfRule>
  </conditionalFormatting>
  <conditionalFormatting sqref="K84">
    <cfRule type="containsText" dxfId="635" priority="637" operator="containsText" text="Pending">
      <formula>NOT(ISERROR(SEARCH("Pending",K84)))</formula>
    </cfRule>
  </conditionalFormatting>
  <conditionalFormatting sqref="B84:P84">
    <cfRule type="containsBlanks" dxfId="634" priority="636">
      <formula>LEN(TRIM(B84))=0</formula>
    </cfRule>
  </conditionalFormatting>
  <conditionalFormatting sqref="I84:J84">
    <cfRule type="containsText" dxfId="633" priority="634" operator="containsText" text="N/A">
      <formula>NOT(ISERROR(SEARCH("N/A",I84)))</formula>
    </cfRule>
    <cfRule type="containsText" dxfId="632" priority="635" operator="containsText" text="DC">
      <formula>NOT(ISERROR(SEARCH("DC",I84)))</formula>
    </cfRule>
  </conditionalFormatting>
  <conditionalFormatting sqref="K85">
    <cfRule type="containsText" dxfId="631" priority="633" operator="containsText" text="Pending">
      <formula>NOT(ISERROR(SEARCH("Pending",K85)))</formula>
    </cfRule>
  </conditionalFormatting>
  <conditionalFormatting sqref="B85:P85">
    <cfRule type="containsBlanks" dxfId="630" priority="632">
      <formula>LEN(TRIM(B85))=0</formula>
    </cfRule>
  </conditionalFormatting>
  <conditionalFormatting sqref="I85:J85">
    <cfRule type="containsText" dxfId="629" priority="630" operator="containsText" text="N/A">
      <formula>NOT(ISERROR(SEARCH("N/A",I85)))</formula>
    </cfRule>
    <cfRule type="containsText" dxfId="628" priority="631" operator="containsText" text="DC">
      <formula>NOT(ISERROR(SEARCH("DC",I85)))</formula>
    </cfRule>
  </conditionalFormatting>
  <conditionalFormatting sqref="K86">
    <cfRule type="containsText" dxfId="627" priority="629" operator="containsText" text="Pending">
      <formula>NOT(ISERROR(SEARCH("Pending",K86)))</formula>
    </cfRule>
  </conditionalFormatting>
  <conditionalFormatting sqref="B86:P86">
    <cfRule type="containsBlanks" dxfId="626" priority="628">
      <formula>LEN(TRIM(B86))=0</formula>
    </cfRule>
  </conditionalFormatting>
  <conditionalFormatting sqref="I86:J86">
    <cfRule type="containsText" dxfId="625" priority="626" operator="containsText" text="N/A">
      <formula>NOT(ISERROR(SEARCH("N/A",I86)))</formula>
    </cfRule>
    <cfRule type="containsText" dxfId="624" priority="627" operator="containsText" text="DC">
      <formula>NOT(ISERROR(SEARCH("DC",I86)))</formula>
    </cfRule>
  </conditionalFormatting>
  <conditionalFormatting sqref="K87">
    <cfRule type="containsText" dxfId="623" priority="625" operator="containsText" text="Pending">
      <formula>NOT(ISERROR(SEARCH("Pending",K87)))</formula>
    </cfRule>
  </conditionalFormatting>
  <conditionalFormatting sqref="B87:P87">
    <cfRule type="containsBlanks" dxfId="622" priority="624">
      <formula>LEN(TRIM(B87))=0</formula>
    </cfRule>
  </conditionalFormatting>
  <conditionalFormatting sqref="I87:J87">
    <cfRule type="containsText" dxfId="621" priority="622" operator="containsText" text="N/A">
      <formula>NOT(ISERROR(SEARCH("N/A",I87)))</formula>
    </cfRule>
    <cfRule type="containsText" dxfId="620" priority="623" operator="containsText" text="DC">
      <formula>NOT(ISERROR(SEARCH("DC",I87)))</formula>
    </cfRule>
  </conditionalFormatting>
  <conditionalFormatting sqref="K88">
    <cfRule type="containsText" dxfId="619" priority="621" operator="containsText" text="Pending">
      <formula>NOT(ISERROR(SEARCH("Pending",K88)))</formula>
    </cfRule>
  </conditionalFormatting>
  <conditionalFormatting sqref="B88:P88">
    <cfRule type="containsBlanks" dxfId="618" priority="620">
      <formula>LEN(TRIM(B88))=0</formula>
    </cfRule>
  </conditionalFormatting>
  <conditionalFormatting sqref="I88:J88">
    <cfRule type="containsText" dxfId="617" priority="618" operator="containsText" text="N/A">
      <formula>NOT(ISERROR(SEARCH("N/A",I88)))</formula>
    </cfRule>
    <cfRule type="containsText" dxfId="616" priority="619" operator="containsText" text="DC">
      <formula>NOT(ISERROR(SEARCH("DC",I88)))</formula>
    </cfRule>
  </conditionalFormatting>
  <conditionalFormatting sqref="K89:K90">
    <cfRule type="containsText" dxfId="615" priority="617" operator="containsText" text="Pending">
      <formula>NOT(ISERROR(SEARCH("Pending",K89)))</formula>
    </cfRule>
  </conditionalFormatting>
  <conditionalFormatting sqref="B89:P90">
    <cfRule type="containsBlanks" dxfId="614" priority="616">
      <formula>LEN(TRIM(B89))=0</formula>
    </cfRule>
  </conditionalFormatting>
  <conditionalFormatting sqref="I89:J90">
    <cfRule type="containsText" dxfId="613" priority="614" operator="containsText" text="N/A">
      <formula>NOT(ISERROR(SEARCH("N/A",I89)))</formula>
    </cfRule>
    <cfRule type="containsText" dxfId="612" priority="615" operator="containsText" text="DC">
      <formula>NOT(ISERROR(SEARCH("DC",I89)))</formula>
    </cfRule>
  </conditionalFormatting>
  <conditionalFormatting sqref="K91">
    <cfRule type="containsText" dxfId="611" priority="613" operator="containsText" text="Pending">
      <formula>NOT(ISERROR(SEARCH("Pending",K91)))</formula>
    </cfRule>
  </conditionalFormatting>
  <conditionalFormatting sqref="B91:P91">
    <cfRule type="containsBlanks" dxfId="610" priority="612">
      <formula>LEN(TRIM(B91))=0</formula>
    </cfRule>
  </conditionalFormatting>
  <conditionalFormatting sqref="I91:J91">
    <cfRule type="containsText" dxfId="609" priority="610" operator="containsText" text="N/A">
      <formula>NOT(ISERROR(SEARCH("N/A",I91)))</formula>
    </cfRule>
    <cfRule type="containsText" dxfId="608" priority="611" operator="containsText" text="DC">
      <formula>NOT(ISERROR(SEARCH("DC",I91)))</formula>
    </cfRule>
  </conditionalFormatting>
  <conditionalFormatting sqref="K92">
    <cfRule type="containsText" dxfId="607" priority="609" operator="containsText" text="Pending">
      <formula>NOT(ISERROR(SEARCH("Pending",K92)))</formula>
    </cfRule>
  </conditionalFormatting>
  <conditionalFormatting sqref="B92:P92">
    <cfRule type="containsBlanks" dxfId="606" priority="608">
      <formula>LEN(TRIM(B92))=0</formula>
    </cfRule>
  </conditionalFormatting>
  <conditionalFormatting sqref="I92:J92">
    <cfRule type="containsText" dxfId="605" priority="606" operator="containsText" text="N/A">
      <formula>NOT(ISERROR(SEARCH("N/A",I92)))</formula>
    </cfRule>
    <cfRule type="containsText" dxfId="604" priority="607" operator="containsText" text="DC">
      <formula>NOT(ISERROR(SEARCH("DC",I92)))</formula>
    </cfRule>
  </conditionalFormatting>
  <conditionalFormatting sqref="K93">
    <cfRule type="containsText" dxfId="603" priority="605" operator="containsText" text="Pending">
      <formula>NOT(ISERROR(SEARCH("Pending",K93)))</formula>
    </cfRule>
  </conditionalFormatting>
  <conditionalFormatting sqref="B93:P93">
    <cfRule type="containsBlanks" dxfId="602" priority="604">
      <formula>LEN(TRIM(B93))=0</formula>
    </cfRule>
  </conditionalFormatting>
  <conditionalFormatting sqref="I93:J93">
    <cfRule type="containsText" dxfId="601" priority="602" operator="containsText" text="N/A">
      <formula>NOT(ISERROR(SEARCH("N/A",I93)))</formula>
    </cfRule>
    <cfRule type="containsText" dxfId="600" priority="603" operator="containsText" text="DC">
      <formula>NOT(ISERROR(SEARCH("DC",I93)))</formula>
    </cfRule>
  </conditionalFormatting>
  <conditionalFormatting sqref="K94">
    <cfRule type="containsText" dxfId="599" priority="601" operator="containsText" text="Pending">
      <formula>NOT(ISERROR(SEARCH("Pending",K94)))</formula>
    </cfRule>
  </conditionalFormatting>
  <conditionalFormatting sqref="B94:P94">
    <cfRule type="containsBlanks" dxfId="598" priority="600">
      <formula>LEN(TRIM(B94))=0</formula>
    </cfRule>
  </conditionalFormatting>
  <conditionalFormatting sqref="I94:J94">
    <cfRule type="containsText" dxfId="597" priority="598" operator="containsText" text="N/A">
      <formula>NOT(ISERROR(SEARCH("N/A",I94)))</formula>
    </cfRule>
    <cfRule type="containsText" dxfId="596" priority="599" operator="containsText" text="DC">
      <formula>NOT(ISERROR(SEARCH("DC",I94)))</formula>
    </cfRule>
  </conditionalFormatting>
  <conditionalFormatting sqref="K95">
    <cfRule type="containsText" dxfId="595" priority="597" operator="containsText" text="Pending">
      <formula>NOT(ISERROR(SEARCH("Pending",K95)))</formula>
    </cfRule>
  </conditionalFormatting>
  <conditionalFormatting sqref="B95:P95">
    <cfRule type="containsBlanks" dxfId="594" priority="596">
      <formula>LEN(TRIM(B95))=0</formula>
    </cfRule>
  </conditionalFormatting>
  <conditionalFormatting sqref="I95:J95">
    <cfRule type="containsText" dxfId="593" priority="594" operator="containsText" text="N/A">
      <formula>NOT(ISERROR(SEARCH("N/A",I95)))</formula>
    </cfRule>
    <cfRule type="containsText" dxfId="592" priority="595" operator="containsText" text="DC">
      <formula>NOT(ISERROR(SEARCH("DC",I95)))</formula>
    </cfRule>
  </conditionalFormatting>
  <conditionalFormatting sqref="K96">
    <cfRule type="containsText" dxfId="591" priority="593" operator="containsText" text="Pending">
      <formula>NOT(ISERROR(SEARCH("Pending",K96)))</formula>
    </cfRule>
  </conditionalFormatting>
  <conditionalFormatting sqref="B96:P96">
    <cfRule type="containsBlanks" dxfId="590" priority="592">
      <formula>LEN(TRIM(B96))=0</formula>
    </cfRule>
  </conditionalFormatting>
  <conditionalFormatting sqref="I96:J96">
    <cfRule type="containsText" dxfId="589" priority="590" operator="containsText" text="N/A">
      <formula>NOT(ISERROR(SEARCH("N/A",I96)))</formula>
    </cfRule>
    <cfRule type="containsText" dxfId="588" priority="591" operator="containsText" text="DC">
      <formula>NOT(ISERROR(SEARCH("DC",I96)))</formula>
    </cfRule>
  </conditionalFormatting>
  <conditionalFormatting sqref="K97">
    <cfRule type="containsText" dxfId="587" priority="589" operator="containsText" text="Pending">
      <formula>NOT(ISERROR(SEARCH("Pending",K97)))</formula>
    </cfRule>
  </conditionalFormatting>
  <conditionalFormatting sqref="B97:P97">
    <cfRule type="containsBlanks" dxfId="586" priority="588">
      <formula>LEN(TRIM(B97))=0</formula>
    </cfRule>
  </conditionalFormatting>
  <conditionalFormatting sqref="I97:J97">
    <cfRule type="containsText" dxfId="585" priority="586" operator="containsText" text="N/A">
      <formula>NOT(ISERROR(SEARCH("N/A",I97)))</formula>
    </cfRule>
    <cfRule type="containsText" dxfId="584" priority="587" operator="containsText" text="DC">
      <formula>NOT(ISERROR(SEARCH("DC",I97)))</formula>
    </cfRule>
  </conditionalFormatting>
  <conditionalFormatting sqref="K98:K99">
    <cfRule type="containsText" dxfId="583" priority="585" operator="containsText" text="Pending">
      <formula>NOT(ISERROR(SEARCH("Pending",K98)))</formula>
    </cfRule>
  </conditionalFormatting>
  <conditionalFormatting sqref="B98:P99">
    <cfRule type="containsBlanks" dxfId="582" priority="584">
      <formula>LEN(TRIM(B98))=0</formula>
    </cfRule>
  </conditionalFormatting>
  <conditionalFormatting sqref="I98:J99">
    <cfRule type="containsText" dxfId="581" priority="582" operator="containsText" text="N/A">
      <formula>NOT(ISERROR(SEARCH("N/A",I98)))</formula>
    </cfRule>
    <cfRule type="containsText" dxfId="580" priority="583" operator="containsText" text="DC">
      <formula>NOT(ISERROR(SEARCH("DC",I98)))</formula>
    </cfRule>
  </conditionalFormatting>
  <conditionalFormatting sqref="K100">
    <cfRule type="containsText" dxfId="579" priority="581" operator="containsText" text="Pending">
      <formula>NOT(ISERROR(SEARCH("Pending",K100)))</formula>
    </cfRule>
  </conditionalFormatting>
  <conditionalFormatting sqref="B100:P100">
    <cfRule type="containsBlanks" dxfId="578" priority="580">
      <formula>LEN(TRIM(B100))=0</formula>
    </cfRule>
  </conditionalFormatting>
  <conditionalFormatting sqref="I100:J100">
    <cfRule type="containsText" dxfId="577" priority="578" operator="containsText" text="N/A">
      <formula>NOT(ISERROR(SEARCH("N/A",I100)))</formula>
    </cfRule>
    <cfRule type="containsText" dxfId="576" priority="579" operator="containsText" text="DC">
      <formula>NOT(ISERROR(SEARCH("DC",I100)))</formula>
    </cfRule>
  </conditionalFormatting>
  <conditionalFormatting sqref="K101">
    <cfRule type="containsText" dxfId="575" priority="577" operator="containsText" text="Pending">
      <formula>NOT(ISERROR(SEARCH("Pending",K101)))</formula>
    </cfRule>
  </conditionalFormatting>
  <conditionalFormatting sqref="B101:P101">
    <cfRule type="containsBlanks" dxfId="574" priority="576">
      <formula>LEN(TRIM(B101))=0</formula>
    </cfRule>
  </conditionalFormatting>
  <conditionalFormatting sqref="I101:J101">
    <cfRule type="containsText" dxfId="573" priority="574" operator="containsText" text="N/A">
      <formula>NOT(ISERROR(SEARCH("N/A",I101)))</formula>
    </cfRule>
    <cfRule type="containsText" dxfId="572" priority="575" operator="containsText" text="DC">
      <formula>NOT(ISERROR(SEARCH("DC",I101)))</formula>
    </cfRule>
  </conditionalFormatting>
  <conditionalFormatting sqref="K102:K103">
    <cfRule type="containsText" dxfId="571" priority="573" operator="containsText" text="Pending">
      <formula>NOT(ISERROR(SEARCH("Pending",K102)))</formula>
    </cfRule>
  </conditionalFormatting>
  <conditionalFormatting sqref="B102:P103">
    <cfRule type="containsBlanks" dxfId="570" priority="572">
      <formula>LEN(TRIM(B102))=0</formula>
    </cfRule>
  </conditionalFormatting>
  <conditionalFormatting sqref="I102:J103">
    <cfRule type="containsText" dxfId="569" priority="570" operator="containsText" text="N/A">
      <formula>NOT(ISERROR(SEARCH("N/A",I102)))</formula>
    </cfRule>
    <cfRule type="containsText" dxfId="568" priority="571" operator="containsText" text="DC">
      <formula>NOT(ISERROR(SEARCH("DC",I102)))</formula>
    </cfRule>
  </conditionalFormatting>
  <conditionalFormatting sqref="K104">
    <cfRule type="containsText" dxfId="567" priority="569" operator="containsText" text="Pending">
      <formula>NOT(ISERROR(SEARCH("Pending",K104)))</formula>
    </cfRule>
  </conditionalFormatting>
  <conditionalFormatting sqref="B104:P104">
    <cfRule type="containsBlanks" dxfId="566" priority="568">
      <formula>LEN(TRIM(B104))=0</formula>
    </cfRule>
  </conditionalFormatting>
  <conditionalFormatting sqref="I104:J104">
    <cfRule type="containsText" dxfId="565" priority="566" operator="containsText" text="N/A">
      <formula>NOT(ISERROR(SEARCH("N/A",I104)))</formula>
    </cfRule>
    <cfRule type="containsText" dxfId="564" priority="567" operator="containsText" text="DC">
      <formula>NOT(ISERROR(SEARCH("DC",I104)))</formula>
    </cfRule>
  </conditionalFormatting>
  <conditionalFormatting sqref="K105">
    <cfRule type="containsText" dxfId="563" priority="565" operator="containsText" text="Pending">
      <formula>NOT(ISERROR(SEARCH("Pending",K105)))</formula>
    </cfRule>
  </conditionalFormatting>
  <conditionalFormatting sqref="B105:P105">
    <cfRule type="containsBlanks" dxfId="562" priority="564">
      <formula>LEN(TRIM(B105))=0</formula>
    </cfRule>
  </conditionalFormatting>
  <conditionalFormatting sqref="I105:J105">
    <cfRule type="containsText" dxfId="561" priority="562" operator="containsText" text="N/A">
      <formula>NOT(ISERROR(SEARCH("N/A",I105)))</formula>
    </cfRule>
    <cfRule type="containsText" dxfId="560" priority="563" operator="containsText" text="DC">
      <formula>NOT(ISERROR(SEARCH("DC",I105)))</formula>
    </cfRule>
  </conditionalFormatting>
  <conditionalFormatting sqref="K106">
    <cfRule type="containsText" dxfId="559" priority="561" operator="containsText" text="Pending">
      <formula>NOT(ISERROR(SEARCH("Pending",K106)))</formula>
    </cfRule>
  </conditionalFormatting>
  <conditionalFormatting sqref="B106:P106">
    <cfRule type="containsBlanks" dxfId="558" priority="560">
      <formula>LEN(TRIM(B106))=0</formula>
    </cfRule>
  </conditionalFormatting>
  <conditionalFormatting sqref="I106:J106">
    <cfRule type="containsText" dxfId="557" priority="558" operator="containsText" text="N/A">
      <formula>NOT(ISERROR(SEARCH("N/A",I106)))</formula>
    </cfRule>
    <cfRule type="containsText" dxfId="556" priority="559" operator="containsText" text="DC">
      <formula>NOT(ISERROR(SEARCH("DC",I106)))</formula>
    </cfRule>
  </conditionalFormatting>
  <conditionalFormatting sqref="K107">
    <cfRule type="containsText" dxfId="555" priority="557" operator="containsText" text="Pending">
      <formula>NOT(ISERROR(SEARCH("Pending",K107)))</formula>
    </cfRule>
  </conditionalFormatting>
  <conditionalFormatting sqref="B107:P107">
    <cfRule type="containsBlanks" dxfId="554" priority="556">
      <formula>LEN(TRIM(B107))=0</formula>
    </cfRule>
  </conditionalFormatting>
  <conditionalFormatting sqref="I107:J107">
    <cfRule type="containsText" dxfId="553" priority="554" operator="containsText" text="N/A">
      <formula>NOT(ISERROR(SEARCH("N/A",I107)))</formula>
    </cfRule>
    <cfRule type="containsText" dxfId="552" priority="555" operator="containsText" text="DC">
      <formula>NOT(ISERROR(SEARCH("DC",I107)))</formula>
    </cfRule>
  </conditionalFormatting>
  <conditionalFormatting sqref="K108">
    <cfRule type="containsText" dxfId="551" priority="553" operator="containsText" text="Pending">
      <formula>NOT(ISERROR(SEARCH("Pending",K108)))</formula>
    </cfRule>
  </conditionalFormatting>
  <conditionalFormatting sqref="B108:P108">
    <cfRule type="containsBlanks" dxfId="550" priority="552">
      <formula>LEN(TRIM(B108))=0</formula>
    </cfRule>
  </conditionalFormatting>
  <conditionalFormatting sqref="I108:J108">
    <cfRule type="containsText" dxfId="549" priority="550" operator="containsText" text="N/A">
      <formula>NOT(ISERROR(SEARCH("N/A",I108)))</formula>
    </cfRule>
    <cfRule type="containsText" dxfId="548" priority="551" operator="containsText" text="DC">
      <formula>NOT(ISERROR(SEARCH("DC",I108)))</formula>
    </cfRule>
  </conditionalFormatting>
  <conditionalFormatting sqref="K109">
    <cfRule type="containsText" dxfId="547" priority="549" operator="containsText" text="Pending">
      <formula>NOT(ISERROR(SEARCH("Pending",K109)))</formula>
    </cfRule>
  </conditionalFormatting>
  <conditionalFormatting sqref="B109:P109">
    <cfRule type="containsBlanks" dxfId="546" priority="548">
      <formula>LEN(TRIM(B109))=0</formula>
    </cfRule>
  </conditionalFormatting>
  <conditionalFormatting sqref="I109:J109">
    <cfRule type="containsText" dxfId="545" priority="546" operator="containsText" text="N/A">
      <formula>NOT(ISERROR(SEARCH("N/A",I109)))</formula>
    </cfRule>
    <cfRule type="containsText" dxfId="544" priority="547" operator="containsText" text="DC">
      <formula>NOT(ISERROR(SEARCH("DC",I109)))</formula>
    </cfRule>
  </conditionalFormatting>
  <conditionalFormatting sqref="K110">
    <cfRule type="containsText" dxfId="543" priority="545" operator="containsText" text="Pending">
      <formula>NOT(ISERROR(SEARCH("Pending",K110)))</formula>
    </cfRule>
  </conditionalFormatting>
  <conditionalFormatting sqref="B110:P110">
    <cfRule type="containsBlanks" dxfId="542" priority="544">
      <formula>LEN(TRIM(B110))=0</formula>
    </cfRule>
  </conditionalFormatting>
  <conditionalFormatting sqref="I110:J110">
    <cfRule type="containsText" dxfId="541" priority="542" operator="containsText" text="N/A">
      <formula>NOT(ISERROR(SEARCH("N/A",I110)))</formula>
    </cfRule>
    <cfRule type="containsText" dxfId="540" priority="543" operator="containsText" text="DC">
      <formula>NOT(ISERROR(SEARCH("DC",I110)))</formula>
    </cfRule>
  </conditionalFormatting>
  <conditionalFormatting sqref="K111">
    <cfRule type="containsText" dxfId="539" priority="541" operator="containsText" text="Pending">
      <formula>NOT(ISERROR(SEARCH("Pending",K111)))</formula>
    </cfRule>
  </conditionalFormatting>
  <conditionalFormatting sqref="B111:P111">
    <cfRule type="containsBlanks" dxfId="538" priority="540">
      <formula>LEN(TRIM(B111))=0</formula>
    </cfRule>
  </conditionalFormatting>
  <conditionalFormatting sqref="I111:J111">
    <cfRule type="containsText" dxfId="537" priority="538" operator="containsText" text="N/A">
      <formula>NOT(ISERROR(SEARCH("N/A",I111)))</formula>
    </cfRule>
    <cfRule type="containsText" dxfId="536" priority="539" operator="containsText" text="DC">
      <formula>NOT(ISERROR(SEARCH("DC",I111)))</formula>
    </cfRule>
  </conditionalFormatting>
  <conditionalFormatting sqref="K112">
    <cfRule type="containsText" dxfId="535" priority="537" operator="containsText" text="Pending">
      <formula>NOT(ISERROR(SEARCH("Pending",K112)))</formula>
    </cfRule>
  </conditionalFormatting>
  <conditionalFormatting sqref="B112:P112">
    <cfRule type="containsBlanks" dxfId="534" priority="536">
      <formula>LEN(TRIM(B112))=0</formula>
    </cfRule>
  </conditionalFormatting>
  <conditionalFormatting sqref="I112:J112">
    <cfRule type="containsText" dxfId="533" priority="534" operator="containsText" text="N/A">
      <formula>NOT(ISERROR(SEARCH("N/A",I112)))</formula>
    </cfRule>
    <cfRule type="containsText" dxfId="532" priority="535" operator="containsText" text="DC">
      <formula>NOT(ISERROR(SEARCH("DC",I112)))</formula>
    </cfRule>
  </conditionalFormatting>
  <conditionalFormatting sqref="K113">
    <cfRule type="containsText" dxfId="531" priority="533" operator="containsText" text="Pending">
      <formula>NOT(ISERROR(SEARCH("Pending",K113)))</formula>
    </cfRule>
  </conditionalFormatting>
  <conditionalFormatting sqref="B113:P113">
    <cfRule type="containsBlanks" dxfId="530" priority="532">
      <formula>LEN(TRIM(B113))=0</formula>
    </cfRule>
  </conditionalFormatting>
  <conditionalFormatting sqref="I113:J113">
    <cfRule type="containsText" dxfId="529" priority="530" operator="containsText" text="N/A">
      <formula>NOT(ISERROR(SEARCH("N/A",I113)))</formula>
    </cfRule>
    <cfRule type="containsText" dxfId="528" priority="531" operator="containsText" text="DC">
      <formula>NOT(ISERROR(SEARCH("DC",I113)))</formula>
    </cfRule>
  </conditionalFormatting>
  <conditionalFormatting sqref="K114:K115">
    <cfRule type="containsText" dxfId="527" priority="529" operator="containsText" text="Pending">
      <formula>NOT(ISERROR(SEARCH("Pending",K114)))</formula>
    </cfRule>
  </conditionalFormatting>
  <conditionalFormatting sqref="B114:P115">
    <cfRule type="containsBlanks" dxfId="526" priority="528">
      <formula>LEN(TRIM(B114))=0</formula>
    </cfRule>
  </conditionalFormatting>
  <conditionalFormatting sqref="I114:J115">
    <cfRule type="containsText" dxfId="525" priority="526" operator="containsText" text="N/A">
      <formula>NOT(ISERROR(SEARCH("N/A",I114)))</formula>
    </cfRule>
    <cfRule type="containsText" dxfId="524" priority="527" operator="containsText" text="DC">
      <formula>NOT(ISERROR(SEARCH("DC",I114)))</formula>
    </cfRule>
  </conditionalFormatting>
  <conditionalFormatting sqref="K116">
    <cfRule type="containsText" dxfId="523" priority="525" operator="containsText" text="Pending">
      <formula>NOT(ISERROR(SEARCH("Pending",K116)))</formula>
    </cfRule>
  </conditionalFormatting>
  <conditionalFormatting sqref="B116:P116">
    <cfRule type="containsBlanks" dxfId="522" priority="524">
      <formula>LEN(TRIM(B116))=0</formula>
    </cfRule>
  </conditionalFormatting>
  <conditionalFormatting sqref="I116:J116">
    <cfRule type="containsText" dxfId="521" priority="522" operator="containsText" text="N/A">
      <formula>NOT(ISERROR(SEARCH("N/A",I116)))</formula>
    </cfRule>
    <cfRule type="containsText" dxfId="520" priority="523" operator="containsText" text="DC">
      <formula>NOT(ISERROR(SEARCH("DC",I116)))</formula>
    </cfRule>
  </conditionalFormatting>
  <conditionalFormatting sqref="K117">
    <cfRule type="containsText" dxfId="519" priority="521" operator="containsText" text="Pending">
      <formula>NOT(ISERROR(SEARCH("Pending",K117)))</formula>
    </cfRule>
  </conditionalFormatting>
  <conditionalFormatting sqref="B117:P117">
    <cfRule type="containsBlanks" dxfId="518" priority="520">
      <formula>LEN(TRIM(B117))=0</formula>
    </cfRule>
  </conditionalFormatting>
  <conditionalFormatting sqref="I117:J117">
    <cfRule type="containsText" dxfId="517" priority="518" operator="containsText" text="N/A">
      <formula>NOT(ISERROR(SEARCH("N/A",I117)))</formula>
    </cfRule>
    <cfRule type="containsText" dxfId="516" priority="519" operator="containsText" text="DC">
      <formula>NOT(ISERROR(SEARCH("DC",I117)))</formula>
    </cfRule>
  </conditionalFormatting>
  <conditionalFormatting sqref="K118">
    <cfRule type="containsText" dxfId="515" priority="517" operator="containsText" text="Pending">
      <formula>NOT(ISERROR(SEARCH("Pending",K118)))</formula>
    </cfRule>
  </conditionalFormatting>
  <conditionalFormatting sqref="B118:P118">
    <cfRule type="containsBlanks" dxfId="514" priority="516">
      <formula>LEN(TRIM(B118))=0</formula>
    </cfRule>
  </conditionalFormatting>
  <conditionalFormatting sqref="I118:J118">
    <cfRule type="containsText" dxfId="513" priority="514" operator="containsText" text="N/A">
      <formula>NOT(ISERROR(SEARCH("N/A",I118)))</formula>
    </cfRule>
    <cfRule type="containsText" dxfId="512" priority="515" operator="containsText" text="DC">
      <formula>NOT(ISERROR(SEARCH("DC",I118)))</formula>
    </cfRule>
  </conditionalFormatting>
  <conditionalFormatting sqref="K119:K120">
    <cfRule type="containsText" dxfId="511" priority="513" operator="containsText" text="Pending">
      <formula>NOT(ISERROR(SEARCH("Pending",K119)))</formula>
    </cfRule>
  </conditionalFormatting>
  <conditionalFormatting sqref="B119:P120">
    <cfRule type="containsBlanks" dxfId="510" priority="512">
      <formula>LEN(TRIM(B119))=0</formula>
    </cfRule>
  </conditionalFormatting>
  <conditionalFormatting sqref="I119:J120">
    <cfRule type="containsText" dxfId="509" priority="510" operator="containsText" text="N/A">
      <formula>NOT(ISERROR(SEARCH("N/A",I119)))</formula>
    </cfRule>
    <cfRule type="containsText" dxfId="508" priority="511" operator="containsText" text="DC">
      <formula>NOT(ISERROR(SEARCH("DC",I119)))</formula>
    </cfRule>
  </conditionalFormatting>
  <conditionalFormatting sqref="K121">
    <cfRule type="containsText" dxfId="507" priority="509" operator="containsText" text="Pending">
      <formula>NOT(ISERROR(SEARCH("Pending",K121)))</formula>
    </cfRule>
  </conditionalFormatting>
  <conditionalFormatting sqref="B121:P121">
    <cfRule type="containsBlanks" dxfId="506" priority="508">
      <formula>LEN(TRIM(B121))=0</formula>
    </cfRule>
  </conditionalFormatting>
  <conditionalFormatting sqref="I121:J121">
    <cfRule type="containsText" dxfId="505" priority="506" operator="containsText" text="N/A">
      <formula>NOT(ISERROR(SEARCH("N/A",I121)))</formula>
    </cfRule>
    <cfRule type="containsText" dxfId="504" priority="507" operator="containsText" text="DC">
      <formula>NOT(ISERROR(SEARCH("DC",I121)))</formula>
    </cfRule>
  </conditionalFormatting>
  <conditionalFormatting sqref="K122">
    <cfRule type="containsText" dxfId="503" priority="505" operator="containsText" text="Pending">
      <formula>NOT(ISERROR(SEARCH("Pending",K122)))</formula>
    </cfRule>
  </conditionalFormatting>
  <conditionalFormatting sqref="B122:P122">
    <cfRule type="containsBlanks" dxfId="502" priority="504">
      <formula>LEN(TRIM(B122))=0</formula>
    </cfRule>
  </conditionalFormatting>
  <conditionalFormatting sqref="I122:J122">
    <cfRule type="containsText" dxfId="501" priority="502" operator="containsText" text="N/A">
      <formula>NOT(ISERROR(SEARCH("N/A",I122)))</formula>
    </cfRule>
    <cfRule type="containsText" dxfId="500" priority="503" operator="containsText" text="DC">
      <formula>NOT(ISERROR(SEARCH("DC",I122)))</formula>
    </cfRule>
  </conditionalFormatting>
  <conditionalFormatting sqref="H122">
    <cfRule type="containsText" dxfId="499" priority="501" operator="containsText" text="Pending">
      <formula>NOT(ISERROR(SEARCH("Pending",H122)))</formula>
    </cfRule>
  </conditionalFormatting>
  <conditionalFormatting sqref="K123">
    <cfRule type="containsText" dxfId="498" priority="500" operator="containsText" text="Pending">
      <formula>NOT(ISERROR(SEARCH("Pending",K123)))</formula>
    </cfRule>
  </conditionalFormatting>
  <conditionalFormatting sqref="B123:P123">
    <cfRule type="containsBlanks" dxfId="497" priority="499">
      <formula>LEN(TRIM(B123))=0</formula>
    </cfRule>
  </conditionalFormatting>
  <conditionalFormatting sqref="I123:J123">
    <cfRule type="containsText" dxfId="496" priority="497" operator="containsText" text="N/A">
      <formula>NOT(ISERROR(SEARCH("N/A",I123)))</formula>
    </cfRule>
    <cfRule type="containsText" dxfId="495" priority="498" operator="containsText" text="DC">
      <formula>NOT(ISERROR(SEARCH("DC",I123)))</formula>
    </cfRule>
  </conditionalFormatting>
  <conditionalFormatting sqref="H123">
    <cfRule type="containsText" dxfId="494" priority="496" operator="containsText" text="Pending">
      <formula>NOT(ISERROR(SEARCH("Pending",H123)))</formula>
    </cfRule>
  </conditionalFormatting>
  <conditionalFormatting sqref="K124">
    <cfRule type="containsText" dxfId="493" priority="495" operator="containsText" text="Pending">
      <formula>NOT(ISERROR(SEARCH("Pending",K124)))</formula>
    </cfRule>
  </conditionalFormatting>
  <conditionalFormatting sqref="B124:P124">
    <cfRule type="containsBlanks" dxfId="492" priority="494">
      <formula>LEN(TRIM(B124))=0</formula>
    </cfRule>
  </conditionalFormatting>
  <conditionalFormatting sqref="I124:J124">
    <cfRule type="containsText" dxfId="491" priority="492" operator="containsText" text="N/A">
      <formula>NOT(ISERROR(SEARCH("N/A",I124)))</formula>
    </cfRule>
    <cfRule type="containsText" dxfId="490" priority="493" operator="containsText" text="DC">
      <formula>NOT(ISERROR(SEARCH("DC",I124)))</formula>
    </cfRule>
  </conditionalFormatting>
  <conditionalFormatting sqref="H124">
    <cfRule type="containsText" dxfId="489" priority="491" operator="containsText" text="Pending">
      <formula>NOT(ISERROR(SEARCH("Pending",H124)))</formula>
    </cfRule>
  </conditionalFormatting>
  <conditionalFormatting sqref="K125">
    <cfRule type="containsText" dxfId="488" priority="490" operator="containsText" text="Pending">
      <formula>NOT(ISERROR(SEARCH("Pending",K125)))</formula>
    </cfRule>
  </conditionalFormatting>
  <conditionalFormatting sqref="B125:P125">
    <cfRule type="containsBlanks" dxfId="487" priority="489">
      <formula>LEN(TRIM(B125))=0</formula>
    </cfRule>
  </conditionalFormatting>
  <conditionalFormatting sqref="I125:J125">
    <cfRule type="containsText" dxfId="486" priority="487" operator="containsText" text="N/A">
      <formula>NOT(ISERROR(SEARCH("N/A",I125)))</formula>
    </cfRule>
    <cfRule type="containsText" dxfId="485" priority="488" operator="containsText" text="DC">
      <formula>NOT(ISERROR(SEARCH("DC",I125)))</formula>
    </cfRule>
  </conditionalFormatting>
  <conditionalFormatting sqref="H125">
    <cfRule type="containsText" dxfId="484" priority="486" operator="containsText" text="Pending">
      <formula>NOT(ISERROR(SEARCH("Pending",H125)))</formula>
    </cfRule>
  </conditionalFormatting>
  <conditionalFormatting sqref="K126 H126">
    <cfRule type="containsText" dxfId="483" priority="485" operator="containsText" text="Pending">
      <formula>NOT(ISERROR(SEARCH("Pending",H126)))</formula>
    </cfRule>
  </conditionalFormatting>
  <conditionalFormatting sqref="B126:P126">
    <cfRule type="containsBlanks" dxfId="482" priority="484">
      <formula>LEN(TRIM(B126))=0</formula>
    </cfRule>
  </conditionalFormatting>
  <conditionalFormatting sqref="I126:J126">
    <cfRule type="containsText" dxfId="481" priority="482" operator="containsText" text="N/A">
      <formula>NOT(ISERROR(SEARCH("N/A",I126)))</formula>
    </cfRule>
    <cfRule type="containsText" dxfId="480" priority="483" operator="containsText" text="DC">
      <formula>NOT(ISERROR(SEARCH("DC",I126)))</formula>
    </cfRule>
  </conditionalFormatting>
  <conditionalFormatting sqref="H127 K127">
    <cfRule type="containsText" dxfId="479" priority="481" operator="containsText" text="Pending">
      <formula>NOT(ISERROR(SEARCH("Pending",H127)))</formula>
    </cfRule>
  </conditionalFormatting>
  <conditionalFormatting sqref="B127:P127">
    <cfRule type="containsBlanks" dxfId="478" priority="480">
      <formula>LEN(TRIM(B127))=0</formula>
    </cfRule>
  </conditionalFormatting>
  <conditionalFormatting sqref="I127:J127">
    <cfRule type="containsText" dxfId="477" priority="478" operator="containsText" text="N/A">
      <formula>NOT(ISERROR(SEARCH("N/A",I127)))</formula>
    </cfRule>
    <cfRule type="containsText" dxfId="476" priority="479" operator="containsText" text="DC">
      <formula>NOT(ISERROR(SEARCH("DC",I127)))</formula>
    </cfRule>
  </conditionalFormatting>
  <conditionalFormatting sqref="B128:R128">
    <cfRule type="containsBlanks" dxfId="475" priority="477">
      <formula>LEN(TRIM(B128))=0</formula>
    </cfRule>
  </conditionalFormatting>
  <conditionalFormatting sqref="B129:R129">
    <cfRule type="containsBlanks" dxfId="474" priority="476">
      <formula>LEN(TRIM(B129))=0</formula>
    </cfRule>
  </conditionalFormatting>
  <conditionalFormatting sqref="B130:R130">
    <cfRule type="containsBlanks" dxfId="473" priority="475">
      <formula>LEN(TRIM(B130))=0</formula>
    </cfRule>
  </conditionalFormatting>
  <conditionalFormatting sqref="B131:R133">
    <cfRule type="containsBlanks" dxfId="472" priority="474">
      <formula>LEN(TRIM(B131))=0</formula>
    </cfRule>
  </conditionalFormatting>
  <conditionalFormatting sqref="B134:R135">
    <cfRule type="containsBlanks" dxfId="471" priority="473">
      <formula>LEN(TRIM(B134))=0</formula>
    </cfRule>
  </conditionalFormatting>
  <conditionalFormatting sqref="B136:R140">
    <cfRule type="containsBlanks" dxfId="470" priority="472">
      <formula>LEN(TRIM(B136))=0</formula>
    </cfRule>
  </conditionalFormatting>
  <conditionalFormatting sqref="B141:R141">
    <cfRule type="containsBlanks" dxfId="469" priority="471">
      <formula>LEN(TRIM(B141))=0</formula>
    </cfRule>
  </conditionalFormatting>
  <conditionalFormatting sqref="B142:R143">
    <cfRule type="containsBlanks" dxfId="468" priority="470">
      <formula>LEN(TRIM(B142))=0</formula>
    </cfRule>
  </conditionalFormatting>
  <conditionalFormatting sqref="B144:R144">
    <cfRule type="containsBlanks" dxfId="467" priority="469">
      <formula>LEN(TRIM(B144))=0</formula>
    </cfRule>
  </conditionalFormatting>
  <conditionalFormatting sqref="B145:R145">
    <cfRule type="containsBlanks" dxfId="466" priority="468">
      <formula>LEN(TRIM(B145))=0</formula>
    </cfRule>
  </conditionalFormatting>
  <conditionalFormatting sqref="B146:R146">
    <cfRule type="containsBlanks" dxfId="465" priority="467">
      <formula>LEN(TRIM(B146))=0</formula>
    </cfRule>
  </conditionalFormatting>
  <conditionalFormatting sqref="B147:R149">
    <cfRule type="containsBlanks" dxfId="464" priority="466">
      <formula>LEN(TRIM(B147))=0</formula>
    </cfRule>
  </conditionalFormatting>
  <conditionalFormatting sqref="B150:R151">
    <cfRule type="containsBlanks" dxfId="463" priority="465">
      <formula>LEN(TRIM(B150))=0</formula>
    </cfRule>
  </conditionalFormatting>
  <conditionalFormatting sqref="B152:R152">
    <cfRule type="containsBlanks" dxfId="462" priority="464">
      <formula>LEN(TRIM(B152))=0</formula>
    </cfRule>
  </conditionalFormatting>
  <conditionalFormatting sqref="B153:R153">
    <cfRule type="containsBlanks" dxfId="461" priority="463">
      <formula>LEN(TRIM(B153))=0</formula>
    </cfRule>
  </conditionalFormatting>
  <conditionalFormatting sqref="B154:R154">
    <cfRule type="containsBlanks" dxfId="460" priority="462">
      <formula>LEN(TRIM(B154))=0</formula>
    </cfRule>
  </conditionalFormatting>
  <conditionalFormatting sqref="B155:R156">
    <cfRule type="containsBlanks" dxfId="459" priority="461">
      <formula>LEN(TRIM(B155))=0</formula>
    </cfRule>
  </conditionalFormatting>
  <conditionalFormatting sqref="B158:R158">
    <cfRule type="containsBlanks" dxfId="458" priority="460">
      <formula>LEN(TRIM(B158))=0</formula>
    </cfRule>
  </conditionalFormatting>
  <conditionalFormatting sqref="K157 H157">
    <cfRule type="containsText" dxfId="457" priority="459" operator="containsText" text="Pending">
      <formula>NOT(ISERROR(SEARCH("Pending",H157)))</formula>
    </cfRule>
  </conditionalFormatting>
  <conditionalFormatting sqref="B157:P157">
    <cfRule type="containsBlanks" dxfId="456" priority="458">
      <formula>LEN(TRIM(B157))=0</formula>
    </cfRule>
  </conditionalFormatting>
  <conditionalFormatting sqref="I157:J157">
    <cfRule type="containsText" dxfId="455" priority="456" operator="containsText" text="N/A">
      <formula>NOT(ISERROR(SEARCH("N/A",I157)))</formula>
    </cfRule>
    <cfRule type="containsText" dxfId="454" priority="457" operator="containsText" text="DC">
      <formula>NOT(ISERROR(SEARCH("DC",I157)))</formula>
    </cfRule>
  </conditionalFormatting>
  <conditionalFormatting sqref="B159:R159">
    <cfRule type="containsBlanks" dxfId="453" priority="455">
      <formula>LEN(TRIM(B159))=0</formula>
    </cfRule>
  </conditionalFormatting>
  <conditionalFormatting sqref="I159">
    <cfRule type="containsText" dxfId="452" priority="454" operator="containsText" text="combined losses only">
      <formula>NOT(ISERROR(SEARCH("combined losses only",I159)))</formula>
    </cfRule>
  </conditionalFormatting>
  <conditionalFormatting sqref="B160:R160">
    <cfRule type="containsBlanks" dxfId="451" priority="453">
      <formula>LEN(TRIM(B160))=0</formula>
    </cfRule>
  </conditionalFormatting>
  <conditionalFormatting sqref="I160">
    <cfRule type="containsText" dxfId="450" priority="452" operator="containsText" text="combined losses only">
      <formula>NOT(ISERROR(SEARCH("combined losses only",I160)))</formula>
    </cfRule>
  </conditionalFormatting>
  <conditionalFormatting sqref="B161:R161">
    <cfRule type="containsBlanks" dxfId="449" priority="451">
      <formula>LEN(TRIM(B161))=0</formula>
    </cfRule>
  </conditionalFormatting>
  <conditionalFormatting sqref="I161">
    <cfRule type="containsText" dxfId="448" priority="450" operator="containsText" text="combined losses only">
      <formula>NOT(ISERROR(SEARCH("combined losses only",I161)))</formula>
    </cfRule>
  </conditionalFormatting>
  <conditionalFormatting sqref="B162:R162">
    <cfRule type="containsBlanks" dxfId="447" priority="449">
      <formula>LEN(TRIM(B162))=0</formula>
    </cfRule>
  </conditionalFormatting>
  <conditionalFormatting sqref="I162">
    <cfRule type="containsText" dxfId="446" priority="448" operator="containsText" text="combined losses only">
      <formula>NOT(ISERROR(SEARCH("combined losses only",I162)))</formula>
    </cfRule>
  </conditionalFormatting>
  <conditionalFormatting sqref="B163:R163">
    <cfRule type="containsBlanks" dxfId="445" priority="447">
      <formula>LEN(TRIM(B163))=0</formula>
    </cfRule>
  </conditionalFormatting>
  <conditionalFormatting sqref="I163">
    <cfRule type="containsText" dxfId="444" priority="446" operator="containsText" text="combined losses only">
      <formula>NOT(ISERROR(SEARCH("combined losses only",I163)))</formula>
    </cfRule>
  </conditionalFormatting>
  <conditionalFormatting sqref="B164:R165">
    <cfRule type="containsBlanks" dxfId="443" priority="445">
      <formula>LEN(TRIM(B164))=0</formula>
    </cfRule>
  </conditionalFormatting>
  <conditionalFormatting sqref="I164:I165">
    <cfRule type="containsText" dxfId="442" priority="444" operator="containsText" text="combined losses only">
      <formula>NOT(ISERROR(SEARCH("combined losses only",I164)))</formula>
    </cfRule>
  </conditionalFormatting>
  <conditionalFormatting sqref="B166:R167">
    <cfRule type="containsBlanks" dxfId="441" priority="443">
      <formula>LEN(TRIM(B166))=0</formula>
    </cfRule>
  </conditionalFormatting>
  <conditionalFormatting sqref="I166:I167">
    <cfRule type="containsText" dxfId="440" priority="442" operator="containsText" text="combined losses only">
      <formula>NOT(ISERROR(SEARCH("combined losses only",I166)))</formula>
    </cfRule>
  </conditionalFormatting>
  <conditionalFormatting sqref="B168:R170">
    <cfRule type="containsBlanks" dxfId="439" priority="441">
      <formula>LEN(TRIM(B168))=0</formula>
    </cfRule>
  </conditionalFormatting>
  <conditionalFormatting sqref="I168:I170">
    <cfRule type="containsText" dxfId="438" priority="440" operator="containsText" text="combined losses only">
      <formula>NOT(ISERROR(SEARCH("combined losses only",I168)))</formula>
    </cfRule>
  </conditionalFormatting>
  <conditionalFormatting sqref="B171:R171">
    <cfRule type="containsBlanks" dxfId="437" priority="439">
      <formula>LEN(TRIM(B171))=0</formula>
    </cfRule>
  </conditionalFormatting>
  <conditionalFormatting sqref="I171">
    <cfRule type="containsText" dxfId="436" priority="438" operator="containsText" text="combined losses only">
      <formula>NOT(ISERROR(SEARCH("combined losses only",I171)))</formula>
    </cfRule>
  </conditionalFormatting>
  <conditionalFormatting sqref="B172:R174">
    <cfRule type="containsBlanks" dxfId="435" priority="437">
      <formula>LEN(TRIM(B172))=0</formula>
    </cfRule>
  </conditionalFormatting>
  <conditionalFormatting sqref="I172:I174">
    <cfRule type="containsText" dxfId="434" priority="436" operator="containsText" text="combined losses only">
      <formula>NOT(ISERROR(SEARCH("combined losses only",I172)))</formula>
    </cfRule>
  </conditionalFormatting>
  <conditionalFormatting sqref="B175:R175">
    <cfRule type="containsBlanks" dxfId="433" priority="435">
      <formula>LEN(TRIM(B175))=0</formula>
    </cfRule>
  </conditionalFormatting>
  <conditionalFormatting sqref="I175">
    <cfRule type="containsText" dxfId="432" priority="434" operator="containsText" text="combined losses only">
      <formula>NOT(ISERROR(SEARCH("combined losses only",I175)))</formula>
    </cfRule>
  </conditionalFormatting>
  <conditionalFormatting sqref="I176">
    <cfRule type="containsText" dxfId="431" priority="433" operator="containsText" text="combined losses only">
      <formula>NOT(ISERROR(SEARCH("combined losses only",I176)))</formula>
    </cfRule>
  </conditionalFormatting>
  <conditionalFormatting sqref="I177:I179">
    <cfRule type="containsText" dxfId="430" priority="432" operator="containsText" text="combined losses only">
      <formula>NOT(ISERROR(SEARCH("combined losses only",I177)))</formula>
    </cfRule>
  </conditionalFormatting>
  <conditionalFormatting sqref="I180">
    <cfRule type="containsText" dxfId="429" priority="431" operator="containsText" text="combined losses only">
      <formula>NOT(ISERROR(SEARCH("combined losses only",I180)))</formula>
    </cfRule>
  </conditionalFormatting>
  <conditionalFormatting sqref="I181">
    <cfRule type="containsText" dxfId="428" priority="430" operator="containsText" text="combined losses only">
      <formula>NOT(ISERROR(SEARCH("combined losses only",I181)))</formula>
    </cfRule>
  </conditionalFormatting>
  <conditionalFormatting sqref="I182">
    <cfRule type="containsText" dxfId="427" priority="429" operator="containsText" text="combined losses only">
      <formula>NOT(ISERROR(SEARCH("combined losses only",I182)))</formula>
    </cfRule>
  </conditionalFormatting>
  <conditionalFormatting sqref="I183">
    <cfRule type="containsText" dxfId="426" priority="428" operator="containsText" text="combined losses only">
      <formula>NOT(ISERROR(SEARCH("combined losses only",I183)))</formula>
    </cfRule>
  </conditionalFormatting>
  <conditionalFormatting sqref="I184">
    <cfRule type="containsText" dxfId="425" priority="427" operator="containsText" text="combined losses only">
      <formula>NOT(ISERROR(SEARCH("combined losses only",I184)))</formula>
    </cfRule>
  </conditionalFormatting>
  <conditionalFormatting sqref="I185:I187">
    <cfRule type="containsText" dxfId="424" priority="426" operator="containsText" text="combined losses only">
      <formula>NOT(ISERROR(SEARCH("combined losses only",I185)))</formula>
    </cfRule>
  </conditionalFormatting>
  <conditionalFormatting sqref="I188:I189">
    <cfRule type="containsText" dxfId="423" priority="425" operator="containsText" text="combined losses only">
      <formula>NOT(ISERROR(SEARCH("combined losses only",I188)))</formula>
    </cfRule>
  </conditionalFormatting>
  <conditionalFormatting sqref="I190">
    <cfRule type="containsText" dxfId="422" priority="424" operator="containsText" text="combined losses only">
      <formula>NOT(ISERROR(SEARCH("combined losses only",I190)))</formula>
    </cfRule>
  </conditionalFormatting>
  <conditionalFormatting sqref="I191">
    <cfRule type="containsText" dxfId="421" priority="423" operator="containsText" text="combined losses only">
      <formula>NOT(ISERROR(SEARCH("combined losses only",I191)))</formula>
    </cfRule>
  </conditionalFormatting>
  <conditionalFormatting sqref="I192">
    <cfRule type="containsText" dxfId="420" priority="422" operator="containsText" text="combined losses only">
      <formula>NOT(ISERROR(SEARCH("combined losses only",I192)))</formula>
    </cfRule>
  </conditionalFormatting>
  <conditionalFormatting sqref="I193:I195">
    <cfRule type="containsText" dxfId="419" priority="421" operator="containsText" text="combined losses only">
      <formula>NOT(ISERROR(SEARCH("combined losses only",I193)))</formula>
    </cfRule>
  </conditionalFormatting>
  <conditionalFormatting sqref="I196:I198">
    <cfRule type="containsText" dxfId="418" priority="420" operator="containsText" text="combined losses only">
      <formula>NOT(ISERROR(SEARCH("combined losses only",I196)))</formula>
    </cfRule>
  </conditionalFormatting>
  <conditionalFormatting sqref="I199:I204">
    <cfRule type="containsText" dxfId="417" priority="419" operator="containsText" text="combined losses only">
      <formula>NOT(ISERROR(SEARCH("combined losses only",I199)))</formula>
    </cfRule>
  </conditionalFormatting>
  <conditionalFormatting sqref="I205">
    <cfRule type="containsText" dxfId="416" priority="418" operator="containsText" text="combined losses only">
      <formula>NOT(ISERROR(SEARCH("combined losses only",I205)))</formula>
    </cfRule>
  </conditionalFormatting>
  <conditionalFormatting sqref="I206:I207">
    <cfRule type="containsText" dxfId="415" priority="417" operator="containsText" text="combined losses only">
      <formula>NOT(ISERROR(SEARCH("combined losses only",I206)))</formula>
    </cfRule>
  </conditionalFormatting>
  <conditionalFormatting sqref="I208:I209">
    <cfRule type="containsText" dxfId="414" priority="416" operator="containsText" text="combined losses only">
      <formula>NOT(ISERROR(SEARCH("combined losses only",I208)))</formula>
    </cfRule>
  </conditionalFormatting>
  <conditionalFormatting sqref="I210:I212">
    <cfRule type="containsText" dxfId="413" priority="415" operator="containsText" text="combined losses only">
      <formula>NOT(ISERROR(SEARCH("combined losses only",I210)))</formula>
    </cfRule>
  </conditionalFormatting>
  <conditionalFormatting sqref="I213:I214">
    <cfRule type="containsText" dxfId="412" priority="414" operator="containsText" text="combined losses only">
      <formula>NOT(ISERROR(SEARCH("combined losses only",I213)))</formula>
    </cfRule>
  </conditionalFormatting>
  <conditionalFormatting sqref="I215">
    <cfRule type="containsText" dxfId="411" priority="413" operator="containsText" text="combined losses only">
      <formula>NOT(ISERROR(SEARCH("combined losses only",I215)))</formula>
    </cfRule>
  </conditionalFormatting>
  <conditionalFormatting sqref="I216">
    <cfRule type="containsText" dxfId="410" priority="412" operator="containsText" text="combined losses only">
      <formula>NOT(ISERROR(SEARCH("combined losses only",I216)))</formula>
    </cfRule>
  </conditionalFormatting>
  <conditionalFormatting sqref="I217">
    <cfRule type="containsText" dxfId="409" priority="411" operator="containsText" text="combined losses only">
      <formula>NOT(ISERROR(SEARCH("combined losses only",I217)))</formula>
    </cfRule>
  </conditionalFormatting>
  <conditionalFormatting sqref="I218">
    <cfRule type="containsText" dxfId="408" priority="410" operator="containsText" text="combined losses only">
      <formula>NOT(ISERROR(SEARCH("combined losses only",I218)))</formula>
    </cfRule>
  </conditionalFormatting>
  <conditionalFormatting sqref="I219">
    <cfRule type="containsText" dxfId="407" priority="409" operator="containsText" text="combined losses only">
      <formula>NOT(ISERROR(SEARCH("combined losses only",I219)))</formula>
    </cfRule>
  </conditionalFormatting>
  <conditionalFormatting sqref="I220:I221">
    <cfRule type="containsText" dxfId="406" priority="408" operator="containsText" text="combined losses only">
      <formula>NOT(ISERROR(SEARCH("combined losses only",I220)))</formula>
    </cfRule>
  </conditionalFormatting>
  <conditionalFormatting sqref="I222:I224">
    <cfRule type="containsText" dxfId="405" priority="407" operator="containsText" text="combined losses only">
      <formula>NOT(ISERROR(SEARCH("combined losses only",I222)))</formula>
    </cfRule>
  </conditionalFormatting>
  <conditionalFormatting sqref="I225:I230">
    <cfRule type="containsText" dxfId="404" priority="406" operator="containsText" text="combined losses only">
      <formula>NOT(ISERROR(SEARCH("combined losses only",I225)))</formula>
    </cfRule>
  </conditionalFormatting>
  <conditionalFormatting sqref="I231:I232">
    <cfRule type="containsText" dxfId="403" priority="405" operator="containsText" text="combined losses only">
      <formula>NOT(ISERROR(SEARCH("combined losses only",I231)))</formula>
    </cfRule>
  </conditionalFormatting>
  <conditionalFormatting sqref="I233">
    <cfRule type="containsText" dxfId="402" priority="404" operator="containsText" text="combined losses only">
      <formula>NOT(ISERROR(SEARCH("combined losses only",I233)))</formula>
    </cfRule>
  </conditionalFormatting>
  <conditionalFormatting sqref="H234:H235 K234:K235">
    <cfRule type="containsText" dxfId="401" priority="403" operator="containsText" text="Pending">
      <formula>NOT(ISERROR(SEARCH("Pending",H234)))</formula>
    </cfRule>
  </conditionalFormatting>
  <conditionalFormatting sqref="B234:P235">
    <cfRule type="containsBlanks" dxfId="400" priority="402">
      <formula>LEN(TRIM(B234))=0</formula>
    </cfRule>
  </conditionalFormatting>
  <conditionalFormatting sqref="I234:J235">
    <cfRule type="containsText" dxfId="399" priority="400" operator="containsText" text="N/A">
      <formula>NOT(ISERROR(SEARCH("N/A",I234)))</formula>
    </cfRule>
    <cfRule type="containsText" dxfId="398" priority="401" operator="containsText" text="DC">
      <formula>NOT(ISERROR(SEARCH("DC",I234)))</formula>
    </cfRule>
  </conditionalFormatting>
  <conditionalFormatting sqref="I236">
    <cfRule type="containsText" dxfId="397" priority="399" operator="containsText" text="combined losses only">
      <formula>NOT(ISERROR(SEARCH("combined losses only",I236)))</formula>
    </cfRule>
  </conditionalFormatting>
  <conditionalFormatting sqref="I237">
    <cfRule type="containsText" dxfId="396" priority="398" operator="containsText" text="combined losses only">
      <formula>NOT(ISERROR(SEARCH("combined losses only",I237)))</formula>
    </cfRule>
  </conditionalFormatting>
  <conditionalFormatting sqref="I238">
    <cfRule type="containsText" dxfId="395" priority="397" operator="containsText" text="combined losses only">
      <formula>NOT(ISERROR(SEARCH("combined losses only",I238)))</formula>
    </cfRule>
  </conditionalFormatting>
  <conditionalFormatting sqref="I239:I240">
    <cfRule type="containsText" dxfId="394" priority="396" operator="containsText" text="combined losses only">
      <formula>NOT(ISERROR(SEARCH("combined losses only",I239)))</formula>
    </cfRule>
  </conditionalFormatting>
  <conditionalFormatting sqref="I241">
    <cfRule type="containsText" dxfId="393" priority="395" operator="containsText" text="combined losses only">
      <formula>NOT(ISERROR(SEARCH("combined losses only",I241)))</formula>
    </cfRule>
  </conditionalFormatting>
  <conditionalFormatting sqref="K242 H242">
    <cfRule type="containsText" dxfId="392" priority="393" operator="containsText" text="Pending">
      <formula>NOT(ISERROR(SEARCH("Pending",H242)))</formula>
    </cfRule>
  </conditionalFormatting>
  <conditionalFormatting sqref="B242:P242">
    <cfRule type="containsBlanks" dxfId="391" priority="392">
      <formula>LEN(TRIM(B242))=0</formula>
    </cfRule>
  </conditionalFormatting>
  <conditionalFormatting sqref="I242:J242">
    <cfRule type="containsText" dxfId="390" priority="390" operator="containsText" text="N/A">
      <formula>NOT(ISERROR(SEARCH("N/A",I242)))</formula>
    </cfRule>
    <cfRule type="containsText" dxfId="389" priority="391" operator="containsText" text="DC">
      <formula>NOT(ISERROR(SEARCH("DC",I242)))</formula>
    </cfRule>
  </conditionalFormatting>
  <conditionalFormatting sqref="H243 K243">
    <cfRule type="containsText" dxfId="388" priority="389" operator="containsText" text="Pending">
      <formula>NOT(ISERROR(SEARCH("Pending",H243)))</formula>
    </cfRule>
  </conditionalFormatting>
  <conditionalFormatting sqref="B243:R243">
    <cfRule type="containsBlanks" dxfId="387" priority="388">
      <formula>LEN(TRIM(B243))=0</formula>
    </cfRule>
  </conditionalFormatting>
  <conditionalFormatting sqref="I243:J243">
    <cfRule type="containsText" dxfId="386" priority="386" operator="containsText" text="N/A">
      <formula>NOT(ISERROR(SEARCH("N/A",I243)))</formula>
    </cfRule>
    <cfRule type="containsText" dxfId="385" priority="387" operator="containsText" text="DC">
      <formula>NOT(ISERROR(SEARCH("DC",I243)))</formula>
    </cfRule>
  </conditionalFormatting>
  <conditionalFormatting sqref="K244 H244">
    <cfRule type="containsText" dxfId="384" priority="385" operator="containsText" text="Pending">
      <formula>NOT(ISERROR(SEARCH("Pending",H244)))</formula>
    </cfRule>
  </conditionalFormatting>
  <conditionalFormatting sqref="B244:R244">
    <cfRule type="containsBlanks" dxfId="383" priority="384">
      <formula>LEN(TRIM(B244))=0</formula>
    </cfRule>
  </conditionalFormatting>
  <conditionalFormatting sqref="I244:J244">
    <cfRule type="containsText" dxfId="382" priority="382" operator="containsText" text="N/A">
      <formula>NOT(ISERROR(SEARCH("N/A",I244)))</formula>
    </cfRule>
    <cfRule type="containsText" dxfId="381" priority="383" operator="containsText" text="DC">
      <formula>NOT(ISERROR(SEARCH("DC",I244)))</formula>
    </cfRule>
  </conditionalFormatting>
  <conditionalFormatting sqref="H245 K245">
    <cfRule type="containsText" dxfId="380" priority="381" operator="containsText" text="Pending">
      <formula>NOT(ISERROR(SEARCH("Pending",H245)))</formula>
    </cfRule>
  </conditionalFormatting>
  <conditionalFormatting sqref="B245:R245">
    <cfRule type="containsBlanks" dxfId="379" priority="380">
      <formula>LEN(TRIM(B245))=0</formula>
    </cfRule>
  </conditionalFormatting>
  <conditionalFormatting sqref="I245:J245">
    <cfRule type="containsText" dxfId="378" priority="378" operator="containsText" text="N/A">
      <formula>NOT(ISERROR(SEARCH("N/A",I245)))</formula>
    </cfRule>
    <cfRule type="containsText" dxfId="377" priority="379" operator="containsText" text="DC">
      <formula>NOT(ISERROR(SEARCH("DC",I245)))</formula>
    </cfRule>
  </conditionalFormatting>
  <conditionalFormatting sqref="K246 H246">
    <cfRule type="containsText" dxfId="376" priority="377" operator="containsText" text="Pending">
      <formula>NOT(ISERROR(SEARCH("Pending",H246)))</formula>
    </cfRule>
  </conditionalFormatting>
  <conditionalFormatting sqref="B246:R246">
    <cfRule type="containsBlanks" dxfId="375" priority="376">
      <formula>LEN(TRIM(B246))=0</formula>
    </cfRule>
  </conditionalFormatting>
  <conditionalFormatting sqref="I246:J246">
    <cfRule type="containsText" dxfId="374" priority="374" operator="containsText" text="N/A">
      <formula>NOT(ISERROR(SEARCH("N/A",I246)))</formula>
    </cfRule>
    <cfRule type="containsText" dxfId="373" priority="375" operator="containsText" text="DC">
      <formula>NOT(ISERROR(SEARCH("DC",I246)))</formula>
    </cfRule>
  </conditionalFormatting>
  <conditionalFormatting sqref="H247 K247">
    <cfRule type="containsText" dxfId="372" priority="373" operator="containsText" text="Pending">
      <formula>NOT(ISERROR(SEARCH("Pending",H247)))</formula>
    </cfRule>
  </conditionalFormatting>
  <conditionalFormatting sqref="B247:R247">
    <cfRule type="containsBlanks" dxfId="371" priority="372">
      <formula>LEN(TRIM(B247))=0</formula>
    </cfRule>
  </conditionalFormatting>
  <conditionalFormatting sqref="I247:J247">
    <cfRule type="containsText" dxfId="370" priority="370" operator="containsText" text="N/A">
      <formula>NOT(ISERROR(SEARCH("N/A",I247)))</formula>
    </cfRule>
    <cfRule type="containsText" dxfId="369" priority="371" operator="containsText" text="DC">
      <formula>NOT(ISERROR(SEARCH("DC",I247)))</formula>
    </cfRule>
  </conditionalFormatting>
  <conditionalFormatting sqref="K248 H248">
    <cfRule type="containsText" dxfId="368" priority="369" operator="containsText" text="Pending">
      <formula>NOT(ISERROR(SEARCH("Pending",H248)))</formula>
    </cfRule>
  </conditionalFormatting>
  <conditionalFormatting sqref="B248:R248">
    <cfRule type="containsBlanks" dxfId="367" priority="368">
      <formula>LEN(TRIM(B248))=0</formula>
    </cfRule>
  </conditionalFormatting>
  <conditionalFormatting sqref="I248:J248">
    <cfRule type="containsText" dxfId="366" priority="366" operator="containsText" text="N/A">
      <formula>NOT(ISERROR(SEARCH("N/A",I248)))</formula>
    </cfRule>
    <cfRule type="containsText" dxfId="365" priority="367" operator="containsText" text="DC">
      <formula>NOT(ISERROR(SEARCH("DC",I248)))</formula>
    </cfRule>
  </conditionalFormatting>
  <conditionalFormatting sqref="H249 K249">
    <cfRule type="containsText" dxfId="364" priority="365" operator="containsText" text="Pending">
      <formula>NOT(ISERROR(SEARCH("Pending",H249)))</formula>
    </cfRule>
  </conditionalFormatting>
  <conditionalFormatting sqref="B249:R249">
    <cfRule type="containsBlanks" dxfId="363" priority="364">
      <formula>LEN(TRIM(B249))=0</formula>
    </cfRule>
  </conditionalFormatting>
  <conditionalFormatting sqref="I249:J249">
    <cfRule type="containsText" dxfId="362" priority="362" operator="containsText" text="N/A">
      <formula>NOT(ISERROR(SEARCH("N/A",I249)))</formula>
    </cfRule>
    <cfRule type="containsText" dxfId="361" priority="363" operator="containsText" text="DC">
      <formula>NOT(ISERROR(SEARCH("DC",I249)))</formula>
    </cfRule>
  </conditionalFormatting>
  <conditionalFormatting sqref="K250 H250">
    <cfRule type="containsText" dxfId="360" priority="361" operator="containsText" text="Pending">
      <formula>NOT(ISERROR(SEARCH("Pending",H250)))</formula>
    </cfRule>
  </conditionalFormatting>
  <conditionalFormatting sqref="B250:R250">
    <cfRule type="containsBlanks" dxfId="359" priority="360">
      <formula>LEN(TRIM(B250))=0</formula>
    </cfRule>
  </conditionalFormatting>
  <conditionalFormatting sqref="I250:J250">
    <cfRule type="containsText" dxfId="358" priority="358" operator="containsText" text="N/A">
      <formula>NOT(ISERROR(SEARCH("N/A",I250)))</formula>
    </cfRule>
    <cfRule type="containsText" dxfId="357" priority="359" operator="containsText" text="DC">
      <formula>NOT(ISERROR(SEARCH("DC",I250)))</formula>
    </cfRule>
  </conditionalFormatting>
  <conditionalFormatting sqref="H251 K251">
    <cfRule type="containsText" dxfId="356" priority="357" operator="containsText" text="Pending">
      <formula>NOT(ISERROR(SEARCH("Pending",H251)))</formula>
    </cfRule>
  </conditionalFormatting>
  <conditionalFormatting sqref="B251:R251">
    <cfRule type="containsBlanks" dxfId="355" priority="356">
      <formula>LEN(TRIM(B251))=0</formula>
    </cfRule>
  </conditionalFormatting>
  <conditionalFormatting sqref="I251:J251">
    <cfRule type="containsText" dxfId="354" priority="354" operator="containsText" text="N/A">
      <formula>NOT(ISERROR(SEARCH("N/A",I251)))</formula>
    </cfRule>
    <cfRule type="containsText" dxfId="353" priority="355" operator="containsText" text="DC">
      <formula>NOT(ISERROR(SEARCH("DC",I251)))</formula>
    </cfRule>
  </conditionalFormatting>
  <conditionalFormatting sqref="K252 H252">
    <cfRule type="containsText" dxfId="352" priority="353" operator="containsText" text="Pending">
      <formula>NOT(ISERROR(SEARCH("Pending",H252)))</formula>
    </cfRule>
  </conditionalFormatting>
  <conditionalFormatting sqref="B252:R252">
    <cfRule type="containsBlanks" dxfId="351" priority="352">
      <formula>LEN(TRIM(B252))=0</formula>
    </cfRule>
  </conditionalFormatting>
  <conditionalFormatting sqref="I252:J252">
    <cfRule type="containsText" dxfId="350" priority="350" operator="containsText" text="N/A">
      <formula>NOT(ISERROR(SEARCH("N/A",I252)))</formula>
    </cfRule>
    <cfRule type="containsText" dxfId="349" priority="351" operator="containsText" text="DC">
      <formula>NOT(ISERROR(SEARCH("DC",I252)))</formula>
    </cfRule>
  </conditionalFormatting>
  <conditionalFormatting sqref="H253 K253">
    <cfRule type="containsText" dxfId="348" priority="349" operator="containsText" text="Pending">
      <formula>NOT(ISERROR(SEARCH("Pending",H253)))</formula>
    </cfRule>
  </conditionalFormatting>
  <conditionalFormatting sqref="B253:R253">
    <cfRule type="containsBlanks" dxfId="347" priority="348">
      <formula>LEN(TRIM(B253))=0</formula>
    </cfRule>
  </conditionalFormatting>
  <conditionalFormatting sqref="I253:J253">
    <cfRule type="containsText" dxfId="346" priority="346" operator="containsText" text="N/A">
      <formula>NOT(ISERROR(SEARCH("N/A",I253)))</formula>
    </cfRule>
    <cfRule type="containsText" dxfId="345" priority="347" operator="containsText" text="DC">
      <formula>NOT(ISERROR(SEARCH("DC",I253)))</formula>
    </cfRule>
  </conditionalFormatting>
  <conditionalFormatting sqref="K254 H254">
    <cfRule type="containsText" dxfId="344" priority="345" operator="containsText" text="Pending">
      <formula>NOT(ISERROR(SEARCH("Pending",H254)))</formula>
    </cfRule>
  </conditionalFormatting>
  <conditionalFormatting sqref="B254:R254">
    <cfRule type="containsBlanks" dxfId="343" priority="344">
      <formula>LEN(TRIM(B254))=0</formula>
    </cfRule>
  </conditionalFormatting>
  <conditionalFormatting sqref="I254:J254">
    <cfRule type="containsText" dxfId="342" priority="342" operator="containsText" text="N/A">
      <formula>NOT(ISERROR(SEARCH("N/A",I254)))</formula>
    </cfRule>
    <cfRule type="containsText" dxfId="341" priority="343" operator="containsText" text="DC">
      <formula>NOT(ISERROR(SEARCH("DC",I254)))</formula>
    </cfRule>
  </conditionalFormatting>
  <conditionalFormatting sqref="H255 K255">
    <cfRule type="containsText" dxfId="340" priority="341" operator="containsText" text="Pending">
      <formula>NOT(ISERROR(SEARCH("Pending",H255)))</formula>
    </cfRule>
  </conditionalFormatting>
  <conditionalFormatting sqref="B255:R255">
    <cfRule type="containsBlanks" dxfId="339" priority="340">
      <formula>LEN(TRIM(B255))=0</formula>
    </cfRule>
  </conditionalFormatting>
  <conditionalFormatting sqref="I255:J255">
    <cfRule type="containsText" dxfId="338" priority="338" operator="containsText" text="N/A">
      <formula>NOT(ISERROR(SEARCH("N/A",I255)))</formula>
    </cfRule>
    <cfRule type="containsText" dxfId="337" priority="339" operator="containsText" text="DC">
      <formula>NOT(ISERROR(SEARCH("DC",I255)))</formula>
    </cfRule>
  </conditionalFormatting>
  <conditionalFormatting sqref="K256 H256">
    <cfRule type="containsText" dxfId="336" priority="337" operator="containsText" text="Pending">
      <formula>NOT(ISERROR(SEARCH("Pending",H256)))</formula>
    </cfRule>
  </conditionalFormatting>
  <conditionalFormatting sqref="B256:R256">
    <cfRule type="containsBlanks" dxfId="335" priority="336">
      <formula>LEN(TRIM(B256))=0</formula>
    </cfRule>
  </conditionalFormatting>
  <conditionalFormatting sqref="I256:J256">
    <cfRule type="containsText" dxfId="334" priority="334" operator="containsText" text="N/A">
      <formula>NOT(ISERROR(SEARCH("N/A",I256)))</formula>
    </cfRule>
    <cfRule type="containsText" dxfId="333" priority="335" operator="containsText" text="DC">
      <formula>NOT(ISERROR(SEARCH("DC",I256)))</formula>
    </cfRule>
  </conditionalFormatting>
  <conditionalFormatting sqref="H257 K257">
    <cfRule type="containsText" dxfId="332" priority="333" operator="containsText" text="Pending">
      <formula>NOT(ISERROR(SEARCH("Pending",H257)))</formula>
    </cfRule>
  </conditionalFormatting>
  <conditionalFormatting sqref="B257:R257">
    <cfRule type="containsBlanks" dxfId="331" priority="332">
      <formula>LEN(TRIM(B257))=0</formula>
    </cfRule>
  </conditionalFormatting>
  <conditionalFormatting sqref="I257:J257">
    <cfRule type="containsText" dxfId="330" priority="330" operator="containsText" text="N/A">
      <formula>NOT(ISERROR(SEARCH("N/A",I257)))</formula>
    </cfRule>
    <cfRule type="containsText" dxfId="329" priority="331" operator="containsText" text="DC">
      <formula>NOT(ISERROR(SEARCH("DC",I257)))</formula>
    </cfRule>
  </conditionalFormatting>
  <conditionalFormatting sqref="K258 H258">
    <cfRule type="containsText" dxfId="328" priority="329" operator="containsText" text="Pending">
      <formula>NOT(ISERROR(SEARCH("Pending",H258)))</formula>
    </cfRule>
  </conditionalFormatting>
  <conditionalFormatting sqref="B258:R258">
    <cfRule type="containsBlanks" dxfId="327" priority="328">
      <formula>LEN(TRIM(B258))=0</formula>
    </cfRule>
  </conditionalFormatting>
  <conditionalFormatting sqref="I258:J258">
    <cfRule type="containsText" dxfId="326" priority="326" operator="containsText" text="N/A">
      <formula>NOT(ISERROR(SEARCH("N/A",I258)))</formula>
    </cfRule>
    <cfRule type="containsText" dxfId="325" priority="327" operator="containsText" text="DC">
      <formula>NOT(ISERROR(SEARCH("DC",I258)))</formula>
    </cfRule>
  </conditionalFormatting>
  <conditionalFormatting sqref="H259 K259">
    <cfRule type="containsText" dxfId="324" priority="325" operator="containsText" text="Pending">
      <formula>NOT(ISERROR(SEARCH("Pending",H259)))</formula>
    </cfRule>
  </conditionalFormatting>
  <conditionalFormatting sqref="B259:R259">
    <cfRule type="containsBlanks" dxfId="323" priority="324">
      <formula>LEN(TRIM(B259))=0</formula>
    </cfRule>
  </conditionalFormatting>
  <conditionalFormatting sqref="I259:J259">
    <cfRule type="containsText" dxfId="322" priority="322" operator="containsText" text="N/A">
      <formula>NOT(ISERROR(SEARCH("N/A",I259)))</formula>
    </cfRule>
    <cfRule type="containsText" dxfId="321" priority="323" operator="containsText" text="DC">
      <formula>NOT(ISERROR(SEARCH("DC",I259)))</formula>
    </cfRule>
  </conditionalFormatting>
  <conditionalFormatting sqref="K260 H260">
    <cfRule type="containsText" dxfId="320" priority="321" operator="containsText" text="Pending">
      <formula>NOT(ISERROR(SEARCH("Pending",H260)))</formula>
    </cfRule>
  </conditionalFormatting>
  <conditionalFormatting sqref="B260:R260">
    <cfRule type="containsBlanks" dxfId="319" priority="320">
      <formula>LEN(TRIM(B260))=0</formula>
    </cfRule>
  </conditionalFormatting>
  <conditionalFormatting sqref="I260:J260">
    <cfRule type="containsText" dxfId="318" priority="318" operator="containsText" text="N/A">
      <formula>NOT(ISERROR(SEARCH("N/A",I260)))</formula>
    </cfRule>
    <cfRule type="containsText" dxfId="317" priority="319" operator="containsText" text="DC">
      <formula>NOT(ISERROR(SEARCH("DC",I260)))</formula>
    </cfRule>
  </conditionalFormatting>
  <conditionalFormatting sqref="H261 K261">
    <cfRule type="containsText" dxfId="316" priority="317" operator="containsText" text="Pending">
      <formula>NOT(ISERROR(SEARCH("Pending",H261)))</formula>
    </cfRule>
  </conditionalFormatting>
  <conditionalFormatting sqref="B261:R261">
    <cfRule type="containsBlanks" dxfId="315" priority="316">
      <formula>LEN(TRIM(B261))=0</formula>
    </cfRule>
  </conditionalFormatting>
  <conditionalFormatting sqref="I261:J261">
    <cfRule type="containsText" dxfId="314" priority="314" operator="containsText" text="N/A">
      <formula>NOT(ISERROR(SEARCH("N/A",I261)))</formula>
    </cfRule>
    <cfRule type="containsText" dxfId="313" priority="315" operator="containsText" text="DC">
      <formula>NOT(ISERROR(SEARCH("DC",I261)))</formula>
    </cfRule>
  </conditionalFormatting>
  <conditionalFormatting sqref="K262 H262">
    <cfRule type="containsText" dxfId="312" priority="313" operator="containsText" text="Pending">
      <formula>NOT(ISERROR(SEARCH("Pending",H262)))</formula>
    </cfRule>
  </conditionalFormatting>
  <conditionalFormatting sqref="B262:R262">
    <cfRule type="containsBlanks" dxfId="311" priority="312">
      <formula>LEN(TRIM(B262))=0</formula>
    </cfRule>
  </conditionalFormatting>
  <conditionalFormatting sqref="I262:J262">
    <cfRule type="containsText" dxfId="310" priority="310" operator="containsText" text="N/A">
      <formula>NOT(ISERROR(SEARCH("N/A",I262)))</formula>
    </cfRule>
    <cfRule type="containsText" dxfId="309" priority="311" operator="containsText" text="DC">
      <formula>NOT(ISERROR(SEARCH("DC",I262)))</formula>
    </cfRule>
  </conditionalFormatting>
  <conditionalFormatting sqref="H263 K263">
    <cfRule type="containsText" dxfId="308" priority="309" operator="containsText" text="Pending">
      <formula>NOT(ISERROR(SEARCH("Pending",H263)))</formula>
    </cfRule>
  </conditionalFormatting>
  <conditionalFormatting sqref="B263:R263">
    <cfRule type="containsBlanks" dxfId="307" priority="308">
      <formula>LEN(TRIM(B263))=0</formula>
    </cfRule>
  </conditionalFormatting>
  <conditionalFormatting sqref="I263:J263">
    <cfRule type="containsText" dxfId="306" priority="306" operator="containsText" text="N/A">
      <formula>NOT(ISERROR(SEARCH("N/A",I263)))</formula>
    </cfRule>
    <cfRule type="containsText" dxfId="305" priority="307" operator="containsText" text="DC">
      <formula>NOT(ISERROR(SEARCH("DC",I263)))</formula>
    </cfRule>
  </conditionalFormatting>
  <conditionalFormatting sqref="K264 H264">
    <cfRule type="containsText" dxfId="304" priority="305" operator="containsText" text="Pending">
      <formula>NOT(ISERROR(SEARCH("Pending",H264)))</formula>
    </cfRule>
  </conditionalFormatting>
  <conditionalFormatting sqref="B264:R264">
    <cfRule type="containsBlanks" dxfId="303" priority="304">
      <formula>LEN(TRIM(B264))=0</formula>
    </cfRule>
  </conditionalFormatting>
  <conditionalFormatting sqref="I264:J264">
    <cfRule type="containsText" dxfId="302" priority="302" operator="containsText" text="N/A">
      <formula>NOT(ISERROR(SEARCH("N/A",I264)))</formula>
    </cfRule>
    <cfRule type="containsText" dxfId="301" priority="303" operator="containsText" text="DC">
      <formula>NOT(ISERROR(SEARCH("DC",I264)))</formula>
    </cfRule>
  </conditionalFormatting>
  <conditionalFormatting sqref="H265 K265">
    <cfRule type="containsText" dxfId="300" priority="301" operator="containsText" text="Pending">
      <formula>NOT(ISERROR(SEARCH("Pending",H265)))</formula>
    </cfRule>
  </conditionalFormatting>
  <conditionalFormatting sqref="B265:R265">
    <cfRule type="containsBlanks" dxfId="299" priority="300">
      <formula>LEN(TRIM(B265))=0</formula>
    </cfRule>
  </conditionalFormatting>
  <conditionalFormatting sqref="I265:J265">
    <cfRule type="containsText" dxfId="298" priority="298" operator="containsText" text="N/A">
      <formula>NOT(ISERROR(SEARCH("N/A",I265)))</formula>
    </cfRule>
    <cfRule type="containsText" dxfId="297" priority="299" operator="containsText" text="DC">
      <formula>NOT(ISERROR(SEARCH("DC",I265)))</formula>
    </cfRule>
  </conditionalFormatting>
  <conditionalFormatting sqref="K266:K267 H266:H267">
    <cfRule type="containsText" dxfId="296" priority="297" operator="containsText" text="Pending">
      <formula>NOT(ISERROR(SEARCH("Pending",H266)))</formula>
    </cfRule>
  </conditionalFormatting>
  <conditionalFormatting sqref="B266:R267">
    <cfRule type="containsBlanks" dxfId="295" priority="296">
      <formula>LEN(TRIM(B266))=0</formula>
    </cfRule>
  </conditionalFormatting>
  <conditionalFormatting sqref="I266:J267">
    <cfRule type="containsText" dxfId="294" priority="294" operator="containsText" text="N/A">
      <formula>NOT(ISERROR(SEARCH("N/A",I266)))</formula>
    </cfRule>
    <cfRule type="containsText" dxfId="293" priority="295" operator="containsText" text="DC">
      <formula>NOT(ISERROR(SEARCH("DC",I266)))</formula>
    </cfRule>
  </conditionalFormatting>
  <conditionalFormatting sqref="H268 K268">
    <cfRule type="containsText" dxfId="292" priority="293" operator="containsText" text="Pending">
      <formula>NOT(ISERROR(SEARCH("Pending",H268)))</formula>
    </cfRule>
  </conditionalFormatting>
  <conditionalFormatting sqref="B268:R268">
    <cfRule type="containsBlanks" dxfId="291" priority="292">
      <formula>LEN(TRIM(B268))=0</formula>
    </cfRule>
  </conditionalFormatting>
  <conditionalFormatting sqref="I268:J268">
    <cfRule type="containsText" dxfId="290" priority="290" operator="containsText" text="N/A">
      <formula>NOT(ISERROR(SEARCH("N/A",I268)))</formula>
    </cfRule>
    <cfRule type="containsText" dxfId="289" priority="291" operator="containsText" text="DC">
      <formula>NOT(ISERROR(SEARCH("DC",I268)))</formula>
    </cfRule>
  </conditionalFormatting>
  <conditionalFormatting sqref="K269 H269">
    <cfRule type="containsText" dxfId="288" priority="289" operator="containsText" text="Pending">
      <formula>NOT(ISERROR(SEARCH("Pending",H269)))</formula>
    </cfRule>
  </conditionalFormatting>
  <conditionalFormatting sqref="B269:R269">
    <cfRule type="containsBlanks" dxfId="287" priority="288">
      <formula>LEN(TRIM(B269))=0</formula>
    </cfRule>
  </conditionalFormatting>
  <conditionalFormatting sqref="I269:J269">
    <cfRule type="containsText" dxfId="286" priority="286" operator="containsText" text="N/A">
      <formula>NOT(ISERROR(SEARCH("N/A",I269)))</formula>
    </cfRule>
    <cfRule type="containsText" dxfId="285" priority="287" operator="containsText" text="DC">
      <formula>NOT(ISERROR(SEARCH("DC",I269)))</formula>
    </cfRule>
  </conditionalFormatting>
  <conditionalFormatting sqref="H270 K270">
    <cfRule type="containsText" dxfId="284" priority="285" operator="containsText" text="Pending">
      <formula>NOT(ISERROR(SEARCH("Pending",H270)))</formula>
    </cfRule>
  </conditionalFormatting>
  <conditionalFormatting sqref="B270:R270">
    <cfRule type="containsBlanks" dxfId="283" priority="284">
      <formula>LEN(TRIM(B270))=0</formula>
    </cfRule>
  </conditionalFormatting>
  <conditionalFormatting sqref="I270:J270">
    <cfRule type="containsText" dxfId="282" priority="282" operator="containsText" text="N/A">
      <formula>NOT(ISERROR(SEARCH("N/A",I270)))</formula>
    </cfRule>
    <cfRule type="containsText" dxfId="281" priority="283" operator="containsText" text="DC">
      <formula>NOT(ISERROR(SEARCH("DC",I270)))</formula>
    </cfRule>
  </conditionalFormatting>
  <conditionalFormatting sqref="K271 H271">
    <cfRule type="containsText" dxfId="280" priority="281" operator="containsText" text="Pending">
      <formula>NOT(ISERROR(SEARCH("Pending",H271)))</formula>
    </cfRule>
  </conditionalFormatting>
  <conditionalFormatting sqref="B271:R271">
    <cfRule type="containsBlanks" dxfId="279" priority="280">
      <formula>LEN(TRIM(B271))=0</formula>
    </cfRule>
  </conditionalFormatting>
  <conditionalFormatting sqref="I271:J271">
    <cfRule type="containsText" dxfId="278" priority="278" operator="containsText" text="N/A">
      <formula>NOT(ISERROR(SEARCH("N/A",I271)))</formula>
    </cfRule>
    <cfRule type="containsText" dxfId="277" priority="279" operator="containsText" text="DC">
      <formula>NOT(ISERROR(SEARCH("DC",I271)))</formula>
    </cfRule>
  </conditionalFormatting>
  <conditionalFormatting sqref="H272 K272">
    <cfRule type="containsText" dxfId="276" priority="277" operator="containsText" text="Pending">
      <formula>NOT(ISERROR(SEARCH("Pending",H272)))</formula>
    </cfRule>
  </conditionalFormatting>
  <conditionalFormatting sqref="B272:R272">
    <cfRule type="containsBlanks" dxfId="275" priority="276">
      <formula>LEN(TRIM(B272))=0</formula>
    </cfRule>
  </conditionalFormatting>
  <conditionalFormatting sqref="I272:J272">
    <cfRule type="containsText" dxfId="274" priority="274" operator="containsText" text="N/A">
      <formula>NOT(ISERROR(SEARCH("N/A",I272)))</formula>
    </cfRule>
    <cfRule type="containsText" dxfId="273" priority="275" operator="containsText" text="DC">
      <formula>NOT(ISERROR(SEARCH("DC",I272)))</formula>
    </cfRule>
  </conditionalFormatting>
  <conditionalFormatting sqref="K273 H273">
    <cfRule type="containsText" dxfId="272" priority="273" operator="containsText" text="Pending">
      <formula>NOT(ISERROR(SEARCH("Pending",H273)))</formula>
    </cfRule>
  </conditionalFormatting>
  <conditionalFormatting sqref="B273:R273">
    <cfRule type="containsBlanks" dxfId="271" priority="272">
      <formula>LEN(TRIM(B273))=0</formula>
    </cfRule>
  </conditionalFormatting>
  <conditionalFormatting sqref="I273:J273">
    <cfRule type="containsText" dxfId="270" priority="270" operator="containsText" text="N/A">
      <formula>NOT(ISERROR(SEARCH("N/A",I273)))</formula>
    </cfRule>
    <cfRule type="containsText" dxfId="269" priority="271" operator="containsText" text="DC">
      <formula>NOT(ISERROR(SEARCH("DC",I273)))</formula>
    </cfRule>
  </conditionalFormatting>
  <conditionalFormatting sqref="H274 K274">
    <cfRule type="containsText" dxfId="268" priority="269" operator="containsText" text="Pending">
      <formula>NOT(ISERROR(SEARCH("Pending",H274)))</formula>
    </cfRule>
  </conditionalFormatting>
  <conditionalFormatting sqref="B274:R274">
    <cfRule type="containsBlanks" dxfId="267" priority="268">
      <formula>LEN(TRIM(B274))=0</formula>
    </cfRule>
  </conditionalFormatting>
  <conditionalFormatting sqref="I274:J274">
    <cfRule type="containsText" dxfId="266" priority="266" operator="containsText" text="N/A">
      <formula>NOT(ISERROR(SEARCH("N/A",I274)))</formula>
    </cfRule>
    <cfRule type="containsText" dxfId="265" priority="267" operator="containsText" text="DC">
      <formula>NOT(ISERROR(SEARCH("DC",I274)))</formula>
    </cfRule>
  </conditionalFormatting>
  <conditionalFormatting sqref="K275:K277 H275:H277">
    <cfRule type="containsText" dxfId="264" priority="265" operator="containsText" text="Pending">
      <formula>NOT(ISERROR(SEARCH("Pending",H275)))</formula>
    </cfRule>
  </conditionalFormatting>
  <conditionalFormatting sqref="B275:R277">
    <cfRule type="containsBlanks" dxfId="263" priority="264">
      <formula>LEN(TRIM(B275))=0</formula>
    </cfRule>
  </conditionalFormatting>
  <conditionalFormatting sqref="I275:J277">
    <cfRule type="containsText" dxfId="262" priority="262" operator="containsText" text="N/A">
      <formula>NOT(ISERROR(SEARCH("N/A",I275)))</formula>
    </cfRule>
    <cfRule type="containsText" dxfId="261" priority="263" operator="containsText" text="DC">
      <formula>NOT(ISERROR(SEARCH("DC",I275)))</formula>
    </cfRule>
  </conditionalFormatting>
  <conditionalFormatting sqref="H278 K278">
    <cfRule type="containsText" dxfId="260" priority="261" operator="containsText" text="Pending">
      <formula>NOT(ISERROR(SEARCH("Pending",H278)))</formula>
    </cfRule>
  </conditionalFormatting>
  <conditionalFormatting sqref="B278:R278">
    <cfRule type="containsBlanks" dxfId="259" priority="260">
      <formula>LEN(TRIM(B278))=0</formula>
    </cfRule>
  </conditionalFormatting>
  <conditionalFormatting sqref="I278:J278">
    <cfRule type="containsText" dxfId="258" priority="258" operator="containsText" text="N/A">
      <formula>NOT(ISERROR(SEARCH("N/A",I278)))</formula>
    </cfRule>
    <cfRule type="containsText" dxfId="257" priority="259" operator="containsText" text="DC">
      <formula>NOT(ISERROR(SEARCH("DC",I278)))</formula>
    </cfRule>
  </conditionalFormatting>
  <conditionalFormatting sqref="K279 H279">
    <cfRule type="containsText" dxfId="256" priority="257" operator="containsText" text="Pending">
      <formula>NOT(ISERROR(SEARCH("Pending",H279)))</formula>
    </cfRule>
  </conditionalFormatting>
  <conditionalFormatting sqref="B279:R279">
    <cfRule type="containsBlanks" dxfId="255" priority="256">
      <formula>LEN(TRIM(B279))=0</formula>
    </cfRule>
  </conditionalFormatting>
  <conditionalFormatting sqref="I279:J279">
    <cfRule type="containsText" dxfId="254" priority="254" operator="containsText" text="N/A">
      <formula>NOT(ISERROR(SEARCH("N/A",I279)))</formula>
    </cfRule>
    <cfRule type="containsText" dxfId="253" priority="255" operator="containsText" text="DC">
      <formula>NOT(ISERROR(SEARCH("DC",I279)))</formula>
    </cfRule>
  </conditionalFormatting>
  <conditionalFormatting sqref="H280 K280">
    <cfRule type="containsText" dxfId="252" priority="253" operator="containsText" text="Pending">
      <formula>NOT(ISERROR(SEARCH("Pending",H280)))</formula>
    </cfRule>
  </conditionalFormatting>
  <conditionalFormatting sqref="B280:R280">
    <cfRule type="containsBlanks" dxfId="251" priority="252">
      <formula>LEN(TRIM(B280))=0</formula>
    </cfRule>
  </conditionalFormatting>
  <conditionalFormatting sqref="I280:J280">
    <cfRule type="containsText" dxfId="250" priority="250" operator="containsText" text="N/A">
      <formula>NOT(ISERROR(SEARCH("N/A",I280)))</formula>
    </cfRule>
    <cfRule type="containsText" dxfId="249" priority="251" operator="containsText" text="DC">
      <formula>NOT(ISERROR(SEARCH("DC",I280)))</formula>
    </cfRule>
  </conditionalFormatting>
  <conditionalFormatting sqref="K281 H281">
    <cfRule type="containsText" dxfId="248" priority="249" operator="containsText" text="Pending">
      <formula>NOT(ISERROR(SEARCH("Pending",H281)))</formula>
    </cfRule>
  </conditionalFormatting>
  <conditionalFormatting sqref="B281:R281">
    <cfRule type="containsBlanks" dxfId="247" priority="248">
      <formula>LEN(TRIM(B281))=0</formula>
    </cfRule>
  </conditionalFormatting>
  <conditionalFormatting sqref="I281:J281">
    <cfRule type="containsText" dxfId="246" priority="246" operator="containsText" text="N/A">
      <formula>NOT(ISERROR(SEARCH("N/A",I281)))</formula>
    </cfRule>
    <cfRule type="containsText" dxfId="245" priority="247" operator="containsText" text="DC">
      <formula>NOT(ISERROR(SEARCH("DC",I281)))</formula>
    </cfRule>
  </conditionalFormatting>
  <conditionalFormatting sqref="H282 K282">
    <cfRule type="containsText" dxfId="244" priority="245" operator="containsText" text="Pending">
      <formula>NOT(ISERROR(SEARCH("Pending",H282)))</formula>
    </cfRule>
  </conditionalFormatting>
  <conditionalFormatting sqref="B282:R282">
    <cfRule type="containsBlanks" dxfId="243" priority="244">
      <formula>LEN(TRIM(B282))=0</formula>
    </cfRule>
  </conditionalFormatting>
  <conditionalFormatting sqref="I282:J282">
    <cfRule type="containsText" dxfId="242" priority="242" operator="containsText" text="N/A">
      <formula>NOT(ISERROR(SEARCH("N/A",I282)))</formula>
    </cfRule>
    <cfRule type="containsText" dxfId="241" priority="243" operator="containsText" text="DC">
      <formula>NOT(ISERROR(SEARCH("DC",I282)))</formula>
    </cfRule>
  </conditionalFormatting>
  <conditionalFormatting sqref="K283 H283">
    <cfRule type="containsText" dxfId="240" priority="241" operator="containsText" text="Pending">
      <formula>NOT(ISERROR(SEARCH("Pending",H283)))</formula>
    </cfRule>
  </conditionalFormatting>
  <conditionalFormatting sqref="B283:R283">
    <cfRule type="containsBlanks" dxfId="239" priority="240">
      <formula>LEN(TRIM(B283))=0</formula>
    </cfRule>
  </conditionalFormatting>
  <conditionalFormatting sqref="I283:J283">
    <cfRule type="containsText" dxfId="238" priority="238" operator="containsText" text="N/A">
      <formula>NOT(ISERROR(SEARCH("N/A",I283)))</formula>
    </cfRule>
    <cfRule type="containsText" dxfId="237" priority="239" operator="containsText" text="DC">
      <formula>NOT(ISERROR(SEARCH("DC",I283)))</formula>
    </cfRule>
  </conditionalFormatting>
  <conditionalFormatting sqref="H284 K284">
    <cfRule type="containsText" dxfId="236" priority="237" operator="containsText" text="Pending">
      <formula>NOT(ISERROR(SEARCH("Pending",H284)))</formula>
    </cfRule>
  </conditionalFormatting>
  <conditionalFormatting sqref="B284:R284">
    <cfRule type="containsBlanks" dxfId="235" priority="236">
      <formula>LEN(TRIM(B284))=0</formula>
    </cfRule>
  </conditionalFormatting>
  <conditionalFormatting sqref="I284:J284">
    <cfRule type="containsText" dxfId="234" priority="234" operator="containsText" text="N/A">
      <formula>NOT(ISERROR(SEARCH("N/A",I284)))</formula>
    </cfRule>
    <cfRule type="containsText" dxfId="233" priority="235" operator="containsText" text="DC">
      <formula>NOT(ISERROR(SEARCH("DC",I284)))</formula>
    </cfRule>
  </conditionalFormatting>
  <conditionalFormatting sqref="K285 H285">
    <cfRule type="containsText" dxfId="232" priority="233" operator="containsText" text="Pending">
      <formula>NOT(ISERROR(SEARCH("Pending",H285)))</formula>
    </cfRule>
  </conditionalFormatting>
  <conditionalFormatting sqref="B285:R285">
    <cfRule type="containsBlanks" dxfId="231" priority="232">
      <formula>LEN(TRIM(B285))=0</formula>
    </cfRule>
  </conditionalFormatting>
  <conditionalFormatting sqref="I285:J285">
    <cfRule type="containsText" dxfId="230" priority="230" operator="containsText" text="N/A">
      <formula>NOT(ISERROR(SEARCH("N/A",I285)))</formula>
    </cfRule>
    <cfRule type="containsText" dxfId="229" priority="231" operator="containsText" text="DC">
      <formula>NOT(ISERROR(SEARCH("DC",I285)))</formula>
    </cfRule>
  </conditionalFormatting>
  <conditionalFormatting sqref="H286 K286">
    <cfRule type="containsText" dxfId="228" priority="229" operator="containsText" text="Pending">
      <formula>NOT(ISERROR(SEARCH("Pending",H286)))</formula>
    </cfRule>
  </conditionalFormatting>
  <conditionalFormatting sqref="B286:R286">
    <cfRule type="containsBlanks" dxfId="227" priority="228">
      <formula>LEN(TRIM(B286))=0</formula>
    </cfRule>
  </conditionalFormatting>
  <conditionalFormatting sqref="I286:J286">
    <cfRule type="containsText" dxfId="226" priority="226" operator="containsText" text="N/A">
      <formula>NOT(ISERROR(SEARCH("N/A",I286)))</formula>
    </cfRule>
    <cfRule type="containsText" dxfId="225" priority="227" operator="containsText" text="DC">
      <formula>NOT(ISERROR(SEARCH("DC",I286)))</formula>
    </cfRule>
  </conditionalFormatting>
  <conditionalFormatting sqref="K287 H287">
    <cfRule type="containsText" dxfId="224" priority="225" operator="containsText" text="Pending">
      <formula>NOT(ISERROR(SEARCH("Pending",H287)))</formula>
    </cfRule>
  </conditionalFormatting>
  <conditionalFormatting sqref="B287:R287">
    <cfRule type="containsBlanks" dxfId="223" priority="224">
      <formula>LEN(TRIM(B287))=0</formula>
    </cfRule>
  </conditionalFormatting>
  <conditionalFormatting sqref="I287:J287">
    <cfRule type="containsText" dxfId="222" priority="222" operator="containsText" text="N/A">
      <formula>NOT(ISERROR(SEARCH("N/A",I287)))</formula>
    </cfRule>
    <cfRule type="containsText" dxfId="221" priority="223" operator="containsText" text="DC">
      <formula>NOT(ISERROR(SEARCH("DC",I287)))</formula>
    </cfRule>
  </conditionalFormatting>
  <conditionalFormatting sqref="H288 K288">
    <cfRule type="containsText" dxfId="220" priority="221" operator="containsText" text="Pending">
      <formula>NOT(ISERROR(SEARCH("Pending",H288)))</formula>
    </cfRule>
  </conditionalFormatting>
  <conditionalFormatting sqref="B288:R288">
    <cfRule type="containsBlanks" dxfId="219" priority="220">
      <formula>LEN(TRIM(B288))=0</formula>
    </cfRule>
  </conditionalFormatting>
  <conditionalFormatting sqref="I288:J288">
    <cfRule type="containsText" dxfId="218" priority="218" operator="containsText" text="N/A">
      <formula>NOT(ISERROR(SEARCH("N/A",I288)))</formula>
    </cfRule>
    <cfRule type="containsText" dxfId="217" priority="219" operator="containsText" text="DC">
      <formula>NOT(ISERROR(SEARCH("DC",I288)))</formula>
    </cfRule>
  </conditionalFormatting>
  <conditionalFormatting sqref="K289 H289">
    <cfRule type="containsText" dxfId="216" priority="217" operator="containsText" text="Pending">
      <formula>NOT(ISERROR(SEARCH("Pending",H289)))</formula>
    </cfRule>
  </conditionalFormatting>
  <conditionalFormatting sqref="B289:R289">
    <cfRule type="containsBlanks" dxfId="215" priority="216">
      <formula>LEN(TRIM(B289))=0</formula>
    </cfRule>
  </conditionalFormatting>
  <conditionalFormatting sqref="I289:J289">
    <cfRule type="containsText" dxfId="214" priority="214" operator="containsText" text="N/A">
      <formula>NOT(ISERROR(SEARCH("N/A",I289)))</formula>
    </cfRule>
    <cfRule type="containsText" dxfId="213" priority="215" operator="containsText" text="DC">
      <formula>NOT(ISERROR(SEARCH("DC",I289)))</formula>
    </cfRule>
  </conditionalFormatting>
  <conditionalFormatting sqref="H290 K290">
    <cfRule type="containsText" dxfId="212" priority="213" operator="containsText" text="Pending">
      <formula>NOT(ISERROR(SEARCH("Pending",H290)))</formula>
    </cfRule>
  </conditionalFormatting>
  <conditionalFormatting sqref="B290:R290">
    <cfRule type="containsBlanks" dxfId="211" priority="212">
      <formula>LEN(TRIM(B290))=0</formula>
    </cfRule>
  </conditionalFormatting>
  <conditionalFormatting sqref="I290:J290">
    <cfRule type="containsText" dxfId="210" priority="210" operator="containsText" text="N/A">
      <formula>NOT(ISERROR(SEARCH("N/A",I290)))</formula>
    </cfRule>
    <cfRule type="containsText" dxfId="209" priority="211" operator="containsText" text="DC">
      <formula>NOT(ISERROR(SEARCH("DC",I290)))</formula>
    </cfRule>
  </conditionalFormatting>
  <conditionalFormatting sqref="K291 H291">
    <cfRule type="containsText" dxfId="208" priority="209" operator="containsText" text="Pending">
      <formula>NOT(ISERROR(SEARCH("Pending",H291)))</formula>
    </cfRule>
  </conditionalFormatting>
  <conditionalFormatting sqref="B291:R291">
    <cfRule type="containsBlanks" dxfId="207" priority="208">
      <formula>LEN(TRIM(B291))=0</formula>
    </cfRule>
  </conditionalFormatting>
  <conditionalFormatting sqref="I291:J291">
    <cfRule type="containsText" dxfId="206" priority="206" operator="containsText" text="N/A">
      <formula>NOT(ISERROR(SEARCH("N/A",I291)))</formula>
    </cfRule>
    <cfRule type="containsText" dxfId="205" priority="207" operator="containsText" text="DC">
      <formula>NOT(ISERROR(SEARCH("DC",I291)))</formula>
    </cfRule>
  </conditionalFormatting>
  <conditionalFormatting sqref="H292 K292">
    <cfRule type="containsText" dxfId="204" priority="205" operator="containsText" text="Pending">
      <formula>NOT(ISERROR(SEARCH("Pending",H292)))</formula>
    </cfRule>
  </conditionalFormatting>
  <conditionalFormatting sqref="B292:R292">
    <cfRule type="containsBlanks" dxfId="203" priority="204">
      <formula>LEN(TRIM(B292))=0</formula>
    </cfRule>
  </conditionalFormatting>
  <conditionalFormatting sqref="I292:J292">
    <cfRule type="containsText" dxfId="202" priority="202" operator="containsText" text="N/A">
      <formula>NOT(ISERROR(SEARCH("N/A",I292)))</formula>
    </cfRule>
    <cfRule type="containsText" dxfId="201" priority="203" operator="containsText" text="DC">
      <formula>NOT(ISERROR(SEARCH("DC",I292)))</formula>
    </cfRule>
  </conditionalFormatting>
  <conditionalFormatting sqref="K293 H293">
    <cfRule type="containsText" dxfId="200" priority="201" operator="containsText" text="Pending">
      <formula>NOT(ISERROR(SEARCH("Pending",H293)))</formula>
    </cfRule>
  </conditionalFormatting>
  <conditionalFormatting sqref="B293:R293">
    <cfRule type="containsBlanks" dxfId="199" priority="200">
      <formula>LEN(TRIM(B293))=0</formula>
    </cfRule>
  </conditionalFormatting>
  <conditionalFormatting sqref="I293:J293">
    <cfRule type="containsText" dxfId="198" priority="198" operator="containsText" text="N/A">
      <formula>NOT(ISERROR(SEARCH("N/A",I293)))</formula>
    </cfRule>
    <cfRule type="containsText" dxfId="197" priority="199" operator="containsText" text="DC">
      <formula>NOT(ISERROR(SEARCH("DC",I293)))</formula>
    </cfRule>
  </conditionalFormatting>
  <conditionalFormatting sqref="H294 K294">
    <cfRule type="containsText" dxfId="196" priority="197" operator="containsText" text="Pending">
      <formula>NOT(ISERROR(SEARCH("Pending",H294)))</formula>
    </cfRule>
  </conditionalFormatting>
  <conditionalFormatting sqref="B294:R294">
    <cfRule type="containsBlanks" dxfId="195" priority="196">
      <formula>LEN(TRIM(B294))=0</formula>
    </cfRule>
  </conditionalFormatting>
  <conditionalFormatting sqref="I294:J294">
    <cfRule type="containsText" dxfId="194" priority="194" operator="containsText" text="N/A">
      <formula>NOT(ISERROR(SEARCH("N/A",I294)))</formula>
    </cfRule>
    <cfRule type="containsText" dxfId="193" priority="195" operator="containsText" text="DC">
      <formula>NOT(ISERROR(SEARCH("DC",I294)))</formula>
    </cfRule>
  </conditionalFormatting>
  <conditionalFormatting sqref="K295 H295">
    <cfRule type="containsText" dxfId="192" priority="193" operator="containsText" text="Pending">
      <formula>NOT(ISERROR(SEARCH("Pending",H295)))</formula>
    </cfRule>
  </conditionalFormatting>
  <conditionalFormatting sqref="B295:R295">
    <cfRule type="containsBlanks" dxfId="191" priority="192">
      <formula>LEN(TRIM(B295))=0</formula>
    </cfRule>
  </conditionalFormatting>
  <conditionalFormatting sqref="I295:J295">
    <cfRule type="containsText" dxfId="190" priority="190" operator="containsText" text="N/A">
      <formula>NOT(ISERROR(SEARCH("N/A",I295)))</formula>
    </cfRule>
    <cfRule type="containsText" dxfId="189" priority="191" operator="containsText" text="DC">
      <formula>NOT(ISERROR(SEARCH("DC",I295)))</formula>
    </cfRule>
  </conditionalFormatting>
  <conditionalFormatting sqref="H296 K296">
    <cfRule type="containsText" dxfId="188" priority="189" operator="containsText" text="Pending">
      <formula>NOT(ISERROR(SEARCH("Pending",H296)))</formula>
    </cfRule>
  </conditionalFormatting>
  <conditionalFormatting sqref="B296:R296">
    <cfRule type="containsBlanks" dxfId="187" priority="188">
      <formula>LEN(TRIM(B296))=0</formula>
    </cfRule>
  </conditionalFormatting>
  <conditionalFormatting sqref="I296:J296">
    <cfRule type="containsText" dxfId="186" priority="186" operator="containsText" text="N/A">
      <formula>NOT(ISERROR(SEARCH("N/A",I296)))</formula>
    </cfRule>
    <cfRule type="containsText" dxfId="185" priority="187" operator="containsText" text="DC">
      <formula>NOT(ISERROR(SEARCH("DC",I296)))</formula>
    </cfRule>
  </conditionalFormatting>
  <conditionalFormatting sqref="B297:S297">
    <cfRule type="containsBlanks" dxfId="184" priority="185">
      <formula>LEN(TRIM(B297))=0</formula>
    </cfRule>
  </conditionalFormatting>
  <conditionalFormatting sqref="I297">
    <cfRule type="containsText" dxfId="183" priority="184" operator="containsText" text="combined losses only">
      <formula>NOT(ISERROR(SEARCH("combined losses only",I297)))</formula>
    </cfRule>
  </conditionalFormatting>
  <conditionalFormatting sqref="B298:S299">
    <cfRule type="containsBlanks" dxfId="182" priority="183">
      <formula>LEN(TRIM(B298))=0</formula>
    </cfRule>
  </conditionalFormatting>
  <conditionalFormatting sqref="I298:I299">
    <cfRule type="containsText" dxfId="181" priority="182" operator="containsText" text="combined losses only">
      <formula>NOT(ISERROR(SEARCH("combined losses only",I298)))</formula>
    </cfRule>
  </conditionalFormatting>
  <conditionalFormatting sqref="B300:S300">
    <cfRule type="containsBlanks" dxfId="180" priority="181">
      <formula>LEN(TRIM(B300))=0</formula>
    </cfRule>
  </conditionalFormatting>
  <conditionalFormatting sqref="I300">
    <cfRule type="containsText" dxfId="179" priority="180" operator="containsText" text="combined losses only">
      <formula>NOT(ISERROR(SEARCH("combined losses only",I300)))</formula>
    </cfRule>
  </conditionalFormatting>
  <conditionalFormatting sqref="B301:S301">
    <cfRule type="containsBlanks" dxfId="178" priority="179">
      <formula>LEN(TRIM(B301))=0</formula>
    </cfRule>
  </conditionalFormatting>
  <conditionalFormatting sqref="I301">
    <cfRule type="containsText" dxfId="177" priority="178" operator="containsText" text="combined losses only">
      <formula>NOT(ISERROR(SEARCH("combined losses only",I301)))</formula>
    </cfRule>
  </conditionalFormatting>
  <conditionalFormatting sqref="B302:S302">
    <cfRule type="containsBlanks" dxfId="176" priority="177">
      <formula>LEN(TRIM(B302))=0</formula>
    </cfRule>
  </conditionalFormatting>
  <conditionalFormatting sqref="I302">
    <cfRule type="containsText" dxfId="175" priority="176" operator="containsText" text="combined losses only">
      <formula>NOT(ISERROR(SEARCH("combined losses only",I302)))</formula>
    </cfRule>
  </conditionalFormatting>
  <conditionalFormatting sqref="K303 H303">
    <cfRule type="containsText" dxfId="174" priority="175" operator="containsText" text="Pending">
      <formula>NOT(ISERROR(SEARCH("Pending",H303)))</formula>
    </cfRule>
  </conditionalFormatting>
  <conditionalFormatting sqref="B303:R303">
    <cfRule type="containsBlanks" dxfId="173" priority="174">
      <formula>LEN(TRIM(B303))=0</formula>
    </cfRule>
  </conditionalFormatting>
  <conditionalFormatting sqref="I303:J303">
    <cfRule type="containsText" dxfId="172" priority="172" operator="containsText" text="N/A">
      <formula>NOT(ISERROR(SEARCH("N/A",I303)))</formula>
    </cfRule>
    <cfRule type="containsText" dxfId="171" priority="173" operator="containsText" text="DC">
      <formula>NOT(ISERROR(SEARCH("DC",I303)))</formula>
    </cfRule>
  </conditionalFormatting>
  <conditionalFormatting sqref="H304 K304">
    <cfRule type="containsText" dxfId="170" priority="171" operator="containsText" text="Pending">
      <formula>NOT(ISERROR(SEARCH("Pending",H304)))</formula>
    </cfRule>
  </conditionalFormatting>
  <conditionalFormatting sqref="B304:R304">
    <cfRule type="containsBlanks" dxfId="169" priority="170">
      <formula>LEN(TRIM(B304))=0</formula>
    </cfRule>
  </conditionalFormatting>
  <conditionalFormatting sqref="I304:J304">
    <cfRule type="containsText" dxfId="168" priority="168" operator="containsText" text="N/A">
      <formula>NOT(ISERROR(SEARCH("N/A",I304)))</formula>
    </cfRule>
    <cfRule type="containsText" dxfId="167" priority="169" operator="containsText" text="DC">
      <formula>NOT(ISERROR(SEARCH("DC",I304)))</formula>
    </cfRule>
  </conditionalFormatting>
  <conditionalFormatting sqref="B305:S308">
    <cfRule type="containsBlanks" dxfId="166" priority="167">
      <formula>LEN(TRIM(B305))=0</formula>
    </cfRule>
  </conditionalFormatting>
  <conditionalFormatting sqref="I305:I308">
    <cfRule type="containsText" dxfId="165" priority="166" operator="containsText" text="combined losses only">
      <formula>NOT(ISERROR(SEARCH("combined losses only",I305)))</formula>
    </cfRule>
  </conditionalFormatting>
  <conditionalFormatting sqref="K309 H309">
    <cfRule type="containsText" dxfId="164" priority="165" operator="containsText" text="Pending">
      <formula>NOT(ISERROR(SEARCH("Pending",H309)))</formula>
    </cfRule>
  </conditionalFormatting>
  <conditionalFormatting sqref="B309:R309">
    <cfRule type="containsBlanks" dxfId="163" priority="164">
      <formula>LEN(TRIM(B309))=0</formula>
    </cfRule>
  </conditionalFormatting>
  <conditionalFormatting sqref="I309:J309">
    <cfRule type="containsText" dxfId="162" priority="162" operator="containsText" text="N/A">
      <formula>NOT(ISERROR(SEARCH("N/A",I309)))</formula>
    </cfRule>
    <cfRule type="containsText" dxfId="161" priority="163" operator="containsText" text="DC">
      <formula>NOT(ISERROR(SEARCH("DC",I309)))</formula>
    </cfRule>
  </conditionalFormatting>
  <conditionalFormatting sqref="H310 K310">
    <cfRule type="containsText" dxfId="160" priority="161" operator="containsText" text="Pending">
      <formula>NOT(ISERROR(SEARCH("Pending",H310)))</formula>
    </cfRule>
  </conditionalFormatting>
  <conditionalFormatting sqref="B310:R310">
    <cfRule type="containsBlanks" dxfId="159" priority="160">
      <formula>LEN(TRIM(B310))=0</formula>
    </cfRule>
  </conditionalFormatting>
  <conditionalFormatting sqref="I310:J310">
    <cfRule type="containsText" dxfId="158" priority="158" operator="containsText" text="N/A">
      <formula>NOT(ISERROR(SEARCH("N/A",I310)))</formula>
    </cfRule>
    <cfRule type="containsText" dxfId="157" priority="159" operator="containsText" text="DC">
      <formula>NOT(ISERROR(SEARCH("DC",I310)))</formula>
    </cfRule>
  </conditionalFormatting>
  <conditionalFormatting sqref="K311 H311">
    <cfRule type="containsText" dxfId="156" priority="157" operator="containsText" text="Pending">
      <formula>NOT(ISERROR(SEARCH("Pending",H311)))</formula>
    </cfRule>
  </conditionalFormatting>
  <conditionalFormatting sqref="B311:R311">
    <cfRule type="containsBlanks" dxfId="155" priority="156">
      <formula>LEN(TRIM(B311))=0</formula>
    </cfRule>
  </conditionalFormatting>
  <conditionalFormatting sqref="I311:J311">
    <cfRule type="containsText" dxfId="154" priority="154" operator="containsText" text="N/A">
      <formula>NOT(ISERROR(SEARCH("N/A",I311)))</formula>
    </cfRule>
    <cfRule type="containsText" dxfId="153" priority="155" operator="containsText" text="DC">
      <formula>NOT(ISERROR(SEARCH("DC",I311)))</formula>
    </cfRule>
  </conditionalFormatting>
  <conditionalFormatting sqref="K312 H312">
    <cfRule type="containsText" dxfId="152" priority="153" operator="containsText" text="Pending">
      <formula>NOT(ISERROR(SEARCH("Pending",H312)))</formula>
    </cfRule>
  </conditionalFormatting>
  <conditionalFormatting sqref="B312:R312">
    <cfRule type="containsBlanks" dxfId="151" priority="152">
      <formula>LEN(TRIM(B312))=0</formula>
    </cfRule>
  </conditionalFormatting>
  <conditionalFormatting sqref="I312:J312">
    <cfRule type="containsText" dxfId="150" priority="150" operator="containsText" text="N/A">
      <formula>NOT(ISERROR(SEARCH("N/A",I312)))</formula>
    </cfRule>
    <cfRule type="containsText" dxfId="149" priority="151" operator="containsText" text="DC">
      <formula>NOT(ISERROR(SEARCH("DC",I312)))</formula>
    </cfRule>
  </conditionalFormatting>
  <conditionalFormatting sqref="K313 H313">
    <cfRule type="containsText" dxfId="148" priority="149" operator="containsText" text="Pending">
      <formula>NOT(ISERROR(SEARCH("Pending",H313)))</formula>
    </cfRule>
  </conditionalFormatting>
  <conditionalFormatting sqref="B313:R313">
    <cfRule type="containsBlanks" dxfId="147" priority="148">
      <formula>LEN(TRIM(B313))=0</formula>
    </cfRule>
  </conditionalFormatting>
  <conditionalFormatting sqref="I313:J313">
    <cfRule type="containsText" dxfId="146" priority="146" operator="containsText" text="N/A">
      <formula>NOT(ISERROR(SEARCH("N/A",I313)))</formula>
    </cfRule>
    <cfRule type="containsText" dxfId="145" priority="147" operator="containsText" text="DC">
      <formula>NOT(ISERROR(SEARCH("DC",I313)))</formula>
    </cfRule>
  </conditionalFormatting>
  <conditionalFormatting sqref="K314 H314">
    <cfRule type="containsText" dxfId="144" priority="145" operator="containsText" text="Pending">
      <formula>NOT(ISERROR(SEARCH("Pending",H314)))</formula>
    </cfRule>
  </conditionalFormatting>
  <conditionalFormatting sqref="B314:R314">
    <cfRule type="containsBlanks" dxfId="143" priority="144">
      <formula>LEN(TRIM(B314))=0</formula>
    </cfRule>
  </conditionalFormatting>
  <conditionalFormatting sqref="I314:J314">
    <cfRule type="containsText" dxfId="142" priority="142" operator="containsText" text="N/A">
      <formula>NOT(ISERROR(SEARCH("N/A",I314)))</formula>
    </cfRule>
    <cfRule type="containsText" dxfId="141" priority="143" operator="containsText" text="DC">
      <formula>NOT(ISERROR(SEARCH("DC",I314)))</formula>
    </cfRule>
  </conditionalFormatting>
  <conditionalFormatting sqref="K315 H315">
    <cfRule type="containsText" dxfId="140" priority="141" operator="containsText" text="Pending">
      <formula>NOT(ISERROR(SEARCH("Pending",H315)))</formula>
    </cfRule>
  </conditionalFormatting>
  <conditionalFormatting sqref="B315:R315">
    <cfRule type="containsBlanks" dxfId="139" priority="140">
      <formula>LEN(TRIM(B315))=0</formula>
    </cfRule>
  </conditionalFormatting>
  <conditionalFormatting sqref="I315:J315">
    <cfRule type="containsText" dxfId="138" priority="138" operator="containsText" text="N/A">
      <formula>NOT(ISERROR(SEARCH("N/A",I315)))</formula>
    </cfRule>
    <cfRule type="containsText" dxfId="137" priority="139" operator="containsText" text="DC">
      <formula>NOT(ISERROR(SEARCH("DC",I315)))</formula>
    </cfRule>
  </conditionalFormatting>
  <conditionalFormatting sqref="B316:S316">
    <cfRule type="containsBlanks" dxfId="136" priority="137">
      <formula>LEN(TRIM(B316))=0</formula>
    </cfRule>
  </conditionalFormatting>
  <conditionalFormatting sqref="I316">
    <cfRule type="containsText" dxfId="135" priority="136" operator="containsText" text="combined losses only">
      <formula>NOT(ISERROR(SEARCH("combined losses only",I316)))</formula>
    </cfRule>
  </conditionalFormatting>
  <conditionalFormatting sqref="K317 H317">
    <cfRule type="containsText" dxfId="134" priority="135" operator="containsText" text="Pending">
      <formula>NOT(ISERROR(SEARCH("Pending",H317)))</formula>
    </cfRule>
  </conditionalFormatting>
  <conditionalFormatting sqref="B317:R317">
    <cfRule type="containsBlanks" dxfId="133" priority="134">
      <formula>LEN(TRIM(B317))=0</formula>
    </cfRule>
  </conditionalFormatting>
  <conditionalFormatting sqref="I317:J317">
    <cfRule type="containsText" dxfId="132" priority="132" operator="containsText" text="N/A">
      <formula>NOT(ISERROR(SEARCH("N/A",I317)))</formula>
    </cfRule>
    <cfRule type="containsText" dxfId="131" priority="133" operator="containsText" text="DC">
      <formula>NOT(ISERROR(SEARCH("DC",I317)))</formula>
    </cfRule>
  </conditionalFormatting>
  <conditionalFormatting sqref="H318 K318">
    <cfRule type="containsText" dxfId="130" priority="131" operator="containsText" text="Pending">
      <formula>NOT(ISERROR(SEARCH("Pending",H318)))</formula>
    </cfRule>
  </conditionalFormatting>
  <conditionalFormatting sqref="B318:R318">
    <cfRule type="containsBlanks" dxfId="129" priority="130">
      <formula>LEN(TRIM(B318))=0</formula>
    </cfRule>
  </conditionalFormatting>
  <conditionalFormatting sqref="I318:J318">
    <cfRule type="containsText" dxfId="128" priority="128" operator="containsText" text="N/A">
      <formula>NOT(ISERROR(SEARCH("N/A",I318)))</formula>
    </cfRule>
    <cfRule type="containsText" dxfId="127" priority="129" operator="containsText" text="DC">
      <formula>NOT(ISERROR(SEARCH("DC",I318)))</formula>
    </cfRule>
  </conditionalFormatting>
  <conditionalFormatting sqref="K319 H319">
    <cfRule type="containsText" dxfId="126" priority="127" operator="containsText" text="Pending">
      <formula>NOT(ISERROR(SEARCH("Pending",H319)))</formula>
    </cfRule>
  </conditionalFormatting>
  <conditionalFormatting sqref="B319:R319">
    <cfRule type="containsBlanks" dxfId="125" priority="126">
      <formula>LEN(TRIM(B319))=0</formula>
    </cfRule>
  </conditionalFormatting>
  <conditionalFormatting sqref="I319:J319">
    <cfRule type="containsText" dxfId="124" priority="124" operator="containsText" text="N/A">
      <formula>NOT(ISERROR(SEARCH("N/A",I319)))</formula>
    </cfRule>
    <cfRule type="containsText" dxfId="123" priority="125" operator="containsText" text="DC">
      <formula>NOT(ISERROR(SEARCH("DC",I319)))</formula>
    </cfRule>
  </conditionalFormatting>
  <conditionalFormatting sqref="B320:S321">
    <cfRule type="containsBlanks" dxfId="122" priority="123">
      <formula>LEN(TRIM(B320))=0</formula>
    </cfRule>
  </conditionalFormatting>
  <conditionalFormatting sqref="I320:I321">
    <cfRule type="containsText" dxfId="121" priority="122" operator="containsText" text="combined losses only">
      <formula>NOT(ISERROR(SEARCH("combined losses only",I320)))</formula>
    </cfRule>
  </conditionalFormatting>
  <conditionalFormatting sqref="K322 H322">
    <cfRule type="containsText" dxfId="120" priority="121" operator="containsText" text="Pending">
      <formula>NOT(ISERROR(SEARCH("Pending",H322)))</formula>
    </cfRule>
  </conditionalFormatting>
  <conditionalFormatting sqref="B322:R322">
    <cfRule type="containsBlanks" dxfId="119" priority="120">
      <formula>LEN(TRIM(B322))=0</formula>
    </cfRule>
  </conditionalFormatting>
  <conditionalFormatting sqref="I322:J322">
    <cfRule type="containsText" dxfId="118" priority="118" operator="containsText" text="N/A">
      <formula>NOT(ISERROR(SEARCH("N/A",I322)))</formula>
    </cfRule>
    <cfRule type="containsText" dxfId="117" priority="119" operator="containsText" text="DC">
      <formula>NOT(ISERROR(SEARCH("DC",I322)))</formula>
    </cfRule>
  </conditionalFormatting>
  <conditionalFormatting sqref="H323 K323">
    <cfRule type="containsText" dxfId="116" priority="117" operator="containsText" text="Pending">
      <formula>NOT(ISERROR(SEARCH("Pending",H323)))</formula>
    </cfRule>
  </conditionalFormatting>
  <conditionalFormatting sqref="B323:R323">
    <cfRule type="containsBlanks" dxfId="115" priority="116">
      <formula>LEN(TRIM(B323))=0</formula>
    </cfRule>
  </conditionalFormatting>
  <conditionalFormatting sqref="I323:J323">
    <cfRule type="containsText" dxfId="114" priority="114" operator="containsText" text="N/A">
      <formula>NOT(ISERROR(SEARCH("N/A",I323)))</formula>
    </cfRule>
    <cfRule type="containsText" dxfId="113" priority="115" operator="containsText" text="DC">
      <formula>NOT(ISERROR(SEARCH("DC",I323)))</formula>
    </cfRule>
  </conditionalFormatting>
  <conditionalFormatting sqref="O323">
    <cfRule type="containsText" dxfId="112" priority="113" operator="containsText" text="Pending">
      <formula>NOT(ISERROR(SEARCH("Pending",O323)))</formula>
    </cfRule>
  </conditionalFormatting>
  <conditionalFormatting sqref="H324 K324">
    <cfRule type="containsText" dxfId="111" priority="112" operator="containsText" text="Pending">
      <formula>NOT(ISERROR(SEARCH("Pending",H324)))</formula>
    </cfRule>
  </conditionalFormatting>
  <conditionalFormatting sqref="B324:R324">
    <cfRule type="containsBlanks" dxfId="110" priority="111">
      <formula>LEN(TRIM(B324))=0</formula>
    </cfRule>
  </conditionalFormatting>
  <conditionalFormatting sqref="I324:J324">
    <cfRule type="containsText" dxfId="109" priority="109" operator="containsText" text="N/A">
      <formula>NOT(ISERROR(SEARCH("N/A",I324)))</formula>
    </cfRule>
    <cfRule type="containsText" dxfId="108" priority="110" operator="containsText" text="DC">
      <formula>NOT(ISERROR(SEARCH("DC",I324)))</formula>
    </cfRule>
  </conditionalFormatting>
  <conditionalFormatting sqref="H325 K325">
    <cfRule type="containsText" dxfId="107" priority="108" operator="containsText" text="Pending">
      <formula>NOT(ISERROR(SEARCH("Pending",H325)))</formula>
    </cfRule>
  </conditionalFormatting>
  <conditionalFormatting sqref="B325:R325">
    <cfRule type="containsBlanks" dxfId="106" priority="107">
      <formula>LEN(TRIM(B325))=0</formula>
    </cfRule>
  </conditionalFormatting>
  <conditionalFormatting sqref="I325:J325">
    <cfRule type="containsText" dxfId="105" priority="105" operator="containsText" text="N/A">
      <formula>NOT(ISERROR(SEARCH("N/A",I325)))</formula>
    </cfRule>
    <cfRule type="containsText" dxfId="104" priority="106" operator="containsText" text="DC">
      <formula>NOT(ISERROR(SEARCH("DC",I325)))</formula>
    </cfRule>
  </conditionalFormatting>
  <conditionalFormatting sqref="H326 K326">
    <cfRule type="containsText" dxfId="103" priority="104" operator="containsText" text="Pending">
      <formula>NOT(ISERROR(SEARCH("Pending",H326)))</formula>
    </cfRule>
  </conditionalFormatting>
  <conditionalFormatting sqref="B326:R326">
    <cfRule type="containsBlanks" dxfId="102" priority="103">
      <formula>LEN(TRIM(B326))=0</formula>
    </cfRule>
  </conditionalFormatting>
  <conditionalFormatting sqref="I326:J326">
    <cfRule type="containsText" dxfId="101" priority="101" operator="containsText" text="N/A">
      <formula>NOT(ISERROR(SEARCH("N/A",I326)))</formula>
    </cfRule>
    <cfRule type="containsText" dxfId="100" priority="102" operator="containsText" text="DC">
      <formula>NOT(ISERROR(SEARCH("DC",I326)))</formula>
    </cfRule>
  </conditionalFormatting>
  <conditionalFormatting sqref="H327 K327">
    <cfRule type="containsText" dxfId="99" priority="100" operator="containsText" text="Pending">
      <formula>NOT(ISERROR(SEARCH("Pending",H327)))</formula>
    </cfRule>
  </conditionalFormatting>
  <conditionalFormatting sqref="B327:R327">
    <cfRule type="containsBlanks" dxfId="98" priority="99">
      <formula>LEN(TRIM(B327))=0</formula>
    </cfRule>
  </conditionalFormatting>
  <conditionalFormatting sqref="I327:J327">
    <cfRule type="containsText" dxfId="97" priority="97" operator="containsText" text="N/A">
      <formula>NOT(ISERROR(SEARCH("N/A",I327)))</formula>
    </cfRule>
    <cfRule type="containsText" dxfId="96" priority="98" operator="containsText" text="DC">
      <formula>NOT(ISERROR(SEARCH("DC",I327)))</formula>
    </cfRule>
  </conditionalFormatting>
  <conditionalFormatting sqref="P328 G328:L328 B328:C328">
    <cfRule type="containsBlanks" dxfId="95" priority="96">
      <formula>LEN(TRIM(B328))=0</formula>
    </cfRule>
  </conditionalFormatting>
  <conditionalFormatting sqref="J328:L328">
    <cfRule type="containsText" dxfId="94" priority="95" operator="containsText" text="combined losses only">
      <formula>NOT(ISERROR(SEARCH("combined losses only",J328)))</formula>
    </cfRule>
  </conditionalFormatting>
  <conditionalFormatting sqref="F328">
    <cfRule type="containsBlanks" dxfId="93" priority="94">
      <formula>LEN(TRIM(F328))=0</formula>
    </cfRule>
  </conditionalFormatting>
  <conditionalFormatting sqref="E328">
    <cfRule type="containsBlanks" dxfId="92" priority="93">
      <formula>LEN(TRIM(E328))=0</formula>
    </cfRule>
  </conditionalFormatting>
  <conditionalFormatting sqref="D328">
    <cfRule type="containsBlanks" dxfId="91" priority="92">
      <formula>LEN(TRIM(D328))=0</formula>
    </cfRule>
  </conditionalFormatting>
  <conditionalFormatting sqref="B329:C329 G329 I329:L329 O329:S329">
    <cfRule type="containsBlanks" dxfId="90" priority="91">
      <formula>LEN(TRIM(B329))=0</formula>
    </cfRule>
  </conditionalFormatting>
  <conditionalFormatting sqref="I329:L329">
    <cfRule type="containsText" dxfId="89" priority="90" operator="containsText" text="combined losses only">
      <formula>NOT(ISERROR(SEARCH("combined losses only",I329)))</formula>
    </cfRule>
  </conditionalFormatting>
  <conditionalFormatting sqref="F329">
    <cfRule type="containsBlanks" dxfId="88" priority="89">
      <formula>LEN(TRIM(F329))=0</formula>
    </cfRule>
  </conditionalFormatting>
  <conditionalFormatting sqref="E329">
    <cfRule type="containsBlanks" dxfId="87" priority="88">
      <formula>LEN(TRIM(E329))=0</formula>
    </cfRule>
  </conditionalFormatting>
  <conditionalFormatting sqref="D329">
    <cfRule type="containsBlanks" dxfId="86" priority="87">
      <formula>LEN(TRIM(D329))=0</formula>
    </cfRule>
  </conditionalFormatting>
  <conditionalFormatting sqref="H329">
    <cfRule type="containsBlanks" dxfId="85" priority="86">
      <formula>LEN(TRIM(H329))=0</formula>
    </cfRule>
  </conditionalFormatting>
  <conditionalFormatting sqref="M329">
    <cfRule type="containsBlanks" dxfId="84" priority="85">
      <formula>LEN(TRIM(M329))=0</formula>
    </cfRule>
  </conditionalFormatting>
  <conditionalFormatting sqref="N329">
    <cfRule type="containsBlanks" dxfId="83" priority="84">
      <formula>LEN(TRIM(N329))=0</formula>
    </cfRule>
  </conditionalFormatting>
  <conditionalFormatting sqref="I330:L330 O330:S330 G330 B330:C330">
    <cfRule type="containsBlanks" dxfId="82" priority="83">
      <formula>LEN(TRIM(B330))=0</formula>
    </cfRule>
  </conditionalFormatting>
  <conditionalFormatting sqref="I330:L330">
    <cfRule type="containsText" dxfId="81" priority="82" operator="containsText" text="combined losses only">
      <formula>NOT(ISERROR(SEARCH("combined losses only",I330)))</formula>
    </cfRule>
  </conditionalFormatting>
  <conditionalFormatting sqref="F330">
    <cfRule type="containsBlanks" dxfId="80" priority="81">
      <formula>LEN(TRIM(F330))=0</formula>
    </cfRule>
  </conditionalFormatting>
  <conditionalFormatting sqref="E330">
    <cfRule type="containsBlanks" dxfId="79" priority="80">
      <formula>LEN(TRIM(E330))=0</formula>
    </cfRule>
  </conditionalFormatting>
  <conditionalFormatting sqref="D330">
    <cfRule type="containsBlanks" dxfId="78" priority="79">
      <formula>LEN(TRIM(D330))=0</formula>
    </cfRule>
  </conditionalFormatting>
  <conditionalFormatting sqref="N330">
    <cfRule type="containsBlanks" dxfId="77" priority="76">
      <formula>LEN(TRIM(N330))=0</formula>
    </cfRule>
  </conditionalFormatting>
  <conditionalFormatting sqref="H330">
    <cfRule type="containsBlanks" dxfId="76" priority="78">
      <formula>LEN(TRIM(H330))=0</formula>
    </cfRule>
  </conditionalFormatting>
  <conditionalFormatting sqref="M330">
    <cfRule type="containsBlanks" dxfId="75" priority="77">
      <formula>LEN(TRIM(M330))=0</formula>
    </cfRule>
  </conditionalFormatting>
  <conditionalFormatting sqref="G331 O331:S331 B331:C331 I331:L331">
    <cfRule type="containsBlanks" dxfId="74" priority="75">
      <formula>LEN(TRIM(B331))=0</formula>
    </cfRule>
  </conditionalFormatting>
  <conditionalFormatting sqref="I331:L331">
    <cfRule type="containsText" dxfId="73" priority="74" operator="containsText" text="combined losses only">
      <formula>NOT(ISERROR(SEARCH("combined losses only",I331)))</formula>
    </cfRule>
  </conditionalFormatting>
  <conditionalFormatting sqref="F331">
    <cfRule type="containsBlanks" dxfId="72" priority="73">
      <formula>LEN(TRIM(F331))=0</formula>
    </cfRule>
  </conditionalFormatting>
  <conditionalFormatting sqref="E331">
    <cfRule type="containsBlanks" dxfId="71" priority="72">
      <formula>LEN(TRIM(E331))=0</formula>
    </cfRule>
  </conditionalFormatting>
  <conditionalFormatting sqref="D331">
    <cfRule type="containsBlanks" dxfId="70" priority="71">
      <formula>LEN(TRIM(D331))=0</formula>
    </cfRule>
  </conditionalFormatting>
  <conditionalFormatting sqref="N331">
    <cfRule type="containsBlanks" dxfId="69" priority="68">
      <formula>LEN(TRIM(N331))=0</formula>
    </cfRule>
  </conditionalFormatting>
  <conditionalFormatting sqref="H331">
    <cfRule type="containsBlanks" dxfId="68" priority="70">
      <formula>LEN(TRIM(H331))=0</formula>
    </cfRule>
  </conditionalFormatting>
  <conditionalFormatting sqref="M331">
    <cfRule type="containsBlanks" dxfId="67" priority="69">
      <formula>LEN(TRIM(M331))=0</formula>
    </cfRule>
  </conditionalFormatting>
  <conditionalFormatting sqref="I332:L332 B332:C332 O332:S332 G332">
    <cfRule type="containsBlanks" dxfId="66" priority="67">
      <formula>LEN(TRIM(B332))=0</formula>
    </cfRule>
  </conditionalFormatting>
  <conditionalFormatting sqref="I332:L332">
    <cfRule type="containsText" dxfId="65" priority="66" operator="containsText" text="combined losses only">
      <formula>NOT(ISERROR(SEARCH("combined losses only",I332)))</formula>
    </cfRule>
  </conditionalFormatting>
  <conditionalFormatting sqref="F332">
    <cfRule type="containsBlanks" dxfId="64" priority="65">
      <formula>LEN(TRIM(F332))=0</formula>
    </cfRule>
  </conditionalFormatting>
  <conditionalFormatting sqref="E332">
    <cfRule type="containsBlanks" dxfId="63" priority="64">
      <formula>LEN(TRIM(E332))=0</formula>
    </cfRule>
  </conditionalFormatting>
  <conditionalFormatting sqref="D332">
    <cfRule type="containsBlanks" dxfId="62" priority="63">
      <formula>LEN(TRIM(D332))=0</formula>
    </cfRule>
  </conditionalFormatting>
  <conditionalFormatting sqref="N332">
    <cfRule type="containsBlanks" dxfId="61" priority="60">
      <formula>LEN(TRIM(N332))=0</formula>
    </cfRule>
  </conditionalFormatting>
  <conditionalFormatting sqref="H332">
    <cfRule type="containsBlanks" dxfId="60" priority="62">
      <formula>LEN(TRIM(H332))=0</formula>
    </cfRule>
  </conditionalFormatting>
  <conditionalFormatting sqref="M332">
    <cfRule type="containsBlanks" dxfId="59" priority="61">
      <formula>LEN(TRIM(M332))=0</formula>
    </cfRule>
  </conditionalFormatting>
  <conditionalFormatting sqref="G333:G334 B333:C334 O333:S334 I333:L334">
    <cfRule type="containsBlanks" dxfId="58" priority="59">
      <formula>LEN(TRIM(B333))=0</formula>
    </cfRule>
  </conditionalFormatting>
  <conditionalFormatting sqref="I333:L334">
    <cfRule type="containsText" dxfId="57" priority="58" operator="containsText" text="combined losses only">
      <formula>NOT(ISERROR(SEARCH("combined losses only",I333)))</formula>
    </cfRule>
  </conditionalFormatting>
  <conditionalFormatting sqref="F333:F334">
    <cfRule type="containsBlanks" dxfId="56" priority="57">
      <formula>LEN(TRIM(F333))=0</formula>
    </cfRule>
  </conditionalFormatting>
  <conditionalFormatting sqref="E333:E334">
    <cfRule type="containsBlanks" dxfId="55" priority="56">
      <formula>LEN(TRIM(E333))=0</formula>
    </cfRule>
  </conditionalFormatting>
  <conditionalFormatting sqref="D333:D334">
    <cfRule type="containsBlanks" dxfId="54" priority="55">
      <formula>LEN(TRIM(D333))=0</formula>
    </cfRule>
  </conditionalFormatting>
  <conditionalFormatting sqref="N333:N334">
    <cfRule type="containsBlanks" dxfId="53" priority="52">
      <formula>LEN(TRIM(N333))=0</formula>
    </cfRule>
  </conditionalFormatting>
  <conditionalFormatting sqref="H333:H334">
    <cfRule type="containsBlanks" dxfId="52" priority="54">
      <formula>LEN(TRIM(H333))=0</formula>
    </cfRule>
  </conditionalFormatting>
  <conditionalFormatting sqref="M333:M334">
    <cfRule type="containsBlanks" dxfId="51" priority="53">
      <formula>LEN(TRIM(M333))=0</formula>
    </cfRule>
  </conditionalFormatting>
  <conditionalFormatting sqref="B335:C335 G335 I335:L335 O335:S335">
    <cfRule type="containsBlanks" dxfId="50" priority="51">
      <formula>LEN(TRIM(B335))=0</formula>
    </cfRule>
  </conditionalFormatting>
  <conditionalFormatting sqref="I335:L335">
    <cfRule type="containsText" dxfId="49" priority="50" operator="containsText" text="combined losses only">
      <formula>NOT(ISERROR(SEARCH("combined losses only",I335)))</formula>
    </cfRule>
  </conditionalFormatting>
  <conditionalFormatting sqref="F335">
    <cfRule type="containsBlanks" dxfId="48" priority="49">
      <formula>LEN(TRIM(F335))=0</formula>
    </cfRule>
  </conditionalFormatting>
  <conditionalFormatting sqref="E335">
    <cfRule type="containsBlanks" dxfId="47" priority="48">
      <formula>LEN(TRIM(E335))=0</formula>
    </cfRule>
  </conditionalFormatting>
  <conditionalFormatting sqref="D335">
    <cfRule type="containsBlanks" dxfId="46" priority="47">
      <formula>LEN(TRIM(D335))=0</formula>
    </cfRule>
  </conditionalFormatting>
  <conditionalFormatting sqref="N335">
    <cfRule type="containsBlanks" dxfId="45" priority="44">
      <formula>LEN(TRIM(N335))=0</formula>
    </cfRule>
  </conditionalFormatting>
  <conditionalFormatting sqref="H335">
    <cfRule type="containsBlanks" dxfId="44" priority="46">
      <formula>LEN(TRIM(H335))=0</formula>
    </cfRule>
  </conditionalFormatting>
  <conditionalFormatting sqref="M335">
    <cfRule type="containsBlanks" dxfId="43" priority="45">
      <formula>LEN(TRIM(M335))=0</formula>
    </cfRule>
  </conditionalFormatting>
  <conditionalFormatting sqref="G336 B336:C336 I336:L336 O336:S336">
    <cfRule type="containsBlanks" dxfId="42" priority="43">
      <formula>LEN(TRIM(B336))=0</formula>
    </cfRule>
  </conditionalFormatting>
  <conditionalFormatting sqref="I336:L336">
    <cfRule type="containsText" dxfId="41" priority="42" operator="containsText" text="combined losses only">
      <formula>NOT(ISERROR(SEARCH("combined losses only",I336)))</formula>
    </cfRule>
  </conditionalFormatting>
  <conditionalFormatting sqref="F336">
    <cfRule type="containsBlanks" dxfId="40" priority="41">
      <formula>LEN(TRIM(F336))=0</formula>
    </cfRule>
  </conditionalFormatting>
  <conditionalFormatting sqref="E336">
    <cfRule type="containsBlanks" dxfId="39" priority="40">
      <formula>LEN(TRIM(E336))=0</formula>
    </cfRule>
  </conditionalFormatting>
  <conditionalFormatting sqref="D336">
    <cfRule type="containsBlanks" dxfId="38" priority="39">
      <formula>LEN(TRIM(D336))=0</formula>
    </cfRule>
  </conditionalFormatting>
  <conditionalFormatting sqref="N336">
    <cfRule type="containsBlanks" dxfId="37" priority="36">
      <formula>LEN(TRIM(N336))=0</formula>
    </cfRule>
  </conditionalFormatting>
  <conditionalFormatting sqref="H336">
    <cfRule type="containsBlanks" dxfId="36" priority="38">
      <formula>LEN(TRIM(H336))=0</formula>
    </cfRule>
  </conditionalFormatting>
  <conditionalFormatting sqref="M336">
    <cfRule type="containsBlanks" dxfId="35" priority="37">
      <formula>LEN(TRIM(M336))=0</formula>
    </cfRule>
  </conditionalFormatting>
  <conditionalFormatting sqref="G337:G338 O337:S338 B337:C338 I337:L338">
    <cfRule type="containsBlanks" dxfId="34" priority="35">
      <formula>LEN(TRIM(B337))=0</formula>
    </cfRule>
  </conditionalFormatting>
  <conditionalFormatting sqref="I337:L338">
    <cfRule type="containsText" dxfId="33" priority="34" operator="containsText" text="combined losses only">
      <formula>NOT(ISERROR(SEARCH("combined losses only",I337)))</formula>
    </cfRule>
  </conditionalFormatting>
  <conditionalFormatting sqref="F337:F338">
    <cfRule type="containsBlanks" dxfId="32" priority="33">
      <formula>LEN(TRIM(F337))=0</formula>
    </cfRule>
  </conditionalFormatting>
  <conditionalFormatting sqref="E337:E338">
    <cfRule type="containsBlanks" dxfId="31" priority="32">
      <formula>LEN(TRIM(E337))=0</formula>
    </cfRule>
  </conditionalFormatting>
  <conditionalFormatting sqref="D337:D338">
    <cfRule type="containsBlanks" dxfId="30" priority="31">
      <formula>LEN(TRIM(D337))=0</formula>
    </cfRule>
  </conditionalFormatting>
  <conditionalFormatting sqref="N337:N338">
    <cfRule type="containsBlanks" dxfId="29" priority="28">
      <formula>LEN(TRIM(N337))=0</formula>
    </cfRule>
  </conditionalFormatting>
  <conditionalFormatting sqref="H337:H338">
    <cfRule type="containsBlanks" dxfId="28" priority="30">
      <formula>LEN(TRIM(H337))=0</formula>
    </cfRule>
  </conditionalFormatting>
  <conditionalFormatting sqref="M337:M338">
    <cfRule type="containsBlanks" dxfId="27" priority="29">
      <formula>LEN(TRIM(M337))=0</formula>
    </cfRule>
  </conditionalFormatting>
  <conditionalFormatting sqref="B339:C339 G339 O339:S339 I339:L339">
    <cfRule type="containsBlanks" dxfId="26" priority="27">
      <formula>LEN(TRIM(B339))=0</formula>
    </cfRule>
  </conditionalFormatting>
  <conditionalFormatting sqref="I339:L339">
    <cfRule type="containsText" dxfId="25" priority="26" operator="containsText" text="combined losses only">
      <formula>NOT(ISERROR(SEARCH("combined losses only",I339)))</formula>
    </cfRule>
  </conditionalFormatting>
  <conditionalFormatting sqref="F339">
    <cfRule type="containsBlanks" dxfId="24" priority="25">
      <formula>LEN(TRIM(F339))=0</formula>
    </cfRule>
  </conditionalFormatting>
  <conditionalFormatting sqref="E339">
    <cfRule type="containsBlanks" dxfId="23" priority="24">
      <formula>LEN(TRIM(E339))=0</formula>
    </cfRule>
  </conditionalFormatting>
  <conditionalFormatting sqref="D339">
    <cfRule type="containsBlanks" dxfId="22" priority="23">
      <formula>LEN(TRIM(D339))=0</formula>
    </cfRule>
  </conditionalFormatting>
  <conditionalFormatting sqref="N339">
    <cfRule type="containsBlanks" dxfId="21" priority="20">
      <formula>LEN(TRIM(N339))=0</formula>
    </cfRule>
  </conditionalFormatting>
  <conditionalFormatting sqref="H339">
    <cfRule type="containsBlanks" dxfId="20" priority="22">
      <formula>LEN(TRIM(H339))=0</formula>
    </cfRule>
  </conditionalFormatting>
  <conditionalFormatting sqref="M339">
    <cfRule type="containsBlanks" dxfId="19" priority="21">
      <formula>LEN(TRIM(M339))=0</formula>
    </cfRule>
  </conditionalFormatting>
  <conditionalFormatting sqref="H340:I340">
    <cfRule type="containsText" dxfId="18" priority="19" operator="containsText" text="PENDING">
      <formula>NOT(ISERROR(SEARCH("PENDING",H340)))</formula>
    </cfRule>
  </conditionalFormatting>
  <conditionalFormatting sqref="J340">
    <cfRule type="containsText" dxfId="17" priority="18" operator="containsText" text="DC">
      <formula>NOT(ISERROR(SEARCH("DC",J340)))</formula>
    </cfRule>
  </conditionalFormatting>
  <conditionalFormatting sqref="K340">
    <cfRule type="containsText" dxfId="16" priority="17" operator="containsText" text="N/A">
      <formula>NOT(ISERROR(SEARCH("N/A",K340)))</formula>
    </cfRule>
  </conditionalFormatting>
  <conditionalFormatting sqref="L340">
    <cfRule type="containsBlanks" dxfId="15" priority="16">
      <formula>LEN(TRIM(L340))=0</formula>
    </cfRule>
  </conditionalFormatting>
  <conditionalFormatting sqref="B341:S341">
    <cfRule type="containsBlanks" dxfId="14" priority="15">
      <formula>LEN(TRIM(B341))=0</formula>
    </cfRule>
  </conditionalFormatting>
  <conditionalFormatting sqref="I341">
    <cfRule type="containsText" dxfId="13" priority="14" operator="containsText" text="combined losses only">
      <formula>NOT(ISERROR(SEARCH("combined losses only",I341)))</formula>
    </cfRule>
  </conditionalFormatting>
  <conditionalFormatting sqref="I342:L342">
    <cfRule type="containsText" dxfId="12" priority="13" operator="containsText" text="PENDING">
      <formula>NOT(ISERROR(SEARCH("PENDING",I342)))</formula>
    </cfRule>
  </conditionalFormatting>
  <conditionalFormatting sqref="M342">
    <cfRule type="containsText" dxfId="11" priority="12" operator="containsText" text="DC">
      <formula>NOT(ISERROR(SEARCH("DC",M342)))</formula>
    </cfRule>
  </conditionalFormatting>
  <conditionalFormatting sqref="N342">
    <cfRule type="containsText" dxfId="10" priority="11" operator="containsText" text="N/A">
      <formula>NOT(ISERROR(SEARCH("N/A",N342)))</formula>
    </cfRule>
  </conditionalFormatting>
  <conditionalFormatting sqref="O342">
    <cfRule type="containsBlanks" dxfId="9" priority="10">
      <formula>LEN(TRIM(O342))=0</formula>
    </cfRule>
  </conditionalFormatting>
  <conditionalFormatting sqref="H342">
    <cfRule type="containsBlanks" dxfId="8" priority="9">
      <formula>LEN(TRIM(H342))=0</formula>
    </cfRule>
  </conditionalFormatting>
  <conditionalFormatting sqref="B343:S345">
    <cfRule type="containsBlanks" dxfId="7" priority="8">
      <formula>LEN(TRIM(B343))=0</formula>
    </cfRule>
  </conditionalFormatting>
  <conditionalFormatting sqref="I343:I345">
    <cfRule type="containsText" dxfId="6" priority="7" operator="containsText" text="combined losses only">
      <formula>NOT(ISERROR(SEARCH("combined losses only",I343)))</formula>
    </cfRule>
  </conditionalFormatting>
  <conditionalFormatting sqref="B346:S347">
    <cfRule type="containsBlanks" dxfId="5" priority="6">
      <formula>LEN(TRIM(B346))=0</formula>
    </cfRule>
  </conditionalFormatting>
  <conditionalFormatting sqref="I346:I347">
    <cfRule type="containsText" dxfId="4" priority="5" operator="containsText" text="combined losses only">
      <formula>NOT(ISERROR(SEARCH("combined losses only",I346)))</formula>
    </cfRule>
  </conditionalFormatting>
  <conditionalFormatting sqref="T346:T347">
    <cfRule type="containsBlanks" dxfId="3" priority="4">
      <formula>LEN(TRIM(T346))=0</formula>
    </cfRule>
  </conditionalFormatting>
  <conditionalFormatting sqref="B348:S349">
    <cfRule type="containsBlanks" dxfId="2" priority="3">
      <formula>LEN(TRIM(B348))=0</formula>
    </cfRule>
  </conditionalFormatting>
  <conditionalFormatting sqref="I348:I349">
    <cfRule type="containsText" dxfId="1" priority="2" operator="containsText" text="combined losses only">
      <formula>NOT(ISERROR(SEARCH("combined losses only",I348)))</formula>
    </cfRule>
  </conditionalFormatting>
  <conditionalFormatting sqref="T348:T349">
    <cfRule type="containsBlanks" dxfId="0" priority="1">
      <formula>LEN(TRIM(T348))=0</formula>
    </cfRule>
  </conditionalFormatting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67"/>
  <sheetViews>
    <sheetView topLeftCell="A49" workbookViewId="0">
      <selection activeCell="F360" sqref="F360"/>
    </sheetView>
  </sheetViews>
  <sheetFormatPr defaultRowHeight="15" x14ac:dyDescent="0.25"/>
  <cols>
    <col min="1" max="6" width="26" style="62" customWidth="1"/>
    <col min="7" max="7" width="45" style="4" customWidth="1"/>
    <col min="8" max="9" width="26" style="62" customWidth="1"/>
    <col min="10" max="10" width="11.42578125" customWidth="1"/>
  </cols>
  <sheetData>
    <row r="1" spans="1:10" x14ac:dyDescent="0.25">
      <c r="A1" s="56" t="s">
        <v>389</v>
      </c>
      <c r="B1" s="56" t="s">
        <v>619</v>
      </c>
      <c r="C1" s="29" t="s">
        <v>4272</v>
      </c>
      <c r="D1" s="29" t="s">
        <v>390</v>
      </c>
      <c r="E1" s="32" t="s">
        <v>4273</v>
      </c>
      <c r="F1" s="29" t="s">
        <v>4274</v>
      </c>
      <c r="G1" s="31" t="s">
        <v>4275</v>
      </c>
      <c r="H1" s="29" t="s">
        <v>4276</v>
      </c>
      <c r="I1" s="29" t="s">
        <v>4277</v>
      </c>
      <c r="J1" s="63" t="s">
        <v>632</v>
      </c>
    </row>
    <row r="2" spans="1:10" ht="30" x14ac:dyDescent="0.25">
      <c r="A2" s="57" t="s">
        <v>627</v>
      </c>
      <c r="B2" s="57" t="s">
        <v>628</v>
      </c>
      <c r="C2" s="24" t="s">
        <v>4284</v>
      </c>
      <c r="D2" s="16" t="s">
        <v>418</v>
      </c>
      <c r="E2" s="15">
        <v>2</v>
      </c>
      <c r="F2" s="28" t="s">
        <v>4285</v>
      </c>
      <c r="G2" s="27" t="s">
        <v>4286</v>
      </c>
      <c r="H2" s="58">
        <v>15000000</v>
      </c>
      <c r="I2" s="58" t="s">
        <v>6726</v>
      </c>
      <c r="J2" s="58" t="str">
        <f>IF(ISNA(VLOOKUP(A2,'KM Data Edits'!A$1:P$1522,16,0)),"",(VLOOKUP(A2,'KM Data Edits'!A$1:P$1522,16,0)))</f>
        <v>Contested</v>
      </c>
    </row>
    <row r="3" spans="1:10" x14ac:dyDescent="0.25">
      <c r="A3" s="57" t="s">
        <v>2032</v>
      </c>
      <c r="B3" s="57" t="s">
        <v>4671</v>
      </c>
      <c r="C3" s="16" t="s">
        <v>4672</v>
      </c>
      <c r="D3" s="16" t="s">
        <v>418</v>
      </c>
      <c r="E3" s="15">
        <v>2</v>
      </c>
      <c r="F3" s="13" t="s">
        <v>4673</v>
      </c>
      <c r="G3" s="14" t="s">
        <v>584</v>
      </c>
      <c r="H3" s="60">
        <v>15000000</v>
      </c>
      <c r="I3" s="60" t="s">
        <v>6726</v>
      </c>
      <c r="J3" s="58" t="str">
        <f>IF(ISNA(VLOOKUP(A3,'KM Data Edits'!A$1:P$1522,16,0)),"",(VLOOKUP(A3,'KM Data Edits'!A$1:P$1522,16,0)))</f>
        <v>Contested</v>
      </c>
    </row>
    <row r="4" spans="1:10" ht="30" x14ac:dyDescent="0.25">
      <c r="A4" s="59" t="s">
        <v>3961</v>
      </c>
      <c r="B4" s="59" t="s">
        <v>5338</v>
      </c>
      <c r="C4" s="16" t="s">
        <v>5339</v>
      </c>
      <c r="D4" s="22" t="s">
        <v>1815</v>
      </c>
      <c r="E4" s="15">
        <v>5</v>
      </c>
      <c r="F4" s="20" t="s">
        <v>5340</v>
      </c>
      <c r="G4" s="21" t="s">
        <v>5341</v>
      </c>
      <c r="H4" s="60">
        <v>15000000</v>
      </c>
      <c r="I4" s="60" t="s">
        <v>6726</v>
      </c>
      <c r="J4" s="58" t="str">
        <f>IF(ISNA(VLOOKUP(A4,'KM Data Edits'!A$1:P$1522,16,0)),"",(VLOOKUP(A4,'KM Data Edits'!A$1:P$1522,16,0)))</f>
        <v>Contested</v>
      </c>
    </row>
    <row r="5" spans="1:10" x14ac:dyDescent="0.25">
      <c r="A5" s="57" t="s">
        <v>1715</v>
      </c>
      <c r="B5" s="57" t="s">
        <v>4568</v>
      </c>
      <c r="C5" s="22" t="s">
        <v>4569</v>
      </c>
      <c r="D5" s="16" t="s">
        <v>542</v>
      </c>
      <c r="E5" s="15">
        <v>3</v>
      </c>
      <c r="F5" s="13" t="s">
        <v>4570</v>
      </c>
      <c r="G5" s="14" t="s">
        <v>4571</v>
      </c>
      <c r="H5" s="60">
        <v>15000000</v>
      </c>
      <c r="I5" s="60" t="s">
        <v>6726</v>
      </c>
      <c r="J5" s="58" t="str">
        <f>IF(ISNA(VLOOKUP(A5,'KM Data Edits'!A$1:P$1522,16,0)),"",(VLOOKUP(A5,'KM Data Edits'!A$1:P$1522,16,0)))</f>
        <v>Contested</v>
      </c>
    </row>
    <row r="6" spans="1:10" x14ac:dyDescent="0.25">
      <c r="A6" s="61" t="s">
        <v>3622</v>
      </c>
      <c r="B6" s="57" t="s">
        <v>5222</v>
      </c>
      <c r="C6" s="16" t="s">
        <v>5223</v>
      </c>
      <c r="D6" s="16" t="s">
        <v>418</v>
      </c>
      <c r="E6" s="15">
        <v>2</v>
      </c>
      <c r="F6" s="13" t="s">
        <v>5224</v>
      </c>
      <c r="G6" s="14" t="s">
        <v>4975</v>
      </c>
      <c r="H6" s="58">
        <v>15000000</v>
      </c>
      <c r="I6" s="58" t="s">
        <v>6726</v>
      </c>
      <c r="J6" s="58" t="str">
        <f>IF(ISNA(VLOOKUP(A6,'KM Data Edits'!A$1:P$1522,16,0)),"",(VLOOKUP(A6,'KM Data Edits'!A$1:P$1522,16,0)))</f>
        <v>Contested</v>
      </c>
    </row>
    <row r="7" spans="1:10" ht="30" x14ac:dyDescent="0.25">
      <c r="A7" s="59" t="s">
        <v>321</v>
      </c>
      <c r="B7" s="57" t="s">
        <v>5240</v>
      </c>
      <c r="C7" s="16" t="s">
        <v>5241</v>
      </c>
      <c r="D7" s="16" t="s">
        <v>511</v>
      </c>
      <c r="E7" s="15">
        <v>2</v>
      </c>
      <c r="F7" s="13" t="s">
        <v>5242</v>
      </c>
      <c r="G7" s="14" t="s">
        <v>5243</v>
      </c>
      <c r="H7" s="58">
        <v>15000000</v>
      </c>
      <c r="I7" s="58" t="s">
        <v>6726</v>
      </c>
      <c r="J7" s="58" t="str">
        <f>IF(ISNA(VLOOKUP(A7,'KM Data Edits'!A$1:P$1522,16,0)),"",(VLOOKUP(A7,'KM Data Edits'!A$1:P$1522,16,0)))</f>
        <v>Contested</v>
      </c>
    </row>
    <row r="8" spans="1:10" ht="30" x14ac:dyDescent="0.25">
      <c r="A8" s="57" t="s">
        <v>2407</v>
      </c>
      <c r="B8" s="57" t="s">
        <v>4795</v>
      </c>
      <c r="C8" s="16" t="s">
        <v>4796</v>
      </c>
      <c r="D8" s="16" t="s">
        <v>457</v>
      </c>
      <c r="E8" s="15">
        <v>9</v>
      </c>
      <c r="F8" s="13" t="s">
        <v>4797</v>
      </c>
      <c r="G8" s="14" t="s">
        <v>4798</v>
      </c>
      <c r="H8" s="58">
        <v>16000000</v>
      </c>
      <c r="I8" s="58" t="s">
        <v>6726</v>
      </c>
      <c r="J8" s="58" t="str">
        <f>IF(ISNA(VLOOKUP(A8,'KM Data Edits'!A$1:P$1522,16,0)),"",(VLOOKUP(A8,'KM Data Edits'!A$1:P$1522,16,0)))</f>
        <v>Contested</v>
      </c>
    </row>
    <row r="9" spans="1:10" x14ac:dyDescent="0.25">
      <c r="A9" s="59" t="s">
        <v>4095</v>
      </c>
      <c r="B9" s="59" t="s">
        <v>5379</v>
      </c>
      <c r="C9" s="16" t="s">
        <v>5380</v>
      </c>
      <c r="D9" s="22" t="s">
        <v>542</v>
      </c>
      <c r="E9" s="15">
        <v>3</v>
      </c>
      <c r="F9" s="20" t="s">
        <v>5381</v>
      </c>
      <c r="G9" s="21" t="s">
        <v>597</v>
      </c>
      <c r="H9" s="60">
        <v>17000000</v>
      </c>
      <c r="I9" s="60" t="s">
        <v>6726</v>
      </c>
      <c r="J9" s="58" t="str">
        <f>IF(ISNA(VLOOKUP(A9,'KM Data Edits'!A$1:P$1522,16,0)),"",(VLOOKUP(A9,'KM Data Edits'!A$1:P$1522,16,0)))</f>
        <v>Contested</v>
      </c>
    </row>
    <row r="10" spans="1:10" x14ac:dyDescent="0.25">
      <c r="A10" s="59" t="s">
        <v>2002</v>
      </c>
      <c r="B10" s="57" t="s">
        <v>4668</v>
      </c>
      <c r="C10" s="16" t="s">
        <v>4669</v>
      </c>
      <c r="D10" s="16" t="s">
        <v>418</v>
      </c>
      <c r="E10" s="15">
        <v>2</v>
      </c>
      <c r="F10" s="13" t="s">
        <v>4670</v>
      </c>
      <c r="G10" s="14" t="s">
        <v>4336</v>
      </c>
      <c r="H10" s="58">
        <v>17000000</v>
      </c>
      <c r="I10" s="58" t="s">
        <v>6726</v>
      </c>
      <c r="J10" s="58" t="str">
        <f>IF(ISNA(VLOOKUP(A10,'KM Data Edits'!A$1:P$1522,16,0)),"",(VLOOKUP(A10,'KM Data Edits'!A$1:P$1522,16,0)))</f>
        <v>Contested</v>
      </c>
    </row>
    <row r="11" spans="1:10" x14ac:dyDescent="0.25">
      <c r="A11" s="59" t="s">
        <v>3254</v>
      </c>
      <c r="B11" s="57" t="s">
        <v>5090</v>
      </c>
      <c r="C11" s="16" t="s">
        <v>4872</v>
      </c>
      <c r="D11" s="16" t="s">
        <v>557</v>
      </c>
      <c r="E11" s="15">
        <v>9</v>
      </c>
      <c r="F11" s="13" t="s">
        <v>5091</v>
      </c>
      <c r="G11" s="14" t="s">
        <v>79</v>
      </c>
      <c r="H11" s="58">
        <v>25000000</v>
      </c>
      <c r="I11" s="58" t="s">
        <v>6726</v>
      </c>
      <c r="J11" s="58" t="str">
        <f>IF(ISNA(VLOOKUP(A11,'KM Data Edits'!A$1:P$1522,16,0)),"",(VLOOKUP(A11,'KM Data Edits'!A$1:P$1522,16,0)))</f>
        <v>Contested</v>
      </c>
    </row>
    <row r="12" spans="1:10" x14ac:dyDescent="0.25">
      <c r="A12" s="57" t="s">
        <v>3292</v>
      </c>
      <c r="B12" s="57" t="s">
        <v>5098</v>
      </c>
      <c r="C12" s="16" t="s">
        <v>5099</v>
      </c>
      <c r="D12" s="16" t="s">
        <v>409</v>
      </c>
      <c r="E12" s="15">
        <v>1</v>
      </c>
      <c r="F12" s="13" t="s">
        <v>5100</v>
      </c>
      <c r="G12" s="14" t="s">
        <v>79</v>
      </c>
      <c r="H12" s="58">
        <v>25000000</v>
      </c>
      <c r="I12" s="58" t="s">
        <v>6726</v>
      </c>
      <c r="J12" s="58" t="str">
        <f>IF(ISNA(VLOOKUP(A12,'KM Data Edits'!A$1:P$1522,16,0)),"",(VLOOKUP(A12,'KM Data Edits'!A$1:P$1522,16,0)))</f>
        <v>Contested</v>
      </c>
    </row>
    <row r="13" spans="1:10" x14ac:dyDescent="0.25">
      <c r="A13" s="57" t="s">
        <v>791</v>
      </c>
      <c r="B13" s="57" t="s">
        <v>4333</v>
      </c>
      <c r="C13" s="16" t="s">
        <v>4334</v>
      </c>
      <c r="D13" s="16" t="s">
        <v>424</v>
      </c>
      <c r="E13" s="15">
        <v>3</v>
      </c>
      <c r="F13" s="13" t="s">
        <v>4335</v>
      </c>
      <c r="G13" s="14" t="s">
        <v>4336</v>
      </c>
      <c r="H13" s="58">
        <v>25000000</v>
      </c>
      <c r="I13" s="58" t="s">
        <v>6726</v>
      </c>
      <c r="J13" s="58" t="str">
        <f>IF(ISNA(VLOOKUP(A13,'KM Data Edits'!A$1:P$1522,16,0)),"",(VLOOKUP(A13,'KM Data Edits'!A$1:P$1522,16,0)))</f>
        <v>Contested</v>
      </c>
    </row>
    <row r="14" spans="1:10" x14ac:dyDescent="0.25">
      <c r="A14" s="57" t="s">
        <v>3989</v>
      </c>
      <c r="B14" s="57" t="s">
        <v>5347</v>
      </c>
      <c r="C14" s="16" t="s">
        <v>5348</v>
      </c>
      <c r="D14" s="16" t="s">
        <v>418</v>
      </c>
      <c r="E14" s="15">
        <v>2</v>
      </c>
      <c r="F14" s="13" t="s">
        <v>5349</v>
      </c>
      <c r="G14" s="14" t="s">
        <v>885</v>
      </c>
      <c r="H14" s="58">
        <v>26000000</v>
      </c>
      <c r="I14" s="58" t="s">
        <v>6727</v>
      </c>
      <c r="J14" s="58" t="str">
        <f>IF(ISNA(VLOOKUP(A14,'KM Data Edits'!A$1:P$1522,16,0)),"",(VLOOKUP(A14,'KM Data Edits'!A$1:P$1522,16,0)))</f>
        <v>Contested</v>
      </c>
    </row>
    <row r="15" spans="1:10" x14ac:dyDescent="0.25">
      <c r="A15" s="57" t="s">
        <v>3468</v>
      </c>
      <c r="B15" s="57" t="s">
        <v>5187</v>
      </c>
      <c r="C15" s="16" t="s">
        <v>5188</v>
      </c>
      <c r="D15" s="16" t="s">
        <v>418</v>
      </c>
      <c r="E15" s="15">
        <v>2</v>
      </c>
      <c r="F15" s="13" t="s">
        <v>5189</v>
      </c>
      <c r="G15" s="14" t="s">
        <v>5190</v>
      </c>
      <c r="H15" s="58">
        <v>27000000</v>
      </c>
      <c r="I15" s="58" t="s">
        <v>6727</v>
      </c>
      <c r="J15" s="58" t="str">
        <f>IF(ISNA(VLOOKUP(A15,'KM Data Edits'!A$1:P$1522,16,0)),"",(VLOOKUP(A15,'KM Data Edits'!A$1:P$1522,16,0)))</f>
        <v>Contested</v>
      </c>
    </row>
    <row r="16" spans="1:10" x14ac:dyDescent="0.25">
      <c r="A16" s="57" t="s">
        <v>2698</v>
      </c>
      <c r="B16" s="57" t="s">
        <v>4909</v>
      </c>
      <c r="C16" s="16" t="s">
        <v>4910</v>
      </c>
      <c r="D16" s="16" t="s">
        <v>418</v>
      </c>
      <c r="E16" s="15">
        <v>2</v>
      </c>
      <c r="F16" s="13" t="s">
        <v>4911</v>
      </c>
      <c r="G16" s="14" t="s">
        <v>79</v>
      </c>
      <c r="H16" s="58">
        <v>28000000</v>
      </c>
      <c r="I16" s="58" t="s">
        <v>6727</v>
      </c>
      <c r="J16" s="58" t="str">
        <f>IF(ISNA(VLOOKUP(A16,'KM Data Edits'!A$1:P$1522,16,0)),"",(VLOOKUP(A16,'KM Data Edits'!A$1:P$1522,16,0)))</f>
        <v>Contested</v>
      </c>
    </row>
    <row r="17" spans="1:10" x14ac:dyDescent="0.25">
      <c r="A17" s="59" t="s">
        <v>552</v>
      </c>
      <c r="B17" s="57" t="s">
        <v>4525</v>
      </c>
      <c r="C17" s="22" t="s">
        <v>4526</v>
      </c>
      <c r="D17" s="16" t="s">
        <v>446</v>
      </c>
      <c r="E17" s="15">
        <v>9</v>
      </c>
      <c r="F17" s="13" t="s">
        <v>4527</v>
      </c>
      <c r="G17" s="14" t="s">
        <v>597</v>
      </c>
      <c r="H17" s="58">
        <v>30000000</v>
      </c>
      <c r="I17" s="58" t="s">
        <v>6727</v>
      </c>
      <c r="J17" s="58" t="str">
        <f>IF(ISNA(VLOOKUP(A17,'KM Data Edits'!A$1:P$1522,16,0)),"",(VLOOKUP(A17,'KM Data Edits'!A$1:P$1522,16,0)))</f>
        <v>Contested</v>
      </c>
    </row>
    <row r="18" spans="1:10" x14ac:dyDescent="0.25">
      <c r="A18" s="59" t="s">
        <v>547</v>
      </c>
      <c r="B18" s="57" t="s">
        <v>4370</v>
      </c>
      <c r="C18" s="16" t="s">
        <v>4371</v>
      </c>
      <c r="D18" s="16" t="s">
        <v>418</v>
      </c>
      <c r="E18" s="15">
        <v>2</v>
      </c>
      <c r="F18" s="13" t="s">
        <v>4372</v>
      </c>
      <c r="G18" s="14" t="s">
        <v>79</v>
      </c>
      <c r="H18" s="58">
        <v>30000000</v>
      </c>
      <c r="I18" s="58" t="s">
        <v>6727</v>
      </c>
      <c r="J18" s="58" t="str">
        <f>IF(ISNA(VLOOKUP(A18,'KM Data Edits'!A$1:P$1522,16,0)),"",(VLOOKUP(A18,'KM Data Edits'!A$1:P$1522,16,0)))</f>
        <v>Contested</v>
      </c>
    </row>
    <row r="19" spans="1:10" x14ac:dyDescent="0.25">
      <c r="A19" s="57" t="s">
        <v>616</v>
      </c>
      <c r="B19" s="57" t="s">
        <v>4822</v>
      </c>
      <c r="C19" s="16" t="s">
        <v>4823</v>
      </c>
      <c r="D19" s="16" t="s">
        <v>457</v>
      </c>
      <c r="E19" s="15">
        <v>9</v>
      </c>
      <c r="F19" s="13" t="s">
        <v>4824</v>
      </c>
      <c r="G19" s="14" t="s">
        <v>79</v>
      </c>
      <c r="H19" s="58">
        <v>30000000</v>
      </c>
      <c r="I19" s="58" t="s">
        <v>6727</v>
      </c>
      <c r="J19" s="58" t="str">
        <f>IF(ISNA(VLOOKUP(A19,'KM Data Edits'!A$1:P$1522,16,0)),"",(VLOOKUP(A19,'KM Data Edits'!A$1:P$1522,16,0)))</f>
        <v>Contested</v>
      </c>
    </row>
    <row r="20" spans="1:10" x14ac:dyDescent="0.25">
      <c r="A20" s="57" t="s">
        <v>2616</v>
      </c>
      <c r="B20" s="57" t="s">
        <v>4871</v>
      </c>
      <c r="C20" s="16" t="s">
        <v>4872</v>
      </c>
      <c r="D20" s="16" t="s">
        <v>536</v>
      </c>
      <c r="E20" s="15">
        <v>10</v>
      </c>
      <c r="F20" s="13" t="s">
        <v>4873</v>
      </c>
      <c r="G20" s="14" t="s">
        <v>79</v>
      </c>
      <c r="H20" s="58">
        <v>30000000</v>
      </c>
      <c r="I20" s="58" t="s">
        <v>6727</v>
      </c>
      <c r="J20" s="58" t="str">
        <f>IF(ISNA(VLOOKUP(A20,'KM Data Edits'!A$1:P$1522,16,0)),"",(VLOOKUP(A20,'KM Data Edits'!A$1:P$1522,16,0)))</f>
        <v>Contested</v>
      </c>
    </row>
    <row r="21" spans="1:10" x14ac:dyDescent="0.25">
      <c r="A21" s="57" t="s">
        <v>3616</v>
      </c>
      <c r="B21" s="57" t="s">
        <v>5219</v>
      </c>
      <c r="C21" s="16" t="s">
        <v>5220</v>
      </c>
      <c r="D21" s="16" t="s">
        <v>457</v>
      </c>
      <c r="E21" s="15">
        <v>9</v>
      </c>
      <c r="F21" s="13" t="s">
        <v>5221</v>
      </c>
      <c r="G21" s="14" t="s">
        <v>5141</v>
      </c>
      <c r="H21" s="58">
        <v>30000000</v>
      </c>
      <c r="I21" s="58" t="s">
        <v>6727</v>
      </c>
      <c r="J21" s="58" t="str">
        <f>IF(ISNA(VLOOKUP(A21,'KM Data Edits'!A$1:P$1522,16,0)),"",(VLOOKUP(A21,'KM Data Edits'!A$1:P$1522,16,0)))</f>
        <v>Contested</v>
      </c>
    </row>
    <row r="22" spans="1:10" ht="75" x14ac:dyDescent="0.25">
      <c r="A22" s="57" t="s">
        <v>2</v>
      </c>
      <c r="B22" s="57" t="s">
        <v>4288</v>
      </c>
      <c r="C22" s="16" t="s">
        <v>4289</v>
      </c>
      <c r="D22" s="16" t="s">
        <v>414</v>
      </c>
      <c r="E22" s="15">
        <v>5</v>
      </c>
      <c r="F22" s="13" t="s">
        <v>4290</v>
      </c>
      <c r="G22" s="14" t="s">
        <v>4291</v>
      </c>
      <c r="H22" s="58">
        <v>32000000</v>
      </c>
      <c r="I22" s="58" t="s">
        <v>6727</v>
      </c>
      <c r="J22" s="58" t="str">
        <f>IF(ISNA(VLOOKUP(A22,'KM Data Edits'!A$1:P$1522,16,0)),"",(VLOOKUP(A22,'KM Data Edits'!A$1:P$1522,16,0)))</f>
        <v>Contested</v>
      </c>
    </row>
    <row r="23" spans="1:10" x14ac:dyDescent="0.25">
      <c r="A23" s="57" t="s">
        <v>2204</v>
      </c>
      <c r="B23" s="57" t="s">
        <v>4711</v>
      </c>
      <c r="C23" s="16" t="s">
        <v>4712</v>
      </c>
      <c r="D23" s="16" t="s">
        <v>418</v>
      </c>
      <c r="E23" s="15">
        <v>2</v>
      </c>
      <c r="F23" s="13" t="s">
        <v>4713</v>
      </c>
      <c r="G23" s="14" t="s">
        <v>79</v>
      </c>
      <c r="H23" s="58">
        <v>33000000</v>
      </c>
      <c r="I23" s="58" t="s">
        <v>6727</v>
      </c>
      <c r="J23" s="58" t="str">
        <f>IF(ISNA(VLOOKUP(A23,'KM Data Edits'!A$1:P$1522,16,0)),"",(VLOOKUP(A23,'KM Data Edits'!A$1:P$1522,16,0)))</f>
        <v>Contested</v>
      </c>
    </row>
    <row r="24" spans="1:10" ht="30" x14ac:dyDescent="0.25">
      <c r="A24" s="57" t="s">
        <v>2770</v>
      </c>
      <c r="B24" s="57" t="s">
        <v>4938</v>
      </c>
      <c r="C24" s="16" t="s">
        <v>4939</v>
      </c>
      <c r="D24" s="16" t="s">
        <v>446</v>
      </c>
      <c r="E24" s="15">
        <v>9</v>
      </c>
      <c r="F24" s="13" t="s">
        <v>4940</v>
      </c>
      <c r="G24" s="14" t="s">
        <v>4941</v>
      </c>
      <c r="H24" s="58">
        <v>35000000</v>
      </c>
      <c r="I24" s="58" t="s">
        <v>6727</v>
      </c>
      <c r="J24" s="58" t="str">
        <f>IF(ISNA(VLOOKUP(A24,'KM Data Edits'!A$1:P$1522,16,0)),"",(VLOOKUP(A24,'KM Data Edits'!A$1:P$1522,16,0)))</f>
        <v>Contested</v>
      </c>
    </row>
    <row r="25" spans="1:10" x14ac:dyDescent="0.25">
      <c r="A25" s="57" t="s">
        <v>1957</v>
      </c>
      <c r="B25" s="57" t="s">
        <v>4649</v>
      </c>
      <c r="C25" s="16" t="s">
        <v>4650</v>
      </c>
      <c r="D25" s="16" t="s">
        <v>418</v>
      </c>
      <c r="E25" s="15">
        <v>2</v>
      </c>
      <c r="F25" s="13" t="s">
        <v>4651</v>
      </c>
      <c r="G25" s="14" t="s">
        <v>4359</v>
      </c>
      <c r="H25" s="58">
        <v>36000000</v>
      </c>
      <c r="I25" s="58" t="s">
        <v>6727</v>
      </c>
      <c r="J25" s="58" t="str">
        <f>IF(ISNA(VLOOKUP(A25,'KM Data Edits'!A$1:P$1522,16,0)),"",(VLOOKUP(A25,'KM Data Edits'!A$1:P$1522,16,0)))</f>
        <v>Contested</v>
      </c>
    </row>
    <row r="26" spans="1:10" x14ac:dyDescent="0.25">
      <c r="A26" s="57" t="s">
        <v>1076</v>
      </c>
      <c r="B26" s="57" t="s">
        <v>4415</v>
      </c>
      <c r="C26" s="16" t="s">
        <v>4416</v>
      </c>
      <c r="D26" s="16" t="s">
        <v>446</v>
      </c>
      <c r="E26" s="15">
        <v>9</v>
      </c>
      <c r="F26" s="13" t="s">
        <v>4417</v>
      </c>
      <c r="G26" s="14" t="s">
        <v>597</v>
      </c>
      <c r="H26" s="58">
        <v>38000000</v>
      </c>
      <c r="I26" s="58" t="s">
        <v>6727</v>
      </c>
      <c r="J26" s="58" t="str">
        <f>IF(ISNA(VLOOKUP(A26,'KM Data Edits'!A$1:P$1522,16,0)),"",(VLOOKUP(A26,'KM Data Edits'!A$1:P$1522,16,0)))</f>
        <v>Contested</v>
      </c>
    </row>
    <row r="27" spans="1:10" x14ac:dyDescent="0.25">
      <c r="A27" s="57" t="s">
        <v>1339</v>
      </c>
      <c r="B27" s="57" t="s">
        <v>4470</v>
      </c>
      <c r="C27" s="22" t="s">
        <v>4471</v>
      </c>
      <c r="D27" s="16" t="s">
        <v>418</v>
      </c>
      <c r="E27" s="15">
        <v>2</v>
      </c>
      <c r="F27" s="13" t="s">
        <v>4472</v>
      </c>
      <c r="G27" s="14" t="s">
        <v>597</v>
      </c>
      <c r="H27" s="58">
        <v>38000000</v>
      </c>
      <c r="I27" s="58" t="s">
        <v>6727</v>
      </c>
      <c r="J27" s="58" t="str">
        <f>IF(ISNA(VLOOKUP(A27,'KM Data Edits'!A$1:P$1522,16,0)),"",(VLOOKUP(A27,'KM Data Edits'!A$1:P$1522,16,0)))</f>
        <v>Contested</v>
      </c>
    </row>
    <row r="28" spans="1:10" ht="30" x14ac:dyDescent="0.25">
      <c r="A28" s="57" t="s">
        <v>2859</v>
      </c>
      <c r="B28" s="57" t="s">
        <v>4968</v>
      </c>
      <c r="C28" s="16" t="s">
        <v>4969</v>
      </c>
      <c r="D28" s="16" t="s">
        <v>446</v>
      </c>
      <c r="E28" s="15">
        <v>9</v>
      </c>
      <c r="F28" s="13" t="s">
        <v>4970</v>
      </c>
      <c r="G28" s="14" t="s">
        <v>4971</v>
      </c>
      <c r="H28" s="58">
        <v>40000000</v>
      </c>
      <c r="I28" s="58" t="s">
        <v>6727</v>
      </c>
      <c r="J28" s="58" t="str">
        <f>IF(ISNA(VLOOKUP(A28,'KM Data Edits'!A$1:P$1522,16,0)),"",(VLOOKUP(A28,'KM Data Edits'!A$1:P$1522,16,0)))</f>
        <v>Contested</v>
      </c>
    </row>
    <row r="29" spans="1:10" x14ac:dyDescent="0.25">
      <c r="A29" s="57" t="s">
        <v>3868</v>
      </c>
      <c r="B29" s="57" t="s">
        <v>5318</v>
      </c>
      <c r="C29" s="16" t="s">
        <v>5319</v>
      </c>
      <c r="D29" s="16" t="s">
        <v>3869</v>
      </c>
      <c r="E29" s="15">
        <v>4</v>
      </c>
      <c r="F29" s="13" t="s">
        <v>5320</v>
      </c>
      <c r="G29" s="14" t="s">
        <v>63</v>
      </c>
      <c r="H29" s="58">
        <v>40000000</v>
      </c>
      <c r="I29" s="58" t="s">
        <v>6727</v>
      </c>
      <c r="J29" s="58" t="str">
        <f>IF(ISNA(VLOOKUP(A29,'KM Data Edits'!A$1:P$1522,16,0)),"",(VLOOKUP(A29,'KM Data Edits'!A$1:P$1522,16,0)))</f>
        <v>Contested</v>
      </c>
    </row>
    <row r="30" spans="1:10" x14ac:dyDescent="0.25">
      <c r="A30" s="57" t="s">
        <v>167</v>
      </c>
      <c r="B30" s="57" t="s">
        <v>4680</v>
      </c>
      <c r="C30" s="16" t="s">
        <v>4681</v>
      </c>
      <c r="D30" s="16" t="s">
        <v>522</v>
      </c>
      <c r="E30" s="15">
        <v>6</v>
      </c>
      <c r="F30" s="13" t="s">
        <v>4682</v>
      </c>
      <c r="G30" s="14" t="s">
        <v>79</v>
      </c>
      <c r="H30" s="58">
        <v>40000000</v>
      </c>
      <c r="I30" s="58" t="s">
        <v>6727</v>
      </c>
      <c r="J30" s="58" t="str">
        <f>IF(ISNA(VLOOKUP(A30,'KM Data Edits'!A$1:P$1522,16,0)),"",(VLOOKUP(A30,'KM Data Edits'!A$1:P$1522,16,0)))</f>
        <v>Contested</v>
      </c>
    </row>
    <row r="31" spans="1:10" ht="30" x14ac:dyDescent="0.25">
      <c r="A31" s="57" t="s">
        <v>2821</v>
      </c>
      <c r="B31" s="57" t="s">
        <v>4956</v>
      </c>
      <c r="C31" s="16" t="s">
        <v>4957</v>
      </c>
      <c r="D31" s="16" t="s">
        <v>418</v>
      </c>
      <c r="E31" s="15">
        <v>2</v>
      </c>
      <c r="F31" s="13" t="s">
        <v>4958</v>
      </c>
      <c r="G31" s="14" t="s">
        <v>4959</v>
      </c>
      <c r="H31" s="58">
        <v>40000000</v>
      </c>
      <c r="I31" s="58" t="s">
        <v>6727</v>
      </c>
      <c r="J31" s="58" t="str">
        <f>IF(ISNA(VLOOKUP(A31,'KM Data Edits'!A$1:P$1522,16,0)),"",(VLOOKUP(A31,'KM Data Edits'!A$1:P$1522,16,0)))</f>
        <v>Contested</v>
      </c>
    </row>
    <row r="32" spans="1:10" x14ac:dyDescent="0.25">
      <c r="A32" s="57" t="s">
        <v>101</v>
      </c>
      <c r="B32" s="57" t="s">
        <v>4639</v>
      </c>
      <c r="C32" s="16" t="s">
        <v>4640</v>
      </c>
      <c r="D32" s="16" t="s">
        <v>457</v>
      </c>
      <c r="E32" s="15">
        <v>9</v>
      </c>
      <c r="F32" s="13" t="s">
        <v>4641</v>
      </c>
      <c r="G32" s="14" t="s">
        <v>4642</v>
      </c>
      <c r="H32" s="58">
        <v>42000000</v>
      </c>
      <c r="I32" s="58" t="s">
        <v>6727</v>
      </c>
      <c r="J32" s="58" t="str">
        <f>IF(ISNA(VLOOKUP(A32,'KM Data Edits'!A$1:P$1522,16,0)),"",(VLOOKUP(A32,'KM Data Edits'!A$1:P$1522,16,0)))</f>
        <v>Contested</v>
      </c>
    </row>
    <row r="33" spans="1:10" ht="30" x14ac:dyDescent="0.25">
      <c r="A33" s="57" t="s">
        <v>2665</v>
      </c>
      <c r="B33" s="57" t="s">
        <v>4891</v>
      </c>
      <c r="C33" s="16" t="s">
        <v>4892</v>
      </c>
      <c r="D33" s="16" t="s">
        <v>1815</v>
      </c>
      <c r="E33" s="15">
        <v>5</v>
      </c>
      <c r="F33" s="13" t="s">
        <v>4893</v>
      </c>
      <c r="G33" s="14" t="s">
        <v>4894</v>
      </c>
      <c r="H33" s="58">
        <v>45000000</v>
      </c>
      <c r="I33" s="58" t="s">
        <v>6727</v>
      </c>
      <c r="J33" s="58" t="str">
        <f>IF(ISNA(VLOOKUP(A33,'KM Data Edits'!A$1:P$1522,16,0)),"",(VLOOKUP(A33,'KM Data Edits'!A$1:P$1522,16,0)))</f>
        <v>Contested</v>
      </c>
    </row>
    <row r="34" spans="1:10" ht="30" x14ac:dyDescent="0.25">
      <c r="A34" s="57" t="s">
        <v>3351</v>
      </c>
      <c r="B34" s="57" t="s">
        <v>5116</v>
      </c>
      <c r="C34" s="16" t="s">
        <v>5117</v>
      </c>
      <c r="D34" s="16" t="s">
        <v>418</v>
      </c>
      <c r="E34" s="15">
        <v>2</v>
      </c>
      <c r="F34" s="13" t="s">
        <v>5118</v>
      </c>
      <c r="G34" s="14" t="s">
        <v>5119</v>
      </c>
      <c r="H34" s="58">
        <v>45000000</v>
      </c>
      <c r="I34" s="58" t="s">
        <v>6727</v>
      </c>
      <c r="J34" s="58" t="str">
        <f>IF(ISNA(VLOOKUP(A34,'KM Data Edits'!A$1:P$1522,16,0)),"",(VLOOKUP(A34,'KM Data Edits'!A$1:P$1522,16,0)))</f>
        <v>Contested</v>
      </c>
    </row>
    <row r="35" spans="1:10" x14ac:dyDescent="0.25">
      <c r="A35" s="57" t="s">
        <v>880</v>
      </c>
      <c r="B35" s="57" t="s">
        <v>4356</v>
      </c>
      <c r="C35" s="16" t="s">
        <v>4357</v>
      </c>
      <c r="D35" s="16" t="s">
        <v>418</v>
      </c>
      <c r="E35" s="15">
        <v>2</v>
      </c>
      <c r="F35" s="13" t="s">
        <v>4358</v>
      </c>
      <c r="G35" s="14" t="s">
        <v>4359</v>
      </c>
      <c r="H35" s="58">
        <v>45000000</v>
      </c>
      <c r="I35" s="58" t="s">
        <v>6727</v>
      </c>
      <c r="J35" s="58" t="str">
        <f>IF(ISNA(VLOOKUP(A35,'KM Data Edits'!A$1:P$1522,16,0)),"",(VLOOKUP(A35,'KM Data Edits'!A$1:P$1522,16,0)))</f>
        <v>Contested</v>
      </c>
    </row>
    <row r="36" spans="1:10" x14ac:dyDescent="0.25">
      <c r="A36" s="57" t="s">
        <v>1285</v>
      </c>
      <c r="B36" s="57" t="s">
        <v>4453</v>
      </c>
      <c r="C36" s="16" t="s">
        <v>4454</v>
      </c>
      <c r="D36" s="16" t="s">
        <v>424</v>
      </c>
      <c r="E36" s="15">
        <v>3</v>
      </c>
      <c r="F36" s="13" t="s">
        <v>4455</v>
      </c>
      <c r="G36" s="14" t="s">
        <v>63</v>
      </c>
      <c r="H36" s="58">
        <v>47000000</v>
      </c>
      <c r="I36" s="58" t="s">
        <v>6727</v>
      </c>
      <c r="J36" s="58" t="str">
        <f>IF(ISNA(VLOOKUP(A36,'KM Data Edits'!A$1:P$1522,16,0)),"",(VLOOKUP(A36,'KM Data Edits'!A$1:P$1522,16,0)))</f>
        <v>Contested</v>
      </c>
    </row>
    <row r="37" spans="1:10" x14ac:dyDescent="0.25">
      <c r="A37" s="57" t="s">
        <v>2260</v>
      </c>
      <c r="B37" s="57" t="s">
        <v>4737</v>
      </c>
      <c r="C37" s="16" t="s">
        <v>4738</v>
      </c>
      <c r="D37" s="16" t="s">
        <v>457</v>
      </c>
      <c r="E37" s="15">
        <v>9</v>
      </c>
      <c r="F37" s="13" t="s">
        <v>4739</v>
      </c>
      <c r="G37" s="14" t="s">
        <v>79</v>
      </c>
      <c r="H37" s="58">
        <v>50000000</v>
      </c>
      <c r="I37" s="58" t="s">
        <v>6727</v>
      </c>
      <c r="J37" s="58" t="str">
        <f>IF(ISNA(VLOOKUP(A37,'KM Data Edits'!A$1:P$1522,16,0)),"",(VLOOKUP(A37,'KM Data Edits'!A$1:P$1522,16,0)))</f>
        <v>Contested</v>
      </c>
    </row>
    <row r="38" spans="1:10" x14ac:dyDescent="0.25">
      <c r="A38" s="57" t="s">
        <v>1755</v>
      </c>
      <c r="B38" s="57" t="s">
        <v>4588</v>
      </c>
      <c r="C38" s="16" t="s">
        <v>4589</v>
      </c>
      <c r="D38" s="16" t="s">
        <v>446</v>
      </c>
      <c r="E38" s="15">
        <v>9</v>
      </c>
      <c r="F38" s="13" t="s">
        <v>4590</v>
      </c>
      <c r="G38" s="14" t="s">
        <v>4336</v>
      </c>
      <c r="H38" s="58">
        <v>50000000</v>
      </c>
      <c r="I38" s="58" t="s">
        <v>6727</v>
      </c>
      <c r="J38" s="58" t="str">
        <f>IF(ISNA(VLOOKUP(A38,'KM Data Edits'!A$1:P$1522,16,0)),"",(VLOOKUP(A38,'KM Data Edits'!A$1:P$1522,16,0)))</f>
        <v>Contested</v>
      </c>
    </row>
    <row r="39" spans="1:10" x14ac:dyDescent="0.25">
      <c r="A39" s="57" t="s">
        <v>3861</v>
      </c>
      <c r="B39" s="57" t="s">
        <v>5315</v>
      </c>
      <c r="C39" s="16" t="s">
        <v>5316</v>
      </c>
      <c r="D39" s="16" t="s">
        <v>446</v>
      </c>
      <c r="E39" s="15">
        <v>9</v>
      </c>
      <c r="F39" s="13" t="s">
        <v>5317</v>
      </c>
      <c r="G39" s="14" t="s">
        <v>4336</v>
      </c>
      <c r="H39" s="58">
        <v>55000000</v>
      </c>
      <c r="I39" s="58" t="s">
        <v>6728</v>
      </c>
      <c r="J39" s="58" t="str">
        <f>IF(ISNA(VLOOKUP(A39,'KM Data Edits'!A$1:P$1522,16,0)),"",(VLOOKUP(A39,'KM Data Edits'!A$1:P$1522,16,0)))</f>
        <v>Contested</v>
      </c>
    </row>
    <row r="40" spans="1:10" x14ac:dyDescent="0.25">
      <c r="A40" s="57" t="s">
        <v>2320</v>
      </c>
      <c r="B40" s="57" t="s">
        <v>4759</v>
      </c>
      <c r="C40" s="16" t="s">
        <v>4760</v>
      </c>
      <c r="D40" s="16" t="s">
        <v>409</v>
      </c>
      <c r="E40" s="15">
        <v>1</v>
      </c>
      <c r="F40" s="13" t="s">
        <v>4761</v>
      </c>
      <c r="G40" s="14" t="s">
        <v>4336</v>
      </c>
      <c r="H40" s="60">
        <v>60000000</v>
      </c>
      <c r="I40" s="60" t="s">
        <v>6728</v>
      </c>
      <c r="J40" s="58" t="str">
        <f>IF(ISNA(VLOOKUP(A40,'KM Data Edits'!A$1:P$1522,16,0)),"",(VLOOKUP(A40,'KM Data Edits'!A$1:P$1522,16,0)))</f>
        <v>Contested</v>
      </c>
    </row>
    <row r="41" spans="1:10" x14ac:dyDescent="0.25">
      <c r="A41" s="57" t="s">
        <v>2195</v>
      </c>
      <c r="B41" s="57" t="s">
        <v>4707</v>
      </c>
      <c r="C41" s="16" t="s">
        <v>4708</v>
      </c>
      <c r="D41" s="16" t="s">
        <v>418</v>
      </c>
      <c r="E41" s="15">
        <v>2</v>
      </c>
      <c r="F41" s="13" t="s">
        <v>4709</v>
      </c>
      <c r="G41" s="14" t="s">
        <v>4710</v>
      </c>
      <c r="H41" s="58">
        <v>60000000</v>
      </c>
      <c r="I41" s="58" t="s">
        <v>6728</v>
      </c>
      <c r="J41" s="58" t="str">
        <f>IF(ISNA(VLOOKUP(A41,'KM Data Edits'!A$1:P$1522,16,0)),"",(VLOOKUP(A41,'KM Data Edits'!A$1:P$1522,16,0)))</f>
        <v>Contested</v>
      </c>
    </row>
    <row r="42" spans="1:10" ht="30" x14ac:dyDescent="0.25">
      <c r="A42" s="57" t="s">
        <v>4185</v>
      </c>
      <c r="B42" s="57" t="s">
        <v>5407</v>
      </c>
      <c r="C42" s="16" t="s">
        <v>5408</v>
      </c>
      <c r="D42" s="16" t="s">
        <v>446</v>
      </c>
      <c r="E42" s="15">
        <v>9</v>
      </c>
      <c r="F42" s="13" t="s">
        <v>5409</v>
      </c>
      <c r="G42" s="14" t="s">
        <v>5119</v>
      </c>
      <c r="H42" s="58">
        <v>70000000</v>
      </c>
      <c r="I42" s="58" t="s">
        <v>6728</v>
      </c>
      <c r="J42" s="58" t="str">
        <f>IF(ISNA(VLOOKUP(A42,'KM Data Edits'!A$1:P$1522,16,0)),"",(VLOOKUP(A42,'KM Data Edits'!A$1:P$1522,16,0)))</f>
        <v>Contested</v>
      </c>
    </row>
    <row r="43" spans="1:10" x14ac:dyDescent="0.25">
      <c r="A43" s="59" t="s">
        <v>2654</v>
      </c>
      <c r="B43" s="57" t="s">
        <v>4884</v>
      </c>
      <c r="C43" s="16" t="s">
        <v>4885</v>
      </c>
      <c r="D43" s="16" t="s">
        <v>446</v>
      </c>
      <c r="E43" s="15">
        <v>9</v>
      </c>
      <c r="F43" s="13" t="s">
        <v>4886</v>
      </c>
      <c r="G43" s="14" t="s">
        <v>4336</v>
      </c>
      <c r="H43" s="58">
        <v>70000000</v>
      </c>
      <c r="I43" s="58" t="s">
        <v>6728</v>
      </c>
      <c r="J43" s="58" t="str">
        <f>IF(ISNA(VLOOKUP(A43,'KM Data Edits'!A$1:P$1522,16,0)),"",(VLOOKUP(A43,'KM Data Edits'!A$1:P$1522,16,0)))</f>
        <v>Contested</v>
      </c>
    </row>
    <row r="44" spans="1:10" ht="30" x14ac:dyDescent="0.25">
      <c r="A44" s="59" t="s">
        <v>1371</v>
      </c>
      <c r="B44" s="59" t="s">
        <v>4478</v>
      </c>
      <c r="C44" s="16" t="s">
        <v>4479</v>
      </c>
      <c r="D44" s="16" t="s">
        <v>418</v>
      </c>
      <c r="E44" s="15">
        <v>2</v>
      </c>
      <c r="F44" s="16" t="s">
        <v>4480</v>
      </c>
      <c r="G44" s="21" t="s">
        <v>1375</v>
      </c>
      <c r="H44" s="60">
        <v>75000000</v>
      </c>
      <c r="I44" s="60" t="s">
        <v>6728</v>
      </c>
      <c r="J44" s="58" t="str">
        <f>IF(ISNA(VLOOKUP(A44,'KM Data Edits'!A$1:P$1522,16,0)),"",(VLOOKUP(A44,'KM Data Edits'!A$1:P$1522,16,0)))</f>
        <v>Contested</v>
      </c>
    </row>
    <row r="45" spans="1:10" x14ac:dyDescent="0.25">
      <c r="A45" s="57" t="s">
        <v>1889</v>
      </c>
      <c r="B45" s="57" t="s">
        <v>4628</v>
      </c>
      <c r="C45" s="16" t="s">
        <v>4629</v>
      </c>
      <c r="D45" s="16" t="s">
        <v>418</v>
      </c>
      <c r="E45" s="15">
        <v>2</v>
      </c>
      <c r="F45" s="13" t="s">
        <v>4630</v>
      </c>
      <c r="G45" s="14" t="s">
        <v>597</v>
      </c>
      <c r="H45" s="58">
        <v>80000000</v>
      </c>
      <c r="I45" s="58" t="s">
        <v>6728</v>
      </c>
      <c r="J45" s="58" t="str">
        <f>IF(ISNA(VLOOKUP(A45,'KM Data Edits'!A$1:P$1522,16,0)),"",(VLOOKUP(A45,'KM Data Edits'!A$1:P$1522,16,0)))</f>
        <v>Contested</v>
      </c>
    </row>
    <row r="46" spans="1:10" x14ac:dyDescent="0.25">
      <c r="A46" s="57" t="s">
        <v>2468</v>
      </c>
      <c r="B46" s="57" t="s">
        <v>4819</v>
      </c>
      <c r="C46" s="16" t="s">
        <v>4820</v>
      </c>
      <c r="D46" s="16" t="s">
        <v>457</v>
      </c>
      <c r="E46" s="15">
        <v>9</v>
      </c>
      <c r="F46" s="13" t="s">
        <v>4821</v>
      </c>
      <c r="G46" s="14" t="s">
        <v>597</v>
      </c>
      <c r="H46" s="58">
        <v>80000000</v>
      </c>
      <c r="I46" s="58" t="s">
        <v>6728</v>
      </c>
      <c r="J46" s="58" t="str">
        <f>IF(ISNA(VLOOKUP(A46,'KM Data Edits'!A$1:P$1522,16,0)),"",(VLOOKUP(A46,'KM Data Edits'!A$1:P$1522,16,0)))</f>
        <v>Contested</v>
      </c>
    </row>
    <row r="47" spans="1:10" x14ac:dyDescent="0.25">
      <c r="A47" s="57" t="s">
        <v>2659</v>
      </c>
      <c r="B47" s="57" t="s">
        <v>4887</v>
      </c>
      <c r="C47" s="16" t="s">
        <v>4888</v>
      </c>
      <c r="D47" s="16" t="s">
        <v>480</v>
      </c>
      <c r="E47" s="15">
        <v>9</v>
      </c>
      <c r="F47" s="13" t="s">
        <v>4889</v>
      </c>
      <c r="G47" s="14" t="s">
        <v>4890</v>
      </c>
      <c r="H47" s="58">
        <v>80000000</v>
      </c>
      <c r="I47" s="58" t="s">
        <v>6728</v>
      </c>
      <c r="J47" s="58" t="str">
        <f>IF(ISNA(VLOOKUP(A47,'KM Data Edits'!A$1:P$1522,16,0)),"",(VLOOKUP(A47,'KM Data Edits'!A$1:P$1522,16,0)))</f>
        <v>Contested</v>
      </c>
    </row>
    <row r="48" spans="1:10" x14ac:dyDescent="0.25">
      <c r="A48" s="57" t="s">
        <v>946</v>
      </c>
      <c r="B48" s="57" t="s">
        <v>4377</v>
      </c>
      <c r="C48" s="16" t="s">
        <v>4378</v>
      </c>
      <c r="D48" s="16" t="s">
        <v>446</v>
      </c>
      <c r="E48" s="15">
        <v>9</v>
      </c>
      <c r="F48" s="13" t="s">
        <v>4379</v>
      </c>
      <c r="G48" s="14" t="s">
        <v>63</v>
      </c>
      <c r="H48" s="58">
        <v>90000000</v>
      </c>
      <c r="I48" s="58" t="s">
        <v>6728</v>
      </c>
      <c r="J48" s="58" t="str">
        <f>IF(ISNA(VLOOKUP(A48,'KM Data Edits'!A$1:P$1522,16,0)),"",(VLOOKUP(A48,'KM Data Edits'!A$1:P$1522,16,0)))</f>
        <v>Contested</v>
      </c>
    </row>
    <row r="49" spans="1:10" x14ac:dyDescent="0.25">
      <c r="A49" s="57" t="s">
        <v>3239</v>
      </c>
      <c r="B49" s="57" t="s">
        <v>5087</v>
      </c>
      <c r="C49" s="16" t="s">
        <v>5088</v>
      </c>
      <c r="D49" s="16" t="s">
        <v>431</v>
      </c>
      <c r="E49" s="15">
        <v>9</v>
      </c>
      <c r="F49" s="13" t="s">
        <v>5089</v>
      </c>
      <c r="G49" s="14" t="s">
        <v>79</v>
      </c>
      <c r="H49" s="58">
        <v>95000000</v>
      </c>
      <c r="I49" s="58" t="s">
        <v>6728</v>
      </c>
      <c r="J49" s="58" t="str">
        <f>IF(ISNA(VLOOKUP(A49,'KM Data Edits'!A$1:P$1522,16,0)),"",(VLOOKUP(A49,'KM Data Edits'!A$1:P$1522,16,0)))</f>
        <v>Contested</v>
      </c>
    </row>
    <row r="50" spans="1:10" x14ac:dyDescent="0.25">
      <c r="A50" s="57" t="s">
        <v>3118</v>
      </c>
      <c r="B50" s="57" t="s">
        <v>5050</v>
      </c>
      <c r="C50" s="16" t="s">
        <v>5051</v>
      </c>
      <c r="D50" s="16" t="s">
        <v>603</v>
      </c>
      <c r="E50" s="15">
        <v>11</v>
      </c>
      <c r="F50" s="13" t="s">
        <v>5052</v>
      </c>
      <c r="G50" s="14" t="s">
        <v>5053</v>
      </c>
      <c r="H50" s="58">
        <v>100000000</v>
      </c>
      <c r="I50" s="58" t="s">
        <v>6728</v>
      </c>
      <c r="J50" s="58" t="str">
        <f>IF(ISNA(VLOOKUP(A50,'KM Data Edits'!A$1:P$1522,16,0)),"",(VLOOKUP(A50,'KM Data Edits'!A$1:P$1522,16,0)))</f>
        <v>Contested</v>
      </c>
    </row>
    <row r="51" spans="1:10" ht="60" x14ac:dyDescent="0.25">
      <c r="A51" s="57" t="s">
        <v>579</v>
      </c>
      <c r="B51" s="57" t="s">
        <v>5215</v>
      </c>
      <c r="C51" s="16" t="s">
        <v>5216</v>
      </c>
      <c r="D51" s="16" t="s">
        <v>457</v>
      </c>
      <c r="E51" s="15">
        <v>9</v>
      </c>
      <c r="F51" s="13" t="s">
        <v>5217</v>
      </c>
      <c r="G51" s="14" t="s">
        <v>5218</v>
      </c>
      <c r="H51" s="58">
        <v>110000000</v>
      </c>
      <c r="I51" s="58" t="s">
        <v>6729</v>
      </c>
      <c r="J51" s="58" t="str">
        <f>IF(ISNA(VLOOKUP(A51,'KM Data Edits'!A$1:P$1522,16,0)),"",(VLOOKUP(A51,'KM Data Edits'!A$1:P$1522,16,0)))</f>
        <v>Contested</v>
      </c>
    </row>
    <row r="52" spans="1:10" x14ac:dyDescent="0.25">
      <c r="A52" s="57" t="s">
        <v>2811</v>
      </c>
      <c r="B52" s="57" t="s">
        <v>4953</v>
      </c>
      <c r="C52" s="16" t="s">
        <v>4954</v>
      </c>
      <c r="D52" s="16" t="s">
        <v>424</v>
      </c>
      <c r="E52" s="15">
        <v>3</v>
      </c>
      <c r="F52" s="13" t="s">
        <v>4955</v>
      </c>
      <c r="G52" s="14" t="s">
        <v>554</v>
      </c>
      <c r="H52" s="58">
        <v>120000000</v>
      </c>
      <c r="I52" s="58" t="s">
        <v>6729</v>
      </c>
      <c r="J52" s="58" t="str">
        <f>IF(ISNA(VLOOKUP(A52,'KM Data Edits'!A$1:P$1522,16,0)),"",(VLOOKUP(A52,'KM Data Edits'!A$1:P$1522,16,0)))</f>
        <v>Contested</v>
      </c>
    </row>
    <row r="53" spans="1:10" x14ac:dyDescent="0.25">
      <c r="A53" s="57" t="s">
        <v>2097</v>
      </c>
      <c r="B53" s="57" t="s">
        <v>4690</v>
      </c>
      <c r="C53" s="16" t="s">
        <v>4691</v>
      </c>
      <c r="D53" s="16" t="s">
        <v>457</v>
      </c>
      <c r="E53" s="15">
        <v>9</v>
      </c>
      <c r="F53" s="13" t="s">
        <v>4692</v>
      </c>
      <c r="G53" s="14" t="s">
        <v>63</v>
      </c>
      <c r="H53" s="58">
        <v>125000000</v>
      </c>
      <c r="I53" s="58" t="s">
        <v>6729</v>
      </c>
      <c r="J53" s="58" t="str">
        <f>IF(ISNA(VLOOKUP(A53,'KM Data Edits'!A$1:P$1522,16,0)),"",(VLOOKUP(A53,'KM Data Edits'!A$1:P$1522,16,0)))</f>
        <v>Contested</v>
      </c>
    </row>
    <row r="54" spans="1:10" x14ac:dyDescent="0.25">
      <c r="A54" s="57" t="s">
        <v>3545</v>
      </c>
      <c r="B54" s="57" t="s">
        <v>5205</v>
      </c>
      <c r="C54" s="16" t="s">
        <v>5206</v>
      </c>
      <c r="D54" s="16" t="s">
        <v>424</v>
      </c>
      <c r="E54" s="15">
        <v>3</v>
      </c>
      <c r="F54" s="13" t="s">
        <v>5207</v>
      </c>
      <c r="G54" s="14" t="s">
        <v>597</v>
      </c>
      <c r="H54" s="58">
        <v>130000000</v>
      </c>
      <c r="I54" s="58" t="s">
        <v>6729</v>
      </c>
      <c r="J54" s="58" t="str">
        <f>IF(ISNA(VLOOKUP(A54,'KM Data Edits'!A$1:P$1522,16,0)),"",(VLOOKUP(A54,'KM Data Edits'!A$1:P$1522,16,0)))</f>
        <v>Contested</v>
      </c>
    </row>
    <row r="55" spans="1:10" x14ac:dyDescent="0.25">
      <c r="A55" s="57" t="s">
        <v>2450</v>
      </c>
      <c r="B55" s="57" t="s">
        <v>4816</v>
      </c>
      <c r="C55" s="16" t="s">
        <v>4817</v>
      </c>
      <c r="D55" s="16" t="s">
        <v>480</v>
      </c>
      <c r="E55" s="15">
        <v>9</v>
      </c>
      <c r="F55" s="13" t="s">
        <v>4818</v>
      </c>
      <c r="G55" s="14" t="s">
        <v>79</v>
      </c>
      <c r="H55" s="58">
        <v>130000000</v>
      </c>
      <c r="I55" s="58" t="s">
        <v>6729</v>
      </c>
      <c r="J55" s="58" t="str">
        <f>IF(ISNA(VLOOKUP(A55,'KM Data Edits'!A$1:P$1522,16,0)),"",(VLOOKUP(A55,'KM Data Edits'!A$1:P$1522,16,0)))</f>
        <v>Contested</v>
      </c>
    </row>
    <row r="56" spans="1:10" x14ac:dyDescent="0.25">
      <c r="A56" s="57" t="s">
        <v>3459</v>
      </c>
      <c r="B56" s="57" t="s">
        <v>5181</v>
      </c>
      <c r="C56" s="16" t="s">
        <v>5182</v>
      </c>
      <c r="D56" s="16" t="s">
        <v>446</v>
      </c>
      <c r="E56" s="15">
        <v>9</v>
      </c>
      <c r="F56" s="13" t="s">
        <v>5183</v>
      </c>
      <c r="G56" s="14" t="s">
        <v>597</v>
      </c>
      <c r="H56" s="58">
        <v>150000000</v>
      </c>
      <c r="I56" s="58" t="s">
        <v>6729</v>
      </c>
      <c r="J56" s="58" t="str">
        <f>IF(ISNA(VLOOKUP(A56,'KM Data Edits'!A$1:P$1522,16,0)),"",(VLOOKUP(A56,'KM Data Edits'!A$1:P$1522,16,0)))</f>
        <v>Contested</v>
      </c>
    </row>
    <row r="57" spans="1:10" x14ac:dyDescent="0.25">
      <c r="A57" s="59" t="s">
        <v>2376</v>
      </c>
      <c r="B57" s="59" t="s">
        <v>4777</v>
      </c>
      <c r="C57" s="16" t="s">
        <v>4780</v>
      </c>
      <c r="D57" s="16" t="s">
        <v>418</v>
      </c>
      <c r="E57" s="15">
        <v>2</v>
      </c>
      <c r="F57" s="16" t="s">
        <v>4781</v>
      </c>
      <c r="G57" s="21" t="s">
        <v>63</v>
      </c>
      <c r="H57" s="60">
        <v>150000000</v>
      </c>
      <c r="I57" s="60" t="s">
        <v>6729</v>
      </c>
      <c r="J57" s="58" t="str">
        <f>IF(ISNA(VLOOKUP(A57,'KM Data Edits'!A$1:P$1522,16,0)),"",(VLOOKUP(A57,'KM Data Edits'!A$1:P$1522,16,0)))</f>
        <v/>
      </c>
    </row>
    <row r="58" spans="1:10" x14ac:dyDescent="0.25">
      <c r="A58" s="57" t="s">
        <v>3056</v>
      </c>
      <c r="B58" s="57" t="s">
        <v>5028</v>
      </c>
      <c r="C58" s="16" t="s">
        <v>5029</v>
      </c>
      <c r="D58" s="16" t="s">
        <v>457</v>
      </c>
      <c r="E58" s="15">
        <v>9</v>
      </c>
      <c r="F58" s="13" t="s">
        <v>5030</v>
      </c>
      <c r="G58" s="14" t="s">
        <v>4336</v>
      </c>
      <c r="H58" s="58">
        <v>150000000</v>
      </c>
      <c r="I58" s="58" t="s">
        <v>6729</v>
      </c>
      <c r="J58" s="58" t="str">
        <f>IF(ISNA(VLOOKUP(A58,'KM Data Edits'!A$1:P$1522,16,0)),"",(VLOOKUP(A58,'KM Data Edits'!A$1:P$1522,16,0)))</f>
        <v>Contested</v>
      </c>
    </row>
    <row r="59" spans="1:10" x14ac:dyDescent="0.25">
      <c r="A59" s="57" t="s">
        <v>1486</v>
      </c>
      <c r="B59" s="57" t="s">
        <v>4503</v>
      </c>
      <c r="C59" s="16" t="s">
        <v>4504</v>
      </c>
      <c r="D59" s="16" t="s">
        <v>418</v>
      </c>
      <c r="E59" s="15">
        <v>2</v>
      </c>
      <c r="F59" s="13" t="s">
        <v>4505</v>
      </c>
      <c r="G59" s="14" t="s">
        <v>4336</v>
      </c>
      <c r="H59" s="58">
        <v>158000000</v>
      </c>
      <c r="I59" s="58" t="s">
        <v>6729</v>
      </c>
      <c r="J59" s="58" t="str">
        <f>IF(ISNA(VLOOKUP(A59,'KM Data Edits'!A$1:P$1522,16,0)),"",(VLOOKUP(A59,'KM Data Edits'!A$1:P$1522,16,0)))</f>
        <v>Contested</v>
      </c>
    </row>
    <row r="60" spans="1:10" x14ac:dyDescent="0.25">
      <c r="A60" s="59" t="s">
        <v>2297</v>
      </c>
      <c r="B60" s="59" t="s">
        <v>4749</v>
      </c>
      <c r="C60" s="16" t="s">
        <v>4750</v>
      </c>
      <c r="D60" s="16" t="s">
        <v>446</v>
      </c>
      <c r="E60" s="15">
        <v>9</v>
      </c>
      <c r="F60" s="26" t="s">
        <v>4751</v>
      </c>
      <c r="G60" s="21" t="s">
        <v>4752</v>
      </c>
      <c r="H60" s="60">
        <v>160000000</v>
      </c>
      <c r="I60" s="60" t="s">
        <v>6729</v>
      </c>
      <c r="J60" s="58" t="str">
        <f>IF(ISNA(VLOOKUP(A60,'KM Data Edits'!A$1:P$1522,16,0)),"",(VLOOKUP(A60,'KM Data Edits'!A$1:P$1522,16,0)))</f>
        <v>Contested</v>
      </c>
    </row>
    <row r="61" spans="1:10" x14ac:dyDescent="0.25">
      <c r="A61" s="57" t="s">
        <v>3061</v>
      </c>
      <c r="B61" s="57" t="s">
        <v>5031</v>
      </c>
      <c r="C61" s="16" t="s">
        <v>5032</v>
      </c>
      <c r="D61" s="16" t="s">
        <v>418</v>
      </c>
      <c r="E61" s="15">
        <v>2</v>
      </c>
      <c r="F61" s="13" t="s">
        <v>5033</v>
      </c>
      <c r="G61" s="14" t="s">
        <v>63</v>
      </c>
      <c r="H61" s="58">
        <v>165000000</v>
      </c>
      <c r="I61" s="58" t="s">
        <v>6729</v>
      </c>
      <c r="J61" s="58" t="str">
        <f>IF(ISNA(VLOOKUP(A61,'KM Data Edits'!A$1:P$1522,16,0)),"",(VLOOKUP(A61,'KM Data Edits'!A$1:P$1522,16,0)))</f>
        <v>Contested</v>
      </c>
    </row>
    <row r="62" spans="1:10" ht="30" x14ac:dyDescent="0.25">
      <c r="A62" s="57" t="s">
        <v>4107</v>
      </c>
      <c r="B62" s="57" t="s">
        <v>5382</v>
      </c>
      <c r="C62" s="16" t="s">
        <v>5383</v>
      </c>
      <c r="D62" s="16" t="s">
        <v>545</v>
      </c>
      <c r="E62" s="15">
        <v>10</v>
      </c>
      <c r="F62" s="13" t="s">
        <v>5384</v>
      </c>
      <c r="G62" s="14" t="s">
        <v>5385</v>
      </c>
      <c r="H62" s="58">
        <v>200000000</v>
      </c>
      <c r="I62" s="58" t="s">
        <v>6729</v>
      </c>
      <c r="J62" s="58" t="str">
        <f>IF(ISNA(VLOOKUP(A62,'KM Data Edits'!A$1:P$1522,16,0)),"",(VLOOKUP(A62,'KM Data Edits'!A$1:P$1522,16,0)))</f>
        <v>Contested</v>
      </c>
    </row>
    <row r="63" spans="1:10" x14ac:dyDescent="0.25">
      <c r="A63" s="57" t="s">
        <v>3996</v>
      </c>
      <c r="B63" s="57" t="s">
        <v>5350</v>
      </c>
      <c r="C63" s="16" t="s">
        <v>5351</v>
      </c>
      <c r="D63" s="16" t="s">
        <v>1815</v>
      </c>
      <c r="E63" s="15">
        <v>5</v>
      </c>
      <c r="F63" s="13" t="s">
        <v>5352</v>
      </c>
      <c r="G63" s="14" t="s">
        <v>4736</v>
      </c>
      <c r="H63" s="58">
        <v>215000000</v>
      </c>
      <c r="I63" s="58" t="s">
        <v>6729</v>
      </c>
      <c r="J63" s="58" t="str">
        <f>IF(ISNA(VLOOKUP(A63,'KM Data Edits'!A$1:P$1522,16,0)),"",(VLOOKUP(A63,'KM Data Edits'!A$1:P$1522,16,0)))</f>
        <v>Contested</v>
      </c>
    </row>
    <row r="64" spans="1:10" x14ac:dyDescent="0.25">
      <c r="A64" s="57" t="s">
        <v>2236</v>
      </c>
      <c r="B64" s="57" t="s">
        <v>4733</v>
      </c>
      <c r="C64" s="16" t="s">
        <v>4734</v>
      </c>
      <c r="D64" s="16" t="s">
        <v>437</v>
      </c>
      <c r="E64" s="15">
        <v>3</v>
      </c>
      <c r="F64" s="13" t="s">
        <v>4735</v>
      </c>
      <c r="G64" s="14" t="s">
        <v>4736</v>
      </c>
      <c r="H64" s="58">
        <v>225000000</v>
      </c>
      <c r="I64" s="58" t="s">
        <v>6729</v>
      </c>
      <c r="J64" s="58" t="str">
        <f>IF(ISNA(VLOOKUP(A64,'KM Data Edits'!A$1:P$1522,16,0)),"",(VLOOKUP(A64,'KM Data Edits'!A$1:P$1522,16,0)))</f>
        <v>Contested</v>
      </c>
    </row>
    <row r="65" spans="1:10" x14ac:dyDescent="0.25">
      <c r="A65" s="59" t="s">
        <v>1684</v>
      </c>
      <c r="B65" s="57" t="s">
        <v>4556</v>
      </c>
      <c r="C65" s="16" t="s">
        <v>4557</v>
      </c>
      <c r="D65" s="16" t="s">
        <v>457</v>
      </c>
      <c r="E65" s="15">
        <v>9</v>
      </c>
      <c r="F65" s="13" t="s">
        <v>4558</v>
      </c>
      <c r="G65" s="14" t="s">
        <v>4336</v>
      </c>
      <c r="H65" s="58">
        <v>245000000</v>
      </c>
      <c r="I65" s="58" t="s">
        <v>6729</v>
      </c>
      <c r="J65" s="58" t="str">
        <f>IF(ISNA(VLOOKUP(A65,'KM Data Edits'!A$1:P$1522,16,0)),"",(VLOOKUP(A65,'KM Data Edits'!A$1:P$1522,16,0)))</f>
        <v>Contested</v>
      </c>
    </row>
    <row r="66" spans="1:10" x14ac:dyDescent="0.25">
      <c r="A66" s="57" t="s">
        <v>190</v>
      </c>
      <c r="B66" s="57" t="s">
        <v>4756</v>
      </c>
      <c r="C66" s="16" t="s">
        <v>4757</v>
      </c>
      <c r="D66" s="16" t="s">
        <v>457</v>
      </c>
      <c r="E66" s="15">
        <v>9</v>
      </c>
      <c r="F66" s="13" t="s">
        <v>4758</v>
      </c>
      <c r="G66" s="14" t="s">
        <v>584</v>
      </c>
      <c r="H66" s="58">
        <v>250000000</v>
      </c>
      <c r="I66" s="58" t="s">
        <v>6729</v>
      </c>
      <c r="J66" s="58" t="str">
        <f>IF(ISNA(VLOOKUP(A66,'KM Data Edits'!A$1:P$1522,16,0)),"",(VLOOKUP(A66,'KM Data Edits'!A$1:P$1522,16,0)))</f>
        <v>Contested</v>
      </c>
    </row>
    <row r="67" spans="1:10" x14ac:dyDescent="0.25">
      <c r="A67" s="57" t="s">
        <v>4081</v>
      </c>
      <c r="B67" s="57" t="s">
        <v>5370</v>
      </c>
      <c r="C67" s="16" t="s">
        <v>5371</v>
      </c>
      <c r="D67" s="16" t="s">
        <v>557</v>
      </c>
      <c r="E67" s="15">
        <v>9</v>
      </c>
      <c r="F67" s="13" t="s">
        <v>5372</v>
      </c>
      <c r="G67" s="14" t="s">
        <v>63</v>
      </c>
      <c r="H67" s="58">
        <v>250000000</v>
      </c>
      <c r="I67" s="58" t="s">
        <v>6729</v>
      </c>
      <c r="J67" s="58" t="str">
        <f>IF(ISNA(VLOOKUP(A67,'KM Data Edits'!A$1:P$1522,16,0)),"",(VLOOKUP(A67,'KM Data Edits'!A$1:P$1522,16,0)))</f>
        <v>Contested</v>
      </c>
    </row>
  </sheetData>
  <sortState xmlns:xlrd2="http://schemas.microsoft.com/office/spreadsheetml/2017/richdata2" ref="A2:J67">
    <sortCondition ref="H2:H67"/>
    <sortCondition ref="G2:G67"/>
    <sortCondition ref="A2:A67"/>
  </sortState>
  <hyperlinks>
    <hyperlink ref="B44" r:id="rId1" display="https://www.google.com/search?q=NYSE:CFG&amp;stick=H4sIAAAAAAAAAONgecRowS3w8sc9YSn9SWtOXmPU5OIKzsgvd80rySypFJLmYoOyBKX4uXj10_UNDZOSKgxNs4qSeAACCG4jPQAAAA&amp;sa=X&amp;ved=0ahUKEwjMkN-WpNPVAhXJx4MKHboeCs8QsRUIyQEwEw" xr:uid="{00000000-0004-0000-0800-000000000000}"/>
    <hyperlink ref="B60" r:id="rId2" display="https://www.google.com/search?q=NYSEMKT:IMUC&amp;stick=H4sIAAAAAAAAAONgecRozi3w8sc9YSm9SWtOXmPU4OIKzsgvd80rySypFJLiYoOyBKT4uHj00_UNM5LKigxyLEp4AGBvuLE8AAAA&amp;sa=X&amp;ved=0ahUKEwiiqdzipNPVAhWi0YMKHZC6D20QsRUIhwEwDg" xr:uid="{00000000-0004-0000-0800-000001000000}"/>
    <hyperlink ref="B57" r:id="rId3" display="https://www.google.com/search?q=NASDAQ:INSY&amp;stick=H4sIAAAAAAAAAONgecRozi3w8sc9YSm9SWtOXmPU4OIKzsgvd80rySypFJLiYoOyBKT4uHj00_UNM5LKMooM4o14AIjApls8AAAA&amp;sa=X&amp;ved=0ahUKEwirx6PppNPVAhXr7IMKHefDBJ4QsRUIjwEwDw" xr:uid="{00000000-0004-0000-0800-000002000000}"/>
  </hyperlinks>
  <pageMargins left="0.7" right="0.7" top="0.75" bottom="0.75" header="0.3" footer="0.3"/>
  <pageSetup orientation="portrait" horizontalDpi="1200" verticalDpi="1200"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O1503"/>
  <sheetViews>
    <sheetView workbookViewId="0">
      <selection activeCell="E39" sqref="E39"/>
    </sheetView>
  </sheetViews>
  <sheetFormatPr defaultRowHeight="15" x14ac:dyDescent="0.25"/>
  <sheetData>
    <row r="1503" spans="15:15" x14ac:dyDescent="0.25">
      <c r="O1503" t="s">
        <v>192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0"/>
  <sheetViews>
    <sheetView workbookViewId="0">
      <selection activeCell="A13" sqref="A13"/>
    </sheetView>
  </sheetViews>
  <sheetFormatPr defaultRowHeight="15" x14ac:dyDescent="0.25"/>
  <cols>
    <col min="1" max="1" width="27.85546875" style="7" bestFit="1" customWidth="1"/>
    <col min="2" max="2" width="9.140625" style="7"/>
  </cols>
  <sheetData>
    <row r="1" spans="1:3" x14ac:dyDescent="0.25">
      <c r="A1" s="426" t="s">
        <v>6725</v>
      </c>
      <c r="B1" s="426"/>
    </row>
    <row r="2" spans="1:3" x14ac:dyDescent="0.25">
      <c r="A2" s="52">
        <v>25000000</v>
      </c>
      <c r="B2" s="7" t="s">
        <v>6726</v>
      </c>
      <c r="C2" t="s">
        <v>6750</v>
      </c>
    </row>
    <row r="3" spans="1:3" x14ac:dyDescent="0.25">
      <c r="A3" s="52">
        <v>50000000</v>
      </c>
      <c r="B3" s="7" t="s">
        <v>6727</v>
      </c>
      <c r="C3" t="s">
        <v>6750</v>
      </c>
    </row>
    <row r="4" spans="1:3" x14ac:dyDescent="0.25">
      <c r="A4" s="52">
        <v>100000000</v>
      </c>
      <c r="B4" s="7" t="s">
        <v>6728</v>
      </c>
      <c r="C4" t="s">
        <v>6750</v>
      </c>
    </row>
    <row r="5" spans="1:3" x14ac:dyDescent="0.25">
      <c r="A5" s="52">
        <v>250000000</v>
      </c>
      <c r="B5" s="7" t="s">
        <v>6729</v>
      </c>
      <c r="C5" t="s">
        <v>6750</v>
      </c>
    </row>
    <row r="6" spans="1:3" x14ac:dyDescent="0.25">
      <c r="A6" s="52">
        <v>500000000</v>
      </c>
      <c r="B6" s="7" t="s">
        <v>6730</v>
      </c>
    </row>
    <row r="7" spans="1:3" x14ac:dyDescent="0.25">
      <c r="A7" s="52">
        <v>500000001</v>
      </c>
      <c r="B7" s="7" t="s">
        <v>6731</v>
      </c>
    </row>
    <row r="8" spans="1:3" x14ac:dyDescent="0.25">
      <c r="A8" s="7" t="s">
        <v>4314</v>
      </c>
      <c r="B8" s="7" t="s">
        <v>6732</v>
      </c>
    </row>
    <row r="10" spans="1:3" x14ac:dyDescent="0.25">
      <c r="A10" s="7" t="s">
        <v>6733</v>
      </c>
      <c r="B10" s="7" t="s">
        <v>6734</v>
      </c>
    </row>
  </sheetData>
  <mergeCells count="1">
    <mergeCell ref="A1:B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12"/>
  <sheetViews>
    <sheetView workbookViewId="0">
      <selection activeCell="K25" sqref="K25"/>
    </sheetView>
  </sheetViews>
  <sheetFormatPr defaultRowHeight="15" x14ac:dyDescent="0.25"/>
  <sheetData>
    <row r="1" spans="1:2" x14ac:dyDescent="0.25">
      <c r="A1" s="64" t="s">
        <v>7077</v>
      </c>
      <c r="B1" s="64" t="s">
        <v>7561</v>
      </c>
    </row>
    <row r="2" spans="1:2" x14ac:dyDescent="0.25">
      <c r="A2" s="64" t="s">
        <v>6983</v>
      </c>
      <c r="B2" s="64" t="s">
        <v>7561</v>
      </c>
    </row>
    <row r="3" spans="1:2" x14ac:dyDescent="0.25">
      <c r="A3" s="64" t="s">
        <v>6986</v>
      </c>
      <c r="B3" s="64" t="s">
        <v>7561</v>
      </c>
    </row>
    <row r="4" spans="1:2" x14ac:dyDescent="0.25">
      <c r="A4" s="64" t="s">
        <v>6944</v>
      </c>
      <c r="B4" s="64" t="s">
        <v>7561</v>
      </c>
    </row>
    <row r="5" spans="1:2" x14ac:dyDescent="0.25">
      <c r="A5" s="64" t="s">
        <v>7256</v>
      </c>
      <c r="B5" s="64" t="s">
        <v>7561</v>
      </c>
    </row>
    <row r="6" spans="1:2" x14ac:dyDescent="0.25">
      <c r="A6" s="64" t="s">
        <v>6935</v>
      </c>
      <c r="B6" s="64" t="s">
        <v>7561</v>
      </c>
    </row>
    <row r="7" spans="1:2" x14ac:dyDescent="0.25">
      <c r="A7" s="64" t="s">
        <v>6766</v>
      </c>
      <c r="B7" s="64" t="s">
        <v>7561</v>
      </c>
    </row>
    <row r="8" spans="1:2" x14ac:dyDescent="0.25">
      <c r="A8" s="64" t="s">
        <v>4269</v>
      </c>
      <c r="B8" s="64" t="s">
        <v>7561</v>
      </c>
    </row>
    <row r="9" spans="1:2" x14ac:dyDescent="0.25">
      <c r="A9" s="64" t="s">
        <v>6763</v>
      </c>
      <c r="B9" s="64" t="s">
        <v>7561</v>
      </c>
    </row>
    <row r="10" spans="1:2" x14ac:dyDescent="0.25">
      <c r="A10" s="64" t="s">
        <v>7154</v>
      </c>
      <c r="B10" s="64" t="s">
        <v>7561</v>
      </c>
    </row>
    <row r="11" spans="1:2" x14ac:dyDescent="0.25">
      <c r="A11" s="64" t="s">
        <v>287</v>
      </c>
      <c r="B11" s="64" t="s">
        <v>7561</v>
      </c>
    </row>
    <row r="12" spans="1:2" x14ac:dyDescent="0.25">
      <c r="A12" s="64" t="s">
        <v>6984</v>
      </c>
      <c r="B12" s="64" t="s">
        <v>7561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12"/>
  <sheetViews>
    <sheetView topLeftCell="A46" workbookViewId="0">
      <selection activeCell="A26" sqref="A26"/>
    </sheetView>
  </sheetViews>
  <sheetFormatPr defaultRowHeight="15" x14ac:dyDescent="0.25"/>
  <cols>
    <col min="1" max="1" width="109.28515625" bestFit="1" customWidth="1"/>
  </cols>
  <sheetData>
    <row r="1" spans="1:2" x14ac:dyDescent="0.25">
      <c r="A1" s="65" t="s">
        <v>393</v>
      </c>
    </row>
    <row r="2" spans="1:2" x14ac:dyDescent="0.25">
      <c r="A2" t="s">
        <v>402</v>
      </c>
      <c r="B2" t="s">
        <v>404</v>
      </c>
    </row>
    <row r="3" spans="1:2" x14ac:dyDescent="0.25">
      <c r="A3" t="s">
        <v>0</v>
      </c>
      <c r="B3" t="s">
        <v>404</v>
      </c>
    </row>
    <row r="4" spans="1:2" x14ac:dyDescent="0.25">
      <c r="A4" t="s">
        <v>6</v>
      </c>
      <c r="B4" t="s">
        <v>404</v>
      </c>
    </row>
    <row r="5" spans="1:2" x14ac:dyDescent="0.25">
      <c r="A5" t="s">
        <v>12</v>
      </c>
      <c r="B5" t="s">
        <v>404</v>
      </c>
    </row>
    <row r="6" spans="1:2" x14ac:dyDescent="0.25">
      <c r="A6" t="s">
        <v>26</v>
      </c>
      <c r="B6" t="s">
        <v>404</v>
      </c>
    </row>
    <row r="7" spans="1:2" x14ac:dyDescent="0.25">
      <c r="A7" t="s">
        <v>32</v>
      </c>
      <c r="B7" t="s">
        <v>404</v>
      </c>
    </row>
    <row r="8" spans="1:2" x14ac:dyDescent="0.25">
      <c r="A8" t="s">
        <v>39</v>
      </c>
      <c r="B8" t="s">
        <v>404</v>
      </c>
    </row>
    <row r="9" spans="1:2" x14ac:dyDescent="0.25">
      <c r="A9" t="s">
        <v>1795</v>
      </c>
      <c r="B9" t="s">
        <v>404</v>
      </c>
    </row>
    <row r="10" spans="1:2" x14ac:dyDescent="0.25">
      <c r="A10" t="s">
        <v>2224</v>
      </c>
      <c r="B10" t="s">
        <v>404</v>
      </c>
    </row>
    <row r="11" spans="1:2" x14ac:dyDescent="0.25">
      <c r="A11" t="s">
        <v>59</v>
      </c>
      <c r="B11" t="s">
        <v>404</v>
      </c>
    </row>
    <row r="12" spans="1:2" x14ac:dyDescent="0.25">
      <c r="A12" t="s">
        <v>65</v>
      </c>
      <c r="B12" t="s">
        <v>404</v>
      </c>
    </row>
    <row r="13" spans="1:2" x14ac:dyDescent="0.25">
      <c r="A13" t="s">
        <v>69</v>
      </c>
      <c r="B13" t="s">
        <v>404</v>
      </c>
    </row>
    <row r="14" spans="1:2" x14ac:dyDescent="0.25">
      <c r="A14" t="s">
        <v>81</v>
      </c>
      <c r="B14" t="s">
        <v>404</v>
      </c>
    </row>
    <row r="15" spans="1:2" x14ac:dyDescent="0.25">
      <c r="A15" t="s">
        <v>85</v>
      </c>
      <c r="B15" t="s">
        <v>404</v>
      </c>
    </row>
    <row r="16" spans="1:2" x14ac:dyDescent="0.25">
      <c r="A16" t="s">
        <v>3675</v>
      </c>
      <c r="B16" t="s">
        <v>404</v>
      </c>
    </row>
    <row r="17" spans="1:2" x14ac:dyDescent="0.25">
      <c r="A17" t="s">
        <v>89</v>
      </c>
      <c r="B17" t="s">
        <v>404</v>
      </c>
    </row>
    <row r="18" spans="1:2" x14ac:dyDescent="0.25">
      <c r="A18" t="s">
        <v>94</v>
      </c>
      <c r="B18" t="s">
        <v>404</v>
      </c>
    </row>
    <row r="19" spans="1:2" x14ac:dyDescent="0.25">
      <c r="A19" t="s">
        <v>103</v>
      </c>
      <c r="B19" t="s">
        <v>404</v>
      </c>
    </row>
    <row r="20" spans="1:2" x14ac:dyDescent="0.25">
      <c r="A20" t="s">
        <v>111</v>
      </c>
      <c r="B20" t="s">
        <v>404</v>
      </c>
    </row>
    <row r="21" spans="1:2" x14ac:dyDescent="0.25">
      <c r="A21" t="s">
        <v>118</v>
      </c>
      <c r="B21" t="s">
        <v>404</v>
      </c>
    </row>
    <row r="22" spans="1:2" x14ac:dyDescent="0.25">
      <c r="A22" t="s">
        <v>128</v>
      </c>
      <c r="B22" t="s">
        <v>404</v>
      </c>
    </row>
    <row r="23" spans="1:2" x14ac:dyDescent="0.25">
      <c r="A23" t="s">
        <v>3764</v>
      </c>
      <c r="B23" t="s">
        <v>404</v>
      </c>
    </row>
    <row r="24" spans="1:2" x14ac:dyDescent="0.25">
      <c r="A24" t="s">
        <v>131</v>
      </c>
      <c r="B24" t="s">
        <v>404</v>
      </c>
    </row>
    <row r="25" spans="1:2" x14ac:dyDescent="0.25">
      <c r="A25" t="s">
        <v>135</v>
      </c>
      <c r="B25" t="s">
        <v>404</v>
      </c>
    </row>
    <row r="26" spans="1:2" x14ac:dyDescent="0.25">
      <c r="A26" t="s">
        <v>141</v>
      </c>
      <c r="B26" t="s">
        <v>404</v>
      </c>
    </row>
    <row r="27" spans="1:2" x14ac:dyDescent="0.25">
      <c r="A27" t="s">
        <v>3361</v>
      </c>
      <c r="B27" t="s">
        <v>404</v>
      </c>
    </row>
    <row r="28" spans="1:2" x14ac:dyDescent="0.25">
      <c r="A28" t="s">
        <v>145</v>
      </c>
      <c r="B28" t="s">
        <v>404</v>
      </c>
    </row>
    <row r="29" spans="1:2" x14ac:dyDescent="0.25">
      <c r="A29" t="s">
        <v>4032</v>
      </c>
      <c r="B29" t="s">
        <v>404</v>
      </c>
    </row>
    <row r="30" spans="1:2" x14ac:dyDescent="0.25">
      <c r="A30" t="s">
        <v>506</v>
      </c>
      <c r="B30" t="s">
        <v>404</v>
      </c>
    </row>
    <row r="31" spans="1:2" x14ac:dyDescent="0.25">
      <c r="A31" t="s">
        <v>3273</v>
      </c>
      <c r="B31" t="s">
        <v>404</v>
      </c>
    </row>
    <row r="32" spans="1:2" x14ac:dyDescent="0.25">
      <c r="A32" t="s">
        <v>152</v>
      </c>
      <c r="B32" t="s">
        <v>404</v>
      </c>
    </row>
    <row r="33" spans="1:2" x14ac:dyDescent="0.25">
      <c r="A33" t="s">
        <v>156</v>
      </c>
      <c r="B33" t="s">
        <v>404</v>
      </c>
    </row>
    <row r="34" spans="1:2" x14ac:dyDescent="0.25">
      <c r="A34" t="s">
        <v>165</v>
      </c>
      <c r="B34" t="s">
        <v>404</v>
      </c>
    </row>
    <row r="35" spans="1:2" x14ac:dyDescent="0.25">
      <c r="A35" t="s">
        <v>172</v>
      </c>
      <c r="B35" t="s">
        <v>404</v>
      </c>
    </row>
    <row r="36" spans="1:2" x14ac:dyDescent="0.25">
      <c r="A36" t="s">
        <v>4146</v>
      </c>
      <c r="B36" t="s">
        <v>404</v>
      </c>
    </row>
    <row r="37" spans="1:2" x14ac:dyDescent="0.25">
      <c r="A37" t="s">
        <v>175</v>
      </c>
      <c r="B37" t="s">
        <v>404</v>
      </c>
    </row>
    <row r="38" spans="1:2" x14ac:dyDescent="0.25">
      <c r="A38" t="s">
        <v>1021</v>
      </c>
      <c r="B38" t="s">
        <v>404</v>
      </c>
    </row>
    <row r="39" spans="1:2" x14ac:dyDescent="0.25">
      <c r="A39" t="s">
        <v>184</v>
      </c>
      <c r="B39" t="s">
        <v>404</v>
      </c>
    </row>
    <row r="40" spans="1:2" x14ac:dyDescent="0.25">
      <c r="A40" t="s">
        <v>1197</v>
      </c>
      <c r="B40" t="s">
        <v>404</v>
      </c>
    </row>
    <row r="41" spans="1:2" x14ac:dyDescent="0.25">
      <c r="A41" t="s">
        <v>3603</v>
      </c>
      <c r="B41" t="s">
        <v>404</v>
      </c>
    </row>
    <row r="42" spans="1:2" x14ac:dyDescent="0.25">
      <c r="A42" t="s">
        <v>189</v>
      </c>
      <c r="B42" t="s">
        <v>404</v>
      </c>
    </row>
    <row r="43" spans="1:2" x14ac:dyDescent="0.25">
      <c r="A43" t="s">
        <v>195</v>
      </c>
      <c r="B43" t="s">
        <v>404</v>
      </c>
    </row>
    <row r="44" spans="1:2" x14ac:dyDescent="0.25">
      <c r="A44" t="s">
        <v>201</v>
      </c>
      <c r="B44" t="s">
        <v>404</v>
      </c>
    </row>
    <row r="45" spans="1:2" x14ac:dyDescent="0.25">
      <c r="A45" t="s">
        <v>206</v>
      </c>
      <c r="B45" t="s">
        <v>404</v>
      </c>
    </row>
    <row r="46" spans="1:2" x14ac:dyDescent="0.25">
      <c r="A46" t="s">
        <v>210</v>
      </c>
      <c r="B46" t="s">
        <v>404</v>
      </c>
    </row>
    <row r="47" spans="1:2" x14ac:dyDescent="0.25">
      <c r="A47" t="s">
        <v>1334</v>
      </c>
      <c r="B47" t="s">
        <v>404</v>
      </c>
    </row>
    <row r="48" spans="1:2" x14ac:dyDescent="0.25">
      <c r="A48" t="s">
        <v>214</v>
      </c>
      <c r="B48" t="s">
        <v>404</v>
      </c>
    </row>
    <row r="49" spans="1:2" x14ac:dyDescent="0.25">
      <c r="A49" t="s">
        <v>3610</v>
      </c>
      <c r="B49" t="s">
        <v>404</v>
      </c>
    </row>
    <row r="50" spans="1:2" x14ac:dyDescent="0.25">
      <c r="A50" t="s">
        <v>3605</v>
      </c>
      <c r="B50" t="s">
        <v>404</v>
      </c>
    </row>
    <row r="51" spans="1:2" x14ac:dyDescent="0.25">
      <c r="A51" t="s">
        <v>3595</v>
      </c>
      <c r="B51" t="s">
        <v>404</v>
      </c>
    </row>
    <row r="52" spans="1:2" x14ac:dyDescent="0.25">
      <c r="A52" t="s">
        <v>550</v>
      </c>
      <c r="B52" t="s">
        <v>404</v>
      </c>
    </row>
    <row r="53" spans="1:2" x14ac:dyDescent="0.25">
      <c r="A53" t="s">
        <v>218</v>
      </c>
      <c r="B53" t="s">
        <v>404</v>
      </c>
    </row>
    <row r="54" spans="1:2" x14ac:dyDescent="0.25">
      <c r="A54" t="s">
        <v>3608</v>
      </c>
      <c r="B54" t="s">
        <v>404</v>
      </c>
    </row>
    <row r="55" spans="1:2" x14ac:dyDescent="0.25">
      <c r="A55" t="s">
        <v>2612</v>
      </c>
      <c r="B55" t="s">
        <v>404</v>
      </c>
    </row>
    <row r="56" spans="1:2" x14ac:dyDescent="0.25">
      <c r="A56" t="s">
        <v>1461</v>
      </c>
      <c r="B56" t="s">
        <v>404</v>
      </c>
    </row>
    <row r="57" spans="1:2" x14ac:dyDescent="0.25">
      <c r="A57" t="s">
        <v>223</v>
      </c>
      <c r="B57" t="s">
        <v>404</v>
      </c>
    </row>
    <row r="58" spans="1:2" x14ac:dyDescent="0.25">
      <c r="A58" t="s">
        <v>227</v>
      </c>
      <c r="B58" t="s">
        <v>404</v>
      </c>
    </row>
    <row r="59" spans="1:2" x14ac:dyDescent="0.25">
      <c r="A59" t="s">
        <v>230</v>
      </c>
      <c r="B59" t="s">
        <v>404</v>
      </c>
    </row>
    <row r="60" spans="1:2" x14ac:dyDescent="0.25">
      <c r="A60" t="s">
        <v>233</v>
      </c>
      <c r="B60" t="s">
        <v>404</v>
      </c>
    </row>
    <row r="61" spans="1:2" x14ac:dyDescent="0.25">
      <c r="A61" t="s">
        <v>3414</v>
      </c>
      <c r="B61" t="s">
        <v>404</v>
      </c>
    </row>
    <row r="62" spans="1:2" x14ac:dyDescent="0.25">
      <c r="A62" t="s">
        <v>1798</v>
      </c>
      <c r="B62" t="s">
        <v>404</v>
      </c>
    </row>
    <row r="63" spans="1:2" x14ac:dyDescent="0.25">
      <c r="A63" t="s">
        <v>237</v>
      </c>
      <c r="B63" t="s">
        <v>404</v>
      </c>
    </row>
    <row r="64" spans="1:2" x14ac:dyDescent="0.25">
      <c r="A64" t="s">
        <v>243</v>
      </c>
      <c r="B64" t="s">
        <v>404</v>
      </c>
    </row>
    <row r="65" spans="1:2" x14ac:dyDescent="0.25">
      <c r="A65" t="s">
        <v>560</v>
      </c>
      <c r="B65" t="s">
        <v>404</v>
      </c>
    </row>
    <row r="66" spans="1:2" x14ac:dyDescent="0.25">
      <c r="A66" t="s">
        <v>565</v>
      </c>
      <c r="B66" t="s">
        <v>404</v>
      </c>
    </row>
    <row r="67" spans="1:2" x14ac:dyDescent="0.25">
      <c r="A67" t="s">
        <v>249</v>
      </c>
      <c r="B67" t="s">
        <v>404</v>
      </c>
    </row>
    <row r="68" spans="1:2" x14ac:dyDescent="0.25">
      <c r="A68" t="s">
        <v>261</v>
      </c>
      <c r="B68" t="s">
        <v>404</v>
      </c>
    </row>
    <row r="69" spans="1:2" x14ac:dyDescent="0.25">
      <c r="A69" t="s">
        <v>264</v>
      </c>
      <c r="B69" t="s">
        <v>404</v>
      </c>
    </row>
    <row r="70" spans="1:2" x14ac:dyDescent="0.25">
      <c r="A70" t="s">
        <v>268</v>
      </c>
      <c r="B70" t="s">
        <v>404</v>
      </c>
    </row>
    <row r="71" spans="1:2" x14ac:dyDescent="0.25">
      <c r="A71" t="s">
        <v>274</v>
      </c>
      <c r="B71" t="s">
        <v>404</v>
      </c>
    </row>
    <row r="72" spans="1:2" x14ac:dyDescent="0.25">
      <c r="A72" t="s">
        <v>280</v>
      </c>
      <c r="B72" t="s">
        <v>404</v>
      </c>
    </row>
    <row r="73" spans="1:2" x14ac:dyDescent="0.25">
      <c r="A73" t="s">
        <v>285</v>
      </c>
      <c r="B73" t="s">
        <v>404</v>
      </c>
    </row>
    <row r="74" spans="1:2" x14ac:dyDescent="0.25">
      <c r="A74" t="s">
        <v>3612</v>
      </c>
      <c r="B74" t="s">
        <v>404</v>
      </c>
    </row>
    <row r="75" spans="1:2" x14ac:dyDescent="0.25">
      <c r="A75" t="s">
        <v>1626</v>
      </c>
      <c r="B75" t="s">
        <v>404</v>
      </c>
    </row>
    <row r="76" spans="1:2" x14ac:dyDescent="0.25">
      <c r="A76" t="s">
        <v>582</v>
      </c>
      <c r="B76" t="s">
        <v>404</v>
      </c>
    </row>
    <row r="77" spans="1:2" x14ac:dyDescent="0.25">
      <c r="A77" t="s">
        <v>291</v>
      </c>
      <c r="B77" t="s">
        <v>404</v>
      </c>
    </row>
    <row r="78" spans="1:2" x14ac:dyDescent="0.25">
      <c r="A78" t="s">
        <v>295</v>
      </c>
      <c r="B78" t="s">
        <v>404</v>
      </c>
    </row>
    <row r="79" spans="1:2" x14ac:dyDescent="0.25">
      <c r="A79" t="s">
        <v>2535</v>
      </c>
      <c r="B79" t="s">
        <v>404</v>
      </c>
    </row>
    <row r="80" spans="1:2" x14ac:dyDescent="0.25">
      <c r="A80" t="s">
        <v>298</v>
      </c>
      <c r="B80" t="s">
        <v>404</v>
      </c>
    </row>
    <row r="81" spans="1:2" x14ac:dyDescent="0.25">
      <c r="A81" t="s">
        <v>303</v>
      </c>
      <c r="B81" t="s">
        <v>404</v>
      </c>
    </row>
    <row r="82" spans="1:2" x14ac:dyDescent="0.25">
      <c r="A82" t="s">
        <v>308</v>
      </c>
      <c r="B82" t="s">
        <v>404</v>
      </c>
    </row>
    <row r="83" spans="1:2" x14ac:dyDescent="0.25">
      <c r="A83" t="s">
        <v>3614</v>
      </c>
      <c r="B83" t="s">
        <v>404</v>
      </c>
    </row>
    <row r="84" spans="1:2" x14ac:dyDescent="0.25">
      <c r="A84" t="s">
        <v>1001</v>
      </c>
      <c r="B84" t="s">
        <v>404</v>
      </c>
    </row>
    <row r="85" spans="1:2" x14ac:dyDescent="0.25">
      <c r="A85" t="s">
        <v>1373</v>
      </c>
      <c r="B85" t="s">
        <v>404</v>
      </c>
    </row>
    <row r="86" spans="1:2" x14ac:dyDescent="0.25">
      <c r="A86" t="s">
        <v>7440</v>
      </c>
      <c r="B86" t="s">
        <v>404</v>
      </c>
    </row>
    <row r="87" spans="1:2" x14ac:dyDescent="0.25">
      <c r="A87" t="s">
        <v>313</v>
      </c>
      <c r="B87" t="s">
        <v>404</v>
      </c>
    </row>
    <row r="88" spans="1:2" x14ac:dyDescent="0.25">
      <c r="A88" t="s">
        <v>6835</v>
      </c>
      <c r="B88" t="s">
        <v>404</v>
      </c>
    </row>
    <row r="89" spans="1:2" x14ac:dyDescent="0.25">
      <c r="A89" t="s">
        <v>1646</v>
      </c>
      <c r="B89" t="s">
        <v>404</v>
      </c>
    </row>
    <row r="90" spans="1:2" x14ac:dyDescent="0.25">
      <c r="A90" t="s">
        <v>6850</v>
      </c>
      <c r="B90" t="s">
        <v>404</v>
      </c>
    </row>
    <row r="91" spans="1:2" x14ac:dyDescent="0.25">
      <c r="A91" t="s">
        <v>318</v>
      </c>
      <c r="B91" t="s">
        <v>404</v>
      </c>
    </row>
    <row r="92" spans="1:2" x14ac:dyDescent="0.25">
      <c r="A92" t="s">
        <v>595</v>
      </c>
      <c r="B92" t="s">
        <v>404</v>
      </c>
    </row>
    <row r="93" spans="1:2" x14ac:dyDescent="0.25">
      <c r="A93" t="s">
        <v>2813</v>
      </c>
      <c r="B93" t="s">
        <v>404</v>
      </c>
    </row>
    <row r="94" spans="1:2" x14ac:dyDescent="0.25">
      <c r="A94" t="s">
        <v>323</v>
      </c>
      <c r="B94" t="s">
        <v>404</v>
      </c>
    </row>
    <row r="95" spans="1:2" x14ac:dyDescent="0.25">
      <c r="A95" t="s">
        <v>327</v>
      </c>
      <c r="B95" t="s">
        <v>404</v>
      </c>
    </row>
    <row r="96" spans="1:2" x14ac:dyDescent="0.25">
      <c r="A96" t="s">
        <v>332</v>
      </c>
      <c r="B96" t="s">
        <v>404</v>
      </c>
    </row>
    <row r="97" spans="1:2" x14ac:dyDescent="0.25">
      <c r="A97" t="s">
        <v>341</v>
      </c>
      <c r="B97" t="s">
        <v>404</v>
      </c>
    </row>
    <row r="98" spans="1:2" x14ac:dyDescent="0.25">
      <c r="A98" t="s">
        <v>2415</v>
      </c>
      <c r="B98" t="s">
        <v>404</v>
      </c>
    </row>
    <row r="99" spans="1:2" x14ac:dyDescent="0.25">
      <c r="A99" t="s">
        <v>3950</v>
      </c>
      <c r="B99" t="s">
        <v>404</v>
      </c>
    </row>
    <row r="100" spans="1:2" x14ac:dyDescent="0.25">
      <c r="A100" t="s">
        <v>3952</v>
      </c>
      <c r="B100" t="s">
        <v>404</v>
      </c>
    </row>
    <row r="101" spans="1:2" x14ac:dyDescent="0.25">
      <c r="A101" t="s">
        <v>355</v>
      </c>
      <c r="B101" t="s">
        <v>404</v>
      </c>
    </row>
    <row r="102" spans="1:2" x14ac:dyDescent="0.25">
      <c r="A102" t="s">
        <v>3412</v>
      </c>
      <c r="B102" t="s">
        <v>404</v>
      </c>
    </row>
    <row r="103" spans="1:2" x14ac:dyDescent="0.25">
      <c r="A103" t="s">
        <v>359</v>
      </c>
      <c r="B103" t="s">
        <v>404</v>
      </c>
    </row>
    <row r="104" spans="1:2" x14ac:dyDescent="0.25">
      <c r="A104" t="s">
        <v>362</v>
      </c>
      <c r="B104" t="s">
        <v>404</v>
      </c>
    </row>
    <row r="105" spans="1:2" x14ac:dyDescent="0.25">
      <c r="A105" t="s">
        <v>365</v>
      </c>
      <c r="B105" t="s">
        <v>404</v>
      </c>
    </row>
    <row r="106" spans="1:2" x14ac:dyDescent="0.25">
      <c r="A106" t="s">
        <v>369</v>
      </c>
      <c r="B106" t="s">
        <v>404</v>
      </c>
    </row>
    <row r="107" spans="1:2" x14ac:dyDescent="0.25">
      <c r="A107" t="s">
        <v>373</v>
      </c>
      <c r="B107" t="s">
        <v>404</v>
      </c>
    </row>
    <row r="108" spans="1:2" x14ac:dyDescent="0.25">
      <c r="A108" t="s">
        <v>377</v>
      </c>
      <c r="B108" t="s">
        <v>404</v>
      </c>
    </row>
    <row r="109" spans="1:2" x14ac:dyDescent="0.25">
      <c r="A109" t="s">
        <v>378</v>
      </c>
      <c r="B109" t="s">
        <v>404</v>
      </c>
    </row>
    <row r="110" spans="1:2" x14ac:dyDescent="0.25">
      <c r="A110" t="s">
        <v>3754</v>
      </c>
      <c r="B110" t="s">
        <v>404</v>
      </c>
    </row>
    <row r="111" spans="1:2" x14ac:dyDescent="0.25">
      <c r="A111" t="s">
        <v>384</v>
      </c>
      <c r="B111" t="s">
        <v>404</v>
      </c>
    </row>
    <row r="112" spans="1:2" x14ac:dyDescent="0.25">
      <c r="A112" t="s">
        <v>614</v>
      </c>
      <c r="B112" t="s">
        <v>404</v>
      </c>
    </row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654"/>
  <sheetViews>
    <sheetView workbookViewId="0">
      <pane xSplit="1" ySplit="1" topLeftCell="B206" activePane="bottomRight" state="frozen"/>
      <selection pane="topRight" activeCell="B1" sqref="B1"/>
      <selection pane="bottomLeft" activeCell="A2" sqref="A2"/>
      <selection pane="bottomRight" activeCell="F175" sqref="F175"/>
    </sheetView>
  </sheetViews>
  <sheetFormatPr defaultColWidth="11.42578125" defaultRowHeight="15" x14ac:dyDescent="0.25"/>
  <cols>
    <col min="1" max="1" width="38.85546875" customWidth="1"/>
    <col min="2" max="2" width="34.7109375" customWidth="1"/>
    <col min="3" max="3" width="10.7109375" customWidth="1"/>
    <col min="4" max="4" width="21.5703125" customWidth="1"/>
    <col min="5" max="5" width="58.85546875" style="4" customWidth="1"/>
    <col min="6" max="6" width="13.5703125" customWidth="1"/>
    <col min="7" max="7" width="21.7109375" customWidth="1"/>
    <col min="8" max="8" width="72.42578125" style="4" customWidth="1"/>
  </cols>
  <sheetData>
    <row r="1" spans="1:8" s="7" customFormat="1" x14ac:dyDescent="0.25">
      <c r="A1" s="5" t="s">
        <v>389</v>
      </c>
      <c r="B1" s="5" t="s">
        <v>390</v>
      </c>
      <c r="C1" s="5" t="s">
        <v>391</v>
      </c>
      <c r="D1" s="5" t="s">
        <v>392</v>
      </c>
      <c r="E1" s="6" t="s">
        <v>393</v>
      </c>
      <c r="F1" s="5" t="s">
        <v>396</v>
      </c>
      <c r="G1" s="5" t="s">
        <v>397</v>
      </c>
      <c r="H1" s="6" t="s">
        <v>398</v>
      </c>
    </row>
    <row r="2" spans="1:8" x14ac:dyDescent="0.25">
      <c r="A2" s="1" t="s">
        <v>4054</v>
      </c>
      <c r="B2" s="1" t="s">
        <v>418</v>
      </c>
      <c r="C2" s="1" t="s">
        <v>4055</v>
      </c>
      <c r="D2" s="1" t="s">
        <v>700</v>
      </c>
      <c r="E2" s="3" t="s">
        <v>4056</v>
      </c>
      <c r="F2" s="2" t="s">
        <v>5413</v>
      </c>
      <c r="G2" s="1"/>
      <c r="H2" s="3" t="s">
        <v>60</v>
      </c>
    </row>
    <row r="3" spans="1:8" x14ac:dyDescent="0.25">
      <c r="A3" s="1" t="s">
        <v>4054</v>
      </c>
      <c r="B3" s="1" t="s">
        <v>418</v>
      </c>
      <c r="C3" s="1" t="s">
        <v>4055</v>
      </c>
      <c r="D3" s="1" t="s">
        <v>700</v>
      </c>
      <c r="E3" s="3" t="s">
        <v>4070</v>
      </c>
      <c r="F3" s="2" t="s">
        <v>5414</v>
      </c>
      <c r="G3" s="1"/>
      <c r="H3" s="3" t="s">
        <v>1204</v>
      </c>
    </row>
    <row r="4" spans="1:8" x14ac:dyDescent="0.25">
      <c r="A4" s="1" t="s">
        <v>4054</v>
      </c>
      <c r="B4" s="1" t="s">
        <v>418</v>
      </c>
      <c r="C4" s="1" t="s">
        <v>4055</v>
      </c>
      <c r="D4" s="1" t="s">
        <v>700</v>
      </c>
      <c r="E4" s="3" t="s">
        <v>4068</v>
      </c>
      <c r="F4" s="2" t="s">
        <v>5415</v>
      </c>
      <c r="G4" s="1"/>
      <c r="H4" s="3" t="s">
        <v>1204</v>
      </c>
    </row>
    <row r="5" spans="1:8" x14ac:dyDescent="0.25">
      <c r="A5" s="1" t="s">
        <v>4054</v>
      </c>
      <c r="B5" s="1" t="s">
        <v>418</v>
      </c>
      <c r="C5" s="1" t="s">
        <v>4055</v>
      </c>
      <c r="D5" s="1" t="s">
        <v>700</v>
      </c>
      <c r="E5" s="3" t="s">
        <v>4058</v>
      </c>
      <c r="F5" s="2" t="s">
        <v>5416</v>
      </c>
      <c r="G5" s="1"/>
      <c r="H5" s="3" t="s">
        <v>597</v>
      </c>
    </row>
    <row r="6" spans="1:8" x14ac:dyDescent="0.25">
      <c r="A6" s="1" t="s">
        <v>4054</v>
      </c>
      <c r="B6" s="1" t="s">
        <v>418</v>
      </c>
      <c r="C6" s="1" t="s">
        <v>4055</v>
      </c>
      <c r="D6" s="1" t="s">
        <v>700</v>
      </c>
      <c r="E6" s="3" t="s">
        <v>4060</v>
      </c>
      <c r="F6" s="2" t="s">
        <v>5417</v>
      </c>
      <c r="G6" s="1"/>
      <c r="H6" s="3" t="s">
        <v>597</v>
      </c>
    </row>
    <row r="7" spans="1:8" x14ac:dyDescent="0.25">
      <c r="A7" s="1" t="s">
        <v>4054</v>
      </c>
      <c r="B7" s="1" t="s">
        <v>418</v>
      </c>
      <c r="C7" s="1" t="s">
        <v>4055</v>
      </c>
      <c r="D7" s="1" t="s">
        <v>700</v>
      </c>
      <c r="E7" s="3" t="s">
        <v>4066</v>
      </c>
      <c r="F7" s="2" t="s">
        <v>5418</v>
      </c>
      <c r="G7" s="1"/>
      <c r="H7" s="3" t="s">
        <v>1015</v>
      </c>
    </row>
    <row r="8" spans="1:8" x14ac:dyDescent="0.25">
      <c r="A8" s="1" t="s">
        <v>4054</v>
      </c>
      <c r="B8" s="1" t="s">
        <v>418</v>
      </c>
      <c r="C8" s="1" t="s">
        <v>4055</v>
      </c>
      <c r="D8" s="1" t="s">
        <v>700</v>
      </c>
      <c r="E8" s="3" t="s">
        <v>4064</v>
      </c>
      <c r="F8" s="2" t="s">
        <v>5419</v>
      </c>
      <c r="G8" s="1"/>
      <c r="H8" s="3" t="s">
        <v>1015</v>
      </c>
    </row>
    <row r="9" spans="1:8" x14ac:dyDescent="0.25">
      <c r="A9" s="1" t="s">
        <v>4054</v>
      </c>
      <c r="B9" s="1" t="s">
        <v>418</v>
      </c>
      <c r="C9" s="1" t="s">
        <v>4055</v>
      </c>
      <c r="D9" s="1" t="s">
        <v>700</v>
      </c>
      <c r="E9" s="3" t="s">
        <v>4062</v>
      </c>
      <c r="F9" s="2" t="s">
        <v>5420</v>
      </c>
      <c r="G9" s="1"/>
      <c r="H9" s="3" t="s">
        <v>1015</v>
      </c>
    </row>
    <row r="10" spans="1:8" x14ac:dyDescent="0.25">
      <c r="A10" s="1" t="s">
        <v>3459</v>
      </c>
      <c r="B10" s="1" t="s">
        <v>446</v>
      </c>
      <c r="C10" s="1" t="s">
        <v>3460</v>
      </c>
      <c r="D10" s="1" t="s">
        <v>453</v>
      </c>
      <c r="E10" s="3" t="s">
        <v>3463</v>
      </c>
      <c r="F10" s="2" t="s">
        <v>5421</v>
      </c>
      <c r="G10" s="1"/>
      <c r="H10" s="3" t="s">
        <v>1015</v>
      </c>
    </row>
    <row r="11" spans="1:8" x14ac:dyDescent="0.25">
      <c r="A11" s="1" t="s">
        <v>3459</v>
      </c>
      <c r="B11" s="1" t="s">
        <v>446</v>
      </c>
      <c r="C11" s="1" t="s">
        <v>3460</v>
      </c>
      <c r="D11" s="1" t="s">
        <v>453</v>
      </c>
      <c r="E11" s="3" t="s">
        <v>3461</v>
      </c>
      <c r="F11" s="2" t="s">
        <v>5422</v>
      </c>
      <c r="G11" s="1"/>
      <c r="H11" s="3" t="s">
        <v>597</v>
      </c>
    </row>
    <row r="12" spans="1:8" x14ac:dyDescent="0.25">
      <c r="A12" s="1" t="s">
        <v>1285</v>
      </c>
      <c r="B12" s="1" t="s">
        <v>424</v>
      </c>
      <c r="C12" s="1" t="s">
        <v>1286</v>
      </c>
      <c r="D12" s="1" t="s">
        <v>423</v>
      </c>
      <c r="E12" s="3" t="s">
        <v>1287</v>
      </c>
      <c r="F12" s="2" t="s">
        <v>5423</v>
      </c>
      <c r="G12" s="1"/>
      <c r="H12" s="3" t="s">
        <v>1015</v>
      </c>
    </row>
    <row r="13" spans="1:8" x14ac:dyDescent="0.25">
      <c r="A13" s="1" t="s">
        <v>1285</v>
      </c>
      <c r="B13" s="1" t="s">
        <v>424</v>
      </c>
      <c r="C13" s="1" t="s">
        <v>1286</v>
      </c>
      <c r="D13" s="1" t="s">
        <v>423</v>
      </c>
      <c r="E13" s="3" t="s">
        <v>1289</v>
      </c>
      <c r="F13" s="2" t="s">
        <v>5424</v>
      </c>
      <c r="G13" s="1"/>
      <c r="H13" s="3" t="s">
        <v>63</v>
      </c>
    </row>
    <row r="14" spans="1:8" x14ac:dyDescent="0.25">
      <c r="A14" s="1" t="s">
        <v>8</v>
      </c>
      <c r="B14" s="1" t="s">
        <v>421</v>
      </c>
      <c r="C14" s="1" t="s">
        <v>422</v>
      </c>
      <c r="D14" s="1" t="s">
        <v>423</v>
      </c>
      <c r="E14" s="3" t="s">
        <v>1934</v>
      </c>
      <c r="F14" s="2" t="s">
        <v>5425</v>
      </c>
      <c r="G14" s="1"/>
      <c r="H14" s="3" t="s">
        <v>682</v>
      </c>
    </row>
    <row r="15" spans="1:8" x14ac:dyDescent="0.25">
      <c r="A15" s="1" t="s">
        <v>8</v>
      </c>
      <c r="B15" s="1" t="s">
        <v>421</v>
      </c>
      <c r="C15" s="1" t="s">
        <v>422</v>
      </c>
      <c r="D15" s="1" t="s">
        <v>423</v>
      </c>
      <c r="E15" s="3" t="s">
        <v>1932</v>
      </c>
      <c r="F15" s="2" t="s">
        <v>5426</v>
      </c>
      <c r="G15" s="1"/>
      <c r="H15" s="3" t="s">
        <v>682</v>
      </c>
    </row>
    <row r="16" spans="1:8" x14ac:dyDescent="0.25">
      <c r="A16" s="1" t="s">
        <v>8</v>
      </c>
      <c r="B16" s="1" t="s">
        <v>421</v>
      </c>
      <c r="C16" s="1" t="s">
        <v>422</v>
      </c>
      <c r="D16" s="1" t="s">
        <v>423</v>
      </c>
      <c r="E16" s="3" t="s">
        <v>274</v>
      </c>
      <c r="F16" s="2" t="s">
        <v>276</v>
      </c>
      <c r="G16" s="1" t="s">
        <v>413</v>
      </c>
      <c r="H16" s="3" t="s">
        <v>283</v>
      </c>
    </row>
    <row r="17" spans="1:8" x14ac:dyDescent="0.25">
      <c r="A17" s="1" t="s">
        <v>8</v>
      </c>
      <c r="B17" s="1" t="s">
        <v>421</v>
      </c>
      <c r="C17" s="1" t="s">
        <v>422</v>
      </c>
      <c r="D17" s="1" t="s">
        <v>423</v>
      </c>
      <c r="E17" s="3" t="s">
        <v>280</v>
      </c>
      <c r="F17" s="2" t="s">
        <v>284</v>
      </c>
      <c r="G17" s="1" t="s">
        <v>442</v>
      </c>
      <c r="H17" s="3" t="s">
        <v>283</v>
      </c>
    </row>
    <row r="18" spans="1:8" x14ac:dyDescent="0.25">
      <c r="A18" s="1" t="s">
        <v>8</v>
      </c>
      <c r="B18" s="1" t="s">
        <v>421</v>
      </c>
      <c r="C18" s="1" t="s">
        <v>422</v>
      </c>
      <c r="D18" s="1" t="s">
        <v>423</v>
      </c>
      <c r="E18" s="3" t="s">
        <v>1919</v>
      </c>
      <c r="F18" s="2" t="s">
        <v>5427</v>
      </c>
      <c r="G18" s="1"/>
      <c r="H18" s="3" t="s">
        <v>1921</v>
      </c>
    </row>
    <row r="19" spans="1:8" ht="30" x14ac:dyDescent="0.25">
      <c r="A19" s="1" t="s">
        <v>8</v>
      </c>
      <c r="B19" s="1" t="s">
        <v>421</v>
      </c>
      <c r="C19" s="1" t="s">
        <v>422</v>
      </c>
      <c r="D19" s="1" t="s">
        <v>423</v>
      </c>
      <c r="E19" s="3" t="s">
        <v>1927</v>
      </c>
      <c r="F19" s="2" t="s">
        <v>5428</v>
      </c>
      <c r="G19" s="1"/>
      <c r="H19" s="3" t="s">
        <v>1929</v>
      </c>
    </row>
    <row r="20" spans="1:8" ht="30" x14ac:dyDescent="0.25">
      <c r="A20" s="1" t="s">
        <v>8</v>
      </c>
      <c r="B20" s="1" t="s">
        <v>421</v>
      </c>
      <c r="C20" s="1" t="s">
        <v>422</v>
      </c>
      <c r="D20" s="1" t="s">
        <v>423</v>
      </c>
      <c r="E20" s="3" t="s">
        <v>1939</v>
      </c>
      <c r="F20" s="2" t="s">
        <v>5429</v>
      </c>
      <c r="G20" s="1" t="s">
        <v>406</v>
      </c>
      <c r="H20" s="3" t="s">
        <v>1938</v>
      </c>
    </row>
    <row r="21" spans="1:8" ht="30" x14ac:dyDescent="0.25">
      <c r="A21" s="1" t="s">
        <v>8</v>
      </c>
      <c r="B21" s="1" t="s">
        <v>421</v>
      </c>
      <c r="C21" s="1" t="s">
        <v>422</v>
      </c>
      <c r="D21" s="1" t="s">
        <v>423</v>
      </c>
      <c r="E21" s="3" t="s">
        <v>1936</v>
      </c>
      <c r="F21" s="2" t="s">
        <v>5430</v>
      </c>
      <c r="G21" s="1" t="s">
        <v>406</v>
      </c>
      <c r="H21" s="3" t="s">
        <v>1938</v>
      </c>
    </row>
    <row r="22" spans="1:8" x14ac:dyDescent="0.25">
      <c r="A22" s="1" t="s">
        <v>8</v>
      </c>
      <c r="B22" s="1" t="s">
        <v>421</v>
      </c>
      <c r="C22" s="1" t="s">
        <v>422</v>
      </c>
      <c r="D22" s="1" t="s">
        <v>423</v>
      </c>
      <c r="E22" s="3" t="s">
        <v>1924</v>
      </c>
      <c r="F22" s="2" t="s">
        <v>5431</v>
      </c>
      <c r="G22" s="1"/>
      <c r="H22" s="3" t="s">
        <v>1926</v>
      </c>
    </row>
    <row r="23" spans="1:8" ht="30" x14ac:dyDescent="0.25">
      <c r="A23" s="1" t="s">
        <v>8</v>
      </c>
      <c r="B23" s="1" t="s">
        <v>421</v>
      </c>
      <c r="C23" s="1" t="s">
        <v>422</v>
      </c>
      <c r="D23" s="1" t="s">
        <v>423</v>
      </c>
      <c r="E23" s="3" t="s">
        <v>6</v>
      </c>
      <c r="F23" s="2" t="s">
        <v>9</v>
      </c>
      <c r="G23" s="1"/>
      <c r="H23" s="3" t="s">
        <v>1931</v>
      </c>
    </row>
    <row r="24" spans="1:8" x14ac:dyDescent="0.25">
      <c r="A24" s="1" t="s">
        <v>8</v>
      </c>
      <c r="B24" s="1" t="s">
        <v>421</v>
      </c>
      <c r="C24" s="1" t="s">
        <v>422</v>
      </c>
      <c r="D24" s="1" t="s">
        <v>423</v>
      </c>
      <c r="E24" s="3" t="s">
        <v>365</v>
      </c>
      <c r="F24" s="2" t="s">
        <v>368</v>
      </c>
      <c r="G24" s="1"/>
      <c r="H24" s="3" t="s">
        <v>1915</v>
      </c>
    </row>
    <row r="25" spans="1:8" x14ac:dyDescent="0.25">
      <c r="A25" s="1" t="s">
        <v>8</v>
      </c>
      <c r="B25" s="1" t="s">
        <v>421</v>
      </c>
      <c r="C25" s="1" t="s">
        <v>422</v>
      </c>
      <c r="D25" s="1" t="s">
        <v>423</v>
      </c>
      <c r="E25" s="3" t="s">
        <v>1916</v>
      </c>
      <c r="F25" s="2" t="s">
        <v>5432</v>
      </c>
      <c r="G25" s="1" t="s">
        <v>413</v>
      </c>
      <c r="H25" s="3" t="s">
        <v>1918</v>
      </c>
    </row>
    <row r="26" spans="1:8" x14ac:dyDescent="0.25">
      <c r="A26" s="1" t="s">
        <v>3685</v>
      </c>
      <c r="B26" s="1" t="s">
        <v>496</v>
      </c>
      <c r="C26" s="1" t="s">
        <v>1286</v>
      </c>
      <c r="D26" s="1" t="s">
        <v>423</v>
      </c>
      <c r="E26" s="3" t="s">
        <v>3686</v>
      </c>
      <c r="F26" s="2" t="s">
        <v>5433</v>
      </c>
      <c r="G26" s="1"/>
      <c r="H26" s="3" t="s">
        <v>597</v>
      </c>
    </row>
    <row r="27" spans="1:8" x14ac:dyDescent="0.25">
      <c r="A27" s="1" t="s">
        <v>3685</v>
      </c>
      <c r="B27" s="1" t="s">
        <v>496</v>
      </c>
      <c r="C27" s="1" t="s">
        <v>1286</v>
      </c>
      <c r="D27" s="1" t="s">
        <v>423</v>
      </c>
      <c r="E27" s="3" t="s">
        <v>3690</v>
      </c>
      <c r="F27" s="2" t="s">
        <v>5434</v>
      </c>
      <c r="G27" s="1"/>
      <c r="H27" s="3" t="s">
        <v>1086</v>
      </c>
    </row>
    <row r="28" spans="1:8" x14ac:dyDescent="0.25">
      <c r="A28" s="1" t="s">
        <v>3685</v>
      </c>
      <c r="B28" s="1" t="s">
        <v>496</v>
      </c>
      <c r="C28" s="1" t="s">
        <v>1286</v>
      </c>
      <c r="D28" s="1" t="s">
        <v>423</v>
      </c>
      <c r="E28" s="3" t="s">
        <v>3694</v>
      </c>
      <c r="F28" s="2" t="s">
        <v>5435</v>
      </c>
      <c r="G28" s="1"/>
      <c r="H28" s="3" t="s">
        <v>1086</v>
      </c>
    </row>
    <row r="29" spans="1:8" x14ac:dyDescent="0.25">
      <c r="A29" s="1" t="s">
        <v>3685</v>
      </c>
      <c r="B29" s="1" t="s">
        <v>496</v>
      </c>
      <c r="C29" s="1" t="s">
        <v>1286</v>
      </c>
      <c r="D29" s="1" t="s">
        <v>423</v>
      </c>
      <c r="E29" s="3" t="s">
        <v>3692</v>
      </c>
      <c r="F29" s="2" t="s">
        <v>5436</v>
      </c>
      <c r="G29" s="1"/>
      <c r="H29" s="3" t="s">
        <v>1086</v>
      </c>
    </row>
    <row r="30" spans="1:8" x14ac:dyDescent="0.25">
      <c r="A30" s="1" t="s">
        <v>3685</v>
      </c>
      <c r="B30" s="1" t="s">
        <v>496</v>
      </c>
      <c r="C30" s="1" t="s">
        <v>1286</v>
      </c>
      <c r="D30" s="1" t="s">
        <v>423</v>
      </c>
      <c r="E30" s="3" t="s">
        <v>3688</v>
      </c>
      <c r="F30" s="2" t="s">
        <v>5437</v>
      </c>
      <c r="G30" s="1"/>
      <c r="H30" s="3" t="s">
        <v>1086</v>
      </c>
    </row>
    <row r="31" spans="1:8" x14ac:dyDescent="0.25">
      <c r="A31" s="1" t="s">
        <v>366</v>
      </c>
      <c r="B31" s="1" t="s">
        <v>418</v>
      </c>
      <c r="C31" s="1" t="s">
        <v>606</v>
      </c>
      <c r="D31" s="1" t="s">
        <v>607</v>
      </c>
      <c r="E31" s="3" t="s">
        <v>1784</v>
      </c>
      <c r="F31" s="2" t="s">
        <v>5438</v>
      </c>
      <c r="G31" s="1"/>
      <c r="H31" s="3" t="s">
        <v>682</v>
      </c>
    </row>
    <row r="32" spans="1:8" x14ac:dyDescent="0.25">
      <c r="A32" s="1" t="s">
        <v>366</v>
      </c>
      <c r="B32" s="1" t="s">
        <v>418</v>
      </c>
      <c r="C32" s="1" t="s">
        <v>606</v>
      </c>
      <c r="D32" s="1" t="s">
        <v>607</v>
      </c>
      <c r="E32" s="3" t="s">
        <v>1772</v>
      </c>
      <c r="F32" s="2" t="s">
        <v>5439</v>
      </c>
      <c r="G32" s="1"/>
      <c r="H32" s="3" t="s">
        <v>597</v>
      </c>
    </row>
    <row r="33" spans="1:8" x14ac:dyDescent="0.25">
      <c r="A33" s="1" t="s">
        <v>366</v>
      </c>
      <c r="B33" s="1" t="s">
        <v>418</v>
      </c>
      <c r="C33" s="1" t="s">
        <v>606</v>
      </c>
      <c r="D33" s="1" t="s">
        <v>607</v>
      </c>
      <c r="E33" s="3" t="s">
        <v>1774</v>
      </c>
      <c r="F33" s="2" t="s">
        <v>5440</v>
      </c>
      <c r="G33" s="1"/>
      <c r="H33" s="3" t="s">
        <v>597</v>
      </c>
    </row>
    <row r="34" spans="1:8" x14ac:dyDescent="0.25">
      <c r="A34" s="1" t="s">
        <v>366</v>
      </c>
      <c r="B34" s="1" t="s">
        <v>418</v>
      </c>
      <c r="C34" s="1" t="s">
        <v>606</v>
      </c>
      <c r="D34" s="1" t="s">
        <v>607</v>
      </c>
      <c r="E34" s="3" t="s">
        <v>1780</v>
      </c>
      <c r="F34" s="2" t="s">
        <v>5441</v>
      </c>
      <c r="G34" s="1" t="s">
        <v>406</v>
      </c>
      <c r="H34" s="3" t="s">
        <v>56</v>
      </c>
    </row>
    <row r="35" spans="1:8" x14ac:dyDescent="0.25">
      <c r="A35" s="1" t="s">
        <v>366</v>
      </c>
      <c r="B35" s="1" t="s">
        <v>418</v>
      </c>
      <c r="C35" s="1" t="s">
        <v>606</v>
      </c>
      <c r="D35" s="1" t="s">
        <v>607</v>
      </c>
      <c r="E35" s="3" t="s">
        <v>1778</v>
      </c>
      <c r="F35" s="2" t="s">
        <v>5442</v>
      </c>
      <c r="G35" s="1" t="s">
        <v>406</v>
      </c>
      <c r="H35" s="3" t="s">
        <v>56</v>
      </c>
    </row>
    <row r="36" spans="1:8" ht="30" x14ac:dyDescent="0.25">
      <c r="A36" s="1" t="s">
        <v>366</v>
      </c>
      <c r="B36" s="1" t="s">
        <v>418</v>
      </c>
      <c r="C36" s="1" t="s">
        <v>606</v>
      </c>
      <c r="D36" s="1" t="s">
        <v>607</v>
      </c>
      <c r="E36" s="3" t="s">
        <v>1782</v>
      </c>
      <c r="F36" s="2" t="s">
        <v>5443</v>
      </c>
      <c r="G36" s="1"/>
      <c r="H36" s="3" t="s">
        <v>767</v>
      </c>
    </row>
    <row r="37" spans="1:8" x14ac:dyDescent="0.25">
      <c r="A37" s="1" t="s">
        <v>366</v>
      </c>
      <c r="B37" s="1" t="s">
        <v>418</v>
      </c>
      <c r="C37" s="1" t="s">
        <v>606</v>
      </c>
      <c r="D37" s="1" t="s">
        <v>607</v>
      </c>
      <c r="E37" s="3" t="s">
        <v>1776</v>
      </c>
      <c r="F37" s="2" t="s">
        <v>5444</v>
      </c>
      <c r="G37" s="1" t="s">
        <v>406</v>
      </c>
      <c r="H37" s="3" t="s">
        <v>309</v>
      </c>
    </row>
    <row r="38" spans="1:8" x14ac:dyDescent="0.25">
      <c r="A38" s="1" t="s">
        <v>366</v>
      </c>
      <c r="B38" s="1" t="s">
        <v>418</v>
      </c>
      <c r="C38" s="1" t="s">
        <v>606</v>
      </c>
      <c r="D38" s="1" t="s">
        <v>607</v>
      </c>
      <c r="E38" s="3" t="s">
        <v>365</v>
      </c>
      <c r="F38" s="2" t="s">
        <v>367</v>
      </c>
      <c r="G38" s="1"/>
      <c r="H38" s="3" t="s">
        <v>1</v>
      </c>
    </row>
    <row r="39" spans="1:8" x14ac:dyDescent="0.25">
      <c r="A39" s="1" t="s">
        <v>3545</v>
      </c>
      <c r="B39" s="1" t="s">
        <v>424</v>
      </c>
      <c r="C39" s="1" t="s">
        <v>606</v>
      </c>
      <c r="D39" s="1" t="s">
        <v>607</v>
      </c>
      <c r="E39" s="3" t="s">
        <v>3549</v>
      </c>
      <c r="F39" s="2" t="s">
        <v>5445</v>
      </c>
      <c r="G39" s="1"/>
      <c r="H39" s="3" t="s">
        <v>1617</v>
      </c>
    </row>
    <row r="40" spans="1:8" x14ac:dyDescent="0.25">
      <c r="A40" s="1" t="s">
        <v>3545</v>
      </c>
      <c r="B40" s="1" t="s">
        <v>424</v>
      </c>
      <c r="C40" s="1" t="s">
        <v>606</v>
      </c>
      <c r="D40" s="1" t="s">
        <v>607</v>
      </c>
      <c r="E40" s="3" t="s">
        <v>3546</v>
      </c>
      <c r="F40" s="2" t="s">
        <v>5446</v>
      </c>
      <c r="G40" s="1"/>
      <c r="H40" s="3" t="s">
        <v>1617</v>
      </c>
    </row>
    <row r="41" spans="1:8" x14ac:dyDescent="0.25">
      <c r="A41" s="1" t="s">
        <v>3545</v>
      </c>
      <c r="B41" s="1" t="s">
        <v>424</v>
      </c>
      <c r="C41" s="1" t="s">
        <v>606</v>
      </c>
      <c r="D41" s="1" t="s">
        <v>607</v>
      </c>
      <c r="E41" s="3" t="s">
        <v>3548</v>
      </c>
      <c r="F41" s="2" t="s">
        <v>5447</v>
      </c>
      <c r="G41" s="1"/>
      <c r="H41" s="3" t="s">
        <v>1617</v>
      </c>
    </row>
    <row r="42" spans="1:8" x14ac:dyDescent="0.25">
      <c r="A42" s="1" t="s">
        <v>3545</v>
      </c>
      <c r="B42" s="1" t="s">
        <v>424</v>
      </c>
      <c r="C42" s="1" t="s">
        <v>606</v>
      </c>
      <c r="D42" s="1" t="s">
        <v>607</v>
      </c>
      <c r="E42" s="3" t="s">
        <v>3547</v>
      </c>
      <c r="F42" s="2" t="s">
        <v>5448</v>
      </c>
      <c r="G42" s="1"/>
      <c r="H42" s="3" t="s">
        <v>1617</v>
      </c>
    </row>
    <row r="43" spans="1:8" x14ac:dyDescent="0.25">
      <c r="A43" s="1" t="s">
        <v>3545</v>
      </c>
      <c r="B43" s="1" t="s">
        <v>424</v>
      </c>
      <c r="C43" s="1" t="s">
        <v>606</v>
      </c>
      <c r="D43" s="1" t="s">
        <v>607</v>
      </c>
      <c r="E43" s="3" t="s">
        <v>3550</v>
      </c>
      <c r="F43" s="2" t="s">
        <v>5449</v>
      </c>
      <c r="G43" s="1"/>
      <c r="H43" s="3" t="s">
        <v>2657</v>
      </c>
    </row>
    <row r="44" spans="1:8" ht="30" x14ac:dyDescent="0.25">
      <c r="A44" s="1" t="s">
        <v>3545</v>
      </c>
      <c r="B44" s="1" t="s">
        <v>424</v>
      </c>
      <c r="C44" s="1" t="s">
        <v>606</v>
      </c>
      <c r="D44" s="1" t="s">
        <v>607</v>
      </c>
      <c r="E44" s="3" t="s">
        <v>3552</v>
      </c>
      <c r="F44" s="2" t="s">
        <v>5450</v>
      </c>
      <c r="G44" s="1"/>
      <c r="H44" s="3" t="s">
        <v>3554</v>
      </c>
    </row>
    <row r="45" spans="1:8" x14ac:dyDescent="0.25">
      <c r="A45" s="1" t="s">
        <v>3545</v>
      </c>
      <c r="B45" s="1" t="s">
        <v>424</v>
      </c>
      <c r="C45" s="1" t="s">
        <v>606</v>
      </c>
      <c r="D45" s="1" t="s">
        <v>607</v>
      </c>
      <c r="E45" s="3" t="s">
        <v>3555</v>
      </c>
      <c r="F45" s="2" t="s">
        <v>5451</v>
      </c>
      <c r="G45" s="1" t="s">
        <v>442</v>
      </c>
      <c r="H45" s="3" t="s">
        <v>3557</v>
      </c>
    </row>
    <row r="46" spans="1:8" x14ac:dyDescent="0.25">
      <c r="A46" s="1" t="s">
        <v>1076</v>
      </c>
      <c r="B46" s="1" t="s">
        <v>446</v>
      </c>
      <c r="C46" s="1" t="s">
        <v>1077</v>
      </c>
      <c r="D46" s="1" t="s">
        <v>1078</v>
      </c>
      <c r="E46" s="3" t="s">
        <v>1093</v>
      </c>
      <c r="F46" s="2" t="s">
        <v>5452</v>
      </c>
      <c r="G46" s="1" t="s">
        <v>476</v>
      </c>
      <c r="H46" s="3" t="s">
        <v>192</v>
      </c>
    </row>
    <row r="47" spans="1:8" x14ac:dyDescent="0.25">
      <c r="A47" s="1" t="s">
        <v>1076</v>
      </c>
      <c r="B47" s="1" t="s">
        <v>446</v>
      </c>
      <c r="C47" s="1" t="s">
        <v>1077</v>
      </c>
      <c r="D47" s="1" t="s">
        <v>1078</v>
      </c>
      <c r="E47" s="3" t="s">
        <v>1095</v>
      </c>
      <c r="F47" s="2" t="s">
        <v>5453</v>
      </c>
      <c r="G47" s="1" t="s">
        <v>476</v>
      </c>
      <c r="H47" s="3" t="s">
        <v>192</v>
      </c>
    </row>
    <row r="48" spans="1:8" x14ac:dyDescent="0.25">
      <c r="A48" s="1" t="s">
        <v>1076</v>
      </c>
      <c r="B48" s="1" t="s">
        <v>446</v>
      </c>
      <c r="C48" s="1" t="s">
        <v>1077</v>
      </c>
      <c r="D48" s="1" t="s">
        <v>1078</v>
      </c>
      <c r="E48" s="3" t="s">
        <v>1079</v>
      </c>
      <c r="F48" s="2" t="s">
        <v>5454</v>
      </c>
      <c r="G48" s="1" t="s">
        <v>413</v>
      </c>
      <c r="H48" s="3" t="s">
        <v>1081</v>
      </c>
    </row>
    <row r="49" spans="1:8" x14ac:dyDescent="0.25">
      <c r="A49" s="1" t="s">
        <v>1076</v>
      </c>
      <c r="B49" s="1" t="s">
        <v>446</v>
      </c>
      <c r="C49" s="1" t="s">
        <v>1077</v>
      </c>
      <c r="D49" s="1" t="s">
        <v>1078</v>
      </c>
      <c r="E49" s="3" t="s">
        <v>1082</v>
      </c>
      <c r="F49" s="2" t="s">
        <v>5455</v>
      </c>
      <c r="G49" s="1" t="s">
        <v>406</v>
      </c>
      <c r="H49" s="3" t="s">
        <v>597</v>
      </c>
    </row>
    <row r="50" spans="1:8" x14ac:dyDescent="0.25">
      <c r="A50" s="1" t="s">
        <v>1076</v>
      </c>
      <c r="B50" s="1" t="s">
        <v>446</v>
      </c>
      <c r="C50" s="1" t="s">
        <v>1077</v>
      </c>
      <c r="D50" s="1" t="s">
        <v>1078</v>
      </c>
      <c r="E50" s="3" t="s">
        <v>1083</v>
      </c>
      <c r="F50" s="2"/>
      <c r="G50" s="1"/>
      <c r="H50" s="3" t="s">
        <v>597</v>
      </c>
    </row>
    <row r="51" spans="1:8" x14ac:dyDescent="0.25">
      <c r="A51" s="1" t="s">
        <v>1076</v>
      </c>
      <c r="B51" s="1" t="s">
        <v>446</v>
      </c>
      <c r="C51" s="1" t="s">
        <v>1077</v>
      </c>
      <c r="D51" s="1" t="s">
        <v>1078</v>
      </c>
      <c r="E51" s="3" t="s">
        <v>1087</v>
      </c>
      <c r="F51" s="2" t="s">
        <v>5456</v>
      </c>
      <c r="G51" s="1" t="s">
        <v>413</v>
      </c>
      <c r="H51" s="3" t="s">
        <v>1086</v>
      </c>
    </row>
    <row r="52" spans="1:8" x14ac:dyDescent="0.25">
      <c r="A52" s="1" t="s">
        <v>1076</v>
      </c>
      <c r="B52" s="1" t="s">
        <v>446</v>
      </c>
      <c r="C52" s="1" t="s">
        <v>1077</v>
      </c>
      <c r="D52" s="1" t="s">
        <v>1078</v>
      </c>
      <c r="E52" s="3" t="s">
        <v>1084</v>
      </c>
      <c r="F52" s="2" t="s">
        <v>5457</v>
      </c>
      <c r="G52" s="1" t="s">
        <v>413</v>
      </c>
      <c r="H52" s="3" t="s">
        <v>1086</v>
      </c>
    </row>
    <row r="53" spans="1:8" x14ac:dyDescent="0.25">
      <c r="A53" s="1" t="s">
        <v>1076</v>
      </c>
      <c r="B53" s="1" t="s">
        <v>446</v>
      </c>
      <c r="C53" s="1" t="s">
        <v>1077</v>
      </c>
      <c r="D53" s="1" t="s">
        <v>1078</v>
      </c>
      <c r="E53" s="3" t="s">
        <v>1089</v>
      </c>
      <c r="F53" s="2" t="s">
        <v>5458</v>
      </c>
      <c r="G53" s="1" t="s">
        <v>413</v>
      </c>
      <c r="H53" s="3" t="s">
        <v>1086</v>
      </c>
    </row>
    <row r="54" spans="1:8" x14ac:dyDescent="0.25">
      <c r="A54" s="1" t="s">
        <v>1076</v>
      </c>
      <c r="B54" s="1" t="s">
        <v>446</v>
      </c>
      <c r="C54" s="1" t="s">
        <v>1077</v>
      </c>
      <c r="D54" s="1" t="s">
        <v>1078</v>
      </c>
      <c r="E54" s="3" t="s">
        <v>1091</v>
      </c>
      <c r="F54" s="2" t="s">
        <v>5459</v>
      </c>
      <c r="G54" s="1" t="s">
        <v>413</v>
      </c>
      <c r="H54" s="3" t="s">
        <v>1086</v>
      </c>
    </row>
    <row r="55" spans="1:8" x14ac:dyDescent="0.25">
      <c r="A55" s="1" t="s">
        <v>1387</v>
      </c>
      <c r="B55" s="1" t="s">
        <v>545</v>
      </c>
      <c r="C55" s="1" t="s">
        <v>1388</v>
      </c>
      <c r="D55" s="1" t="s">
        <v>1389</v>
      </c>
      <c r="E55" s="3" t="s">
        <v>1416</v>
      </c>
      <c r="F55" s="2" t="s">
        <v>5460</v>
      </c>
      <c r="G55" s="1"/>
      <c r="H55" s="3" t="s">
        <v>1415</v>
      </c>
    </row>
    <row r="56" spans="1:8" x14ac:dyDescent="0.25">
      <c r="A56" s="1" t="s">
        <v>1387</v>
      </c>
      <c r="B56" s="1" t="s">
        <v>545</v>
      </c>
      <c r="C56" s="1" t="s">
        <v>1388</v>
      </c>
      <c r="D56" s="1" t="s">
        <v>1389</v>
      </c>
      <c r="E56" s="3" t="s">
        <v>1413</v>
      </c>
      <c r="F56" s="2" t="s">
        <v>5461</v>
      </c>
      <c r="G56" s="1"/>
      <c r="H56" s="3" t="s">
        <v>1415</v>
      </c>
    </row>
    <row r="57" spans="1:8" x14ac:dyDescent="0.25">
      <c r="A57" s="1" t="s">
        <v>1387</v>
      </c>
      <c r="B57" s="1" t="s">
        <v>545</v>
      </c>
      <c r="C57" s="1" t="s">
        <v>1388</v>
      </c>
      <c r="D57" s="1" t="s">
        <v>1389</v>
      </c>
      <c r="E57" s="3" t="s">
        <v>1418</v>
      </c>
      <c r="F57" s="2" t="s">
        <v>5462</v>
      </c>
      <c r="G57" s="1"/>
      <c r="H57" s="3" t="s">
        <v>1415</v>
      </c>
    </row>
    <row r="58" spans="1:8" ht="30" x14ac:dyDescent="0.25">
      <c r="A58" s="1" t="s">
        <v>1387</v>
      </c>
      <c r="B58" s="1" t="s">
        <v>545</v>
      </c>
      <c r="C58" s="1" t="s">
        <v>1388</v>
      </c>
      <c r="D58" s="1" t="s">
        <v>1389</v>
      </c>
      <c r="E58" s="3" t="s">
        <v>1401</v>
      </c>
      <c r="F58" s="2" t="s">
        <v>5463</v>
      </c>
      <c r="G58" s="1" t="s">
        <v>442</v>
      </c>
      <c r="H58" s="3" t="s">
        <v>1403</v>
      </c>
    </row>
    <row r="59" spans="1:8" ht="30" x14ac:dyDescent="0.25">
      <c r="A59" s="1" t="s">
        <v>1387</v>
      </c>
      <c r="B59" s="1" t="s">
        <v>545</v>
      </c>
      <c r="C59" s="1" t="s">
        <v>1388</v>
      </c>
      <c r="D59" s="1" t="s">
        <v>1389</v>
      </c>
      <c r="E59" s="3" t="s">
        <v>1404</v>
      </c>
      <c r="F59" s="2" t="s">
        <v>5464</v>
      </c>
      <c r="G59" s="1" t="s">
        <v>442</v>
      </c>
      <c r="H59" s="3" t="s">
        <v>1403</v>
      </c>
    </row>
    <row r="60" spans="1:8" x14ac:dyDescent="0.25">
      <c r="A60" s="1" t="s">
        <v>1387</v>
      </c>
      <c r="B60" s="1" t="s">
        <v>545</v>
      </c>
      <c r="C60" s="1" t="s">
        <v>1388</v>
      </c>
      <c r="D60" s="1" t="s">
        <v>1389</v>
      </c>
      <c r="E60" s="3" t="s">
        <v>1395</v>
      </c>
      <c r="F60" s="2" t="s">
        <v>5465</v>
      </c>
      <c r="G60" s="1"/>
      <c r="H60" s="3" t="s">
        <v>1375</v>
      </c>
    </row>
    <row r="61" spans="1:8" x14ac:dyDescent="0.25">
      <c r="A61" s="1" t="s">
        <v>1387</v>
      </c>
      <c r="B61" s="1" t="s">
        <v>545</v>
      </c>
      <c r="C61" s="1" t="s">
        <v>1388</v>
      </c>
      <c r="D61" s="1" t="s">
        <v>1389</v>
      </c>
      <c r="E61" s="3" t="s">
        <v>1399</v>
      </c>
      <c r="F61" s="2" t="s">
        <v>5466</v>
      </c>
      <c r="G61" s="1"/>
      <c r="H61" s="3" t="s">
        <v>1375</v>
      </c>
    </row>
    <row r="62" spans="1:8" x14ac:dyDescent="0.25">
      <c r="A62" s="1" t="s">
        <v>1387</v>
      </c>
      <c r="B62" s="1" t="s">
        <v>545</v>
      </c>
      <c r="C62" s="1" t="s">
        <v>1388</v>
      </c>
      <c r="D62" s="1" t="s">
        <v>1389</v>
      </c>
      <c r="E62" s="3" t="s">
        <v>1397</v>
      </c>
      <c r="F62" s="2" t="s">
        <v>5467</v>
      </c>
      <c r="G62" s="1"/>
      <c r="H62" s="3" t="s">
        <v>1375</v>
      </c>
    </row>
    <row r="63" spans="1:8" x14ac:dyDescent="0.25">
      <c r="A63" s="1" t="s">
        <v>1387</v>
      </c>
      <c r="B63" s="1" t="s">
        <v>545</v>
      </c>
      <c r="C63" s="1" t="s">
        <v>1388</v>
      </c>
      <c r="D63" s="1" t="s">
        <v>1389</v>
      </c>
      <c r="E63" s="3" t="s">
        <v>1406</v>
      </c>
      <c r="F63" s="2" t="s">
        <v>5468</v>
      </c>
      <c r="G63" s="1"/>
      <c r="H63" s="3" t="s">
        <v>1002</v>
      </c>
    </row>
    <row r="64" spans="1:8" ht="30" x14ac:dyDescent="0.25">
      <c r="A64" s="1" t="s">
        <v>1387</v>
      </c>
      <c r="B64" s="1" t="s">
        <v>545</v>
      </c>
      <c r="C64" s="1" t="s">
        <v>1388</v>
      </c>
      <c r="D64" s="1" t="s">
        <v>1389</v>
      </c>
      <c r="E64" s="3" t="s">
        <v>1411</v>
      </c>
      <c r="F64" s="2" t="s">
        <v>5469</v>
      </c>
      <c r="G64" s="1" t="s">
        <v>406</v>
      </c>
      <c r="H64" s="3" t="s">
        <v>1410</v>
      </c>
    </row>
    <row r="65" spans="1:8" ht="30" x14ac:dyDescent="0.25">
      <c r="A65" s="1" t="s">
        <v>1387</v>
      </c>
      <c r="B65" s="1" t="s">
        <v>545</v>
      </c>
      <c r="C65" s="1" t="s">
        <v>1388</v>
      </c>
      <c r="D65" s="1" t="s">
        <v>1389</v>
      </c>
      <c r="E65" s="3" t="s">
        <v>1408</v>
      </c>
      <c r="F65" s="2" t="s">
        <v>5470</v>
      </c>
      <c r="G65" s="1" t="s">
        <v>406</v>
      </c>
      <c r="H65" s="3" t="s">
        <v>1410</v>
      </c>
    </row>
    <row r="66" spans="1:8" ht="30" x14ac:dyDescent="0.25">
      <c r="A66" s="1" t="s">
        <v>1387</v>
      </c>
      <c r="B66" s="1" t="s">
        <v>545</v>
      </c>
      <c r="C66" s="1" t="s">
        <v>1388</v>
      </c>
      <c r="D66" s="1" t="s">
        <v>1389</v>
      </c>
      <c r="E66" s="3" t="s">
        <v>1390</v>
      </c>
      <c r="F66" s="2" t="s">
        <v>5471</v>
      </c>
      <c r="G66" s="1"/>
      <c r="H66" s="3" t="s">
        <v>1392</v>
      </c>
    </row>
    <row r="67" spans="1:8" ht="30" x14ac:dyDescent="0.25">
      <c r="A67" s="1" t="s">
        <v>1387</v>
      </c>
      <c r="B67" s="1" t="s">
        <v>545</v>
      </c>
      <c r="C67" s="1" t="s">
        <v>1388</v>
      </c>
      <c r="D67" s="1" t="s">
        <v>1389</v>
      </c>
      <c r="E67" s="3" t="s">
        <v>1393</v>
      </c>
      <c r="F67" s="2" t="s">
        <v>5472</v>
      </c>
      <c r="G67" s="1"/>
      <c r="H67" s="3" t="s">
        <v>1392</v>
      </c>
    </row>
    <row r="68" spans="1:8" x14ac:dyDescent="0.25">
      <c r="A68" s="1" t="s">
        <v>2659</v>
      </c>
      <c r="B68" s="1" t="s">
        <v>480</v>
      </c>
      <c r="C68" s="1" t="s">
        <v>2660</v>
      </c>
      <c r="D68" s="1" t="s">
        <v>1389</v>
      </c>
      <c r="E68" s="3" t="s">
        <v>2663</v>
      </c>
      <c r="F68" s="2" t="s">
        <v>5473</v>
      </c>
      <c r="G68" s="1"/>
      <c r="H68" s="3" t="s">
        <v>63</v>
      </c>
    </row>
    <row r="69" spans="1:8" x14ac:dyDescent="0.25">
      <c r="A69" s="1" t="s">
        <v>2659</v>
      </c>
      <c r="B69" s="1" t="s">
        <v>480</v>
      </c>
      <c r="C69" s="1" t="s">
        <v>2660</v>
      </c>
      <c r="D69" s="1" t="s">
        <v>1389</v>
      </c>
      <c r="E69" s="3" t="s">
        <v>2661</v>
      </c>
      <c r="F69" s="2" t="s">
        <v>5474</v>
      </c>
      <c r="G69" s="1"/>
      <c r="H69" s="3" t="s">
        <v>1015</v>
      </c>
    </row>
    <row r="70" spans="1:8" x14ac:dyDescent="0.25">
      <c r="A70" s="1" t="s">
        <v>3018</v>
      </c>
      <c r="B70" s="1" t="s">
        <v>418</v>
      </c>
      <c r="C70" s="1" t="s">
        <v>3019</v>
      </c>
      <c r="D70" s="1" t="s">
        <v>1389</v>
      </c>
      <c r="E70" s="3" t="s">
        <v>3023</v>
      </c>
      <c r="F70" s="2" t="s">
        <v>5475</v>
      </c>
      <c r="G70" s="1"/>
      <c r="H70" s="3" t="s">
        <v>63</v>
      </c>
    </row>
    <row r="71" spans="1:8" x14ac:dyDescent="0.25">
      <c r="A71" s="1" t="s">
        <v>3018</v>
      </c>
      <c r="B71" s="1" t="s">
        <v>418</v>
      </c>
      <c r="C71" s="1" t="s">
        <v>3019</v>
      </c>
      <c r="D71" s="1" t="s">
        <v>1389</v>
      </c>
      <c r="E71" s="3" t="s">
        <v>3025</v>
      </c>
      <c r="F71" s="2" t="s">
        <v>5476</v>
      </c>
      <c r="G71" s="1"/>
      <c r="H71" s="3" t="s">
        <v>682</v>
      </c>
    </row>
    <row r="72" spans="1:8" x14ac:dyDescent="0.25">
      <c r="A72" s="1" t="s">
        <v>3018</v>
      </c>
      <c r="B72" s="1" t="s">
        <v>418</v>
      </c>
      <c r="C72" s="1" t="s">
        <v>3019</v>
      </c>
      <c r="D72" s="1" t="s">
        <v>1389</v>
      </c>
      <c r="E72" s="3" t="s">
        <v>3027</v>
      </c>
      <c r="F72" s="2" t="s">
        <v>5477</v>
      </c>
      <c r="G72" s="1"/>
      <c r="H72" s="3" t="s">
        <v>682</v>
      </c>
    </row>
    <row r="73" spans="1:8" x14ac:dyDescent="0.25">
      <c r="A73" s="1" t="s">
        <v>3018</v>
      </c>
      <c r="B73" s="1" t="s">
        <v>418</v>
      </c>
      <c r="C73" s="1" t="s">
        <v>3019</v>
      </c>
      <c r="D73" s="1" t="s">
        <v>1389</v>
      </c>
      <c r="E73" s="3" t="s">
        <v>3020</v>
      </c>
      <c r="F73" s="2" t="s">
        <v>5478</v>
      </c>
      <c r="G73" s="1" t="s">
        <v>442</v>
      </c>
      <c r="H73" s="3" t="s">
        <v>3022</v>
      </c>
    </row>
    <row r="74" spans="1:8" x14ac:dyDescent="0.25">
      <c r="A74" s="1" t="s">
        <v>2990</v>
      </c>
      <c r="B74" s="1" t="s">
        <v>817</v>
      </c>
      <c r="C74" s="1" t="s">
        <v>2991</v>
      </c>
      <c r="D74" s="1" t="s">
        <v>601</v>
      </c>
      <c r="E74" s="3" t="s">
        <v>3003</v>
      </c>
      <c r="F74" s="2" t="s">
        <v>5479</v>
      </c>
      <c r="G74" s="1"/>
      <c r="H74" s="3" t="s">
        <v>3005</v>
      </c>
    </row>
    <row r="75" spans="1:8" ht="30" x14ac:dyDescent="0.25">
      <c r="A75" s="1" t="s">
        <v>2990</v>
      </c>
      <c r="B75" s="1" t="s">
        <v>817</v>
      </c>
      <c r="C75" s="1" t="s">
        <v>2991</v>
      </c>
      <c r="D75" s="1" t="s">
        <v>601</v>
      </c>
      <c r="E75" s="3" t="s">
        <v>2995</v>
      </c>
      <c r="F75" s="2" t="s">
        <v>5480</v>
      </c>
      <c r="G75" s="1"/>
      <c r="H75" s="3" t="s">
        <v>2994</v>
      </c>
    </row>
    <row r="76" spans="1:8" ht="30" x14ac:dyDescent="0.25">
      <c r="A76" s="1" t="s">
        <v>2990</v>
      </c>
      <c r="B76" s="1" t="s">
        <v>817</v>
      </c>
      <c r="C76" s="1" t="s">
        <v>2991</v>
      </c>
      <c r="D76" s="1" t="s">
        <v>601</v>
      </c>
      <c r="E76" s="3" t="s">
        <v>2992</v>
      </c>
      <c r="F76" s="2" t="s">
        <v>5481</v>
      </c>
      <c r="G76" s="1"/>
      <c r="H76" s="3" t="s">
        <v>2994</v>
      </c>
    </row>
    <row r="77" spans="1:8" ht="30" x14ac:dyDescent="0.25">
      <c r="A77" s="1" t="s">
        <v>2990</v>
      </c>
      <c r="B77" s="1" t="s">
        <v>817</v>
      </c>
      <c r="C77" s="1" t="s">
        <v>2991</v>
      </c>
      <c r="D77" s="1" t="s">
        <v>601</v>
      </c>
      <c r="E77" s="3" t="s">
        <v>2999</v>
      </c>
      <c r="F77" s="2" t="s">
        <v>5482</v>
      </c>
      <c r="G77" s="1"/>
      <c r="H77" s="3" t="s">
        <v>2994</v>
      </c>
    </row>
    <row r="78" spans="1:8" ht="30" x14ac:dyDescent="0.25">
      <c r="A78" s="1" t="s">
        <v>2990</v>
      </c>
      <c r="B78" s="1" t="s">
        <v>817</v>
      </c>
      <c r="C78" s="1" t="s">
        <v>2991</v>
      </c>
      <c r="D78" s="1" t="s">
        <v>601</v>
      </c>
      <c r="E78" s="3" t="s">
        <v>2997</v>
      </c>
      <c r="F78" s="2" t="s">
        <v>5483</v>
      </c>
      <c r="G78" s="1"/>
      <c r="H78" s="3" t="s">
        <v>2994</v>
      </c>
    </row>
    <row r="79" spans="1:8" ht="30" x14ac:dyDescent="0.25">
      <c r="A79" s="1" t="s">
        <v>2990</v>
      </c>
      <c r="B79" s="1" t="s">
        <v>817</v>
      </c>
      <c r="C79" s="1" t="s">
        <v>2991</v>
      </c>
      <c r="D79" s="1" t="s">
        <v>601</v>
      </c>
      <c r="E79" s="3" t="s">
        <v>3001</v>
      </c>
      <c r="F79" s="2" t="s">
        <v>5484</v>
      </c>
      <c r="G79" s="1"/>
      <c r="H79" s="3" t="s">
        <v>2994</v>
      </c>
    </row>
    <row r="80" spans="1:8" x14ac:dyDescent="0.25">
      <c r="A80" s="1" t="s">
        <v>2821</v>
      </c>
      <c r="B80" s="1" t="s">
        <v>418</v>
      </c>
      <c r="C80" s="1" t="s">
        <v>606</v>
      </c>
      <c r="D80" s="1" t="s">
        <v>2822</v>
      </c>
      <c r="E80" s="3" t="s">
        <v>2828</v>
      </c>
      <c r="F80" s="2" t="s">
        <v>5485</v>
      </c>
      <c r="G80" s="1"/>
      <c r="H80" s="3" t="s">
        <v>2827</v>
      </c>
    </row>
    <row r="81" spans="1:8" x14ac:dyDescent="0.25">
      <c r="A81" s="1" t="s">
        <v>2821</v>
      </c>
      <c r="B81" s="1" t="s">
        <v>418</v>
      </c>
      <c r="C81" s="1" t="s">
        <v>606</v>
      </c>
      <c r="D81" s="1" t="s">
        <v>2822</v>
      </c>
      <c r="E81" s="3" t="s">
        <v>2830</v>
      </c>
      <c r="F81" s="2" t="s">
        <v>5486</v>
      </c>
      <c r="G81" s="1"/>
      <c r="H81" s="3" t="s">
        <v>2827</v>
      </c>
    </row>
    <row r="82" spans="1:8" x14ac:dyDescent="0.25">
      <c r="A82" s="1" t="s">
        <v>2821</v>
      </c>
      <c r="B82" s="1" t="s">
        <v>418</v>
      </c>
      <c r="C82" s="1" t="s">
        <v>606</v>
      </c>
      <c r="D82" s="1" t="s">
        <v>2822</v>
      </c>
      <c r="E82" s="3" t="s">
        <v>2825</v>
      </c>
      <c r="F82" s="2" t="s">
        <v>5487</v>
      </c>
      <c r="G82" s="1"/>
      <c r="H82" s="3" t="s">
        <v>2827</v>
      </c>
    </row>
    <row r="83" spans="1:8" x14ac:dyDescent="0.25">
      <c r="A83" s="1" t="s">
        <v>2821</v>
      </c>
      <c r="B83" s="1" t="s">
        <v>418</v>
      </c>
      <c r="C83" s="1" t="s">
        <v>606</v>
      </c>
      <c r="D83" s="1" t="s">
        <v>2822</v>
      </c>
      <c r="E83" s="3" t="s">
        <v>2823</v>
      </c>
      <c r="F83" s="2" t="s">
        <v>5488</v>
      </c>
      <c r="G83" s="1"/>
      <c r="H83" s="3" t="s">
        <v>597</v>
      </c>
    </row>
    <row r="84" spans="1:8" x14ac:dyDescent="0.25">
      <c r="A84" s="1" t="s">
        <v>246</v>
      </c>
      <c r="B84" s="1" t="s">
        <v>557</v>
      </c>
      <c r="C84" s="1" t="s">
        <v>532</v>
      </c>
      <c r="D84" s="1" t="s">
        <v>558</v>
      </c>
      <c r="E84" s="3" t="s">
        <v>243</v>
      </c>
      <c r="F84" s="2" t="s">
        <v>247</v>
      </c>
      <c r="G84" s="1"/>
      <c r="H84" s="3" t="s">
        <v>3234</v>
      </c>
    </row>
    <row r="85" spans="1:8" ht="30" x14ac:dyDescent="0.25">
      <c r="A85" s="1" t="s">
        <v>246</v>
      </c>
      <c r="B85" s="1" t="s">
        <v>557</v>
      </c>
      <c r="C85" s="1" t="s">
        <v>532</v>
      </c>
      <c r="D85" s="1" t="s">
        <v>558</v>
      </c>
      <c r="E85" s="3" t="s">
        <v>249</v>
      </c>
      <c r="F85" s="2" t="s">
        <v>255</v>
      </c>
      <c r="G85" s="1" t="s">
        <v>413</v>
      </c>
      <c r="H85" s="3" t="s">
        <v>3232</v>
      </c>
    </row>
    <row r="86" spans="1:8" x14ac:dyDescent="0.25">
      <c r="A86" s="1" t="s">
        <v>1765</v>
      </c>
      <c r="B86" s="1" t="s">
        <v>603</v>
      </c>
      <c r="C86" s="1" t="s">
        <v>1766</v>
      </c>
      <c r="D86" s="1" t="s">
        <v>533</v>
      </c>
      <c r="E86" s="3" t="s">
        <v>1767</v>
      </c>
      <c r="F86" s="2"/>
      <c r="G86" s="1"/>
      <c r="H86" s="3" t="s">
        <v>1015</v>
      </c>
    </row>
    <row r="87" spans="1:8" x14ac:dyDescent="0.25">
      <c r="A87" s="1" t="s">
        <v>1765</v>
      </c>
      <c r="B87" s="1" t="s">
        <v>603</v>
      </c>
      <c r="C87" s="1" t="s">
        <v>1766</v>
      </c>
      <c r="D87" s="1" t="s">
        <v>533</v>
      </c>
      <c r="E87" s="3" t="s">
        <v>1769</v>
      </c>
      <c r="F87" s="2"/>
      <c r="G87" s="1"/>
      <c r="H87" s="3" t="s">
        <v>79</v>
      </c>
    </row>
    <row r="88" spans="1:8" x14ac:dyDescent="0.25">
      <c r="A88" s="1" t="s">
        <v>182</v>
      </c>
      <c r="B88" s="1" t="s">
        <v>531</v>
      </c>
      <c r="C88" s="1" t="s">
        <v>532</v>
      </c>
      <c r="D88" s="1" t="s">
        <v>533</v>
      </c>
      <c r="E88" s="3" t="s">
        <v>3574</v>
      </c>
      <c r="F88" s="2" t="s">
        <v>5489</v>
      </c>
      <c r="G88" s="1"/>
      <c r="H88" s="3" t="s">
        <v>3576</v>
      </c>
    </row>
    <row r="89" spans="1:8" x14ac:dyDescent="0.25">
      <c r="A89" s="1" t="s">
        <v>182</v>
      </c>
      <c r="B89" s="1" t="s">
        <v>531</v>
      </c>
      <c r="C89" s="1" t="s">
        <v>532</v>
      </c>
      <c r="D89" s="1" t="s">
        <v>533</v>
      </c>
      <c r="E89" s="3" t="s">
        <v>3565</v>
      </c>
      <c r="F89" s="2" t="s">
        <v>5490</v>
      </c>
      <c r="G89" s="1"/>
      <c r="H89" s="3" t="s">
        <v>3564</v>
      </c>
    </row>
    <row r="90" spans="1:8" x14ac:dyDescent="0.25">
      <c r="A90" s="1" t="s">
        <v>182</v>
      </c>
      <c r="B90" s="1" t="s">
        <v>531</v>
      </c>
      <c r="C90" s="1" t="s">
        <v>532</v>
      </c>
      <c r="D90" s="1" t="s">
        <v>533</v>
      </c>
      <c r="E90" s="3" t="s">
        <v>3562</v>
      </c>
      <c r="F90" s="2" t="s">
        <v>5491</v>
      </c>
      <c r="G90" s="1"/>
      <c r="H90" s="3" t="s">
        <v>3564</v>
      </c>
    </row>
    <row r="91" spans="1:8" ht="30" x14ac:dyDescent="0.25">
      <c r="A91" s="1" t="s">
        <v>182</v>
      </c>
      <c r="B91" s="1" t="s">
        <v>531</v>
      </c>
      <c r="C91" s="1" t="s">
        <v>532</v>
      </c>
      <c r="D91" s="1" t="s">
        <v>533</v>
      </c>
      <c r="E91" s="3" t="s">
        <v>3558</v>
      </c>
      <c r="F91" s="2" t="s">
        <v>5492</v>
      </c>
      <c r="G91" s="1" t="s">
        <v>413</v>
      </c>
      <c r="H91" s="3" t="s">
        <v>3560</v>
      </c>
    </row>
    <row r="92" spans="1:8" x14ac:dyDescent="0.25">
      <c r="A92" s="1" t="s">
        <v>182</v>
      </c>
      <c r="B92" s="1" t="s">
        <v>531</v>
      </c>
      <c r="C92" s="1" t="s">
        <v>532</v>
      </c>
      <c r="D92" s="1" t="s">
        <v>533</v>
      </c>
      <c r="E92" s="3" t="s">
        <v>175</v>
      </c>
      <c r="F92" s="2" t="s">
        <v>183</v>
      </c>
      <c r="G92" s="1"/>
      <c r="H92" s="3" t="s">
        <v>3578</v>
      </c>
    </row>
    <row r="93" spans="1:8" x14ac:dyDescent="0.25">
      <c r="A93" s="1" t="s">
        <v>182</v>
      </c>
      <c r="B93" s="1" t="s">
        <v>531</v>
      </c>
      <c r="C93" s="1" t="s">
        <v>532</v>
      </c>
      <c r="D93" s="1" t="s">
        <v>533</v>
      </c>
      <c r="E93" s="3" t="s">
        <v>218</v>
      </c>
      <c r="F93" s="2" t="s">
        <v>220</v>
      </c>
      <c r="G93" s="1"/>
      <c r="H93" s="3" t="s">
        <v>3578</v>
      </c>
    </row>
    <row r="94" spans="1:8" ht="30" x14ac:dyDescent="0.25">
      <c r="A94" s="1" t="s">
        <v>182</v>
      </c>
      <c r="B94" s="1" t="s">
        <v>531</v>
      </c>
      <c r="C94" s="1" t="s">
        <v>532</v>
      </c>
      <c r="D94" s="1" t="s">
        <v>533</v>
      </c>
      <c r="E94" s="3" t="s">
        <v>3589</v>
      </c>
      <c r="F94" s="2" t="s">
        <v>5493</v>
      </c>
      <c r="G94" s="1"/>
      <c r="H94" s="3" t="s">
        <v>3582</v>
      </c>
    </row>
    <row r="95" spans="1:8" ht="30" x14ac:dyDescent="0.25">
      <c r="A95" s="1" t="s">
        <v>182</v>
      </c>
      <c r="B95" s="1" t="s">
        <v>531</v>
      </c>
      <c r="C95" s="1" t="s">
        <v>532</v>
      </c>
      <c r="D95" s="1" t="s">
        <v>533</v>
      </c>
      <c r="E95" s="3" t="s">
        <v>3585</v>
      </c>
      <c r="F95" s="2" t="s">
        <v>5494</v>
      </c>
      <c r="G95" s="1"/>
      <c r="H95" s="3" t="s">
        <v>3582</v>
      </c>
    </row>
    <row r="96" spans="1:8" ht="30" x14ac:dyDescent="0.25">
      <c r="A96" s="1" t="s">
        <v>182</v>
      </c>
      <c r="B96" s="1" t="s">
        <v>531</v>
      </c>
      <c r="C96" s="1" t="s">
        <v>532</v>
      </c>
      <c r="D96" s="1" t="s">
        <v>533</v>
      </c>
      <c r="E96" s="3" t="s">
        <v>3583</v>
      </c>
      <c r="F96" s="2" t="s">
        <v>5495</v>
      </c>
      <c r="G96" s="1"/>
      <c r="H96" s="3" t="s">
        <v>3582</v>
      </c>
    </row>
    <row r="97" spans="1:8" ht="30" x14ac:dyDescent="0.25">
      <c r="A97" s="1" t="s">
        <v>182</v>
      </c>
      <c r="B97" s="1" t="s">
        <v>531</v>
      </c>
      <c r="C97" s="1" t="s">
        <v>532</v>
      </c>
      <c r="D97" s="1" t="s">
        <v>533</v>
      </c>
      <c r="E97" s="3" t="s">
        <v>3587</v>
      </c>
      <c r="F97" s="2" t="s">
        <v>5496</v>
      </c>
      <c r="G97" s="1"/>
      <c r="H97" s="3" t="s">
        <v>3582</v>
      </c>
    </row>
    <row r="98" spans="1:8" ht="30" x14ac:dyDescent="0.25">
      <c r="A98" s="1" t="s">
        <v>182</v>
      </c>
      <c r="B98" s="1" t="s">
        <v>531</v>
      </c>
      <c r="C98" s="1" t="s">
        <v>532</v>
      </c>
      <c r="D98" s="1" t="s">
        <v>533</v>
      </c>
      <c r="E98" s="3" t="s">
        <v>3580</v>
      </c>
      <c r="F98" s="2" t="s">
        <v>5497</v>
      </c>
      <c r="G98" s="1"/>
      <c r="H98" s="3" t="s">
        <v>3582</v>
      </c>
    </row>
    <row r="99" spans="1:8" x14ac:dyDescent="0.25">
      <c r="A99" s="1" t="s">
        <v>182</v>
      </c>
      <c r="B99" s="1" t="s">
        <v>531</v>
      </c>
      <c r="C99" s="1" t="s">
        <v>532</v>
      </c>
      <c r="D99" s="1" t="s">
        <v>533</v>
      </c>
      <c r="E99" s="3" t="s">
        <v>3567</v>
      </c>
      <c r="F99" s="2" t="s">
        <v>5498</v>
      </c>
      <c r="G99" s="1"/>
      <c r="H99" s="3" t="s">
        <v>3569</v>
      </c>
    </row>
    <row r="100" spans="1:8" x14ac:dyDescent="0.25">
      <c r="A100" s="1" t="s">
        <v>182</v>
      </c>
      <c r="B100" s="1" t="s">
        <v>531</v>
      </c>
      <c r="C100" s="1" t="s">
        <v>532</v>
      </c>
      <c r="D100" s="1" t="s">
        <v>533</v>
      </c>
      <c r="E100" s="3" t="s">
        <v>3570</v>
      </c>
      <c r="F100" s="2" t="s">
        <v>5499</v>
      </c>
      <c r="G100" s="1"/>
      <c r="H100" s="3" t="s">
        <v>3569</v>
      </c>
    </row>
    <row r="101" spans="1:8" x14ac:dyDescent="0.25">
      <c r="A101" s="1" t="s">
        <v>182</v>
      </c>
      <c r="B101" s="1" t="s">
        <v>531</v>
      </c>
      <c r="C101" s="1" t="s">
        <v>532</v>
      </c>
      <c r="D101" s="1" t="s">
        <v>533</v>
      </c>
      <c r="E101" s="3" t="s">
        <v>3572</v>
      </c>
      <c r="F101" s="2" t="s">
        <v>5500</v>
      </c>
      <c r="G101" s="1"/>
      <c r="H101" s="3" t="s">
        <v>3569</v>
      </c>
    </row>
    <row r="102" spans="1:8" x14ac:dyDescent="0.25">
      <c r="A102" s="1" t="s">
        <v>4081</v>
      </c>
      <c r="B102" s="1" t="s">
        <v>557</v>
      </c>
      <c r="C102" s="1" t="s">
        <v>1766</v>
      </c>
      <c r="D102" s="1" t="s">
        <v>533</v>
      </c>
      <c r="E102" s="3" t="s">
        <v>4084</v>
      </c>
      <c r="F102" s="2" t="s">
        <v>5501</v>
      </c>
      <c r="G102" s="1"/>
      <c r="H102" s="3" t="s">
        <v>63</v>
      </c>
    </row>
    <row r="103" spans="1:8" x14ac:dyDescent="0.25">
      <c r="A103" s="1" t="s">
        <v>4081</v>
      </c>
      <c r="B103" s="1" t="s">
        <v>557</v>
      </c>
      <c r="C103" s="1" t="s">
        <v>1766</v>
      </c>
      <c r="D103" s="1" t="s">
        <v>533</v>
      </c>
      <c r="E103" s="3" t="s">
        <v>4082</v>
      </c>
      <c r="F103" s="2" t="s">
        <v>5502</v>
      </c>
      <c r="G103" s="1"/>
      <c r="H103" s="3" t="s">
        <v>1015</v>
      </c>
    </row>
    <row r="104" spans="1:8" x14ac:dyDescent="0.25">
      <c r="A104" s="1" t="s">
        <v>4081</v>
      </c>
      <c r="B104" s="1" t="s">
        <v>557</v>
      </c>
      <c r="C104" s="1" t="s">
        <v>1766</v>
      </c>
      <c r="D104" s="1" t="s">
        <v>533</v>
      </c>
      <c r="E104" s="3" t="s">
        <v>4086</v>
      </c>
      <c r="F104" s="2" t="s">
        <v>5503</v>
      </c>
      <c r="G104" s="1"/>
      <c r="H104" s="3" t="s">
        <v>79</v>
      </c>
    </row>
    <row r="105" spans="1:8" x14ac:dyDescent="0.25">
      <c r="A105" s="1" t="s">
        <v>4162</v>
      </c>
      <c r="B105" s="1" t="s">
        <v>1380</v>
      </c>
      <c r="C105" s="1" t="s">
        <v>1766</v>
      </c>
      <c r="D105" s="1" t="s">
        <v>533</v>
      </c>
      <c r="E105" s="3" t="s">
        <v>4170</v>
      </c>
      <c r="F105" s="2" t="s">
        <v>5504</v>
      </c>
      <c r="G105" s="1"/>
      <c r="H105" s="3" t="s">
        <v>4172</v>
      </c>
    </row>
    <row r="106" spans="1:8" x14ac:dyDescent="0.25">
      <c r="A106" s="1" t="s">
        <v>4162</v>
      </c>
      <c r="B106" s="1" t="s">
        <v>1380</v>
      </c>
      <c r="C106" s="1" t="s">
        <v>1766</v>
      </c>
      <c r="D106" s="1" t="s">
        <v>533</v>
      </c>
      <c r="E106" s="3" t="s">
        <v>4166</v>
      </c>
      <c r="F106" s="2" t="s">
        <v>5505</v>
      </c>
      <c r="G106" s="1"/>
      <c r="H106" s="3" t="s">
        <v>1921</v>
      </c>
    </row>
    <row r="107" spans="1:8" x14ac:dyDescent="0.25">
      <c r="A107" s="1" t="s">
        <v>4162</v>
      </c>
      <c r="B107" s="1" t="s">
        <v>1380</v>
      </c>
      <c r="C107" s="1" t="s">
        <v>1766</v>
      </c>
      <c r="D107" s="1" t="s">
        <v>533</v>
      </c>
      <c r="E107" s="3" t="s">
        <v>4168</v>
      </c>
      <c r="F107" s="2" t="s">
        <v>5506</v>
      </c>
      <c r="G107" s="1"/>
      <c r="H107" s="3" t="s">
        <v>1926</v>
      </c>
    </row>
    <row r="108" spans="1:8" ht="30" x14ac:dyDescent="0.25">
      <c r="A108" s="1" t="s">
        <v>4162</v>
      </c>
      <c r="B108" s="1" t="s">
        <v>1380</v>
      </c>
      <c r="C108" s="1" t="s">
        <v>1766</v>
      </c>
      <c r="D108" s="1" t="s">
        <v>533</v>
      </c>
      <c r="E108" s="3" t="s">
        <v>4163</v>
      </c>
      <c r="F108" s="2" t="s">
        <v>5507</v>
      </c>
      <c r="G108" s="1"/>
      <c r="H108" s="3" t="s">
        <v>4165</v>
      </c>
    </row>
    <row r="109" spans="1:8" x14ac:dyDescent="0.25">
      <c r="A109" s="1" t="s">
        <v>2270</v>
      </c>
      <c r="B109" s="1" t="s">
        <v>457</v>
      </c>
      <c r="C109" s="1" t="s">
        <v>419</v>
      </c>
      <c r="D109" s="1" t="s">
        <v>420</v>
      </c>
      <c r="E109" s="3"/>
      <c r="F109" s="2"/>
      <c r="G109" s="1"/>
      <c r="H109" s="3"/>
    </row>
    <row r="110" spans="1:8" x14ac:dyDescent="0.25">
      <c r="A110" s="1" t="s">
        <v>4</v>
      </c>
      <c r="B110" s="1" t="s">
        <v>418</v>
      </c>
      <c r="C110" s="1" t="s">
        <v>419</v>
      </c>
      <c r="D110" s="1" t="s">
        <v>420</v>
      </c>
      <c r="E110" s="3" t="s">
        <v>4052</v>
      </c>
      <c r="F110" s="2" t="s">
        <v>5508</v>
      </c>
      <c r="G110" s="1"/>
      <c r="H110" s="3" t="s">
        <v>63</v>
      </c>
    </row>
    <row r="111" spans="1:8" x14ac:dyDescent="0.25">
      <c r="A111" s="1" t="s">
        <v>4</v>
      </c>
      <c r="B111" s="1" t="s">
        <v>418</v>
      </c>
      <c r="C111" s="1" t="s">
        <v>419</v>
      </c>
      <c r="D111" s="1" t="s">
        <v>420</v>
      </c>
      <c r="E111" s="3" t="s">
        <v>4032</v>
      </c>
      <c r="F111" s="2" t="s">
        <v>5509</v>
      </c>
      <c r="G111" s="1"/>
      <c r="H111" s="3" t="s">
        <v>4034</v>
      </c>
    </row>
    <row r="112" spans="1:8" x14ac:dyDescent="0.25">
      <c r="A112" s="1" t="s">
        <v>4</v>
      </c>
      <c r="B112" s="1" t="s">
        <v>418</v>
      </c>
      <c r="C112" s="1" t="s">
        <v>419</v>
      </c>
      <c r="D112" s="1" t="s">
        <v>420</v>
      </c>
      <c r="E112" s="3" t="s">
        <v>4044</v>
      </c>
      <c r="F112" s="2" t="s">
        <v>5510</v>
      </c>
      <c r="G112" s="1" t="s">
        <v>406</v>
      </c>
      <c r="H112" s="3" t="s">
        <v>4046</v>
      </c>
    </row>
    <row r="113" spans="1:8" x14ac:dyDescent="0.25">
      <c r="A113" s="1" t="s">
        <v>4</v>
      </c>
      <c r="B113" s="1" t="s">
        <v>418</v>
      </c>
      <c r="C113" s="1" t="s">
        <v>419</v>
      </c>
      <c r="D113" s="1" t="s">
        <v>420</v>
      </c>
      <c r="E113" s="3" t="s">
        <v>4048</v>
      </c>
      <c r="F113" s="2" t="s">
        <v>5511</v>
      </c>
      <c r="G113" s="1" t="s">
        <v>406</v>
      </c>
      <c r="H113" s="3" t="s">
        <v>4046</v>
      </c>
    </row>
    <row r="114" spans="1:8" x14ac:dyDescent="0.25">
      <c r="A114" s="1" t="s">
        <v>4</v>
      </c>
      <c r="B114" s="1" t="s">
        <v>418</v>
      </c>
      <c r="C114" s="1" t="s">
        <v>419</v>
      </c>
      <c r="D114" s="1" t="s">
        <v>420</v>
      </c>
      <c r="E114" s="3" t="s">
        <v>595</v>
      </c>
      <c r="F114" s="2" t="s">
        <v>598</v>
      </c>
      <c r="G114" s="1" t="s">
        <v>406</v>
      </c>
      <c r="H114" s="3" t="s">
        <v>4046</v>
      </c>
    </row>
    <row r="115" spans="1:8" x14ac:dyDescent="0.25">
      <c r="A115" s="1" t="s">
        <v>4</v>
      </c>
      <c r="B115" s="1" t="s">
        <v>418</v>
      </c>
      <c r="C115" s="1" t="s">
        <v>419</v>
      </c>
      <c r="D115" s="1" t="s">
        <v>420</v>
      </c>
      <c r="E115" s="3" t="s">
        <v>4050</v>
      </c>
      <c r="F115" s="2" t="s">
        <v>5512</v>
      </c>
      <c r="G115" s="1" t="s">
        <v>406</v>
      </c>
      <c r="H115" s="3" t="s">
        <v>1002</v>
      </c>
    </row>
    <row r="116" spans="1:8" x14ac:dyDescent="0.25">
      <c r="A116" s="1" t="s">
        <v>4</v>
      </c>
      <c r="B116" s="1" t="s">
        <v>418</v>
      </c>
      <c r="C116" s="1" t="s">
        <v>419</v>
      </c>
      <c r="D116" s="1" t="s">
        <v>420</v>
      </c>
      <c r="E116" s="3" t="s">
        <v>0</v>
      </c>
      <c r="F116" s="2" t="s">
        <v>5</v>
      </c>
      <c r="G116" s="1"/>
      <c r="H116" s="3" t="s">
        <v>1</v>
      </c>
    </row>
    <row r="117" spans="1:8" x14ac:dyDescent="0.25">
      <c r="A117" s="1" t="s">
        <v>4</v>
      </c>
      <c r="B117" s="1" t="s">
        <v>418</v>
      </c>
      <c r="C117" s="1" t="s">
        <v>419</v>
      </c>
      <c r="D117" s="1" t="s">
        <v>420</v>
      </c>
      <c r="E117" s="3" t="s">
        <v>4029</v>
      </c>
      <c r="F117" s="2" t="s">
        <v>5513</v>
      </c>
      <c r="G117" s="1"/>
      <c r="H117" s="3" t="s">
        <v>1</v>
      </c>
    </row>
    <row r="118" spans="1:8" x14ac:dyDescent="0.25">
      <c r="A118" s="1" t="s">
        <v>4</v>
      </c>
      <c r="B118" s="1" t="s">
        <v>418</v>
      </c>
      <c r="C118" s="1" t="s">
        <v>419</v>
      </c>
      <c r="D118" s="1" t="s">
        <v>420</v>
      </c>
      <c r="E118" s="3" t="s">
        <v>4037</v>
      </c>
      <c r="F118" s="2" t="s">
        <v>5514</v>
      </c>
      <c r="G118" s="1"/>
      <c r="H118" s="3" t="s">
        <v>1598</v>
      </c>
    </row>
    <row r="119" spans="1:8" x14ac:dyDescent="0.25">
      <c r="A119" s="1" t="s">
        <v>4</v>
      </c>
      <c r="B119" s="1" t="s">
        <v>418</v>
      </c>
      <c r="C119" s="1" t="s">
        <v>419</v>
      </c>
      <c r="D119" s="1" t="s">
        <v>420</v>
      </c>
      <c r="E119" s="3" t="s">
        <v>4035</v>
      </c>
      <c r="F119" s="2" t="s">
        <v>5515</v>
      </c>
      <c r="G119" s="1"/>
      <c r="H119" s="3" t="s">
        <v>1598</v>
      </c>
    </row>
    <row r="120" spans="1:8" x14ac:dyDescent="0.25">
      <c r="A120" s="1" t="s">
        <v>4</v>
      </c>
      <c r="B120" s="1" t="s">
        <v>418</v>
      </c>
      <c r="C120" s="1" t="s">
        <v>419</v>
      </c>
      <c r="D120" s="1" t="s">
        <v>420</v>
      </c>
      <c r="E120" s="3" t="s">
        <v>4032</v>
      </c>
      <c r="F120" s="2" t="s">
        <v>5516</v>
      </c>
      <c r="G120" s="1"/>
      <c r="H120" s="3" t="s">
        <v>1598</v>
      </c>
    </row>
    <row r="121" spans="1:8" x14ac:dyDescent="0.25">
      <c r="A121" s="1" t="s">
        <v>4</v>
      </c>
      <c r="B121" s="1" t="s">
        <v>418</v>
      </c>
      <c r="C121" s="1" t="s">
        <v>419</v>
      </c>
      <c r="D121" s="1" t="s">
        <v>420</v>
      </c>
      <c r="E121" s="3" t="s">
        <v>4039</v>
      </c>
      <c r="F121" s="2" t="s">
        <v>5517</v>
      </c>
      <c r="G121" s="1"/>
      <c r="H121" s="3" t="s">
        <v>1598</v>
      </c>
    </row>
    <row r="122" spans="1:8" x14ac:dyDescent="0.25">
      <c r="A122" s="1" t="s">
        <v>4</v>
      </c>
      <c r="B122" s="1" t="s">
        <v>418</v>
      </c>
      <c r="C122" s="1" t="s">
        <v>419</v>
      </c>
      <c r="D122" s="1" t="s">
        <v>420</v>
      </c>
      <c r="E122" s="3" t="s">
        <v>4042</v>
      </c>
      <c r="F122" s="2" t="s">
        <v>5518</v>
      </c>
      <c r="G122" s="1"/>
      <c r="H122" s="3" t="s">
        <v>1598</v>
      </c>
    </row>
    <row r="123" spans="1:8" x14ac:dyDescent="0.25">
      <c r="A123" s="1" t="s">
        <v>162</v>
      </c>
      <c r="B123" s="1" t="s">
        <v>437</v>
      </c>
      <c r="C123" s="1" t="s">
        <v>517</v>
      </c>
      <c r="D123" s="1" t="s">
        <v>518</v>
      </c>
      <c r="E123" s="3" t="s">
        <v>1650</v>
      </c>
      <c r="F123" s="2" t="s">
        <v>5519</v>
      </c>
      <c r="G123" s="1" t="s">
        <v>1651</v>
      </c>
      <c r="H123" s="3" t="s">
        <v>1653</v>
      </c>
    </row>
    <row r="124" spans="1:8" x14ac:dyDescent="0.25">
      <c r="A124" s="1" t="s">
        <v>162</v>
      </c>
      <c r="B124" s="1" t="s">
        <v>437</v>
      </c>
      <c r="C124" s="1" t="s">
        <v>517</v>
      </c>
      <c r="D124" s="1" t="s">
        <v>518</v>
      </c>
      <c r="E124" s="3" t="s">
        <v>1656</v>
      </c>
      <c r="F124" s="2" t="s">
        <v>5520</v>
      </c>
      <c r="G124" s="1" t="s">
        <v>1651</v>
      </c>
      <c r="H124" s="3" t="s">
        <v>1653</v>
      </c>
    </row>
    <row r="125" spans="1:8" x14ac:dyDescent="0.25">
      <c r="A125" s="1" t="s">
        <v>162</v>
      </c>
      <c r="B125" s="1" t="s">
        <v>437</v>
      </c>
      <c r="C125" s="1" t="s">
        <v>517</v>
      </c>
      <c r="D125" s="1" t="s">
        <v>518</v>
      </c>
      <c r="E125" s="3" t="s">
        <v>1654</v>
      </c>
      <c r="F125" s="2" t="s">
        <v>5521</v>
      </c>
      <c r="G125" s="1" t="s">
        <v>1651</v>
      </c>
      <c r="H125" s="3" t="s">
        <v>1653</v>
      </c>
    </row>
    <row r="126" spans="1:8" ht="30" x14ac:dyDescent="0.25">
      <c r="A126" s="1" t="s">
        <v>162</v>
      </c>
      <c r="B126" s="1" t="s">
        <v>437</v>
      </c>
      <c r="C126" s="1" t="s">
        <v>517</v>
      </c>
      <c r="D126" s="1" t="s">
        <v>518</v>
      </c>
      <c r="E126" s="3" t="s">
        <v>1641</v>
      </c>
      <c r="F126" s="2"/>
      <c r="G126" s="1"/>
      <c r="H126" s="3" t="s">
        <v>1643</v>
      </c>
    </row>
    <row r="127" spans="1:8" ht="30" x14ac:dyDescent="0.25">
      <c r="A127" s="1" t="s">
        <v>162</v>
      </c>
      <c r="B127" s="1" t="s">
        <v>437</v>
      </c>
      <c r="C127" s="1" t="s">
        <v>517</v>
      </c>
      <c r="D127" s="1" t="s">
        <v>518</v>
      </c>
      <c r="E127" s="3" t="s">
        <v>1644</v>
      </c>
      <c r="F127" s="2"/>
      <c r="G127" s="1"/>
      <c r="H127" s="3" t="s">
        <v>1643</v>
      </c>
    </row>
    <row r="128" spans="1:8" ht="30" x14ac:dyDescent="0.25">
      <c r="A128" s="1" t="s">
        <v>162</v>
      </c>
      <c r="B128" s="1" t="s">
        <v>437</v>
      </c>
      <c r="C128" s="1" t="s">
        <v>517</v>
      </c>
      <c r="D128" s="1" t="s">
        <v>518</v>
      </c>
      <c r="E128" s="3" t="s">
        <v>1646</v>
      </c>
      <c r="F128" s="2"/>
      <c r="G128" s="1"/>
      <c r="H128" s="3" t="s">
        <v>1643</v>
      </c>
    </row>
    <row r="129" spans="1:8" ht="30" x14ac:dyDescent="0.25">
      <c r="A129" s="1" t="s">
        <v>162</v>
      </c>
      <c r="B129" s="1" t="s">
        <v>437</v>
      </c>
      <c r="C129" s="1" t="s">
        <v>517</v>
      </c>
      <c r="D129" s="1" t="s">
        <v>518</v>
      </c>
      <c r="E129" s="3" t="s">
        <v>1648</v>
      </c>
      <c r="F129" s="2"/>
      <c r="G129" s="1"/>
      <c r="H129" s="3" t="s">
        <v>1643</v>
      </c>
    </row>
    <row r="130" spans="1:8" x14ac:dyDescent="0.25">
      <c r="A130" s="1" t="s">
        <v>162</v>
      </c>
      <c r="B130" s="1" t="s">
        <v>437</v>
      </c>
      <c r="C130" s="1" t="s">
        <v>517</v>
      </c>
      <c r="D130" s="1" t="s">
        <v>518</v>
      </c>
      <c r="E130" s="3" t="s">
        <v>156</v>
      </c>
      <c r="F130" s="2"/>
      <c r="G130" s="1"/>
      <c r="H130" s="3" t="s">
        <v>1662</v>
      </c>
    </row>
    <row r="131" spans="1:8" x14ac:dyDescent="0.25">
      <c r="A131" s="1" t="s">
        <v>162</v>
      </c>
      <c r="B131" s="1" t="s">
        <v>437</v>
      </c>
      <c r="C131" s="1" t="s">
        <v>517</v>
      </c>
      <c r="D131" s="1" t="s">
        <v>518</v>
      </c>
      <c r="E131" s="3" t="s">
        <v>1658</v>
      </c>
      <c r="F131" s="2"/>
      <c r="G131" s="1"/>
      <c r="H131" s="3" t="s">
        <v>1660</v>
      </c>
    </row>
    <row r="132" spans="1:8" x14ac:dyDescent="0.25">
      <c r="A132" s="1" t="s">
        <v>2265</v>
      </c>
      <c r="B132" s="1" t="s">
        <v>491</v>
      </c>
      <c r="C132" s="1" t="s">
        <v>2266</v>
      </c>
      <c r="D132" s="1" t="s">
        <v>518</v>
      </c>
      <c r="E132" s="3" t="s">
        <v>2267</v>
      </c>
      <c r="F132" s="2"/>
      <c r="G132" s="1"/>
      <c r="H132" s="3" t="s">
        <v>2269</v>
      </c>
    </row>
    <row r="133" spans="1:8" x14ac:dyDescent="0.25">
      <c r="A133" s="1" t="s">
        <v>3622</v>
      </c>
      <c r="B133" s="1" t="s">
        <v>418</v>
      </c>
      <c r="C133" s="1" t="s">
        <v>2708</v>
      </c>
      <c r="D133" s="1" t="s">
        <v>518</v>
      </c>
      <c r="E133" s="3" t="s">
        <v>3628</v>
      </c>
      <c r="F133" s="2" t="s">
        <v>5522</v>
      </c>
      <c r="G133" s="1"/>
      <c r="H133" s="3" t="s">
        <v>682</v>
      </c>
    </row>
    <row r="134" spans="1:8" x14ac:dyDescent="0.25">
      <c r="A134" s="1" t="s">
        <v>3622</v>
      </c>
      <c r="B134" s="1" t="s">
        <v>418</v>
      </c>
      <c r="C134" s="1" t="s">
        <v>2708</v>
      </c>
      <c r="D134" s="1" t="s">
        <v>518</v>
      </c>
      <c r="E134" s="3" t="s">
        <v>3625</v>
      </c>
      <c r="F134" s="2" t="s">
        <v>5523</v>
      </c>
      <c r="G134" s="1"/>
      <c r="H134" s="3" t="s">
        <v>3627</v>
      </c>
    </row>
    <row r="135" spans="1:8" x14ac:dyDescent="0.25">
      <c r="A135" s="1" t="s">
        <v>3622</v>
      </c>
      <c r="B135" s="1" t="s">
        <v>418</v>
      </c>
      <c r="C135" s="1" t="s">
        <v>2708</v>
      </c>
      <c r="D135" s="1" t="s">
        <v>518</v>
      </c>
      <c r="E135" s="3" t="s">
        <v>3623</v>
      </c>
      <c r="F135" s="2" t="s">
        <v>5524</v>
      </c>
      <c r="G135" s="1"/>
      <c r="H135" s="3" t="s">
        <v>584</v>
      </c>
    </row>
    <row r="136" spans="1:8" x14ac:dyDescent="0.25">
      <c r="A136" s="1" t="s">
        <v>2270</v>
      </c>
      <c r="B136" s="1" t="s">
        <v>457</v>
      </c>
      <c r="C136" s="1" t="s">
        <v>2271</v>
      </c>
      <c r="D136" s="1" t="s">
        <v>459</v>
      </c>
      <c r="E136" s="3" t="s">
        <v>2280</v>
      </c>
      <c r="F136" s="2" t="s">
        <v>5525</v>
      </c>
      <c r="G136" s="1" t="s">
        <v>406</v>
      </c>
      <c r="H136" s="3" t="s">
        <v>63</v>
      </c>
    </row>
    <row r="137" spans="1:8" x14ac:dyDescent="0.25">
      <c r="A137" s="1" t="s">
        <v>2270</v>
      </c>
      <c r="B137" s="1" t="s">
        <v>457</v>
      </c>
      <c r="C137" s="1" t="s">
        <v>2271</v>
      </c>
      <c r="D137" s="1" t="s">
        <v>459</v>
      </c>
      <c r="E137" s="3" t="s">
        <v>2272</v>
      </c>
      <c r="F137" s="2" t="s">
        <v>5526</v>
      </c>
      <c r="G137" s="1"/>
      <c r="H137" s="3" t="s">
        <v>1944</v>
      </c>
    </row>
    <row r="138" spans="1:8" x14ac:dyDescent="0.25">
      <c r="A138" s="1" t="s">
        <v>2270</v>
      </c>
      <c r="B138" s="1" t="s">
        <v>457</v>
      </c>
      <c r="C138" s="1" t="s">
        <v>2271</v>
      </c>
      <c r="D138" s="1" t="s">
        <v>459</v>
      </c>
      <c r="E138" s="3" t="s">
        <v>2274</v>
      </c>
      <c r="F138" s="2" t="s">
        <v>5527</v>
      </c>
      <c r="G138" s="1"/>
      <c r="H138" s="3" t="s">
        <v>584</v>
      </c>
    </row>
    <row r="139" spans="1:8" x14ac:dyDescent="0.25">
      <c r="A139" s="1" t="s">
        <v>2270</v>
      </c>
      <c r="B139" s="1" t="s">
        <v>457</v>
      </c>
      <c r="C139" s="1" t="s">
        <v>2271</v>
      </c>
      <c r="D139" s="1" t="s">
        <v>459</v>
      </c>
      <c r="E139" s="3" t="s">
        <v>2276</v>
      </c>
      <c r="F139" s="2" t="s">
        <v>5528</v>
      </c>
      <c r="G139" s="1"/>
      <c r="H139" s="3" t="s">
        <v>584</v>
      </c>
    </row>
    <row r="140" spans="1:8" x14ac:dyDescent="0.25">
      <c r="A140" s="1" t="s">
        <v>2270</v>
      </c>
      <c r="B140" s="1" t="s">
        <v>457</v>
      </c>
      <c r="C140" s="1" t="s">
        <v>2271</v>
      </c>
      <c r="D140" s="1" t="s">
        <v>459</v>
      </c>
      <c r="E140" s="3" t="s">
        <v>2278</v>
      </c>
      <c r="F140" s="2" t="s">
        <v>5529</v>
      </c>
      <c r="G140" s="1"/>
      <c r="H140" s="3" t="s">
        <v>584</v>
      </c>
    </row>
    <row r="141" spans="1:8" x14ac:dyDescent="0.25">
      <c r="A141" s="1" t="s">
        <v>616</v>
      </c>
      <c r="B141" s="1" t="s">
        <v>457</v>
      </c>
      <c r="C141" s="1" t="s">
        <v>617</v>
      </c>
      <c r="D141" s="1" t="s">
        <v>459</v>
      </c>
      <c r="E141" s="3" t="s">
        <v>2476</v>
      </c>
      <c r="F141" s="2" t="s">
        <v>5530</v>
      </c>
      <c r="G141" s="1"/>
      <c r="H141" s="3" t="s">
        <v>2157</v>
      </c>
    </row>
    <row r="142" spans="1:8" x14ac:dyDescent="0.25">
      <c r="A142" s="1" t="s">
        <v>616</v>
      </c>
      <c r="B142" s="1" t="s">
        <v>457</v>
      </c>
      <c r="C142" s="1" t="s">
        <v>617</v>
      </c>
      <c r="D142" s="1" t="s">
        <v>459</v>
      </c>
      <c r="E142" s="3" t="s">
        <v>2482</v>
      </c>
      <c r="F142" s="2" t="s">
        <v>5531</v>
      </c>
      <c r="G142" s="1"/>
      <c r="H142" s="3" t="s">
        <v>2157</v>
      </c>
    </row>
    <row r="143" spans="1:8" x14ac:dyDescent="0.25">
      <c r="A143" s="1" t="s">
        <v>616</v>
      </c>
      <c r="B143" s="1" t="s">
        <v>457</v>
      </c>
      <c r="C143" s="1" t="s">
        <v>617</v>
      </c>
      <c r="D143" s="1" t="s">
        <v>459</v>
      </c>
      <c r="E143" s="3" t="s">
        <v>2480</v>
      </c>
      <c r="F143" s="2" t="s">
        <v>5532</v>
      </c>
      <c r="G143" s="1"/>
      <c r="H143" s="3" t="s">
        <v>2157</v>
      </c>
    </row>
    <row r="144" spans="1:8" x14ac:dyDescent="0.25">
      <c r="A144" s="1" t="s">
        <v>616</v>
      </c>
      <c r="B144" s="1" t="s">
        <v>457</v>
      </c>
      <c r="C144" s="1" t="s">
        <v>617</v>
      </c>
      <c r="D144" s="1" t="s">
        <v>459</v>
      </c>
      <c r="E144" s="3" t="s">
        <v>2478</v>
      </c>
      <c r="F144" s="2" t="s">
        <v>5533</v>
      </c>
      <c r="G144" s="1"/>
      <c r="H144" s="3" t="s">
        <v>2157</v>
      </c>
    </row>
    <row r="145" spans="1:8" x14ac:dyDescent="0.25">
      <c r="A145" s="1" t="s">
        <v>616</v>
      </c>
      <c r="B145" s="1" t="s">
        <v>457</v>
      </c>
      <c r="C145" s="1" t="s">
        <v>617</v>
      </c>
      <c r="D145" s="1" t="s">
        <v>459</v>
      </c>
      <c r="E145" s="3" t="s">
        <v>2501</v>
      </c>
      <c r="F145" s="2" t="s">
        <v>5534</v>
      </c>
      <c r="G145" s="1" t="s">
        <v>442</v>
      </c>
      <c r="H145" s="3" t="s">
        <v>2503</v>
      </c>
    </row>
    <row r="146" spans="1:8" x14ac:dyDescent="0.25">
      <c r="A146" s="1" t="s">
        <v>616</v>
      </c>
      <c r="B146" s="1" t="s">
        <v>457</v>
      </c>
      <c r="C146" s="1" t="s">
        <v>617</v>
      </c>
      <c r="D146" s="1" t="s">
        <v>459</v>
      </c>
      <c r="E146" s="3" t="s">
        <v>2492</v>
      </c>
      <c r="F146" s="2" t="s">
        <v>5535</v>
      </c>
      <c r="G146" s="1"/>
      <c r="H146" s="3" t="s">
        <v>63</v>
      </c>
    </row>
    <row r="147" spans="1:8" x14ac:dyDescent="0.25">
      <c r="A147" s="1" t="s">
        <v>616</v>
      </c>
      <c r="B147" s="1" t="s">
        <v>457</v>
      </c>
      <c r="C147" s="1" t="s">
        <v>617</v>
      </c>
      <c r="D147" s="1" t="s">
        <v>459</v>
      </c>
      <c r="E147" s="3" t="s">
        <v>2488</v>
      </c>
      <c r="F147" s="2" t="s">
        <v>5536</v>
      </c>
      <c r="G147" s="1"/>
      <c r="H147" s="3" t="s">
        <v>597</v>
      </c>
    </row>
    <row r="148" spans="1:8" x14ac:dyDescent="0.25">
      <c r="A148" s="1" t="s">
        <v>616</v>
      </c>
      <c r="B148" s="1" t="s">
        <v>457</v>
      </c>
      <c r="C148" s="1" t="s">
        <v>617</v>
      </c>
      <c r="D148" s="1" t="s">
        <v>459</v>
      </c>
      <c r="E148" s="3" t="s">
        <v>2490</v>
      </c>
      <c r="F148" s="2" t="s">
        <v>5537</v>
      </c>
      <c r="G148" s="1"/>
      <c r="H148" s="3" t="s">
        <v>597</v>
      </c>
    </row>
    <row r="149" spans="1:8" x14ac:dyDescent="0.25">
      <c r="A149" s="1" t="s">
        <v>616</v>
      </c>
      <c r="B149" s="1" t="s">
        <v>457</v>
      </c>
      <c r="C149" s="1" t="s">
        <v>617</v>
      </c>
      <c r="D149" s="1" t="s">
        <v>459</v>
      </c>
      <c r="E149" s="3" t="s">
        <v>2486</v>
      </c>
      <c r="F149" s="2" t="s">
        <v>5538</v>
      </c>
      <c r="G149" s="1"/>
      <c r="H149" s="3" t="s">
        <v>597</v>
      </c>
    </row>
    <row r="150" spans="1:8" x14ac:dyDescent="0.25">
      <c r="A150" s="1" t="s">
        <v>616</v>
      </c>
      <c r="B150" s="1" t="s">
        <v>457</v>
      </c>
      <c r="C150" s="1" t="s">
        <v>617</v>
      </c>
      <c r="D150" s="1" t="s">
        <v>459</v>
      </c>
      <c r="E150" s="3" t="s">
        <v>2484</v>
      </c>
      <c r="F150" s="2" t="s">
        <v>5539</v>
      </c>
      <c r="G150" s="1"/>
      <c r="H150" s="3" t="s">
        <v>597</v>
      </c>
    </row>
    <row r="151" spans="1:8" x14ac:dyDescent="0.25">
      <c r="A151" s="1" t="s">
        <v>616</v>
      </c>
      <c r="B151" s="1" t="s">
        <v>457</v>
      </c>
      <c r="C151" s="1" t="s">
        <v>617</v>
      </c>
      <c r="D151" s="1" t="s">
        <v>459</v>
      </c>
      <c r="E151" s="3" t="s">
        <v>2494</v>
      </c>
      <c r="F151" s="2" t="s">
        <v>5540</v>
      </c>
      <c r="G151" s="1"/>
      <c r="H151" s="3" t="s">
        <v>675</v>
      </c>
    </row>
    <row r="152" spans="1:8" x14ac:dyDescent="0.25">
      <c r="A152" s="1" t="s">
        <v>616</v>
      </c>
      <c r="B152" s="1" t="s">
        <v>457</v>
      </c>
      <c r="C152" s="1" t="s">
        <v>617</v>
      </c>
      <c r="D152" s="1" t="s">
        <v>459</v>
      </c>
      <c r="E152" s="3" t="s">
        <v>2496</v>
      </c>
      <c r="F152" s="2" t="s">
        <v>5541</v>
      </c>
      <c r="G152" s="1"/>
      <c r="H152" s="3" t="s">
        <v>675</v>
      </c>
    </row>
    <row r="153" spans="1:8" x14ac:dyDescent="0.25">
      <c r="A153" s="1" t="s">
        <v>616</v>
      </c>
      <c r="B153" s="1" t="s">
        <v>457</v>
      </c>
      <c r="C153" s="1" t="s">
        <v>617</v>
      </c>
      <c r="D153" s="1" t="s">
        <v>459</v>
      </c>
      <c r="E153" s="3" t="s">
        <v>2499</v>
      </c>
      <c r="F153" s="2" t="s">
        <v>5542</v>
      </c>
      <c r="G153" s="1"/>
      <c r="H153" s="3" t="s">
        <v>675</v>
      </c>
    </row>
    <row r="154" spans="1:8" x14ac:dyDescent="0.25">
      <c r="A154" s="1" t="s">
        <v>616</v>
      </c>
      <c r="B154" s="1" t="s">
        <v>457</v>
      </c>
      <c r="C154" s="1" t="s">
        <v>617</v>
      </c>
      <c r="D154" s="1" t="s">
        <v>459</v>
      </c>
      <c r="E154" s="3" t="s">
        <v>614</v>
      </c>
      <c r="F154" s="2" t="s">
        <v>618</v>
      </c>
      <c r="G154" s="1"/>
      <c r="H154" s="3" t="s">
        <v>675</v>
      </c>
    </row>
    <row r="155" spans="1:8" x14ac:dyDescent="0.25">
      <c r="A155" s="1" t="s">
        <v>57</v>
      </c>
      <c r="B155" s="1" t="s">
        <v>457</v>
      </c>
      <c r="C155" s="1" t="s">
        <v>458</v>
      </c>
      <c r="D155" s="1" t="s">
        <v>459</v>
      </c>
      <c r="E155" s="3" t="s">
        <v>2854</v>
      </c>
      <c r="F155" s="2" t="s">
        <v>5543</v>
      </c>
      <c r="G155" s="1"/>
      <c r="H155" s="3" t="s">
        <v>682</v>
      </c>
    </row>
    <row r="156" spans="1:8" x14ac:dyDescent="0.25">
      <c r="A156" s="1" t="s">
        <v>57</v>
      </c>
      <c r="B156" s="1" t="s">
        <v>457</v>
      </c>
      <c r="C156" s="1" t="s">
        <v>458</v>
      </c>
      <c r="D156" s="1" t="s">
        <v>459</v>
      </c>
      <c r="E156" s="3" t="s">
        <v>39</v>
      </c>
      <c r="F156" s="2" t="s">
        <v>58</v>
      </c>
      <c r="G156" s="1" t="s">
        <v>406</v>
      </c>
      <c r="H156" s="3" t="s">
        <v>2847</v>
      </c>
    </row>
    <row r="157" spans="1:8" x14ac:dyDescent="0.25">
      <c r="A157" s="1" t="s">
        <v>57</v>
      </c>
      <c r="B157" s="1" t="s">
        <v>457</v>
      </c>
      <c r="C157" s="1" t="s">
        <v>458</v>
      </c>
      <c r="D157" s="1" t="s">
        <v>459</v>
      </c>
      <c r="E157" s="3" t="s">
        <v>2848</v>
      </c>
      <c r="F157" s="2" t="s">
        <v>5544</v>
      </c>
      <c r="G157" s="1"/>
      <c r="H157" s="3" t="s">
        <v>675</v>
      </c>
    </row>
    <row r="158" spans="1:8" x14ac:dyDescent="0.25">
      <c r="A158" s="1" t="s">
        <v>57</v>
      </c>
      <c r="B158" s="1" t="s">
        <v>457</v>
      </c>
      <c r="C158" s="1" t="s">
        <v>458</v>
      </c>
      <c r="D158" s="1" t="s">
        <v>459</v>
      </c>
      <c r="E158" s="3" t="s">
        <v>2850</v>
      </c>
      <c r="F158" s="2" t="s">
        <v>5545</v>
      </c>
      <c r="G158" s="1"/>
      <c r="H158" s="3" t="s">
        <v>675</v>
      </c>
    </row>
    <row r="159" spans="1:8" x14ac:dyDescent="0.25">
      <c r="A159" s="1" t="s">
        <v>57</v>
      </c>
      <c r="B159" s="1" t="s">
        <v>457</v>
      </c>
      <c r="C159" s="1" t="s">
        <v>458</v>
      </c>
      <c r="D159" s="1" t="s">
        <v>459</v>
      </c>
      <c r="E159" s="3" t="s">
        <v>2852</v>
      </c>
      <c r="F159" s="2" t="s">
        <v>5546</v>
      </c>
      <c r="G159" s="1"/>
      <c r="H159" s="3" t="s">
        <v>675</v>
      </c>
    </row>
    <row r="160" spans="1:8" x14ac:dyDescent="0.25">
      <c r="A160" s="1" t="s">
        <v>57</v>
      </c>
      <c r="B160" s="1" t="s">
        <v>457</v>
      </c>
      <c r="C160" s="1" t="s">
        <v>458</v>
      </c>
      <c r="D160" s="1" t="s">
        <v>459</v>
      </c>
      <c r="E160" s="3" t="s">
        <v>2844</v>
      </c>
      <c r="F160" s="2" t="s">
        <v>5547</v>
      </c>
      <c r="G160" s="1"/>
      <c r="H160" s="3" t="s">
        <v>2015</v>
      </c>
    </row>
    <row r="161" spans="1:8" x14ac:dyDescent="0.25">
      <c r="A161" s="1" t="s">
        <v>57</v>
      </c>
      <c r="B161" s="1" t="s">
        <v>457</v>
      </c>
      <c r="C161" s="1" t="s">
        <v>458</v>
      </c>
      <c r="D161" s="1" t="s">
        <v>459</v>
      </c>
      <c r="E161" s="3" t="s">
        <v>2842</v>
      </c>
      <c r="F161" s="2" t="s">
        <v>5548</v>
      </c>
      <c r="G161" s="1"/>
      <c r="H161" s="3" t="s">
        <v>2015</v>
      </c>
    </row>
    <row r="162" spans="1:8" x14ac:dyDescent="0.25">
      <c r="A162" s="1" t="s">
        <v>3996</v>
      </c>
      <c r="B162" s="1" t="s">
        <v>1815</v>
      </c>
      <c r="C162" s="1" t="s">
        <v>3997</v>
      </c>
      <c r="D162" s="1" t="s">
        <v>3998</v>
      </c>
      <c r="E162" s="3" t="s">
        <v>4014</v>
      </c>
      <c r="F162" s="2" t="s">
        <v>5549</v>
      </c>
      <c r="G162" s="1"/>
      <c r="H162" s="3" t="s">
        <v>3378</v>
      </c>
    </row>
    <row r="163" spans="1:8" x14ac:dyDescent="0.25">
      <c r="A163" s="1" t="s">
        <v>3996</v>
      </c>
      <c r="B163" s="1" t="s">
        <v>1815</v>
      </c>
      <c r="C163" s="1" t="s">
        <v>3997</v>
      </c>
      <c r="D163" s="1" t="s">
        <v>3998</v>
      </c>
      <c r="E163" s="3" t="s">
        <v>4003</v>
      </c>
      <c r="F163" s="2" t="s">
        <v>5550</v>
      </c>
      <c r="G163" s="1"/>
      <c r="H163" s="3" t="s">
        <v>1921</v>
      </c>
    </row>
    <row r="164" spans="1:8" x14ac:dyDescent="0.25">
      <c r="A164" s="1" t="s">
        <v>3996</v>
      </c>
      <c r="B164" s="1" t="s">
        <v>1815</v>
      </c>
      <c r="C164" s="1" t="s">
        <v>3997</v>
      </c>
      <c r="D164" s="1" t="s">
        <v>3998</v>
      </c>
      <c r="E164" s="3" t="s">
        <v>4005</v>
      </c>
      <c r="F164" s="2" t="s">
        <v>5551</v>
      </c>
      <c r="G164" s="1"/>
      <c r="H164" s="3" t="s">
        <v>4007</v>
      </c>
    </row>
    <row r="165" spans="1:8" x14ac:dyDescent="0.25">
      <c r="A165" s="1" t="s">
        <v>3996</v>
      </c>
      <c r="B165" s="1" t="s">
        <v>1815</v>
      </c>
      <c r="C165" s="1" t="s">
        <v>3997</v>
      </c>
      <c r="D165" s="1" t="s">
        <v>3998</v>
      </c>
      <c r="E165" s="3" t="s">
        <v>4010</v>
      </c>
      <c r="F165" s="2" t="s">
        <v>5552</v>
      </c>
      <c r="G165" s="1"/>
      <c r="H165" s="3" t="s">
        <v>79</v>
      </c>
    </row>
    <row r="166" spans="1:8" x14ac:dyDescent="0.25">
      <c r="A166" s="1" t="s">
        <v>3996</v>
      </c>
      <c r="B166" s="1" t="s">
        <v>1815</v>
      </c>
      <c r="C166" s="1" t="s">
        <v>3997</v>
      </c>
      <c r="D166" s="1" t="s">
        <v>3998</v>
      </c>
      <c r="E166" s="3" t="s">
        <v>4012</v>
      </c>
      <c r="F166" s="2" t="s">
        <v>5553</v>
      </c>
      <c r="G166" s="1"/>
      <c r="H166" s="3" t="s">
        <v>79</v>
      </c>
    </row>
    <row r="167" spans="1:8" x14ac:dyDescent="0.25">
      <c r="A167" s="1" t="s">
        <v>3996</v>
      </c>
      <c r="B167" s="1" t="s">
        <v>1815</v>
      </c>
      <c r="C167" s="1" t="s">
        <v>3997</v>
      </c>
      <c r="D167" s="1" t="s">
        <v>3998</v>
      </c>
      <c r="E167" s="3" t="s">
        <v>4008</v>
      </c>
      <c r="F167" s="2" t="s">
        <v>5554</v>
      </c>
      <c r="G167" s="1"/>
      <c r="H167" s="3" t="s">
        <v>79</v>
      </c>
    </row>
    <row r="168" spans="1:8" x14ac:dyDescent="0.25">
      <c r="A168" s="1" t="s">
        <v>3996</v>
      </c>
      <c r="B168" s="1" t="s">
        <v>1815</v>
      </c>
      <c r="C168" s="1" t="s">
        <v>3997</v>
      </c>
      <c r="D168" s="1" t="s">
        <v>3998</v>
      </c>
      <c r="E168" s="3" t="s">
        <v>3999</v>
      </c>
      <c r="F168" s="2" t="s">
        <v>5555</v>
      </c>
      <c r="G168" s="1" t="s">
        <v>476</v>
      </c>
      <c r="H168" s="3" t="s">
        <v>1918</v>
      </c>
    </row>
    <row r="169" spans="1:8" x14ac:dyDescent="0.25">
      <c r="A169" s="1" t="s">
        <v>3996</v>
      </c>
      <c r="B169" s="1" t="s">
        <v>1815</v>
      </c>
      <c r="C169" s="1" t="s">
        <v>3997</v>
      </c>
      <c r="D169" s="1" t="s">
        <v>3998</v>
      </c>
      <c r="E169" s="3" t="s">
        <v>4001</v>
      </c>
      <c r="F169" s="2" t="s">
        <v>5556</v>
      </c>
      <c r="G169" s="1" t="s">
        <v>476</v>
      </c>
      <c r="H169" s="3" t="s">
        <v>1918</v>
      </c>
    </row>
    <row r="170" spans="1:8" ht="30" x14ac:dyDescent="0.25">
      <c r="A170" s="1" t="s">
        <v>3331</v>
      </c>
      <c r="B170" s="1" t="s">
        <v>3332</v>
      </c>
      <c r="C170" s="1" t="s">
        <v>617</v>
      </c>
      <c r="D170" s="1" t="s">
        <v>3333</v>
      </c>
      <c r="E170" s="3" t="s">
        <v>3334</v>
      </c>
      <c r="F170" s="2"/>
      <c r="G170" s="1"/>
      <c r="H170" s="3" t="s">
        <v>3336</v>
      </c>
    </row>
    <row r="171" spans="1:8" ht="30" x14ac:dyDescent="0.25">
      <c r="A171" s="1" t="s">
        <v>3331</v>
      </c>
      <c r="B171" s="1" t="s">
        <v>3332</v>
      </c>
      <c r="C171" s="1" t="s">
        <v>617</v>
      </c>
      <c r="D171" s="1" t="s">
        <v>3333</v>
      </c>
      <c r="E171" s="3" t="s">
        <v>3337</v>
      </c>
      <c r="F171" s="2"/>
      <c r="G171" s="1"/>
      <c r="H171" s="3" t="s">
        <v>3336</v>
      </c>
    </row>
    <row r="172" spans="1:8" ht="30" x14ac:dyDescent="0.25">
      <c r="A172" s="1" t="s">
        <v>3331</v>
      </c>
      <c r="B172" s="1" t="s">
        <v>3332</v>
      </c>
      <c r="C172" s="1" t="s">
        <v>617</v>
      </c>
      <c r="D172" s="1" t="s">
        <v>3333</v>
      </c>
      <c r="E172" s="3" t="s">
        <v>3339</v>
      </c>
      <c r="F172" s="2"/>
      <c r="G172" s="1"/>
      <c r="H172" s="3" t="s">
        <v>3336</v>
      </c>
    </row>
    <row r="173" spans="1:8" ht="30" x14ac:dyDescent="0.25">
      <c r="A173" s="1" t="s">
        <v>3443</v>
      </c>
      <c r="B173" s="1" t="s">
        <v>1380</v>
      </c>
      <c r="C173" s="1" t="s">
        <v>3444</v>
      </c>
      <c r="D173" s="1" t="s">
        <v>2666</v>
      </c>
      <c r="E173" s="3" t="s">
        <v>3445</v>
      </c>
      <c r="F173" s="2"/>
      <c r="G173" s="1"/>
      <c r="H173" s="3" t="s">
        <v>3447</v>
      </c>
    </row>
    <row r="174" spans="1:8" x14ac:dyDescent="0.25">
      <c r="A174" s="1" t="s">
        <v>880</v>
      </c>
      <c r="B174" s="1" t="s">
        <v>418</v>
      </c>
      <c r="C174" s="1" t="s">
        <v>881</v>
      </c>
      <c r="D174" s="1" t="s">
        <v>882</v>
      </c>
      <c r="E174" s="3" t="s">
        <v>890</v>
      </c>
      <c r="F174" s="2" t="s">
        <v>5557</v>
      </c>
      <c r="G174" s="1" t="s">
        <v>406</v>
      </c>
      <c r="H174" s="3" t="s">
        <v>125</v>
      </c>
    </row>
    <row r="175" spans="1:8" x14ac:dyDescent="0.25">
      <c r="A175" s="1" t="s">
        <v>880</v>
      </c>
      <c r="B175" s="1" t="s">
        <v>418</v>
      </c>
      <c r="C175" s="1" t="s">
        <v>881</v>
      </c>
      <c r="D175" s="1" t="s">
        <v>882</v>
      </c>
      <c r="E175" s="3" t="s">
        <v>888</v>
      </c>
      <c r="F175" s="2" t="s">
        <v>5558</v>
      </c>
      <c r="G175" s="1"/>
      <c r="H175" s="3" t="s">
        <v>63</v>
      </c>
    </row>
    <row r="176" spans="1:8" x14ac:dyDescent="0.25">
      <c r="A176" s="1" t="s">
        <v>880</v>
      </c>
      <c r="B176" s="1" t="s">
        <v>418</v>
      </c>
      <c r="C176" s="1" t="s">
        <v>881</v>
      </c>
      <c r="D176" s="1" t="s">
        <v>882</v>
      </c>
      <c r="E176" s="3" t="s">
        <v>886</v>
      </c>
      <c r="F176" s="2" t="s">
        <v>5559</v>
      </c>
      <c r="G176" s="1"/>
      <c r="H176" s="3" t="s">
        <v>885</v>
      </c>
    </row>
    <row r="177" spans="1:8" x14ac:dyDescent="0.25">
      <c r="A177" s="1" t="s">
        <v>880</v>
      </c>
      <c r="B177" s="1" t="s">
        <v>418</v>
      </c>
      <c r="C177" s="1" t="s">
        <v>881</v>
      </c>
      <c r="D177" s="1" t="s">
        <v>882</v>
      </c>
      <c r="E177" s="3" t="s">
        <v>883</v>
      </c>
      <c r="F177" s="2" t="s">
        <v>5560</v>
      </c>
      <c r="G177" s="1"/>
      <c r="H177" s="3" t="s">
        <v>885</v>
      </c>
    </row>
    <row r="178" spans="1:8" x14ac:dyDescent="0.25">
      <c r="A178" s="1" t="s">
        <v>699</v>
      </c>
      <c r="B178" s="1" t="s">
        <v>418</v>
      </c>
      <c r="C178" s="1" t="s">
        <v>700</v>
      </c>
      <c r="D178" s="1" t="s">
        <v>501</v>
      </c>
      <c r="E178" s="3" t="s">
        <v>703</v>
      </c>
      <c r="F178" s="2" t="s">
        <v>5561</v>
      </c>
      <c r="G178" s="1"/>
      <c r="H178" s="3" t="s">
        <v>682</v>
      </c>
    </row>
    <row r="179" spans="1:8" x14ac:dyDescent="0.25">
      <c r="A179" s="1" t="s">
        <v>699</v>
      </c>
      <c r="B179" s="1" t="s">
        <v>418</v>
      </c>
      <c r="C179" s="1" t="s">
        <v>700</v>
      </c>
      <c r="D179" s="1" t="s">
        <v>501</v>
      </c>
      <c r="E179" s="3" t="s">
        <v>701</v>
      </c>
      <c r="F179" s="2" t="s">
        <v>5562</v>
      </c>
      <c r="G179" s="1"/>
      <c r="H179" s="3" t="s">
        <v>597</v>
      </c>
    </row>
    <row r="180" spans="1:8" x14ac:dyDescent="0.25">
      <c r="A180" s="1" t="s">
        <v>1889</v>
      </c>
      <c r="B180" s="1" t="s">
        <v>418</v>
      </c>
      <c r="C180" s="1" t="s">
        <v>1890</v>
      </c>
      <c r="D180" s="1" t="s">
        <v>605</v>
      </c>
      <c r="E180" s="3" t="s">
        <v>1895</v>
      </c>
      <c r="F180" s="2" t="s">
        <v>5563</v>
      </c>
      <c r="G180" s="1"/>
      <c r="H180" s="3" t="s">
        <v>682</v>
      </c>
    </row>
    <row r="181" spans="1:8" x14ac:dyDescent="0.25">
      <c r="A181" s="1" t="s">
        <v>1889</v>
      </c>
      <c r="B181" s="1" t="s">
        <v>418</v>
      </c>
      <c r="C181" s="1" t="s">
        <v>1890</v>
      </c>
      <c r="D181" s="1" t="s">
        <v>605</v>
      </c>
      <c r="E181" s="3" t="s">
        <v>1891</v>
      </c>
      <c r="F181" s="2" t="s">
        <v>5564</v>
      </c>
      <c r="G181" s="1"/>
      <c r="H181" s="3" t="s">
        <v>597</v>
      </c>
    </row>
    <row r="182" spans="1:8" x14ac:dyDescent="0.25">
      <c r="A182" s="1" t="s">
        <v>1889</v>
      </c>
      <c r="B182" s="1" t="s">
        <v>418</v>
      </c>
      <c r="C182" s="1" t="s">
        <v>1890</v>
      </c>
      <c r="D182" s="1" t="s">
        <v>605</v>
      </c>
      <c r="E182" s="3" t="s">
        <v>1893</v>
      </c>
      <c r="F182" s="2" t="s">
        <v>5565</v>
      </c>
      <c r="G182" s="1" t="s">
        <v>442</v>
      </c>
      <c r="H182" s="3" t="s">
        <v>1366</v>
      </c>
    </row>
    <row r="183" spans="1:8" x14ac:dyDescent="0.25">
      <c r="A183" s="1" t="s">
        <v>353</v>
      </c>
      <c r="B183" s="1" t="s">
        <v>603</v>
      </c>
      <c r="C183" s="1" t="s">
        <v>604</v>
      </c>
      <c r="D183" s="1" t="s">
        <v>605</v>
      </c>
      <c r="E183" s="3" t="s">
        <v>2532</v>
      </c>
      <c r="F183" s="2" t="s">
        <v>5566</v>
      </c>
      <c r="G183" s="1"/>
      <c r="H183" s="3" t="s">
        <v>682</v>
      </c>
    </row>
    <row r="184" spans="1:8" x14ac:dyDescent="0.25">
      <c r="A184" s="1" t="s">
        <v>353</v>
      </c>
      <c r="B184" s="1" t="s">
        <v>603</v>
      </c>
      <c r="C184" s="1" t="s">
        <v>604</v>
      </c>
      <c r="D184" s="1" t="s">
        <v>605</v>
      </c>
      <c r="E184" s="3" t="s">
        <v>2526</v>
      </c>
      <c r="F184" s="2" t="s">
        <v>5567</v>
      </c>
      <c r="G184" s="1"/>
      <c r="H184" s="3" t="s">
        <v>1679</v>
      </c>
    </row>
    <row r="185" spans="1:8" ht="30" x14ac:dyDescent="0.25">
      <c r="A185" s="1" t="s">
        <v>353</v>
      </c>
      <c r="B185" s="1" t="s">
        <v>603</v>
      </c>
      <c r="C185" s="1" t="s">
        <v>604</v>
      </c>
      <c r="D185" s="1" t="s">
        <v>605</v>
      </c>
      <c r="E185" s="3" t="s">
        <v>2530</v>
      </c>
      <c r="F185" s="2" t="s">
        <v>5568</v>
      </c>
      <c r="G185" s="1"/>
      <c r="H185" s="3" t="s">
        <v>2529</v>
      </c>
    </row>
    <row r="186" spans="1:8" x14ac:dyDescent="0.25">
      <c r="A186" s="1" t="s">
        <v>353</v>
      </c>
      <c r="B186" s="1" t="s">
        <v>603</v>
      </c>
      <c r="C186" s="1" t="s">
        <v>604</v>
      </c>
      <c r="D186" s="1" t="s">
        <v>605</v>
      </c>
      <c r="E186" s="3" t="s">
        <v>352</v>
      </c>
      <c r="F186" s="2" t="s">
        <v>354</v>
      </c>
      <c r="G186" s="1"/>
      <c r="H186" s="3" t="s">
        <v>2529</v>
      </c>
    </row>
    <row r="187" spans="1:8" x14ac:dyDescent="0.25">
      <c r="A187" s="1" t="s">
        <v>40</v>
      </c>
      <c r="B187" s="1" t="s">
        <v>418</v>
      </c>
      <c r="C187" s="1" t="s">
        <v>453</v>
      </c>
      <c r="D187" s="1" t="s">
        <v>454</v>
      </c>
      <c r="E187" s="3" t="s">
        <v>1360</v>
      </c>
      <c r="F187" s="2" t="s">
        <v>5569</v>
      </c>
      <c r="G187" s="1"/>
      <c r="H187" s="3" t="s">
        <v>682</v>
      </c>
    </row>
    <row r="188" spans="1:8" x14ac:dyDescent="0.25">
      <c r="A188" s="1" t="s">
        <v>40</v>
      </c>
      <c r="B188" s="1" t="s">
        <v>418</v>
      </c>
      <c r="C188" s="1" t="s">
        <v>453</v>
      </c>
      <c r="D188" s="1" t="s">
        <v>454</v>
      </c>
      <c r="E188" s="3" t="s">
        <v>223</v>
      </c>
      <c r="F188" s="2" t="s">
        <v>225</v>
      </c>
      <c r="G188" s="1" t="s">
        <v>476</v>
      </c>
      <c r="H188" s="3" t="s">
        <v>224</v>
      </c>
    </row>
    <row r="189" spans="1:8" x14ac:dyDescent="0.25">
      <c r="A189" s="1" t="s">
        <v>40</v>
      </c>
      <c r="B189" s="1" t="s">
        <v>418</v>
      </c>
      <c r="C189" s="1" t="s">
        <v>453</v>
      </c>
      <c r="D189" s="1" t="s">
        <v>454</v>
      </c>
      <c r="E189" s="3" t="s">
        <v>303</v>
      </c>
      <c r="F189" s="2" t="s">
        <v>307</v>
      </c>
      <c r="G189" s="1" t="s">
        <v>413</v>
      </c>
      <c r="H189" s="3" t="s">
        <v>224</v>
      </c>
    </row>
    <row r="190" spans="1:8" x14ac:dyDescent="0.25">
      <c r="A190" s="1" t="s">
        <v>40</v>
      </c>
      <c r="B190" s="1" t="s">
        <v>418</v>
      </c>
      <c r="C190" s="1" t="s">
        <v>453</v>
      </c>
      <c r="D190" s="1" t="s">
        <v>454</v>
      </c>
      <c r="E190" s="3" t="s">
        <v>69</v>
      </c>
      <c r="F190" s="2" t="s">
        <v>80</v>
      </c>
      <c r="G190" s="1"/>
      <c r="H190" s="3" t="s">
        <v>79</v>
      </c>
    </row>
    <row r="191" spans="1:8" x14ac:dyDescent="0.25">
      <c r="A191" s="1" t="s">
        <v>40</v>
      </c>
      <c r="B191" s="1" t="s">
        <v>418</v>
      </c>
      <c r="C191" s="1" t="s">
        <v>453</v>
      </c>
      <c r="D191" s="1" t="s">
        <v>454</v>
      </c>
      <c r="E191" s="3" t="s">
        <v>1359</v>
      </c>
      <c r="F191" s="2" t="s">
        <v>5570</v>
      </c>
      <c r="G191" s="1"/>
      <c r="H191" s="3" t="s">
        <v>79</v>
      </c>
    </row>
    <row r="192" spans="1:8" x14ac:dyDescent="0.25">
      <c r="A192" s="1" t="s">
        <v>40</v>
      </c>
      <c r="B192" s="1" t="s">
        <v>418</v>
      </c>
      <c r="C192" s="1" t="s">
        <v>453</v>
      </c>
      <c r="D192" s="1" t="s">
        <v>454</v>
      </c>
      <c r="E192" s="3" t="s">
        <v>145</v>
      </c>
      <c r="F192" s="2" t="s">
        <v>146</v>
      </c>
      <c r="G192" s="1"/>
      <c r="H192" s="3" t="s">
        <v>119</v>
      </c>
    </row>
    <row r="193" spans="1:8" x14ac:dyDescent="0.25">
      <c r="A193" s="1" t="s">
        <v>40</v>
      </c>
      <c r="B193" s="1" t="s">
        <v>418</v>
      </c>
      <c r="C193" s="1" t="s">
        <v>453</v>
      </c>
      <c r="D193" s="1" t="s">
        <v>454</v>
      </c>
      <c r="E193" s="3" t="s">
        <v>243</v>
      </c>
      <c r="F193" s="2" t="s">
        <v>245</v>
      </c>
      <c r="G193" s="1"/>
      <c r="H193" s="3" t="s">
        <v>119</v>
      </c>
    </row>
    <row r="194" spans="1:8" x14ac:dyDescent="0.25">
      <c r="A194" s="1" t="s">
        <v>40</v>
      </c>
      <c r="B194" s="1" t="s">
        <v>418</v>
      </c>
      <c r="C194" s="1" t="s">
        <v>453</v>
      </c>
      <c r="D194" s="1" t="s">
        <v>454</v>
      </c>
      <c r="E194" s="3" t="s">
        <v>39</v>
      </c>
      <c r="F194" s="2" t="s">
        <v>41</v>
      </c>
      <c r="G194" s="1" t="s">
        <v>406</v>
      </c>
      <c r="H194" s="3" t="s">
        <v>1</v>
      </c>
    </row>
    <row r="195" spans="1:8" x14ac:dyDescent="0.25">
      <c r="A195" s="1" t="s">
        <v>101</v>
      </c>
      <c r="B195" s="1" t="s">
        <v>457</v>
      </c>
      <c r="C195" s="1" t="s">
        <v>423</v>
      </c>
      <c r="D195" s="1" t="s">
        <v>488</v>
      </c>
      <c r="E195" s="3" t="s">
        <v>1909</v>
      </c>
      <c r="F195" s="2" t="s">
        <v>5571</v>
      </c>
      <c r="G195" s="1"/>
      <c r="H195" s="3" t="s">
        <v>309</v>
      </c>
    </row>
    <row r="196" spans="1:8" x14ac:dyDescent="0.25">
      <c r="A196" s="1" t="s">
        <v>101</v>
      </c>
      <c r="B196" s="1" t="s">
        <v>457</v>
      </c>
      <c r="C196" s="1" t="s">
        <v>423</v>
      </c>
      <c r="D196" s="1" t="s">
        <v>488</v>
      </c>
      <c r="E196" s="3" t="s">
        <v>1910</v>
      </c>
      <c r="F196" s="2"/>
      <c r="G196" s="1"/>
      <c r="H196" s="3" t="s">
        <v>309</v>
      </c>
    </row>
    <row r="197" spans="1:8" x14ac:dyDescent="0.25">
      <c r="A197" s="1" t="s">
        <v>101</v>
      </c>
      <c r="B197" s="1" t="s">
        <v>457</v>
      </c>
      <c r="C197" s="1" t="s">
        <v>423</v>
      </c>
      <c r="D197" s="1" t="s">
        <v>488</v>
      </c>
      <c r="E197" s="3" t="s">
        <v>94</v>
      </c>
      <c r="F197" s="2" t="s">
        <v>102</v>
      </c>
      <c r="G197" s="1"/>
      <c r="H197" s="3" t="s">
        <v>100</v>
      </c>
    </row>
    <row r="198" spans="1:8" x14ac:dyDescent="0.25">
      <c r="A198" s="1" t="s">
        <v>101</v>
      </c>
      <c r="B198" s="1" t="s">
        <v>457</v>
      </c>
      <c r="C198" s="1" t="s">
        <v>423</v>
      </c>
      <c r="D198" s="1" t="s">
        <v>488</v>
      </c>
      <c r="E198" s="3" t="s">
        <v>141</v>
      </c>
      <c r="F198" s="2" t="s">
        <v>144</v>
      </c>
      <c r="G198" s="1"/>
      <c r="H198" s="3" t="s">
        <v>100</v>
      </c>
    </row>
    <row r="199" spans="1:8" x14ac:dyDescent="0.25">
      <c r="A199" s="1" t="s">
        <v>101</v>
      </c>
      <c r="B199" s="1" t="s">
        <v>457</v>
      </c>
      <c r="C199" s="1" t="s">
        <v>423</v>
      </c>
      <c r="D199" s="1" t="s">
        <v>488</v>
      </c>
      <c r="E199" s="3" t="s">
        <v>1911</v>
      </c>
      <c r="F199" s="2" t="s">
        <v>5572</v>
      </c>
      <c r="G199" s="1"/>
      <c r="H199" s="3" t="s">
        <v>100</v>
      </c>
    </row>
    <row r="200" spans="1:8" x14ac:dyDescent="0.25">
      <c r="A200" s="1" t="s">
        <v>101</v>
      </c>
      <c r="B200" s="1" t="s">
        <v>457</v>
      </c>
      <c r="C200" s="1" t="s">
        <v>423</v>
      </c>
      <c r="D200" s="1" t="s">
        <v>488</v>
      </c>
      <c r="E200" s="3" t="s">
        <v>1912</v>
      </c>
      <c r="F200" s="2" t="s">
        <v>5573</v>
      </c>
      <c r="G200" s="1"/>
      <c r="H200" s="3" t="s">
        <v>1913</v>
      </c>
    </row>
    <row r="201" spans="1:8" x14ac:dyDescent="0.25">
      <c r="A201" s="1" t="s">
        <v>101</v>
      </c>
      <c r="B201" s="1" t="s">
        <v>457</v>
      </c>
      <c r="C201" s="1" t="s">
        <v>423</v>
      </c>
      <c r="D201" s="1" t="s">
        <v>488</v>
      </c>
      <c r="E201" s="3" t="s">
        <v>1907</v>
      </c>
      <c r="F201" s="2" t="s">
        <v>5574</v>
      </c>
      <c r="G201" s="1"/>
      <c r="H201" s="3" t="s">
        <v>885</v>
      </c>
    </row>
    <row r="202" spans="1:8" x14ac:dyDescent="0.25">
      <c r="A202" s="1" t="s">
        <v>101</v>
      </c>
      <c r="B202" s="1" t="s">
        <v>457</v>
      </c>
      <c r="C202" s="1" t="s">
        <v>423</v>
      </c>
      <c r="D202" s="1" t="s">
        <v>488</v>
      </c>
      <c r="E202" s="3" t="s">
        <v>1905</v>
      </c>
      <c r="F202" s="2" t="s">
        <v>5575</v>
      </c>
      <c r="G202" s="1"/>
      <c r="H202" s="3" t="s">
        <v>885</v>
      </c>
    </row>
    <row r="203" spans="1:8" x14ac:dyDescent="0.25">
      <c r="A203" s="1" t="s">
        <v>101</v>
      </c>
      <c r="B203" s="1" t="s">
        <v>457</v>
      </c>
      <c r="C203" s="1" t="s">
        <v>423</v>
      </c>
      <c r="D203" s="1" t="s">
        <v>488</v>
      </c>
      <c r="E203" s="3" t="s">
        <v>1908</v>
      </c>
      <c r="F203" s="2" t="s">
        <v>5576</v>
      </c>
      <c r="G203" s="1"/>
      <c r="H203" s="3" t="s">
        <v>885</v>
      </c>
    </row>
    <row r="204" spans="1:8" x14ac:dyDescent="0.25">
      <c r="A204" s="1" t="s">
        <v>101</v>
      </c>
      <c r="B204" s="1" t="s">
        <v>457</v>
      </c>
      <c r="C204" s="1" t="s">
        <v>423</v>
      </c>
      <c r="D204" s="1" t="s">
        <v>488</v>
      </c>
      <c r="E204" s="3" t="s">
        <v>1906</v>
      </c>
      <c r="F204" s="2" t="s">
        <v>5577</v>
      </c>
      <c r="G204" s="1"/>
      <c r="H204" s="3" t="s">
        <v>885</v>
      </c>
    </row>
    <row r="205" spans="1:8" x14ac:dyDescent="0.25">
      <c r="A205" s="1" t="s">
        <v>101</v>
      </c>
      <c r="B205" s="1" t="s">
        <v>457</v>
      </c>
      <c r="C205" s="1" t="s">
        <v>423</v>
      </c>
      <c r="D205" s="1" t="s">
        <v>488</v>
      </c>
      <c r="E205" s="3" t="s">
        <v>1904</v>
      </c>
      <c r="F205" s="2" t="s">
        <v>5578</v>
      </c>
      <c r="G205" s="1" t="s">
        <v>406</v>
      </c>
      <c r="H205" s="3" t="s">
        <v>407</v>
      </c>
    </row>
    <row r="206" spans="1:8" x14ac:dyDescent="0.25">
      <c r="A206" s="1" t="s">
        <v>4310</v>
      </c>
      <c r="B206" s="1" t="s">
        <v>542</v>
      </c>
      <c r="C206" s="1" t="s">
        <v>5579</v>
      </c>
      <c r="D206" s="1" t="s">
        <v>469</v>
      </c>
      <c r="E206" s="3"/>
      <c r="F206" s="2"/>
      <c r="G206" s="1"/>
      <c r="H206" s="3"/>
    </row>
    <row r="207" spans="1:8" x14ac:dyDescent="0.25">
      <c r="A207" s="1" t="s">
        <v>1786</v>
      </c>
      <c r="B207" s="1" t="s">
        <v>1632</v>
      </c>
      <c r="C207" s="1" t="s">
        <v>607</v>
      </c>
      <c r="D207" s="1" t="s">
        <v>469</v>
      </c>
      <c r="E207" s="3" t="s">
        <v>1803</v>
      </c>
      <c r="F207" s="2" t="s">
        <v>5580</v>
      </c>
      <c r="G207" s="1" t="s">
        <v>406</v>
      </c>
      <c r="H207" s="3" t="s">
        <v>125</v>
      </c>
    </row>
    <row r="208" spans="1:8" x14ac:dyDescent="0.25">
      <c r="A208" s="1" t="s">
        <v>1786</v>
      </c>
      <c r="B208" s="1" t="s">
        <v>1632</v>
      </c>
      <c r="C208" s="1" t="s">
        <v>607</v>
      </c>
      <c r="D208" s="1" t="s">
        <v>469</v>
      </c>
      <c r="E208" s="3" t="s">
        <v>1800</v>
      </c>
      <c r="F208" s="2" t="s">
        <v>5581</v>
      </c>
      <c r="G208" s="1"/>
      <c r="H208" s="3" t="s">
        <v>1802</v>
      </c>
    </row>
    <row r="209" spans="1:8" ht="30" x14ac:dyDescent="0.25">
      <c r="A209" s="1" t="s">
        <v>1786</v>
      </c>
      <c r="B209" s="1" t="s">
        <v>1632</v>
      </c>
      <c r="C209" s="1" t="s">
        <v>607</v>
      </c>
      <c r="D209" s="1" t="s">
        <v>469</v>
      </c>
      <c r="E209" s="3" t="s">
        <v>1795</v>
      </c>
      <c r="F209" s="2" t="s">
        <v>5582</v>
      </c>
      <c r="G209" s="1" t="s">
        <v>442</v>
      </c>
      <c r="H209" s="3" t="s">
        <v>1797</v>
      </c>
    </row>
    <row r="210" spans="1:8" ht="30" x14ac:dyDescent="0.25">
      <c r="A210" s="1" t="s">
        <v>1786</v>
      </c>
      <c r="B210" s="1" t="s">
        <v>1632</v>
      </c>
      <c r="C210" s="1" t="s">
        <v>607</v>
      </c>
      <c r="D210" s="1" t="s">
        <v>469</v>
      </c>
      <c r="E210" s="3" t="s">
        <v>1798</v>
      </c>
      <c r="F210" s="2" t="s">
        <v>5583</v>
      </c>
      <c r="G210" s="1" t="s">
        <v>442</v>
      </c>
      <c r="H210" s="3" t="s">
        <v>1797</v>
      </c>
    </row>
    <row r="211" spans="1:8" ht="30" x14ac:dyDescent="0.25">
      <c r="A211" s="1" t="s">
        <v>1786</v>
      </c>
      <c r="B211" s="1" t="s">
        <v>1632</v>
      </c>
      <c r="C211" s="1" t="s">
        <v>607</v>
      </c>
      <c r="D211" s="1" t="s">
        <v>469</v>
      </c>
      <c r="E211" s="3" t="s">
        <v>1787</v>
      </c>
      <c r="F211" s="2" t="s">
        <v>5584</v>
      </c>
      <c r="G211" s="1"/>
      <c r="H211" s="3" t="s">
        <v>1789</v>
      </c>
    </row>
    <row r="212" spans="1:8" ht="30" x14ac:dyDescent="0.25">
      <c r="A212" s="1" t="s">
        <v>1786</v>
      </c>
      <c r="B212" s="1" t="s">
        <v>1632</v>
      </c>
      <c r="C212" s="1" t="s">
        <v>607</v>
      </c>
      <c r="D212" s="1" t="s">
        <v>469</v>
      </c>
      <c r="E212" s="3" t="s">
        <v>1793</v>
      </c>
      <c r="F212" s="2" t="s">
        <v>5585</v>
      </c>
      <c r="G212" s="1"/>
      <c r="H212" s="3" t="s">
        <v>1792</v>
      </c>
    </row>
    <row r="213" spans="1:8" ht="30" x14ac:dyDescent="0.25">
      <c r="A213" s="1" t="s">
        <v>1786</v>
      </c>
      <c r="B213" s="1" t="s">
        <v>1632</v>
      </c>
      <c r="C213" s="1" t="s">
        <v>607</v>
      </c>
      <c r="D213" s="1" t="s">
        <v>469</v>
      </c>
      <c r="E213" s="3" t="s">
        <v>1790</v>
      </c>
      <c r="F213" s="2" t="s">
        <v>5586</v>
      </c>
      <c r="G213" s="1"/>
      <c r="H213" s="3" t="s">
        <v>1792</v>
      </c>
    </row>
    <row r="214" spans="1:8" x14ac:dyDescent="0.25">
      <c r="A214" s="1" t="s">
        <v>61</v>
      </c>
      <c r="B214" s="1" t="s">
        <v>457</v>
      </c>
      <c r="C214" s="1" t="s">
        <v>468</v>
      </c>
      <c r="D214" s="1" t="s">
        <v>469</v>
      </c>
      <c r="E214" s="3" t="s">
        <v>59</v>
      </c>
      <c r="F214" s="2" t="s">
        <v>62</v>
      </c>
      <c r="G214" s="1" t="s">
        <v>442</v>
      </c>
      <c r="H214" s="3" t="s">
        <v>2163</v>
      </c>
    </row>
    <row r="215" spans="1:8" x14ac:dyDescent="0.25">
      <c r="A215" s="1" t="s">
        <v>61</v>
      </c>
      <c r="B215" s="1" t="s">
        <v>457</v>
      </c>
      <c r="C215" s="1" t="s">
        <v>468</v>
      </c>
      <c r="D215" s="1" t="s">
        <v>469</v>
      </c>
      <c r="E215" s="3" t="s">
        <v>2164</v>
      </c>
      <c r="F215" s="2" t="s">
        <v>5587</v>
      </c>
      <c r="G215" s="1" t="s">
        <v>442</v>
      </c>
      <c r="H215" s="3" t="s">
        <v>2163</v>
      </c>
    </row>
    <row r="216" spans="1:8" x14ac:dyDescent="0.25">
      <c r="A216" s="1" t="s">
        <v>61</v>
      </c>
      <c r="B216" s="1" t="s">
        <v>457</v>
      </c>
      <c r="C216" s="1" t="s">
        <v>468</v>
      </c>
      <c r="D216" s="1" t="s">
        <v>469</v>
      </c>
      <c r="E216" s="3" t="s">
        <v>2162</v>
      </c>
      <c r="F216" s="2" t="s">
        <v>5588</v>
      </c>
      <c r="G216" s="1" t="s">
        <v>442</v>
      </c>
      <c r="H216" s="3" t="s">
        <v>2163</v>
      </c>
    </row>
    <row r="217" spans="1:8" x14ac:dyDescent="0.25">
      <c r="A217" s="1" t="s">
        <v>61</v>
      </c>
      <c r="B217" s="1" t="s">
        <v>457</v>
      </c>
      <c r="C217" s="1" t="s">
        <v>468</v>
      </c>
      <c r="D217" s="1" t="s">
        <v>469</v>
      </c>
      <c r="E217" s="3" t="s">
        <v>2165</v>
      </c>
      <c r="F217" s="2" t="s">
        <v>5589</v>
      </c>
      <c r="G217" s="1" t="s">
        <v>442</v>
      </c>
      <c r="H217" s="3" t="s">
        <v>2163</v>
      </c>
    </row>
    <row r="218" spans="1:8" x14ac:dyDescent="0.25">
      <c r="A218" s="1" t="s">
        <v>61</v>
      </c>
      <c r="B218" s="1" t="s">
        <v>457</v>
      </c>
      <c r="C218" s="1" t="s">
        <v>468</v>
      </c>
      <c r="D218" s="1" t="s">
        <v>469</v>
      </c>
      <c r="E218" s="3" t="s">
        <v>2181</v>
      </c>
      <c r="F218" s="2" t="s">
        <v>5590</v>
      </c>
      <c r="G218" s="1"/>
      <c r="H218" s="3" t="s">
        <v>192</v>
      </c>
    </row>
    <row r="219" spans="1:8" x14ac:dyDescent="0.25">
      <c r="A219" s="1" t="s">
        <v>61</v>
      </c>
      <c r="B219" s="1" t="s">
        <v>457</v>
      </c>
      <c r="C219" s="1" t="s">
        <v>468</v>
      </c>
      <c r="D219" s="1" t="s">
        <v>469</v>
      </c>
      <c r="E219" s="3" t="s">
        <v>2159</v>
      </c>
      <c r="F219" s="2" t="s">
        <v>5591</v>
      </c>
      <c r="G219" s="1"/>
      <c r="H219" s="3" t="s">
        <v>2157</v>
      </c>
    </row>
    <row r="220" spans="1:8" x14ac:dyDescent="0.25">
      <c r="A220" s="1" t="s">
        <v>61</v>
      </c>
      <c r="B220" s="1" t="s">
        <v>457</v>
      </c>
      <c r="C220" s="1" t="s">
        <v>468</v>
      </c>
      <c r="D220" s="1" t="s">
        <v>469</v>
      </c>
      <c r="E220" s="3" t="s">
        <v>2160</v>
      </c>
      <c r="F220" s="2" t="s">
        <v>5592</v>
      </c>
      <c r="G220" s="1"/>
      <c r="H220" s="3" t="s">
        <v>2157</v>
      </c>
    </row>
    <row r="221" spans="1:8" x14ac:dyDescent="0.25">
      <c r="A221" s="1" t="s">
        <v>61</v>
      </c>
      <c r="B221" s="1" t="s">
        <v>457</v>
      </c>
      <c r="C221" s="1" t="s">
        <v>468</v>
      </c>
      <c r="D221" s="1" t="s">
        <v>469</v>
      </c>
      <c r="E221" s="3" t="s">
        <v>2158</v>
      </c>
      <c r="F221" s="2" t="s">
        <v>5593</v>
      </c>
      <c r="G221" s="1"/>
      <c r="H221" s="3" t="s">
        <v>2157</v>
      </c>
    </row>
    <row r="222" spans="1:8" x14ac:dyDescent="0.25">
      <c r="A222" s="1" t="s">
        <v>61</v>
      </c>
      <c r="B222" s="1" t="s">
        <v>457</v>
      </c>
      <c r="C222" s="1" t="s">
        <v>468</v>
      </c>
      <c r="D222" s="1" t="s">
        <v>469</v>
      </c>
      <c r="E222" s="3" t="s">
        <v>2156</v>
      </c>
      <c r="F222" s="2" t="s">
        <v>5594</v>
      </c>
      <c r="G222" s="1"/>
      <c r="H222" s="3" t="s">
        <v>2157</v>
      </c>
    </row>
    <row r="223" spans="1:8" x14ac:dyDescent="0.25">
      <c r="A223" s="1" t="s">
        <v>61</v>
      </c>
      <c r="B223" s="1" t="s">
        <v>457</v>
      </c>
      <c r="C223" s="1" t="s">
        <v>468</v>
      </c>
      <c r="D223" s="1" t="s">
        <v>469</v>
      </c>
      <c r="E223" s="3" t="s">
        <v>2161</v>
      </c>
      <c r="F223" s="2" t="s">
        <v>5595</v>
      </c>
      <c r="G223" s="1"/>
      <c r="H223" s="3" t="s">
        <v>2157</v>
      </c>
    </row>
    <row r="224" spans="1:8" x14ac:dyDescent="0.25">
      <c r="A224" s="1" t="s">
        <v>61</v>
      </c>
      <c r="B224" s="1" t="s">
        <v>457</v>
      </c>
      <c r="C224" s="1" t="s">
        <v>468</v>
      </c>
      <c r="D224" s="1" t="s">
        <v>469</v>
      </c>
      <c r="E224" s="3" t="s">
        <v>2175</v>
      </c>
      <c r="F224" s="2" t="s">
        <v>5596</v>
      </c>
      <c r="G224" s="1"/>
      <c r="H224" s="3" t="s">
        <v>2174</v>
      </c>
    </row>
    <row r="225" spans="1:8" x14ac:dyDescent="0.25">
      <c r="A225" s="1" t="s">
        <v>61</v>
      </c>
      <c r="B225" s="1" t="s">
        <v>457</v>
      </c>
      <c r="C225" s="1" t="s">
        <v>468</v>
      </c>
      <c r="D225" s="1" t="s">
        <v>469</v>
      </c>
      <c r="E225" s="3" t="s">
        <v>2180</v>
      </c>
      <c r="F225" s="2" t="s">
        <v>5597</v>
      </c>
      <c r="G225" s="1"/>
      <c r="H225" s="3" t="s">
        <v>2174</v>
      </c>
    </row>
    <row r="226" spans="1:8" x14ac:dyDescent="0.25">
      <c r="A226" s="1" t="s">
        <v>61</v>
      </c>
      <c r="B226" s="1" t="s">
        <v>457</v>
      </c>
      <c r="C226" s="1" t="s">
        <v>468</v>
      </c>
      <c r="D226" s="1" t="s">
        <v>469</v>
      </c>
      <c r="E226" s="3" t="s">
        <v>2178</v>
      </c>
      <c r="F226" s="2" t="s">
        <v>5598</v>
      </c>
      <c r="G226" s="1"/>
      <c r="H226" s="3" t="s">
        <v>2174</v>
      </c>
    </row>
    <row r="227" spans="1:8" x14ac:dyDescent="0.25">
      <c r="A227" s="1" t="s">
        <v>61</v>
      </c>
      <c r="B227" s="1" t="s">
        <v>457</v>
      </c>
      <c r="C227" s="1" t="s">
        <v>468</v>
      </c>
      <c r="D227" s="1" t="s">
        <v>469</v>
      </c>
      <c r="E227" s="3" t="s">
        <v>2176</v>
      </c>
      <c r="F227" s="2" t="s">
        <v>5599</v>
      </c>
      <c r="G227" s="1"/>
      <c r="H227" s="3" t="s">
        <v>2174</v>
      </c>
    </row>
    <row r="228" spans="1:8" x14ac:dyDescent="0.25">
      <c r="A228" s="1" t="s">
        <v>61</v>
      </c>
      <c r="B228" s="1" t="s">
        <v>457</v>
      </c>
      <c r="C228" s="1" t="s">
        <v>468</v>
      </c>
      <c r="D228" s="1" t="s">
        <v>469</v>
      </c>
      <c r="E228" s="3" t="s">
        <v>2179</v>
      </c>
      <c r="F228" s="2" t="s">
        <v>5600</v>
      </c>
      <c r="G228" s="1"/>
      <c r="H228" s="3" t="s">
        <v>2174</v>
      </c>
    </row>
    <row r="229" spans="1:8" x14ac:dyDescent="0.25">
      <c r="A229" s="1" t="s">
        <v>61</v>
      </c>
      <c r="B229" s="1" t="s">
        <v>457</v>
      </c>
      <c r="C229" s="1" t="s">
        <v>468</v>
      </c>
      <c r="D229" s="1" t="s">
        <v>469</v>
      </c>
      <c r="E229" s="3" t="s">
        <v>2177</v>
      </c>
      <c r="F229" s="2" t="s">
        <v>5601</v>
      </c>
      <c r="G229" s="1"/>
      <c r="H229" s="3" t="s">
        <v>2174</v>
      </c>
    </row>
    <row r="230" spans="1:8" x14ac:dyDescent="0.25">
      <c r="A230" s="1" t="s">
        <v>61</v>
      </c>
      <c r="B230" s="1" t="s">
        <v>457</v>
      </c>
      <c r="C230" s="1" t="s">
        <v>468</v>
      </c>
      <c r="D230" s="1" t="s">
        <v>469</v>
      </c>
      <c r="E230" s="3" t="s">
        <v>2173</v>
      </c>
      <c r="F230" s="2" t="s">
        <v>5602</v>
      </c>
      <c r="G230" s="1"/>
      <c r="H230" s="3" t="s">
        <v>2174</v>
      </c>
    </row>
    <row r="231" spans="1:8" x14ac:dyDescent="0.25">
      <c r="A231" s="1" t="s">
        <v>61</v>
      </c>
      <c r="B231" s="1" t="s">
        <v>457</v>
      </c>
      <c r="C231" s="1" t="s">
        <v>468</v>
      </c>
      <c r="D231" s="1" t="s">
        <v>469</v>
      </c>
      <c r="E231" s="3" t="s">
        <v>59</v>
      </c>
      <c r="F231" s="2" t="s">
        <v>64</v>
      </c>
      <c r="G231" s="1"/>
      <c r="H231" s="3" t="s">
        <v>63</v>
      </c>
    </row>
    <row r="232" spans="1:8" x14ac:dyDescent="0.25">
      <c r="A232" s="1" t="s">
        <v>61</v>
      </c>
      <c r="B232" s="1" t="s">
        <v>457</v>
      </c>
      <c r="C232" s="1" t="s">
        <v>468</v>
      </c>
      <c r="D232" s="1" t="s">
        <v>469</v>
      </c>
      <c r="E232" s="3" t="s">
        <v>85</v>
      </c>
      <c r="F232" s="2" t="s">
        <v>88</v>
      </c>
      <c r="G232" s="1"/>
      <c r="H232" s="3" t="s">
        <v>7</v>
      </c>
    </row>
    <row r="233" spans="1:8" x14ac:dyDescent="0.25">
      <c r="A233" s="1" t="s">
        <v>61</v>
      </c>
      <c r="B233" s="1" t="s">
        <v>457</v>
      </c>
      <c r="C233" s="1" t="s">
        <v>468</v>
      </c>
      <c r="D233" s="1" t="s">
        <v>469</v>
      </c>
      <c r="E233" s="3" t="s">
        <v>2154</v>
      </c>
      <c r="F233" s="2" t="s">
        <v>5603</v>
      </c>
      <c r="G233" s="1" t="s">
        <v>406</v>
      </c>
      <c r="H233" s="3" t="s">
        <v>407</v>
      </c>
    </row>
    <row r="234" spans="1:8" ht="30" x14ac:dyDescent="0.25">
      <c r="A234" s="1" t="s">
        <v>61</v>
      </c>
      <c r="B234" s="1" t="s">
        <v>457</v>
      </c>
      <c r="C234" s="1" t="s">
        <v>468</v>
      </c>
      <c r="D234" s="1" t="s">
        <v>469</v>
      </c>
      <c r="E234" s="3" t="s">
        <v>2153</v>
      </c>
      <c r="F234" s="2" t="s">
        <v>5604</v>
      </c>
      <c r="G234" s="1"/>
      <c r="H234" s="3" t="s">
        <v>843</v>
      </c>
    </row>
    <row r="235" spans="1:8" x14ac:dyDescent="0.25">
      <c r="A235" s="1" t="s">
        <v>2770</v>
      </c>
      <c r="B235" s="1" t="s">
        <v>446</v>
      </c>
      <c r="C235" s="1" t="s">
        <v>607</v>
      </c>
      <c r="D235" s="1" t="s">
        <v>469</v>
      </c>
      <c r="E235" s="3" t="s">
        <v>2781</v>
      </c>
      <c r="F235" s="2" t="s">
        <v>5605</v>
      </c>
      <c r="G235" s="1"/>
      <c r="H235" s="3" t="s">
        <v>682</v>
      </c>
    </row>
    <row r="236" spans="1:8" x14ac:dyDescent="0.25">
      <c r="A236" s="1" t="s">
        <v>2770</v>
      </c>
      <c r="B236" s="1" t="s">
        <v>446</v>
      </c>
      <c r="C236" s="1" t="s">
        <v>607</v>
      </c>
      <c r="D236" s="1" t="s">
        <v>469</v>
      </c>
      <c r="E236" s="3" t="s">
        <v>2771</v>
      </c>
      <c r="F236" s="2" t="s">
        <v>5606</v>
      </c>
      <c r="G236" s="1"/>
      <c r="H236" s="3" t="s">
        <v>63</v>
      </c>
    </row>
    <row r="237" spans="1:8" x14ac:dyDescent="0.25">
      <c r="A237" s="1" t="s">
        <v>2770</v>
      </c>
      <c r="B237" s="1" t="s">
        <v>446</v>
      </c>
      <c r="C237" s="1" t="s">
        <v>607</v>
      </c>
      <c r="D237" s="1" t="s">
        <v>469</v>
      </c>
      <c r="E237" s="3" t="s">
        <v>2773</v>
      </c>
      <c r="F237" s="2" t="s">
        <v>5607</v>
      </c>
      <c r="G237" s="1"/>
      <c r="H237" s="3" t="s">
        <v>79</v>
      </c>
    </row>
    <row r="238" spans="1:8" x14ac:dyDescent="0.25">
      <c r="A238" s="1" t="s">
        <v>2770</v>
      </c>
      <c r="B238" s="1" t="s">
        <v>446</v>
      </c>
      <c r="C238" s="1" t="s">
        <v>607</v>
      </c>
      <c r="D238" s="1" t="s">
        <v>469</v>
      </c>
      <c r="E238" s="3" t="s">
        <v>2779</v>
      </c>
      <c r="F238" s="2" t="s">
        <v>5608</v>
      </c>
      <c r="G238" s="1"/>
      <c r="H238" s="3" t="s">
        <v>79</v>
      </c>
    </row>
    <row r="239" spans="1:8" x14ac:dyDescent="0.25">
      <c r="A239" s="1" t="s">
        <v>2770</v>
      </c>
      <c r="B239" s="1" t="s">
        <v>446</v>
      </c>
      <c r="C239" s="1" t="s">
        <v>607</v>
      </c>
      <c r="D239" s="1" t="s">
        <v>469</v>
      </c>
      <c r="E239" s="3" t="s">
        <v>2775</v>
      </c>
      <c r="F239" s="2" t="s">
        <v>5609</v>
      </c>
      <c r="G239" s="1"/>
      <c r="H239" s="3" t="s">
        <v>79</v>
      </c>
    </row>
    <row r="240" spans="1:8" x14ac:dyDescent="0.25">
      <c r="A240" s="1" t="s">
        <v>2770</v>
      </c>
      <c r="B240" s="1" t="s">
        <v>446</v>
      </c>
      <c r="C240" s="1" t="s">
        <v>607</v>
      </c>
      <c r="D240" s="1" t="s">
        <v>469</v>
      </c>
      <c r="E240" s="3" t="s">
        <v>2777</v>
      </c>
      <c r="F240" s="2" t="s">
        <v>5610</v>
      </c>
      <c r="G240" s="1"/>
      <c r="H240" s="3" t="s">
        <v>79</v>
      </c>
    </row>
    <row r="241" spans="1:8" x14ac:dyDescent="0.25">
      <c r="A241" s="1" t="s">
        <v>2654</v>
      </c>
      <c r="B241" s="1" t="s">
        <v>446</v>
      </c>
      <c r="C241" s="1" t="s">
        <v>453</v>
      </c>
      <c r="D241" s="1" t="s">
        <v>2655</v>
      </c>
      <c r="E241" s="3" t="s">
        <v>2658</v>
      </c>
      <c r="F241" s="2" t="s">
        <v>5611</v>
      </c>
      <c r="G241" s="1"/>
      <c r="H241" s="3" t="s">
        <v>682</v>
      </c>
    </row>
    <row r="242" spans="1:8" x14ac:dyDescent="0.25">
      <c r="A242" s="1" t="s">
        <v>2654</v>
      </c>
      <c r="B242" s="1" t="s">
        <v>446</v>
      </c>
      <c r="C242" s="1" t="s">
        <v>453</v>
      </c>
      <c r="D242" s="1" t="s">
        <v>2655</v>
      </c>
      <c r="E242" s="3" t="s">
        <v>2656</v>
      </c>
      <c r="F242" s="2" t="s">
        <v>5612</v>
      </c>
      <c r="G242" s="1" t="s">
        <v>476</v>
      </c>
      <c r="H242" s="3" t="s">
        <v>2657</v>
      </c>
    </row>
    <row r="243" spans="1:8" x14ac:dyDescent="0.25">
      <c r="A243" s="1" t="s">
        <v>1420</v>
      </c>
      <c r="B243" s="1" t="s">
        <v>418</v>
      </c>
      <c r="C243" s="1" t="s">
        <v>1421</v>
      </c>
      <c r="D243" s="1" t="s">
        <v>1028</v>
      </c>
      <c r="E243" s="3" t="s">
        <v>1434</v>
      </c>
      <c r="F243" s="2" t="s">
        <v>5613</v>
      </c>
      <c r="G243" s="1" t="s">
        <v>406</v>
      </c>
      <c r="H243" s="3" t="s">
        <v>125</v>
      </c>
    </row>
    <row r="244" spans="1:8" x14ac:dyDescent="0.25">
      <c r="A244" s="1" t="s">
        <v>1420</v>
      </c>
      <c r="B244" s="1" t="s">
        <v>418</v>
      </c>
      <c r="C244" s="1" t="s">
        <v>1421</v>
      </c>
      <c r="D244" s="1" t="s">
        <v>1028</v>
      </c>
      <c r="E244" s="3" t="s">
        <v>1426</v>
      </c>
      <c r="F244" s="2" t="s">
        <v>5614</v>
      </c>
      <c r="G244" s="1"/>
      <c r="H244" s="3" t="s">
        <v>597</v>
      </c>
    </row>
    <row r="245" spans="1:8" x14ac:dyDescent="0.25">
      <c r="A245" s="1" t="s">
        <v>1420</v>
      </c>
      <c r="B245" s="1" t="s">
        <v>418</v>
      </c>
      <c r="C245" s="1" t="s">
        <v>1421</v>
      </c>
      <c r="D245" s="1" t="s">
        <v>1028</v>
      </c>
      <c r="E245" s="3" t="s">
        <v>1424</v>
      </c>
      <c r="F245" s="2" t="s">
        <v>5615</v>
      </c>
      <c r="G245" s="1"/>
      <c r="H245" s="3" t="s">
        <v>1328</v>
      </c>
    </row>
    <row r="246" spans="1:8" x14ac:dyDescent="0.25">
      <c r="A246" s="1" t="s">
        <v>1420</v>
      </c>
      <c r="B246" s="1" t="s">
        <v>418</v>
      </c>
      <c r="C246" s="1" t="s">
        <v>1421</v>
      </c>
      <c r="D246" s="1" t="s">
        <v>1028</v>
      </c>
      <c r="E246" s="3" t="s">
        <v>1422</v>
      </c>
      <c r="F246" s="2" t="s">
        <v>5616</v>
      </c>
      <c r="G246" s="1"/>
      <c r="H246" s="3" t="s">
        <v>1328</v>
      </c>
    </row>
    <row r="247" spans="1:8" x14ac:dyDescent="0.25">
      <c r="A247" s="1" t="s">
        <v>1420</v>
      </c>
      <c r="B247" s="1" t="s">
        <v>418</v>
      </c>
      <c r="C247" s="1" t="s">
        <v>1421</v>
      </c>
      <c r="D247" s="1" t="s">
        <v>1028</v>
      </c>
      <c r="E247" s="3" t="s">
        <v>1428</v>
      </c>
      <c r="F247" s="2" t="s">
        <v>5617</v>
      </c>
      <c r="G247" s="1"/>
      <c r="H247" s="3" t="s">
        <v>79</v>
      </c>
    </row>
    <row r="248" spans="1:8" x14ac:dyDescent="0.25">
      <c r="A248" s="1" t="s">
        <v>1420</v>
      </c>
      <c r="B248" s="1" t="s">
        <v>418</v>
      </c>
      <c r="C248" s="1" t="s">
        <v>1421</v>
      </c>
      <c r="D248" s="1" t="s">
        <v>1028</v>
      </c>
      <c r="E248" s="3" t="s">
        <v>1432</v>
      </c>
      <c r="F248" s="2" t="s">
        <v>5618</v>
      </c>
      <c r="G248" s="1"/>
      <c r="H248" s="3" t="s">
        <v>79</v>
      </c>
    </row>
    <row r="249" spans="1:8" x14ac:dyDescent="0.25">
      <c r="A249" s="1" t="s">
        <v>1420</v>
      </c>
      <c r="B249" s="1" t="s">
        <v>418</v>
      </c>
      <c r="C249" s="1" t="s">
        <v>1421</v>
      </c>
      <c r="D249" s="1" t="s">
        <v>1028</v>
      </c>
      <c r="E249" s="3" t="s">
        <v>1430</v>
      </c>
      <c r="F249" s="2" t="s">
        <v>5619</v>
      </c>
      <c r="G249" s="1"/>
      <c r="H249" s="3" t="s">
        <v>79</v>
      </c>
    </row>
    <row r="250" spans="1:8" x14ac:dyDescent="0.25">
      <c r="A250" s="1" t="s">
        <v>2195</v>
      </c>
      <c r="B250" s="1" t="s">
        <v>418</v>
      </c>
      <c r="C250" s="1" t="s">
        <v>2196</v>
      </c>
      <c r="D250" s="1" t="s">
        <v>1028</v>
      </c>
      <c r="E250" s="3" t="s">
        <v>2203</v>
      </c>
      <c r="F250" s="2" t="s">
        <v>5620</v>
      </c>
      <c r="G250" s="1"/>
      <c r="H250" s="3" t="s">
        <v>682</v>
      </c>
    </row>
    <row r="251" spans="1:8" x14ac:dyDescent="0.25">
      <c r="A251" s="1" t="s">
        <v>2195</v>
      </c>
      <c r="B251" s="1" t="s">
        <v>418</v>
      </c>
      <c r="C251" s="1" t="s">
        <v>2196</v>
      </c>
      <c r="D251" s="1" t="s">
        <v>1028</v>
      </c>
      <c r="E251" s="3" t="s">
        <v>2202</v>
      </c>
      <c r="F251" s="2" t="s">
        <v>5621</v>
      </c>
      <c r="G251" s="1"/>
      <c r="H251" s="3" t="s">
        <v>63</v>
      </c>
    </row>
    <row r="252" spans="1:8" x14ac:dyDescent="0.25">
      <c r="A252" s="1" t="s">
        <v>2195</v>
      </c>
      <c r="B252" s="1" t="s">
        <v>418</v>
      </c>
      <c r="C252" s="1" t="s">
        <v>2196</v>
      </c>
      <c r="D252" s="1" t="s">
        <v>1028</v>
      </c>
      <c r="E252" s="3" t="s">
        <v>2201</v>
      </c>
      <c r="F252" s="2" t="s">
        <v>5622</v>
      </c>
      <c r="G252" s="1"/>
      <c r="H252" s="3" t="s">
        <v>1002</v>
      </c>
    </row>
    <row r="253" spans="1:8" ht="30" x14ac:dyDescent="0.25">
      <c r="A253" s="1" t="s">
        <v>2195</v>
      </c>
      <c r="B253" s="1" t="s">
        <v>418</v>
      </c>
      <c r="C253" s="1" t="s">
        <v>2196</v>
      </c>
      <c r="D253" s="1" t="s">
        <v>1028</v>
      </c>
      <c r="E253" s="3" t="s">
        <v>2199</v>
      </c>
      <c r="F253" s="2" t="s">
        <v>5623</v>
      </c>
      <c r="G253" s="1"/>
      <c r="H253" s="3" t="s">
        <v>2198</v>
      </c>
    </row>
    <row r="254" spans="1:8" ht="30" x14ac:dyDescent="0.25">
      <c r="A254" s="1" t="s">
        <v>2195</v>
      </c>
      <c r="B254" s="1" t="s">
        <v>418</v>
      </c>
      <c r="C254" s="1" t="s">
        <v>2196</v>
      </c>
      <c r="D254" s="1" t="s">
        <v>1028</v>
      </c>
      <c r="E254" s="3" t="s">
        <v>2200</v>
      </c>
      <c r="F254" s="2" t="s">
        <v>5624</v>
      </c>
      <c r="G254" s="1"/>
      <c r="H254" s="3" t="s">
        <v>2198</v>
      </c>
    </row>
    <row r="255" spans="1:8" ht="30" x14ac:dyDescent="0.25">
      <c r="A255" s="1" t="s">
        <v>2195</v>
      </c>
      <c r="B255" s="1" t="s">
        <v>418</v>
      </c>
      <c r="C255" s="1" t="s">
        <v>2196</v>
      </c>
      <c r="D255" s="1" t="s">
        <v>1028</v>
      </c>
      <c r="E255" s="3" t="s">
        <v>2197</v>
      </c>
      <c r="F255" s="2" t="s">
        <v>5625</v>
      </c>
      <c r="G255" s="1"/>
      <c r="H255" s="3" t="s">
        <v>2198</v>
      </c>
    </row>
    <row r="256" spans="1:8" x14ac:dyDescent="0.25">
      <c r="A256" s="1" t="s">
        <v>2856</v>
      </c>
      <c r="B256" s="1" t="s">
        <v>421</v>
      </c>
      <c r="C256" s="1" t="s">
        <v>1389</v>
      </c>
      <c r="D256" s="1" t="s">
        <v>1028</v>
      </c>
      <c r="E256" s="3" t="s">
        <v>2857</v>
      </c>
      <c r="F256" s="2" t="s">
        <v>5626</v>
      </c>
      <c r="G256" s="1"/>
      <c r="H256" s="3" t="s">
        <v>2858</v>
      </c>
    </row>
    <row r="257" spans="1:8" x14ac:dyDescent="0.25">
      <c r="A257" s="1" t="s">
        <v>344</v>
      </c>
      <c r="B257" s="1" t="s">
        <v>418</v>
      </c>
      <c r="C257" s="1" t="s">
        <v>601</v>
      </c>
      <c r="D257" s="1" t="s">
        <v>602</v>
      </c>
      <c r="E257" s="3" t="s">
        <v>341</v>
      </c>
      <c r="F257" s="2" t="s">
        <v>345</v>
      </c>
      <c r="G257" s="1" t="s">
        <v>442</v>
      </c>
      <c r="H257" s="3" t="s">
        <v>1</v>
      </c>
    </row>
    <row r="258" spans="1:8" x14ac:dyDescent="0.25">
      <c r="A258" s="1" t="s">
        <v>3861</v>
      </c>
      <c r="B258" s="1" t="s">
        <v>446</v>
      </c>
      <c r="C258" s="1" t="s">
        <v>601</v>
      </c>
      <c r="D258" s="1" t="s">
        <v>602</v>
      </c>
      <c r="E258" s="3" t="s">
        <v>3866</v>
      </c>
      <c r="F258" s="2" t="s">
        <v>5627</v>
      </c>
      <c r="G258" s="1"/>
      <c r="H258" s="3" t="s">
        <v>682</v>
      </c>
    </row>
    <row r="259" spans="1:8" x14ac:dyDescent="0.25">
      <c r="A259" s="1" t="s">
        <v>3861</v>
      </c>
      <c r="B259" s="1" t="s">
        <v>446</v>
      </c>
      <c r="C259" s="1" t="s">
        <v>601</v>
      </c>
      <c r="D259" s="1" t="s">
        <v>602</v>
      </c>
      <c r="E259" s="3" t="s">
        <v>3862</v>
      </c>
      <c r="F259" s="2" t="s">
        <v>5628</v>
      </c>
      <c r="G259" s="1"/>
      <c r="H259" s="3" t="s">
        <v>79</v>
      </c>
    </row>
    <row r="260" spans="1:8" x14ac:dyDescent="0.25">
      <c r="A260" s="1" t="s">
        <v>3861</v>
      </c>
      <c r="B260" s="1" t="s">
        <v>446</v>
      </c>
      <c r="C260" s="1" t="s">
        <v>601</v>
      </c>
      <c r="D260" s="1" t="s">
        <v>602</v>
      </c>
      <c r="E260" s="3" t="s">
        <v>3864</v>
      </c>
      <c r="F260" s="2" t="s">
        <v>5629</v>
      </c>
      <c r="G260" s="1"/>
      <c r="H260" s="3" t="s">
        <v>79</v>
      </c>
    </row>
    <row r="261" spans="1:8" x14ac:dyDescent="0.25">
      <c r="A261" s="1" t="s">
        <v>126</v>
      </c>
      <c r="B261" s="1" t="s">
        <v>399</v>
      </c>
      <c r="C261" s="1" t="s">
        <v>400</v>
      </c>
      <c r="D261" s="1" t="s">
        <v>401</v>
      </c>
      <c r="E261" s="3" t="s">
        <v>1973</v>
      </c>
      <c r="F261" s="2" t="s">
        <v>5630</v>
      </c>
      <c r="G261" s="1"/>
      <c r="H261" s="3" t="s">
        <v>1975</v>
      </c>
    </row>
    <row r="262" spans="1:8" x14ac:dyDescent="0.25">
      <c r="A262" s="1" t="s">
        <v>126</v>
      </c>
      <c r="B262" s="1" t="s">
        <v>399</v>
      </c>
      <c r="C262" s="1" t="s">
        <v>400</v>
      </c>
      <c r="D262" s="1" t="s">
        <v>401</v>
      </c>
      <c r="E262" s="3" t="s">
        <v>1971</v>
      </c>
      <c r="F262" s="2" t="s">
        <v>5631</v>
      </c>
      <c r="G262" s="1" t="s">
        <v>413</v>
      </c>
      <c r="H262" s="3" t="s">
        <v>910</v>
      </c>
    </row>
    <row r="263" spans="1:8" x14ac:dyDescent="0.25">
      <c r="A263" s="1" t="s">
        <v>126</v>
      </c>
      <c r="B263" s="1" t="s">
        <v>399</v>
      </c>
      <c r="C263" s="1" t="s">
        <v>400</v>
      </c>
      <c r="D263" s="1" t="s">
        <v>401</v>
      </c>
      <c r="E263" s="3" t="s">
        <v>595</v>
      </c>
      <c r="F263" s="2" t="s">
        <v>596</v>
      </c>
      <c r="G263" s="1" t="s">
        <v>413</v>
      </c>
      <c r="H263" s="3" t="s">
        <v>910</v>
      </c>
    </row>
    <row r="264" spans="1:8" x14ac:dyDescent="0.25">
      <c r="A264" s="1" t="s">
        <v>126</v>
      </c>
      <c r="B264" s="1" t="s">
        <v>399</v>
      </c>
      <c r="C264" s="1" t="s">
        <v>400</v>
      </c>
      <c r="D264" s="1" t="s">
        <v>401</v>
      </c>
      <c r="E264" s="3" t="s">
        <v>1968</v>
      </c>
      <c r="F264" s="2" t="s">
        <v>5632</v>
      </c>
      <c r="G264" s="1" t="s">
        <v>413</v>
      </c>
      <c r="H264" s="3" t="s">
        <v>910</v>
      </c>
    </row>
    <row r="265" spans="1:8" x14ac:dyDescent="0.25">
      <c r="A265" s="1" t="s">
        <v>126</v>
      </c>
      <c r="B265" s="1" t="s">
        <v>399</v>
      </c>
      <c r="C265" s="1" t="s">
        <v>400</v>
      </c>
      <c r="D265" s="1" t="s">
        <v>401</v>
      </c>
      <c r="E265" s="3" t="s">
        <v>402</v>
      </c>
      <c r="F265" s="2" t="s">
        <v>405</v>
      </c>
      <c r="G265" s="1" t="s">
        <v>406</v>
      </c>
      <c r="H265" s="3" t="s">
        <v>1967</v>
      </c>
    </row>
    <row r="266" spans="1:8" x14ac:dyDescent="0.25">
      <c r="A266" s="1" t="s">
        <v>126</v>
      </c>
      <c r="B266" s="1" t="s">
        <v>399</v>
      </c>
      <c r="C266" s="1" t="s">
        <v>400</v>
      </c>
      <c r="D266" s="1" t="s">
        <v>401</v>
      </c>
      <c r="E266" s="3" t="s">
        <v>118</v>
      </c>
      <c r="F266" s="2" t="s">
        <v>127</v>
      </c>
      <c r="G266" s="1" t="s">
        <v>406</v>
      </c>
      <c r="H266" s="3" t="s">
        <v>1984</v>
      </c>
    </row>
    <row r="267" spans="1:8" ht="30" x14ac:dyDescent="0.25">
      <c r="A267" s="1" t="s">
        <v>126</v>
      </c>
      <c r="B267" s="1" t="s">
        <v>399</v>
      </c>
      <c r="C267" s="1" t="s">
        <v>400</v>
      </c>
      <c r="D267" s="1" t="s">
        <v>401</v>
      </c>
      <c r="E267" s="3" t="s">
        <v>1976</v>
      </c>
      <c r="F267" s="2" t="s">
        <v>5633</v>
      </c>
      <c r="G267" s="1"/>
      <c r="H267" s="3" t="s">
        <v>1978</v>
      </c>
    </row>
    <row r="268" spans="1:8" ht="30" x14ac:dyDescent="0.25">
      <c r="A268" s="1" t="s">
        <v>126</v>
      </c>
      <c r="B268" s="1" t="s">
        <v>399</v>
      </c>
      <c r="C268" s="1" t="s">
        <v>400</v>
      </c>
      <c r="D268" s="1" t="s">
        <v>401</v>
      </c>
      <c r="E268" s="3" t="s">
        <v>1979</v>
      </c>
      <c r="F268" s="2" t="s">
        <v>5634</v>
      </c>
      <c r="G268" s="1"/>
      <c r="H268" s="3" t="s">
        <v>1978</v>
      </c>
    </row>
    <row r="269" spans="1:8" ht="30" x14ac:dyDescent="0.25">
      <c r="A269" s="1" t="s">
        <v>126</v>
      </c>
      <c r="B269" s="1" t="s">
        <v>399</v>
      </c>
      <c r="C269" s="1" t="s">
        <v>400</v>
      </c>
      <c r="D269" s="1" t="s">
        <v>401</v>
      </c>
      <c r="E269" s="3" t="s">
        <v>1981</v>
      </c>
      <c r="F269" s="2" t="s">
        <v>5635</v>
      </c>
      <c r="G269" s="1"/>
      <c r="H269" s="3" t="s">
        <v>1978</v>
      </c>
    </row>
    <row r="270" spans="1:8" ht="30" x14ac:dyDescent="0.25">
      <c r="A270" s="1" t="s">
        <v>2515</v>
      </c>
      <c r="B270" s="1" t="s">
        <v>2516</v>
      </c>
      <c r="C270" s="1" t="s">
        <v>2517</v>
      </c>
      <c r="D270" s="1" t="s">
        <v>401</v>
      </c>
      <c r="E270" s="3" t="s">
        <v>2518</v>
      </c>
      <c r="F270" s="2"/>
      <c r="G270" s="1"/>
      <c r="H270" s="3" t="s">
        <v>2520</v>
      </c>
    </row>
    <row r="271" spans="1:8" x14ac:dyDescent="0.25">
      <c r="A271" s="1" t="s">
        <v>296</v>
      </c>
      <c r="B271" s="1" t="s">
        <v>409</v>
      </c>
      <c r="C271" s="1" t="s">
        <v>587</v>
      </c>
      <c r="D271" s="1" t="s">
        <v>401</v>
      </c>
      <c r="E271" s="3" t="s">
        <v>3747</v>
      </c>
      <c r="F271" s="2" t="s">
        <v>5636</v>
      </c>
      <c r="G271" s="1"/>
      <c r="H271" s="3" t="s">
        <v>3748</v>
      </c>
    </row>
    <row r="272" spans="1:8" x14ac:dyDescent="0.25">
      <c r="A272" s="1" t="s">
        <v>296</v>
      </c>
      <c r="B272" s="1" t="s">
        <v>409</v>
      </c>
      <c r="C272" s="1" t="s">
        <v>587</v>
      </c>
      <c r="D272" s="1" t="s">
        <v>401</v>
      </c>
      <c r="E272" s="3" t="s">
        <v>3749</v>
      </c>
      <c r="F272" s="2" t="s">
        <v>5637</v>
      </c>
      <c r="G272" s="1"/>
      <c r="H272" s="3" t="s">
        <v>3748</v>
      </c>
    </row>
    <row r="273" spans="1:8" x14ac:dyDescent="0.25">
      <c r="A273" s="1" t="s">
        <v>296</v>
      </c>
      <c r="B273" s="1" t="s">
        <v>409</v>
      </c>
      <c r="C273" s="1" t="s">
        <v>587</v>
      </c>
      <c r="D273" s="1" t="s">
        <v>401</v>
      </c>
      <c r="E273" s="3" t="s">
        <v>3745</v>
      </c>
      <c r="F273" s="2" t="s">
        <v>5638</v>
      </c>
      <c r="G273" s="1"/>
      <c r="H273" s="3" t="s">
        <v>3746</v>
      </c>
    </row>
    <row r="274" spans="1:8" x14ac:dyDescent="0.25">
      <c r="A274" s="1" t="s">
        <v>296</v>
      </c>
      <c r="B274" s="1" t="s">
        <v>409</v>
      </c>
      <c r="C274" s="1" t="s">
        <v>587</v>
      </c>
      <c r="D274" s="1" t="s">
        <v>401</v>
      </c>
      <c r="E274" s="3" t="s">
        <v>295</v>
      </c>
      <c r="F274" s="2" t="s">
        <v>297</v>
      </c>
      <c r="G274" s="1" t="s">
        <v>406</v>
      </c>
      <c r="H274" s="3" t="s">
        <v>125</v>
      </c>
    </row>
    <row r="275" spans="1:8" ht="30" x14ac:dyDescent="0.25">
      <c r="A275" s="1" t="s">
        <v>296</v>
      </c>
      <c r="B275" s="1" t="s">
        <v>409</v>
      </c>
      <c r="C275" s="1" t="s">
        <v>587</v>
      </c>
      <c r="D275" s="1" t="s">
        <v>401</v>
      </c>
      <c r="E275" s="3" t="s">
        <v>3751</v>
      </c>
      <c r="F275" s="2" t="s">
        <v>5639</v>
      </c>
      <c r="G275" s="1"/>
      <c r="H275" s="3" t="s">
        <v>3752</v>
      </c>
    </row>
    <row r="276" spans="1:8" x14ac:dyDescent="0.25">
      <c r="A276" s="1" t="s">
        <v>296</v>
      </c>
      <c r="B276" s="1" t="s">
        <v>409</v>
      </c>
      <c r="C276" s="1" t="s">
        <v>587</v>
      </c>
      <c r="D276" s="1" t="s">
        <v>401</v>
      </c>
      <c r="E276" s="3" t="s">
        <v>3750</v>
      </c>
      <c r="F276" s="2" t="s">
        <v>5640</v>
      </c>
      <c r="G276" s="1"/>
      <c r="H276" s="3" t="s">
        <v>63</v>
      </c>
    </row>
    <row r="277" spans="1:8" x14ac:dyDescent="0.25">
      <c r="A277" s="1" t="s">
        <v>3841</v>
      </c>
      <c r="B277" s="1" t="s">
        <v>418</v>
      </c>
      <c r="C277" s="1" t="s">
        <v>587</v>
      </c>
      <c r="D277" s="1" t="s">
        <v>524</v>
      </c>
      <c r="E277" s="3" t="s">
        <v>3844</v>
      </c>
      <c r="F277" s="2" t="s">
        <v>5641</v>
      </c>
      <c r="G277" s="1"/>
      <c r="H277" s="3" t="s">
        <v>1691</v>
      </c>
    </row>
    <row r="278" spans="1:8" x14ac:dyDescent="0.25">
      <c r="A278" s="1" t="s">
        <v>3841</v>
      </c>
      <c r="B278" s="1" t="s">
        <v>418</v>
      </c>
      <c r="C278" s="1" t="s">
        <v>587</v>
      </c>
      <c r="D278" s="1" t="s">
        <v>524</v>
      </c>
      <c r="E278" s="3" t="s">
        <v>3845</v>
      </c>
      <c r="F278" s="2" t="s">
        <v>5642</v>
      </c>
      <c r="G278" s="1"/>
      <c r="H278" s="3" t="s">
        <v>1691</v>
      </c>
    </row>
    <row r="279" spans="1:8" x14ac:dyDescent="0.25">
      <c r="A279" s="1" t="s">
        <v>3841</v>
      </c>
      <c r="B279" s="1" t="s">
        <v>418</v>
      </c>
      <c r="C279" s="1" t="s">
        <v>587</v>
      </c>
      <c r="D279" s="1" t="s">
        <v>524</v>
      </c>
      <c r="E279" s="3" t="s">
        <v>3854</v>
      </c>
      <c r="F279" s="2" t="s">
        <v>5643</v>
      </c>
      <c r="G279" s="1"/>
      <c r="H279" s="3" t="s">
        <v>682</v>
      </c>
    </row>
    <row r="280" spans="1:8" x14ac:dyDescent="0.25">
      <c r="A280" s="1" t="s">
        <v>3841</v>
      </c>
      <c r="B280" s="1" t="s">
        <v>418</v>
      </c>
      <c r="C280" s="1" t="s">
        <v>587</v>
      </c>
      <c r="D280" s="1" t="s">
        <v>524</v>
      </c>
      <c r="E280" s="3" t="s">
        <v>3853</v>
      </c>
      <c r="F280" s="2" t="s">
        <v>5644</v>
      </c>
      <c r="G280" s="1"/>
      <c r="H280" s="3" t="s">
        <v>682</v>
      </c>
    </row>
    <row r="281" spans="1:8" x14ac:dyDescent="0.25">
      <c r="A281" s="1" t="s">
        <v>3841</v>
      </c>
      <c r="B281" s="1" t="s">
        <v>418</v>
      </c>
      <c r="C281" s="1" t="s">
        <v>587</v>
      </c>
      <c r="D281" s="1" t="s">
        <v>524</v>
      </c>
      <c r="E281" s="3" t="s">
        <v>3851</v>
      </c>
      <c r="F281" s="2" t="s">
        <v>5645</v>
      </c>
      <c r="G281" s="1"/>
      <c r="H281" s="3" t="s">
        <v>682</v>
      </c>
    </row>
    <row r="282" spans="1:8" x14ac:dyDescent="0.25">
      <c r="A282" s="1" t="s">
        <v>3841</v>
      </c>
      <c r="B282" s="1" t="s">
        <v>418</v>
      </c>
      <c r="C282" s="1" t="s">
        <v>587</v>
      </c>
      <c r="D282" s="1" t="s">
        <v>524</v>
      </c>
      <c r="E282" s="3" t="s">
        <v>3852</v>
      </c>
      <c r="F282" s="2" t="s">
        <v>5646</v>
      </c>
      <c r="G282" s="1"/>
      <c r="H282" s="3" t="s">
        <v>682</v>
      </c>
    </row>
    <row r="283" spans="1:8" x14ac:dyDescent="0.25">
      <c r="A283" s="1" t="s">
        <v>3841</v>
      </c>
      <c r="B283" s="1" t="s">
        <v>418</v>
      </c>
      <c r="C283" s="1" t="s">
        <v>587</v>
      </c>
      <c r="D283" s="1" t="s">
        <v>524</v>
      </c>
      <c r="E283" s="3" t="s">
        <v>3846</v>
      </c>
      <c r="F283" s="2" t="s">
        <v>5647</v>
      </c>
      <c r="G283" s="1"/>
      <c r="H283" s="3" t="s">
        <v>79</v>
      </c>
    </row>
    <row r="284" spans="1:8" x14ac:dyDescent="0.25">
      <c r="A284" s="1" t="s">
        <v>3841</v>
      </c>
      <c r="B284" s="1" t="s">
        <v>418</v>
      </c>
      <c r="C284" s="1" t="s">
        <v>587</v>
      </c>
      <c r="D284" s="1" t="s">
        <v>524</v>
      </c>
      <c r="E284" s="3" t="s">
        <v>3848</v>
      </c>
      <c r="F284" s="2" t="s">
        <v>5648</v>
      </c>
      <c r="G284" s="1"/>
      <c r="H284" s="3" t="s">
        <v>79</v>
      </c>
    </row>
    <row r="285" spans="1:8" x14ac:dyDescent="0.25">
      <c r="A285" s="1" t="s">
        <v>3841</v>
      </c>
      <c r="B285" s="1" t="s">
        <v>418</v>
      </c>
      <c r="C285" s="1" t="s">
        <v>587</v>
      </c>
      <c r="D285" s="1" t="s">
        <v>524</v>
      </c>
      <c r="E285" s="3" t="s">
        <v>3847</v>
      </c>
      <c r="F285" s="2" t="s">
        <v>5649</v>
      </c>
      <c r="G285" s="1"/>
      <c r="H285" s="3" t="s">
        <v>79</v>
      </c>
    </row>
    <row r="286" spans="1:8" x14ac:dyDescent="0.25">
      <c r="A286" s="1" t="s">
        <v>3841</v>
      </c>
      <c r="B286" s="1" t="s">
        <v>418</v>
      </c>
      <c r="C286" s="1" t="s">
        <v>587</v>
      </c>
      <c r="D286" s="1" t="s">
        <v>524</v>
      </c>
      <c r="E286" s="3" t="s">
        <v>3842</v>
      </c>
      <c r="F286" s="2" t="s">
        <v>5650</v>
      </c>
      <c r="G286" s="1"/>
      <c r="H286" s="3" t="s">
        <v>3843</v>
      </c>
    </row>
    <row r="287" spans="1:8" ht="30" x14ac:dyDescent="0.25">
      <c r="A287" s="1" t="s">
        <v>3841</v>
      </c>
      <c r="B287" s="1" t="s">
        <v>418</v>
      </c>
      <c r="C287" s="1" t="s">
        <v>587</v>
      </c>
      <c r="D287" s="1" t="s">
        <v>524</v>
      </c>
      <c r="E287" s="3" t="s">
        <v>3849</v>
      </c>
      <c r="F287" s="2" t="s">
        <v>5651</v>
      </c>
      <c r="G287" s="1"/>
      <c r="H287" s="3" t="s">
        <v>3850</v>
      </c>
    </row>
    <row r="288" spans="1:8" x14ac:dyDescent="0.25">
      <c r="A288" s="1" t="s">
        <v>1735</v>
      </c>
      <c r="B288" s="1" t="s">
        <v>409</v>
      </c>
      <c r="C288" s="1" t="s">
        <v>1736</v>
      </c>
      <c r="D288" s="1" t="s">
        <v>1737</v>
      </c>
      <c r="E288" s="3" t="s">
        <v>1738</v>
      </c>
      <c r="F288" s="2"/>
      <c r="G288" s="1"/>
      <c r="H288" s="3" t="s">
        <v>1740</v>
      </c>
    </row>
    <row r="289" spans="1:8" x14ac:dyDescent="0.25">
      <c r="A289" s="1" t="s">
        <v>1361</v>
      </c>
      <c r="B289" s="1" t="s">
        <v>511</v>
      </c>
      <c r="C289" s="1" t="s">
        <v>1362</v>
      </c>
      <c r="D289" s="1" t="s">
        <v>1363</v>
      </c>
      <c r="E289" s="3" t="s">
        <v>1364</v>
      </c>
      <c r="F289" s="2" t="s">
        <v>5652</v>
      </c>
      <c r="G289" s="1" t="s">
        <v>406</v>
      </c>
      <c r="H289" s="3" t="s">
        <v>1366</v>
      </c>
    </row>
    <row r="290" spans="1:8" x14ac:dyDescent="0.25">
      <c r="A290" s="1" t="s">
        <v>1361</v>
      </c>
      <c r="B290" s="1" t="s">
        <v>511</v>
      </c>
      <c r="C290" s="1" t="s">
        <v>1362</v>
      </c>
      <c r="D290" s="1" t="s">
        <v>1363</v>
      </c>
      <c r="E290" s="3" t="s">
        <v>1367</v>
      </c>
      <c r="F290" s="2" t="s">
        <v>5653</v>
      </c>
      <c r="G290" s="1"/>
      <c r="H290" s="3" t="s">
        <v>79</v>
      </c>
    </row>
    <row r="291" spans="1:8" x14ac:dyDescent="0.25">
      <c r="A291" s="1" t="s">
        <v>1361</v>
      </c>
      <c r="B291" s="1" t="s">
        <v>511</v>
      </c>
      <c r="C291" s="1" t="s">
        <v>1362</v>
      </c>
      <c r="D291" s="1" t="s">
        <v>1363</v>
      </c>
      <c r="E291" s="3" t="s">
        <v>1369</v>
      </c>
      <c r="F291" s="2" t="s">
        <v>5654</v>
      </c>
      <c r="G291" s="1"/>
      <c r="H291" s="3" t="s">
        <v>79</v>
      </c>
    </row>
    <row r="292" spans="1:8" x14ac:dyDescent="0.25">
      <c r="A292" s="1" t="s">
        <v>2320</v>
      </c>
      <c r="B292" s="1" t="s">
        <v>409</v>
      </c>
      <c r="C292" s="1" t="s">
        <v>2321</v>
      </c>
      <c r="D292" s="1" t="s">
        <v>1363</v>
      </c>
      <c r="E292" s="3" t="s">
        <v>2322</v>
      </c>
      <c r="F292" s="2" t="s">
        <v>5655</v>
      </c>
      <c r="G292" s="1"/>
      <c r="H292" s="3" t="s">
        <v>63</v>
      </c>
    </row>
    <row r="293" spans="1:8" x14ac:dyDescent="0.25">
      <c r="A293" s="1" t="s">
        <v>2320</v>
      </c>
      <c r="B293" s="1" t="s">
        <v>409</v>
      </c>
      <c r="C293" s="1" t="s">
        <v>2321</v>
      </c>
      <c r="D293" s="1" t="s">
        <v>1363</v>
      </c>
      <c r="E293" s="3" t="s">
        <v>2324</v>
      </c>
      <c r="F293" s="2" t="s">
        <v>5656</v>
      </c>
      <c r="G293" s="1"/>
      <c r="H293" s="3" t="s">
        <v>2326</v>
      </c>
    </row>
    <row r="294" spans="1:8" x14ac:dyDescent="0.25">
      <c r="A294" s="1" t="s">
        <v>2370</v>
      </c>
      <c r="B294" s="1" t="s">
        <v>399</v>
      </c>
      <c r="C294" s="1" t="s">
        <v>2321</v>
      </c>
      <c r="D294" s="1" t="s">
        <v>1363</v>
      </c>
      <c r="E294" s="3" t="s">
        <v>2373</v>
      </c>
      <c r="F294" s="2" t="s">
        <v>5657</v>
      </c>
      <c r="G294" s="1"/>
      <c r="H294" s="3" t="s">
        <v>1975</v>
      </c>
    </row>
    <row r="295" spans="1:8" x14ac:dyDescent="0.25">
      <c r="A295" s="1" t="s">
        <v>2370</v>
      </c>
      <c r="B295" s="1" t="s">
        <v>399</v>
      </c>
      <c r="C295" s="1" t="s">
        <v>2321</v>
      </c>
      <c r="D295" s="1" t="s">
        <v>1363</v>
      </c>
      <c r="E295" s="3" t="s">
        <v>2374</v>
      </c>
      <c r="F295" s="2" t="s">
        <v>5658</v>
      </c>
      <c r="G295" s="1"/>
      <c r="H295" s="3" t="s">
        <v>2375</v>
      </c>
    </row>
    <row r="296" spans="1:8" ht="30" x14ac:dyDescent="0.25">
      <c r="A296" s="1" t="s">
        <v>2370</v>
      </c>
      <c r="B296" s="1" t="s">
        <v>399</v>
      </c>
      <c r="C296" s="1" t="s">
        <v>2321</v>
      </c>
      <c r="D296" s="1" t="s">
        <v>1363</v>
      </c>
      <c r="E296" s="3" t="s">
        <v>2371</v>
      </c>
      <c r="F296" s="2" t="s">
        <v>5659</v>
      </c>
      <c r="G296" s="1" t="s">
        <v>442</v>
      </c>
      <c r="H296" s="3" t="s">
        <v>2372</v>
      </c>
    </row>
    <row r="297" spans="1:8" x14ac:dyDescent="0.25">
      <c r="A297" s="1" t="s">
        <v>679</v>
      </c>
      <c r="B297" s="1" t="s">
        <v>446</v>
      </c>
      <c r="C297" s="1" t="s">
        <v>438</v>
      </c>
      <c r="D297" s="1" t="s">
        <v>439</v>
      </c>
      <c r="E297" s="3" t="s">
        <v>680</v>
      </c>
      <c r="F297" s="2" t="s">
        <v>5660</v>
      </c>
      <c r="G297" s="1"/>
      <c r="H297" s="3" t="s">
        <v>682</v>
      </c>
    </row>
    <row r="298" spans="1:8" ht="30" x14ac:dyDescent="0.25">
      <c r="A298" s="1" t="s">
        <v>86</v>
      </c>
      <c r="B298" s="1" t="s">
        <v>480</v>
      </c>
      <c r="C298" s="1" t="s">
        <v>481</v>
      </c>
      <c r="D298" s="1" t="s">
        <v>439</v>
      </c>
      <c r="E298" s="3" t="s">
        <v>1556</v>
      </c>
      <c r="F298" s="2" t="s">
        <v>5661</v>
      </c>
      <c r="G298" s="1"/>
      <c r="H298" s="3" t="s">
        <v>1558</v>
      </c>
    </row>
    <row r="299" spans="1:8" x14ac:dyDescent="0.25">
      <c r="A299" s="1" t="s">
        <v>86</v>
      </c>
      <c r="B299" s="1" t="s">
        <v>480</v>
      </c>
      <c r="C299" s="1" t="s">
        <v>481</v>
      </c>
      <c r="D299" s="1" t="s">
        <v>439</v>
      </c>
      <c r="E299" s="3" t="s">
        <v>148</v>
      </c>
      <c r="F299" s="2" t="s">
        <v>149</v>
      </c>
      <c r="G299" s="1"/>
      <c r="H299" s="3" t="s">
        <v>1</v>
      </c>
    </row>
    <row r="300" spans="1:8" x14ac:dyDescent="0.25">
      <c r="A300" s="1" t="s">
        <v>86</v>
      </c>
      <c r="B300" s="1" t="s">
        <v>480</v>
      </c>
      <c r="C300" s="1" t="s">
        <v>481</v>
      </c>
      <c r="D300" s="1" t="s">
        <v>439</v>
      </c>
      <c r="E300" s="3" t="s">
        <v>150</v>
      </c>
      <c r="F300" s="2" t="s">
        <v>151</v>
      </c>
      <c r="G300" s="1"/>
      <c r="H300" s="3" t="s">
        <v>1</v>
      </c>
    </row>
    <row r="301" spans="1:8" ht="30" x14ac:dyDescent="0.25">
      <c r="A301" s="1" t="s">
        <v>86</v>
      </c>
      <c r="B301" s="1" t="s">
        <v>480</v>
      </c>
      <c r="C301" s="1" t="s">
        <v>481</v>
      </c>
      <c r="D301" s="1" t="s">
        <v>439</v>
      </c>
      <c r="E301" s="3" t="s">
        <v>1569</v>
      </c>
      <c r="F301" s="2" t="s">
        <v>5662</v>
      </c>
      <c r="G301" s="1"/>
      <c r="H301" s="3" t="s">
        <v>1566</v>
      </c>
    </row>
    <row r="302" spans="1:8" ht="30" x14ac:dyDescent="0.25">
      <c r="A302" s="1" t="s">
        <v>86</v>
      </c>
      <c r="B302" s="1" t="s">
        <v>480</v>
      </c>
      <c r="C302" s="1" t="s">
        <v>481</v>
      </c>
      <c r="D302" s="1" t="s">
        <v>439</v>
      </c>
      <c r="E302" s="3" t="s">
        <v>1571</v>
      </c>
      <c r="F302" s="2" t="s">
        <v>5663</v>
      </c>
      <c r="G302" s="1"/>
      <c r="H302" s="3" t="s">
        <v>1566</v>
      </c>
    </row>
    <row r="303" spans="1:8" ht="30" x14ac:dyDescent="0.25">
      <c r="A303" s="1" t="s">
        <v>86</v>
      </c>
      <c r="B303" s="1" t="s">
        <v>480</v>
      </c>
      <c r="C303" s="1" t="s">
        <v>481</v>
      </c>
      <c r="D303" s="1" t="s">
        <v>439</v>
      </c>
      <c r="E303" s="3" t="s">
        <v>1567</v>
      </c>
      <c r="F303" s="2" t="s">
        <v>5664</v>
      </c>
      <c r="G303" s="1"/>
      <c r="H303" s="3" t="s">
        <v>1566</v>
      </c>
    </row>
    <row r="304" spans="1:8" ht="30" x14ac:dyDescent="0.25">
      <c r="A304" s="1" t="s">
        <v>86</v>
      </c>
      <c r="B304" s="1" t="s">
        <v>480</v>
      </c>
      <c r="C304" s="1" t="s">
        <v>481</v>
      </c>
      <c r="D304" s="1" t="s">
        <v>439</v>
      </c>
      <c r="E304" s="3" t="s">
        <v>1564</v>
      </c>
      <c r="F304" s="2" t="s">
        <v>5665</v>
      </c>
      <c r="G304" s="1"/>
      <c r="H304" s="3" t="s">
        <v>1566</v>
      </c>
    </row>
    <row r="305" spans="1:8" x14ac:dyDescent="0.25">
      <c r="A305" s="1" t="s">
        <v>86</v>
      </c>
      <c r="B305" s="1" t="s">
        <v>480</v>
      </c>
      <c r="C305" s="1" t="s">
        <v>481</v>
      </c>
      <c r="D305" s="1" t="s">
        <v>439</v>
      </c>
      <c r="E305" s="3" t="s">
        <v>1562</v>
      </c>
      <c r="F305" s="2" t="s">
        <v>5666</v>
      </c>
      <c r="G305" s="1"/>
      <c r="H305" s="3" t="s">
        <v>1561</v>
      </c>
    </row>
    <row r="306" spans="1:8" x14ac:dyDescent="0.25">
      <c r="A306" s="1" t="s">
        <v>86</v>
      </c>
      <c r="B306" s="1" t="s">
        <v>480</v>
      </c>
      <c r="C306" s="1" t="s">
        <v>481</v>
      </c>
      <c r="D306" s="1" t="s">
        <v>439</v>
      </c>
      <c r="E306" s="3" t="s">
        <v>1559</v>
      </c>
      <c r="F306" s="2" t="s">
        <v>5667</v>
      </c>
      <c r="G306" s="1"/>
      <c r="H306" s="3" t="s">
        <v>1561</v>
      </c>
    </row>
    <row r="307" spans="1:8" x14ac:dyDescent="0.25">
      <c r="A307" s="1" t="s">
        <v>86</v>
      </c>
      <c r="B307" s="1" t="s">
        <v>480</v>
      </c>
      <c r="C307" s="1" t="s">
        <v>481</v>
      </c>
      <c r="D307" s="1" t="s">
        <v>439</v>
      </c>
      <c r="E307" s="3" t="s">
        <v>1577</v>
      </c>
      <c r="F307" s="2" t="s">
        <v>5668</v>
      </c>
      <c r="G307" s="1"/>
      <c r="H307" s="3" t="s">
        <v>63</v>
      </c>
    </row>
    <row r="308" spans="1:8" ht="30" x14ac:dyDescent="0.25">
      <c r="A308" s="1" t="s">
        <v>86</v>
      </c>
      <c r="B308" s="1" t="s">
        <v>480</v>
      </c>
      <c r="C308" s="1" t="s">
        <v>481</v>
      </c>
      <c r="D308" s="1" t="s">
        <v>439</v>
      </c>
      <c r="E308" s="3" t="s">
        <v>85</v>
      </c>
      <c r="F308" s="2" t="s">
        <v>87</v>
      </c>
      <c r="G308" s="1"/>
      <c r="H308" s="3" t="s">
        <v>1575</v>
      </c>
    </row>
    <row r="309" spans="1:8" ht="30" x14ac:dyDescent="0.25">
      <c r="A309" s="1" t="s">
        <v>86</v>
      </c>
      <c r="B309" s="1" t="s">
        <v>480</v>
      </c>
      <c r="C309" s="1" t="s">
        <v>481</v>
      </c>
      <c r="D309" s="1" t="s">
        <v>439</v>
      </c>
      <c r="E309" s="3" t="s">
        <v>1573</v>
      </c>
      <c r="F309" s="2" t="s">
        <v>5669</v>
      </c>
      <c r="G309" s="1"/>
      <c r="H309" s="3" t="s">
        <v>1575</v>
      </c>
    </row>
    <row r="310" spans="1:8" ht="30" x14ac:dyDescent="0.25">
      <c r="A310" s="1" t="s">
        <v>13</v>
      </c>
      <c r="B310" s="1" t="s">
        <v>437</v>
      </c>
      <c r="C310" s="1" t="s">
        <v>438</v>
      </c>
      <c r="D310" s="1" t="s">
        <v>439</v>
      </c>
      <c r="E310" s="3" t="s">
        <v>135</v>
      </c>
      <c r="F310" s="2" t="s">
        <v>140</v>
      </c>
      <c r="G310" s="1"/>
      <c r="H310" s="3" t="s">
        <v>2794</v>
      </c>
    </row>
    <row r="311" spans="1:8" x14ac:dyDescent="0.25">
      <c r="A311" s="1" t="s">
        <v>13</v>
      </c>
      <c r="B311" s="1" t="s">
        <v>437</v>
      </c>
      <c r="C311" s="1" t="s">
        <v>438</v>
      </c>
      <c r="D311" s="1" t="s">
        <v>439</v>
      </c>
      <c r="E311" s="3" t="s">
        <v>2793</v>
      </c>
      <c r="F311" s="2" t="s">
        <v>5670</v>
      </c>
      <c r="G311" s="1" t="s">
        <v>476</v>
      </c>
      <c r="H311" s="3" t="s">
        <v>2790</v>
      </c>
    </row>
    <row r="312" spans="1:8" x14ac:dyDescent="0.25">
      <c r="A312" s="1" t="s">
        <v>13</v>
      </c>
      <c r="B312" s="1" t="s">
        <v>437</v>
      </c>
      <c r="C312" s="1" t="s">
        <v>438</v>
      </c>
      <c r="D312" s="1" t="s">
        <v>439</v>
      </c>
      <c r="E312" s="3" t="s">
        <v>2789</v>
      </c>
      <c r="F312" s="2" t="s">
        <v>5671</v>
      </c>
      <c r="G312" s="1" t="s">
        <v>476</v>
      </c>
      <c r="H312" s="3" t="s">
        <v>2790</v>
      </c>
    </row>
    <row r="313" spans="1:8" ht="30" x14ac:dyDescent="0.25">
      <c r="A313" s="1" t="s">
        <v>13</v>
      </c>
      <c r="B313" s="1" t="s">
        <v>437</v>
      </c>
      <c r="C313" s="1" t="s">
        <v>438</v>
      </c>
      <c r="D313" s="1" t="s">
        <v>439</v>
      </c>
      <c r="E313" s="3" t="s">
        <v>2792</v>
      </c>
      <c r="F313" s="2" t="s">
        <v>5672</v>
      </c>
      <c r="G313" s="1" t="s">
        <v>476</v>
      </c>
      <c r="H313" s="3" t="s">
        <v>2790</v>
      </c>
    </row>
    <row r="314" spans="1:8" x14ac:dyDescent="0.25">
      <c r="A314" s="1" t="s">
        <v>13</v>
      </c>
      <c r="B314" s="1" t="s">
        <v>437</v>
      </c>
      <c r="C314" s="1" t="s">
        <v>438</v>
      </c>
      <c r="D314" s="1" t="s">
        <v>439</v>
      </c>
      <c r="E314" s="3" t="s">
        <v>2791</v>
      </c>
      <c r="F314" s="2" t="s">
        <v>5673</v>
      </c>
      <c r="G314" s="1" t="s">
        <v>476</v>
      </c>
      <c r="H314" s="3" t="s">
        <v>2790</v>
      </c>
    </row>
    <row r="315" spans="1:8" ht="30" x14ac:dyDescent="0.25">
      <c r="A315" s="1" t="s">
        <v>13</v>
      </c>
      <c r="B315" s="1" t="s">
        <v>437</v>
      </c>
      <c r="C315" s="1" t="s">
        <v>438</v>
      </c>
      <c r="D315" s="1" t="s">
        <v>439</v>
      </c>
      <c r="E315" s="3" t="s">
        <v>12</v>
      </c>
      <c r="F315" s="2" t="s">
        <v>14</v>
      </c>
      <c r="G315" s="1" t="s">
        <v>406</v>
      </c>
      <c r="H315" s="3" t="s">
        <v>2788</v>
      </c>
    </row>
    <row r="316" spans="1:8" ht="30" x14ac:dyDescent="0.25">
      <c r="A316" s="1" t="s">
        <v>13</v>
      </c>
      <c r="B316" s="1" t="s">
        <v>437</v>
      </c>
      <c r="C316" s="1" t="s">
        <v>438</v>
      </c>
      <c r="D316" s="1" t="s">
        <v>439</v>
      </c>
      <c r="E316" s="3" t="s">
        <v>32</v>
      </c>
      <c r="F316" s="2" t="s">
        <v>33</v>
      </c>
      <c r="G316" s="1" t="s">
        <v>406</v>
      </c>
      <c r="H316" s="3" t="s">
        <v>2788</v>
      </c>
    </row>
    <row r="317" spans="1:8" ht="30" x14ac:dyDescent="0.25">
      <c r="A317" s="1" t="s">
        <v>13</v>
      </c>
      <c r="B317" s="1" t="s">
        <v>437</v>
      </c>
      <c r="C317" s="1" t="s">
        <v>438</v>
      </c>
      <c r="D317" s="1" t="s">
        <v>439</v>
      </c>
      <c r="E317" s="3" t="s">
        <v>298</v>
      </c>
      <c r="F317" s="2" t="s">
        <v>299</v>
      </c>
      <c r="G317" s="1" t="s">
        <v>406</v>
      </c>
      <c r="H317" s="3" t="s">
        <v>2788</v>
      </c>
    </row>
    <row r="318" spans="1:8" x14ac:dyDescent="0.25">
      <c r="A318" s="1" t="s">
        <v>13</v>
      </c>
      <c r="B318" s="1" t="s">
        <v>437</v>
      </c>
      <c r="C318" s="1" t="s">
        <v>438</v>
      </c>
      <c r="D318" s="1" t="s">
        <v>439</v>
      </c>
      <c r="E318" s="3" t="s">
        <v>65</v>
      </c>
      <c r="F318" s="2" t="s">
        <v>68</v>
      </c>
      <c r="G318" s="1" t="s">
        <v>406</v>
      </c>
      <c r="H318" s="3" t="s">
        <v>56</v>
      </c>
    </row>
    <row r="319" spans="1:8" x14ac:dyDescent="0.25">
      <c r="A319" s="1" t="s">
        <v>136</v>
      </c>
      <c r="B319" s="1" t="s">
        <v>491</v>
      </c>
      <c r="C319" s="1" t="s">
        <v>501</v>
      </c>
      <c r="D319" s="1" t="s">
        <v>502</v>
      </c>
      <c r="E319" s="3" t="s">
        <v>1113</v>
      </c>
      <c r="F319" s="2" t="s">
        <v>5674</v>
      </c>
      <c r="G319" s="1"/>
      <c r="H319" s="3" t="s">
        <v>682</v>
      </c>
    </row>
    <row r="320" spans="1:8" x14ac:dyDescent="0.25">
      <c r="A320" s="1" t="s">
        <v>136</v>
      </c>
      <c r="B320" s="1" t="s">
        <v>491</v>
      </c>
      <c r="C320" s="1" t="s">
        <v>501</v>
      </c>
      <c r="D320" s="1" t="s">
        <v>502</v>
      </c>
      <c r="E320" s="3" t="s">
        <v>135</v>
      </c>
      <c r="F320" s="2" t="s">
        <v>137</v>
      </c>
      <c r="G320" s="1"/>
      <c r="H320" s="3" t="s">
        <v>1</v>
      </c>
    </row>
    <row r="321" spans="1:8" x14ac:dyDescent="0.25">
      <c r="A321" s="1" t="s">
        <v>136</v>
      </c>
      <c r="B321" s="1" t="s">
        <v>491</v>
      </c>
      <c r="C321" s="1" t="s">
        <v>501</v>
      </c>
      <c r="D321" s="1" t="s">
        <v>502</v>
      </c>
      <c r="E321" s="3" t="s">
        <v>1105</v>
      </c>
      <c r="F321" s="2" t="s">
        <v>5675</v>
      </c>
      <c r="G321" s="1" t="s">
        <v>442</v>
      </c>
      <c r="H321" s="3" t="s">
        <v>991</v>
      </c>
    </row>
    <row r="322" spans="1:8" x14ac:dyDescent="0.25">
      <c r="A322" s="1" t="s">
        <v>136</v>
      </c>
      <c r="B322" s="1" t="s">
        <v>491</v>
      </c>
      <c r="C322" s="1" t="s">
        <v>501</v>
      </c>
      <c r="D322" s="1" t="s">
        <v>502</v>
      </c>
      <c r="E322" s="3" t="s">
        <v>1107</v>
      </c>
      <c r="F322" s="2" t="s">
        <v>5676</v>
      </c>
      <c r="G322" s="1" t="s">
        <v>442</v>
      </c>
      <c r="H322" s="3" t="s">
        <v>991</v>
      </c>
    </row>
    <row r="323" spans="1:8" x14ac:dyDescent="0.25">
      <c r="A323" s="1" t="s">
        <v>136</v>
      </c>
      <c r="B323" s="1" t="s">
        <v>491</v>
      </c>
      <c r="C323" s="1" t="s">
        <v>501</v>
      </c>
      <c r="D323" s="1" t="s">
        <v>502</v>
      </c>
      <c r="E323" s="3" t="s">
        <v>1109</v>
      </c>
      <c r="F323" s="2" t="s">
        <v>5677</v>
      </c>
      <c r="G323" s="1" t="s">
        <v>406</v>
      </c>
      <c r="H323" s="3" t="s">
        <v>1111</v>
      </c>
    </row>
    <row r="324" spans="1:8" x14ac:dyDescent="0.25">
      <c r="A324" s="1" t="s">
        <v>136</v>
      </c>
      <c r="B324" s="1" t="s">
        <v>491</v>
      </c>
      <c r="C324" s="1" t="s">
        <v>501</v>
      </c>
      <c r="D324" s="1" t="s">
        <v>502</v>
      </c>
      <c r="E324" s="3" t="s">
        <v>384</v>
      </c>
      <c r="F324" s="2" t="s">
        <v>385</v>
      </c>
      <c r="G324" s="1" t="s">
        <v>406</v>
      </c>
      <c r="H324" s="3" t="s">
        <v>1111</v>
      </c>
    </row>
    <row r="325" spans="1:8" x14ac:dyDescent="0.25">
      <c r="A325" s="1" t="s">
        <v>3429</v>
      </c>
      <c r="B325" s="1" t="s">
        <v>536</v>
      </c>
      <c r="C325" s="1" t="s">
        <v>481</v>
      </c>
      <c r="D325" s="1" t="s">
        <v>502</v>
      </c>
      <c r="E325" s="3" t="s">
        <v>3433</v>
      </c>
      <c r="F325" s="2" t="s">
        <v>5678</v>
      </c>
      <c r="G325" s="1" t="s">
        <v>442</v>
      </c>
      <c r="H325" s="3" t="s">
        <v>3432</v>
      </c>
    </row>
    <row r="326" spans="1:8" x14ac:dyDescent="0.25">
      <c r="A326" s="1" t="s">
        <v>3429</v>
      </c>
      <c r="B326" s="1" t="s">
        <v>536</v>
      </c>
      <c r="C326" s="1" t="s">
        <v>481</v>
      </c>
      <c r="D326" s="1" t="s">
        <v>502</v>
      </c>
      <c r="E326" s="3" t="s">
        <v>3430</v>
      </c>
      <c r="F326" s="2" t="s">
        <v>5679</v>
      </c>
      <c r="G326" s="1" t="s">
        <v>442</v>
      </c>
      <c r="H326" s="3" t="s">
        <v>3432</v>
      </c>
    </row>
    <row r="327" spans="1:8" ht="30" x14ac:dyDescent="0.25">
      <c r="A327" s="1" t="s">
        <v>3166</v>
      </c>
      <c r="B327" s="1" t="s">
        <v>446</v>
      </c>
      <c r="C327" s="1" t="s">
        <v>3167</v>
      </c>
      <c r="D327" s="1" t="s">
        <v>3114</v>
      </c>
      <c r="E327" s="3" t="s">
        <v>3180</v>
      </c>
      <c r="F327" s="2" t="s">
        <v>5680</v>
      </c>
      <c r="G327" s="1"/>
      <c r="H327" s="3" t="s">
        <v>3182</v>
      </c>
    </row>
    <row r="328" spans="1:8" ht="30" x14ac:dyDescent="0.25">
      <c r="A328" s="1" t="s">
        <v>3166</v>
      </c>
      <c r="B328" s="1" t="s">
        <v>446</v>
      </c>
      <c r="C328" s="1" t="s">
        <v>3167</v>
      </c>
      <c r="D328" s="1" t="s">
        <v>3114</v>
      </c>
      <c r="E328" s="3" t="s">
        <v>3168</v>
      </c>
      <c r="F328" s="2" t="s">
        <v>5681</v>
      </c>
      <c r="G328" s="1"/>
      <c r="H328" s="3" t="s">
        <v>407</v>
      </c>
    </row>
    <row r="329" spans="1:8" x14ac:dyDescent="0.25">
      <c r="A329" s="1" t="s">
        <v>3166</v>
      </c>
      <c r="B329" s="1" t="s">
        <v>446</v>
      </c>
      <c r="C329" s="1" t="s">
        <v>3167</v>
      </c>
      <c r="D329" s="1" t="s">
        <v>3114</v>
      </c>
      <c r="E329" s="3" t="s">
        <v>3170</v>
      </c>
      <c r="F329" s="2" t="s">
        <v>5682</v>
      </c>
      <c r="G329" s="1"/>
      <c r="H329" s="3" t="s">
        <v>407</v>
      </c>
    </row>
    <row r="330" spans="1:8" x14ac:dyDescent="0.25">
      <c r="A330" s="1" t="s">
        <v>3166</v>
      </c>
      <c r="B330" s="1" t="s">
        <v>446</v>
      </c>
      <c r="C330" s="1" t="s">
        <v>3167</v>
      </c>
      <c r="D330" s="1" t="s">
        <v>3114</v>
      </c>
      <c r="E330" s="3" t="s">
        <v>3174</v>
      </c>
      <c r="F330" s="2" t="s">
        <v>5683</v>
      </c>
      <c r="G330" s="1"/>
      <c r="H330" s="3" t="s">
        <v>63</v>
      </c>
    </row>
    <row r="331" spans="1:8" x14ac:dyDescent="0.25">
      <c r="A331" s="1" t="s">
        <v>3166</v>
      </c>
      <c r="B331" s="1" t="s">
        <v>446</v>
      </c>
      <c r="C331" s="1" t="s">
        <v>3167</v>
      </c>
      <c r="D331" s="1" t="s">
        <v>3114</v>
      </c>
      <c r="E331" s="3" t="s">
        <v>3172</v>
      </c>
      <c r="F331" s="2" t="s">
        <v>5684</v>
      </c>
      <c r="G331" s="1"/>
      <c r="H331" s="3" t="s">
        <v>597</v>
      </c>
    </row>
    <row r="332" spans="1:8" x14ac:dyDescent="0.25">
      <c r="A332" s="1" t="s">
        <v>3166</v>
      </c>
      <c r="B332" s="1" t="s">
        <v>446</v>
      </c>
      <c r="C332" s="1" t="s">
        <v>3167</v>
      </c>
      <c r="D332" s="1" t="s">
        <v>3114</v>
      </c>
      <c r="E332" s="3" t="s">
        <v>3178</v>
      </c>
      <c r="F332" s="2" t="s">
        <v>5685</v>
      </c>
      <c r="G332" s="1"/>
      <c r="H332" s="3" t="s">
        <v>554</v>
      </c>
    </row>
    <row r="333" spans="1:8" x14ac:dyDescent="0.25">
      <c r="A333" s="1" t="s">
        <v>3166</v>
      </c>
      <c r="B333" s="1" t="s">
        <v>446</v>
      </c>
      <c r="C333" s="1" t="s">
        <v>3167</v>
      </c>
      <c r="D333" s="1" t="s">
        <v>3114</v>
      </c>
      <c r="E333" s="3" t="s">
        <v>3176</v>
      </c>
      <c r="F333" s="2" t="s">
        <v>5686</v>
      </c>
      <c r="G333" s="1"/>
      <c r="H333" s="3" t="s">
        <v>554</v>
      </c>
    </row>
    <row r="334" spans="1:8" x14ac:dyDescent="0.25">
      <c r="A334" s="1" t="s">
        <v>116</v>
      </c>
      <c r="B334" s="1" t="s">
        <v>418</v>
      </c>
      <c r="C334" s="1" t="s">
        <v>494</v>
      </c>
      <c r="D334" s="1" t="s">
        <v>495</v>
      </c>
      <c r="E334" s="3" t="s">
        <v>1006</v>
      </c>
      <c r="F334" s="2" t="s">
        <v>5687</v>
      </c>
      <c r="G334" s="1"/>
      <c r="H334" s="3" t="s">
        <v>682</v>
      </c>
    </row>
    <row r="335" spans="1:8" x14ac:dyDescent="0.25">
      <c r="A335" s="1" t="s">
        <v>116</v>
      </c>
      <c r="B335" s="1" t="s">
        <v>418</v>
      </c>
      <c r="C335" s="1" t="s">
        <v>494</v>
      </c>
      <c r="D335" s="1" t="s">
        <v>495</v>
      </c>
      <c r="E335" s="3" t="s">
        <v>1000</v>
      </c>
      <c r="F335" s="2" t="s">
        <v>5688</v>
      </c>
      <c r="G335" s="1"/>
      <c r="H335" s="3" t="s">
        <v>597</v>
      </c>
    </row>
    <row r="336" spans="1:8" x14ac:dyDescent="0.25">
      <c r="A336" s="1" t="s">
        <v>116</v>
      </c>
      <c r="B336" s="1" t="s">
        <v>418</v>
      </c>
      <c r="C336" s="1" t="s">
        <v>494</v>
      </c>
      <c r="D336" s="1" t="s">
        <v>495</v>
      </c>
      <c r="E336" s="3" t="s">
        <v>1003</v>
      </c>
      <c r="F336" s="2" t="s">
        <v>5689</v>
      </c>
      <c r="G336" s="1" t="s">
        <v>406</v>
      </c>
      <c r="H336" s="3" t="s">
        <v>56</v>
      </c>
    </row>
    <row r="337" spans="1:8" x14ac:dyDescent="0.25">
      <c r="A337" s="1" t="s">
        <v>116</v>
      </c>
      <c r="B337" s="1" t="s">
        <v>418</v>
      </c>
      <c r="C337" s="1" t="s">
        <v>494</v>
      </c>
      <c r="D337" s="1" t="s">
        <v>495</v>
      </c>
      <c r="E337" s="3" t="s">
        <v>999</v>
      </c>
      <c r="F337" s="2" t="s">
        <v>5690</v>
      </c>
      <c r="G337" s="1" t="s">
        <v>406</v>
      </c>
      <c r="H337" s="3" t="s">
        <v>407</v>
      </c>
    </row>
    <row r="338" spans="1:8" ht="30" x14ac:dyDescent="0.25">
      <c r="A338" s="1" t="s">
        <v>116</v>
      </c>
      <c r="B338" s="1" t="s">
        <v>418</v>
      </c>
      <c r="C338" s="1" t="s">
        <v>494</v>
      </c>
      <c r="D338" s="1" t="s">
        <v>495</v>
      </c>
      <c r="E338" s="3" t="s">
        <v>1004</v>
      </c>
      <c r="F338" s="2" t="s">
        <v>5691</v>
      </c>
      <c r="G338" s="1"/>
      <c r="H338" s="3" t="s">
        <v>1005</v>
      </c>
    </row>
    <row r="339" spans="1:8" ht="30" x14ac:dyDescent="0.25">
      <c r="A339" s="1" t="s">
        <v>116</v>
      </c>
      <c r="B339" s="1" t="s">
        <v>418</v>
      </c>
      <c r="C339" s="1" t="s">
        <v>494</v>
      </c>
      <c r="D339" s="1" t="s">
        <v>495</v>
      </c>
      <c r="E339" s="3" t="s">
        <v>1001</v>
      </c>
      <c r="F339" s="2" t="s">
        <v>5692</v>
      </c>
      <c r="G339" s="1"/>
      <c r="H339" s="3" t="s">
        <v>1005</v>
      </c>
    </row>
    <row r="340" spans="1:8" x14ac:dyDescent="0.25">
      <c r="A340" s="1" t="s">
        <v>116</v>
      </c>
      <c r="B340" s="1" t="s">
        <v>418</v>
      </c>
      <c r="C340" s="1" t="s">
        <v>494</v>
      </c>
      <c r="D340" s="1" t="s">
        <v>495</v>
      </c>
      <c r="E340" s="3" t="s">
        <v>1001</v>
      </c>
      <c r="F340" s="2" t="s">
        <v>5693</v>
      </c>
      <c r="G340" s="1"/>
      <c r="H340" s="3" t="s">
        <v>1002</v>
      </c>
    </row>
    <row r="341" spans="1:8" ht="30" x14ac:dyDescent="0.25">
      <c r="A341" s="1" t="s">
        <v>116</v>
      </c>
      <c r="B341" s="1" t="s">
        <v>418</v>
      </c>
      <c r="C341" s="1" t="s">
        <v>494</v>
      </c>
      <c r="D341" s="1" t="s">
        <v>495</v>
      </c>
      <c r="E341" s="3" t="s">
        <v>115</v>
      </c>
      <c r="F341" s="2" t="s">
        <v>117</v>
      </c>
      <c r="G341" s="1"/>
      <c r="H341" s="3" t="s">
        <v>7</v>
      </c>
    </row>
    <row r="342" spans="1:8" x14ac:dyDescent="0.25">
      <c r="A342" s="1" t="s">
        <v>116</v>
      </c>
      <c r="B342" s="1" t="s">
        <v>418</v>
      </c>
      <c r="C342" s="1" t="s">
        <v>494</v>
      </c>
      <c r="D342" s="1" t="s">
        <v>495</v>
      </c>
      <c r="E342" s="3" t="s">
        <v>118</v>
      </c>
      <c r="F342" s="2" t="s">
        <v>123</v>
      </c>
      <c r="G342" s="1"/>
      <c r="H342" s="3" t="s">
        <v>7</v>
      </c>
    </row>
    <row r="343" spans="1:8" x14ac:dyDescent="0.25">
      <c r="A343" s="1" t="s">
        <v>2413</v>
      </c>
      <c r="B343" s="1" t="s">
        <v>446</v>
      </c>
      <c r="C343" s="1" t="s">
        <v>2414</v>
      </c>
      <c r="D343" s="1" t="s">
        <v>495</v>
      </c>
      <c r="E343" s="3" t="s">
        <v>2415</v>
      </c>
      <c r="F343" s="2" t="s">
        <v>5694</v>
      </c>
      <c r="G343" s="1"/>
      <c r="H343" s="3" t="s">
        <v>682</v>
      </c>
    </row>
    <row r="344" spans="1:8" x14ac:dyDescent="0.25">
      <c r="A344" s="1" t="s">
        <v>2422</v>
      </c>
      <c r="B344" s="1" t="s">
        <v>603</v>
      </c>
      <c r="C344" s="1" t="s">
        <v>494</v>
      </c>
      <c r="D344" s="1" t="s">
        <v>495</v>
      </c>
      <c r="E344" s="3" t="s">
        <v>2423</v>
      </c>
      <c r="F344" s="2"/>
      <c r="G344" s="1"/>
      <c r="H344" s="3" t="s">
        <v>2425</v>
      </c>
    </row>
    <row r="345" spans="1:8" x14ac:dyDescent="0.25">
      <c r="A345" s="1" t="s">
        <v>2665</v>
      </c>
      <c r="B345" s="1" t="s">
        <v>1815</v>
      </c>
      <c r="C345" s="1" t="s">
        <v>2666</v>
      </c>
      <c r="D345" s="1" t="s">
        <v>2667</v>
      </c>
      <c r="E345" s="3" t="s">
        <v>2687</v>
      </c>
      <c r="F345" s="2" t="s">
        <v>5695</v>
      </c>
      <c r="G345" s="1"/>
      <c r="H345" s="3" t="s">
        <v>2689</v>
      </c>
    </row>
    <row r="346" spans="1:8" ht="30" x14ac:dyDescent="0.25">
      <c r="A346" s="1" t="s">
        <v>2665</v>
      </c>
      <c r="B346" s="1" t="s">
        <v>1815</v>
      </c>
      <c r="C346" s="1" t="s">
        <v>2666</v>
      </c>
      <c r="D346" s="1" t="s">
        <v>2667</v>
      </c>
      <c r="E346" s="3" t="s">
        <v>2671</v>
      </c>
      <c r="F346" s="2" t="s">
        <v>5696</v>
      </c>
      <c r="G346" s="1"/>
      <c r="H346" s="3" t="s">
        <v>2670</v>
      </c>
    </row>
    <row r="347" spans="1:8" ht="30" x14ac:dyDescent="0.25">
      <c r="A347" s="1" t="s">
        <v>2665</v>
      </c>
      <c r="B347" s="1" t="s">
        <v>1815</v>
      </c>
      <c r="C347" s="1" t="s">
        <v>2666</v>
      </c>
      <c r="D347" s="1" t="s">
        <v>2667</v>
      </c>
      <c r="E347" s="3" t="s">
        <v>2668</v>
      </c>
      <c r="F347" s="2" t="s">
        <v>5697</v>
      </c>
      <c r="G347" s="1"/>
      <c r="H347" s="3" t="s">
        <v>2670</v>
      </c>
    </row>
    <row r="348" spans="1:8" x14ac:dyDescent="0.25">
      <c r="A348" s="1" t="s">
        <v>2665</v>
      </c>
      <c r="B348" s="1" t="s">
        <v>1815</v>
      </c>
      <c r="C348" s="1" t="s">
        <v>2666</v>
      </c>
      <c r="D348" s="1" t="s">
        <v>2667</v>
      </c>
      <c r="E348" s="3" t="s">
        <v>2673</v>
      </c>
      <c r="F348" s="2" t="s">
        <v>5698</v>
      </c>
      <c r="G348" s="1" t="s">
        <v>2674</v>
      </c>
      <c r="H348" s="3" t="s">
        <v>2676</v>
      </c>
    </row>
    <row r="349" spans="1:8" x14ac:dyDescent="0.25">
      <c r="A349" s="1" t="s">
        <v>2665</v>
      </c>
      <c r="B349" s="1" t="s">
        <v>1815</v>
      </c>
      <c r="C349" s="1" t="s">
        <v>2666</v>
      </c>
      <c r="D349" s="1" t="s">
        <v>2667</v>
      </c>
      <c r="E349" s="3" t="s">
        <v>2677</v>
      </c>
      <c r="F349" s="2"/>
      <c r="G349" s="1"/>
      <c r="H349" s="3" t="s">
        <v>2676</v>
      </c>
    </row>
    <row r="350" spans="1:8" x14ac:dyDescent="0.25">
      <c r="A350" s="1" t="s">
        <v>2665</v>
      </c>
      <c r="B350" s="1" t="s">
        <v>1815</v>
      </c>
      <c r="C350" s="1" t="s">
        <v>2666</v>
      </c>
      <c r="D350" s="1" t="s">
        <v>2667</v>
      </c>
      <c r="E350" s="3" t="s">
        <v>2685</v>
      </c>
      <c r="F350" s="2" t="s">
        <v>5699</v>
      </c>
      <c r="G350" s="1"/>
      <c r="H350" s="3" t="s">
        <v>584</v>
      </c>
    </row>
    <row r="351" spans="1:8" x14ac:dyDescent="0.25">
      <c r="A351" s="1" t="s">
        <v>2665</v>
      </c>
      <c r="B351" s="1" t="s">
        <v>1815</v>
      </c>
      <c r="C351" s="1" t="s">
        <v>2666</v>
      </c>
      <c r="D351" s="1" t="s">
        <v>2667</v>
      </c>
      <c r="E351" s="3" t="s">
        <v>2683</v>
      </c>
      <c r="F351" s="2" t="s">
        <v>5700</v>
      </c>
      <c r="G351" s="1"/>
      <c r="H351" s="3" t="s">
        <v>584</v>
      </c>
    </row>
    <row r="352" spans="1:8" x14ac:dyDescent="0.25">
      <c r="A352" s="1" t="s">
        <v>2665</v>
      </c>
      <c r="B352" s="1" t="s">
        <v>1815</v>
      </c>
      <c r="C352" s="1" t="s">
        <v>2666</v>
      </c>
      <c r="D352" s="1" t="s">
        <v>2667</v>
      </c>
      <c r="E352" s="3" t="s">
        <v>2679</v>
      </c>
      <c r="F352" s="2" t="s">
        <v>5701</v>
      </c>
      <c r="G352" s="1"/>
      <c r="H352" s="3" t="s">
        <v>584</v>
      </c>
    </row>
    <row r="353" spans="1:8" x14ac:dyDescent="0.25">
      <c r="A353" s="1" t="s">
        <v>2665</v>
      </c>
      <c r="B353" s="1" t="s">
        <v>1815</v>
      </c>
      <c r="C353" s="1" t="s">
        <v>2666</v>
      </c>
      <c r="D353" s="1" t="s">
        <v>2667</v>
      </c>
      <c r="E353" s="3" t="s">
        <v>2681</v>
      </c>
      <c r="F353" s="2" t="s">
        <v>5702</v>
      </c>
      <c r="G353" s="1"/>
      <c r="H353" s="3" t="s">
        <v>584</v>
      </c>
    </row>
    <row r="354" spans="1:8" x14ac:dyDescent="0.25">
      <c r="A354" s="1" t="s">
        <v>2032</v>
      </c>
      <c r="B354" s="1" t="s">
        <v>418</v>
      </c>
      <c r="C354" s="1" t="s">
        <v>882</v>
      </c>
      <c r="D354" s="1" t="s">
        <v>1546</v>
      </c>
      <c r="E354" s="3" t="s">
        <v>2037</v>
      </c>
      <c r="F354" s="2" t="s">
        <v>5703</v>
      </c>
      <c r="G354" s="1"/>
      <c r="H354" s="3" t="s">
        <v>682</v>
      </c>
    </row>
    <row r="355" spans="1:8" x14ac:dyDescent="0.25">
      <c r="A355" s="1" t="s">
        <v>2032</v>
      </c>
      <c r="B355" s="1" t="s">
        <v>418</v>
      </c>
      <c r="C355" s="1" t="s">
        <v>882</v>
      </c>
      <c r="D355" s="1" t="s">
        <v>1546</v>
      </c>
      <c r="E355" s="3" t="s">
        <v>2035</v>
      </c>
      <c r="F355" s="2" t="s">
        <v>5704</v>
      </c>
      <c r="G355" s="1"/>
      <c r="H355" s="3" t="s">
        <v>584</v>
      </c>
    </row>
    <row r="356" spans="1:8" x14ac:dyDescent="0.25">
      <c r="A356" s="1" t="s">
        <v>2032</v>
      </c>
      <c r="B356" s="1" t="s">
        <v>418</v>
      </c>
      <c r="C356" s="1" t="s">
        <v>882</v>
      </c>
      <c r="D356" s="1" t="s">
        <v>1546</v>
      </c>
      <c r="E356" s="3" t="s">
        <v>2033</v>
      </c>
      <c r="F356" s="2" t="s">
        <v>5705</v>
      </c>
      <c r="G356" s="1" t="s">
        <v>476</v>
      </c>
      <c r="H356" s="3" t="s">
        <v>597</v>
      </c>
    </row>
    <row r="357" spans="1:8" x14ac:dyDescent="0.25">
      <c r="A357" s="1" t="s">
        <v>2260</v>
      </c>
      <c r="B357" s="1" t="s">
        <v>457</v>
      </c>
      <c r="C357" s="1" t="s">
        <v>882</v>
      </c>
      <c r="D357" s="1" t="s">
        <v>1546</v>
      </c>
      <c r="E357" s="3" t="s">
        <v>2263</v>
      </c>
      <c r="F357" s="2" t="s">
        <v>5706</v>
      </c>
      <c r="G357" s="1"/>
      <c r="H357" s="3" t="s">
        <v>682</v>
      </c>
    </row>
    <row r="358" spans="1:8" x14ac:dyDescent="0.25">
      <c r="A358" s="1" t="s">
        <v>2260</v>
      </c>
      <c r="B358" s="1" t="s">
        <v>457</v>
      </c>
      <c r="C358" s="1" t="s">
        <v>882</v>
      </c>
      <c r="D358" s="1" t="s">
        <v>1546</v>
      </c>
      <c r="E358" s="3" t="s">
        <v>2261</v>
      </c>
      <c r="F358" s="2" t="s">
        <v>5707</v>
      </c>
      <c r="G358" s="1"/>
      <c r="H358" s="3" t="s">
        <v>79</v>
      </c>
    </row>
    <row r="359" spans="1:8" x14ac:dyDescent="0.25">
      <c r="A359" s="1" t="s">
        <v>77</v>
      </c>
      <c r="B359" s="1" t="s">
        <v>424</v>
      </c>
      <c r="C359" s="1" t="s">
        <v>477</v>
      </c>
      <c r="D359" s="1" t="s">
        <v>478</v>
      </c>
      <c r="E359" s="3" t="s">
        <v>3211</v>
      </c>
      <c r="F359" s="2" t="s">
        <v>5708</v>
      </c>
      <c r="G359" s="1"/>
      <c r="H359" s="3" t="s">
        <v>2310</v>
      </c>
    </row>
    <row r="360" spans="1:8" x14ac:dyDescent="0.25">
      <c r="A360" s="1" t="s">
        <v>77</v>
      </c>
      <c r="B360" s="1" t="s">
        <v>424</v>
      </c>
      <c r="C360" s="1" t="s">
        <v>477</v>
      </c>
      <c r="D360" s="1" t="s">
        <v>478</v>
      </c>
      <c r="E360" s="3" t="s">
        <v>3207</v>
      </c>
      <c r="F360" s="2" t="s">
        <v>5709</v>
      </c>
      <c r="G360" s="1"/>
      <c r="H360" s="3" t="s">
        <v>2310</v>
      </c>
    </row>
    <row r="361" spans="1:8" x14ac:dyDescent="0.25">
      <c r="A361" s="1" t="s">
        <v>77</v>
      </c>
      <c r="B361" s="1" t="s">
        <v>424</v>
      </c>
      <c r="C361" s="1" t="s">
        <v>477</v>
      </c>
      <c r="D361" s="1" t="s">
        <v>478</v>
      </c>
      <c r="E361" s="3" t="s">
        <v>3209</v>
      </c>
      <c r="F361" s="2" t="s">
        <v>5710</v>
      </c>
      <c r="G361" s="1"/>
      <c r="H361" s="3" t="s">
        <v>2310</v>
      </c>
    </row>
    <row r="362" spans="1:8" x14ac:dyDescent="0.25">
      <c r="A362" s="1" t="s">
        <v>77</v>
      </c>
      <c r="B362" s="1" t="s">
        <v>424</v>
      </c>
      <c r="C362" s="1" t="s">
        <v>477</v>
      </c>
      <c r="D362" s="1" t="s">
        <v>478</v>
      </c>
      <c r="E362" s="3" t="s">
        <v>3230</v>
      </c>
      <c r="F362" s="2" t="s">
        <v>5711</v>
      </c>
      <c r="G362" s="1"/>
      <c r="H362" s="3" t="s">
        <v>682</v>
      </c>
    </row>
    <row r="363" spans="1:8" x14ac:dyDescent="0.25">
      <c r="A363" s="1" t="s">
        <v>77</v>
      </c>
      <c r="B363" s="1" t="s">
        <v>424</v>
      </c>
      <c r="C363" s="1" t="s">
        <v>477</v>
      </c>
      <c r="D363" s="1" t="s">
        <v>478</v>
      </c>
      <c r="E363" s="3" t="s">
        <v>3228</v>
      </c>
      <c r="F363" s="2" t="s">
        <v>5712</v>
      </c>
      <c r="G363" s="1"/>
      <c r="H363" s="3" t="s">
        <v>2897</v>
      </c>
    </row>
    <row r="364" spans="1:8" ht="30" x14ac:dyDescent="0.25">
      <c r="A364" s="1" t="s">
        <v>77</v>
      </c>
      <c r="B364" s="1" t="s">
        <v>424</v>
      </c>
      <c r="C364" s="1" t="s">
        <v>477</v>
      </c>
      <c r="D364" s="1" t="s">
        <v>478</v>
      </c>
      <c r="E364" s="3" t="s">
        <v>308</v>
      </c>
      <c r="F364" s="2" t="s">
        <v>310</v>
      </c>
      <c r="G364" s="1" t="s">
        <v>406</v>
      </c>
      <c r="H364" s="3" t="s">
        <v>309</v>
      </c>
    </row>
    <row r="365" spans="1:8" ht="30" x14ac:dyDescent="0.25">
      <c r="A365" s="1" t="s">
        <v>77</v>
      </c>
      <c r="B365" s="1" t="s">
        <v>424</v>
      </c>
      <c r="C365" s="1" t="s">
        <v>477</v>
      </c>
      <c r="D365" s="1" t="s">
        <v>478</v>
      </c>
      <c r="E365" s="3" t="s">
        <v>69</v>
      </c>
      <c r="F365" s="2" t="s">
        <v>78</v>
      </c>
      <c r="G365" s="1" t="s">
        <v>406</v>
      </c>
      <c r="H365" s="3" t="s">
        <v>3215</v>
      </c>
    </row>
    <row r="366" spans="1:8" x14ac:dyDescent="0.25">
      <c r="A366" s="1" t="s">
        <v>77</v>
      </c>
      <c r="B366" s="1" t="s">
        <v>424</v>
      </c>
      <c r="C366" s="1" t="s">
        <v>477</v>
      </c>
      <c r="D366" s="1" t="s">
        <v>478</v>
      </c>
      <c r="E366" s="3" t="s">
        <v>3220</v>
      </c>
      <c r="F366" s="2" t="s">
        <v>5713</v>
      </c>
      <c r="G366" s="1"/>
      <c r="H366" s="3" t="s">
        <v>63</v>
      </c>
    </row>
    <row r="367" spans="1:8" x14ac:dyDescent="0.25">
      <c r="A367" s="1" t="s">
        <v>77</v>
      </c>
      <c r="B367" s="1" t="s">
        <v>424</v>
      </c>
      <c r="C367" s="1" t="s">
        <v>477</v>
      </c>
      <c r="D367" s="1" t="s">
        <v>478</v>
      </c>
      <c r="E367" s="3" t="s">
        <v>3216</v>
      </c>
      <c r="F367" s="2" t="s">
        <v>5714</v>
      </c>
      <c r="G367" s="1"/>
      <c r="H367" s="3" t="s">
        <v>63</v>
      </c>
    </row>
    <row r="368" spans="1:8" x14ac:dyDescent="0.25">
      <c r="A368" s="1" t="s">
        <v>77</v>
      </c>
      <c r="B368" s="1" t="s">
        <v>424</v>
      </c>
      <c r="C368" s="1" t="s">
        <v>477</v>
      </c>
      <c r="D368" s="1" t="s">
        <v>478</v>
      </c>
      <c r="E368" s="3" t="s">
        <v>3222</v>
      </c>
      <c r="F368" s="2" t="s">
        <v>5715</v>
      </c>
      <c r="G368" s="1"/>
      <c r="H368" s="3" t="s">
        <v>63</v>
      </c>
    </row>
    <row r="369" spans="1:8" x14ac:dyDescent="0.25">
      <c r="A369" s="1" t="s">
        <v>77</v>
      </c>
      <c r="B369" s="1" t="s">
        <v>424</v>
      </c>
      <c r="C369" s="1" t="s">
        <v>477</v>
      </c>
      <c r="D369" s="1" t="s">
        <v>478</v>
      </c>
      <c r="E369" s="3" t="s">
        <v>3218</v>
      </c>
      <c r="F369" s="2" t="s">
        <v>5716</v>
      </c>
      <c r="G369" s="1" t="s">
        <v>406</v>
      </c>
      <c r="H369" s="3" t="s">
        <v>63</v>
      </c>
    </row>
    <row r="370" spans="1:8" x14ac:dyDescent="0.25">
      <c r="A370" s="1" t="s">
        <v>77</v>
      </c>
      <c r="B370" s="1" t="s">
        <v>424</v>
      </c>
      <c r="C370" s="1" t="s">
        <v>477</v>
      </c>
      <c r="D370" s="1" t="s">
        <v>478</v>
      </c>
      <c r="E370" s="3" t="s">
        <v>175</v>
      </c>
      <c r="F370" s="2" t="s">
        <v>179</v>
      </c>
      <c r="G370" s="1" t="s">
        <v>413</v>
      </c>
      <c r="H370" s="3" t="s">
        <v>3225</v>
      </c>
    </row>
    <row r="371" spans="1:8" x14ac:dyDescent="0.25">
      <c r="A371" s="1" t="s">
        <v>77</v>
      </c>
      <c r="B371" s="1" t="s">
        <v>424</v>
      </c>
      <c r="C371" s="1" t="s">
        <v>477</v>
      </c>
      <c r="D371" s="1" t="s">
        <v>478</v>
      </c>
      <c r="E371" s="3" t="s">
        <v>3226</v>
      </c>
      <c r="F371" s="2" t="s">
        <v>5717</v>
      </c>
      <c r="G371" s="1" t="s">
        <v>413</v>
      </c>
      <c r="H371" s="3" t="s">
        <v>3225</v>
      </c>
    </row>
    <row r="372" spans="1:8" x14ac:dyDescent="0.25">
      <c r="A372" s="1" t="s">
        <v>3386</v>
      </c>
      <c r="B372" s="1" t="s">
        <v>557</v>
      </c>
      <c r="C372" s="1" t="s">
        <v>882</v>
      </c>
      <c r="D372" s="1" t="s">
        <v>478</v>
      </c>
      <c r="E372" s="3" t="s">
        <v>3387</v>
      </c>
      <c r="F372" s="2" t="s">
        <v>5718</v>
      </c>
      <c r="G372" s="1"/>
      <c r="H372" s="3" t="s">
        <v>63</v>
      </c>
    </row>
    <row r="373" spans="1:8" x14ac:dyDescent="0.25">
      <c r="A373" s="1" t="s">
        <v>3386</v>
      </c>
      <c r="B373" s="1" t="s">
        <v>557</v>
      </c>
      <c r="C373" s="1" t="s">
        <v>882</v>
      </c>
      <c r="D373" s="1" t="s">
        <v>478</v>
      </c>
      <c r="E373" s="3" t="s">
        <v>3389</v>
      </c>
      <c r="F373" s="2" t="s">
        <v>5719</v>
      </c>
      <c r="G373" s="1"/>
      <c r="H373" s="3" t="s">
        <v>675</v>
      </c>
    </row>
    <row r="374" spans="1:8" x14ac:dyDescent="0.25">
      <c r="A374" s="1" t="s">
        <v>3696</v>
      </c>
      <c r="B374" s="1" t="s">
        <v>480</v>
      </c>
      <c r="C374" s="1" t="s">
        <v>3697</v>
      </c>
      <c r="D374" s="1" t="s">
        <v>478</v>
      </c>
      <c r="E374" s="3" t="s">
        <v>3704</v>
      </c>
      <c r="F374" s="2" t="s">
        <v>5720</v>
      </c>
      <c r="G374" s="1" t="s">
        <v>406</v>
      </c>
      <c r="H374" s="3" t="s">
        <v>125</v>
      </c>
    </row>
    <row r="375" spans="1:8" x14ac:dyDescent="0.25">
      <c r="A375" s="1" t="s">
        <v>3696</v>
      </c>
      <c r="B375" s="1" t="s">
        <v>480</v>
      </c>
      <c r="C375" s="1" t="s">
        <v>3697</v>
      </c>
      <c r="D375" s="1" t="s">
        <v>478</v>
      </c>
      <c r="E375" s="3" t="s">
        <v>3706</v>
      </c>
      <c r="F375" s="2" t="s">
        <v>5721</v>
      </c>
      <c r="G375" s="1" t="s">
        <v>406</v>
      </c>
      <c r="H375" s="3" t="s">
        <v>125</v>
      </c>
    </row>
    <row r="376" spans="1:8" ht="30" x14ac:dyDescent="0.25">
      <c r="A376" s="1" t="s">
        <v>3696</v>
      </c>
      <c r="B376" s="1" t="s">
        <v>480</v>
      </c>
      <c r="C376" s="1" t="s">
        <v>3697</v>
      </c>
      <c r="D376" s="1" t="s">
        <v>478</v>
      </c>
      <c r="E376" s="3" t="s">
        <v>3698</v>
      </c>
      <c r="F376" s="2" t="s">
        <v>5722</v>
      </c>
      <c r="G376" s="1"/>
      <c r="H376" s="3" t="s">
        <v>3700</v>
      </c>
    </row>
    <row r="377" spans="1:8" x14ac:dyDescent="0.25">
      <c r="A377" s="1" t="s">
        <v>3696</v>
      </c>
      <c r="B377" s="1" t="s">
        <v>480</v>
      </c>
      <c r="C377" s="1" t="s">
        <v>3697</v>
      </c>
      <c r="D377" s="1" t="s">
        <v>478</v>
      </c>
      <c r="E377" s="3" t="s">
        <v>3701</v>
      </c>
      <c r="F377" s="2" t="s">
        <v>5723</v>
      </c>
      <c r="G377" s="1" t="s">
        <v>442</v>
      </c>
      <c r="H377" s="3" t="s">
        <v>3703</v>
      </c>
    </row>
    <row r="378" spans="1:8" x14ac:dyDescent="0.25">
      <c r="A378" s="1" t="s">
        <v>3351</v>
      </c>
      <c r="B378" s="1" t="s">
        <v>418</v>
      </c>
      <c r="C378" s="1" t="s">
        <v>501</v>
      </c>
      <c r="D378" s="1" t="s">
        <v>2390</v>
      </c>
      <c r="E378" s="3" t="s">
        <v>3354</v>
      </c>
      <c r="F378" s="2" t="s">
        <v>5724</v>
      </c>
      <c r="G378" s="1"/>
      <c r="H378" s="3" t="s">
        <v>682</v>
      </c>
    </row>
    <row r="379" spans="1:8" x14ac:dyDescent="0.25">
      <c r="A379" s="1" t="s">
        <v>3351</v>
      </c>
      <c r="B379" s="1" t="s">
        <v>418</v>
      </c>
      <c r="C379" s="1" t="s">
        <v>501</v>
      </c>
      <c r="D379" s="1" t="s">
        <v>2390</v>
      </c>
      <c r="E379" s="3" t="s">
        <v>3353</v>
      </c>
      <c r="F379" s="2" t="s">
        <v>5725</v>
      </c>
      <c r="G379" s="1"/>
      <c r="H379" s="3" t="s">
        <v>682</v>
      </c>
    </row>
    <row r="380" spans="1:8" x14ac:dyDescent="0.25">
      <c r="A380" s="1" t="s">
        <v>3351</v>
      </c>
      <c r="B380" s="1" t="s">
        <v>418</v>
      </c>
      <c r="C380" s="1" t="s">
        <v>501</v>
      </c>
      <c r="D380" s="1" t="s">
        <v>2390</v>
      </c>
      <c r="E380" s="3" t="s">
        <v>3352</v>
      </c>
      <c r="F380" s="2" t="s">
        <v>5726</v>
      </c>
      <c r="G380" s="1"/>
      <c r="H380" s="3" t="s">
        <v>597</v>
      </c>
    </row>
    <row r="381" spans="1:8" x14ac:dyDescent="0.25">
      <c r="A381" s="1" t="s">
        <v>3203</v>
      </c>
      <c r="B381" s="1" t="s">
        <v>409</v>
      </c>
      <c r="C381" s="1" t="s">
        <v>605</v>
      </c>
      <c r="D381" s="1" t="s">
        <v>3204</v>
      </c>
      <c r="E381" s="3" t="s">
        <v>3205</v>
      </c>
      <c r="F381" s="2" t="s">
        <v>5727</v>
      </c>
      <c r="G381" s="1"/>
      <c r="H381" s="3" t="s">
        <v>2326</v>
      </c>
    </row>
    <row r="382" spans="1:8" x14ac:dyDescent="0.25">
      <c r="A382" s="1" t="s">
        <v>4137</v>
      </c>
      <c r="B382" s="1" t="s">
        <v>4138</v>
      </c>
      <c r="C382" s="1" t="s">
        <v>605</v>
      </c>
      <c r="D382" s="1" t="s">
        <v>3204</v>
      </c>
      <c r="E382" s="3" t="s">
        <v>4139</v>
      </c>
      <c r="F382" s="2" t="s">
        <v>5728</v>
      </c>
      <c r="G382" s="1"/>
      <c r="H382" s="3" t="s">
        <v>4141</v>
      </c>
    </row>
    <row r="383" spans="1:8" x14ac:dyDescent="0.25">
      <c r="A383" s="1" t="s">
        <v>4137</v>
      </c>
      <c r="B383" s="1" t="s">
        <v>4138</v>
      </c>
      <c r="C383" s="1" t="s">
        <v>605</v>
      </c>
      <c r="D383" s="1" t="s">
        <v>3204</v>
      </c>
      <c r="E383" s="3" t="s">
        <v>4142</v>
      </c>
      <c r="F383" s="2" t="s">
        <v>5729</v>
      </c>
      <c r="G383" s="1"/>
      <c r="H383" s="3" t="s">
        <v>561</v>
      </c>
    </row>
    <row r="384" spans="1:8" x14ac:dyDescent="0.25">
      <c r="A384" s="1" t="s">
        <v>4137</v>
      </c>
      <c r="B384" s="1" t="s">
        <v>4138</v>
      </c>
      <c r="C384" s="1" t="s">
        <v>605</v>
      </c>
      <c r="D384" s="1" t="s">
        <v>3204</v>
      </c>
      <c r="E384" s="3" t="s">
        <v>4144</v>
      </c>
      <c r="F384" s="2" t="s">
        <v>5730</v>
      </c>
      <c r="G384" s="1"/>
      <c r="H384" s="3" t="s">
        <v>561</v>
      </c>
    </row>
    <row r="385" spans="1:8" x14ac:dyDescent="0.25">
      <c r="A385" s="1" t="s">
        <v>4137</v>
      </c>
      <c r="B385" s="1" t="s">
        <v>4138</v>
      </c>
      <c r="C385" s="1" t="s">
        <v>605</v>
      </c>
      <c r="D385" s="1" t="s">
        <v>3204</v>
      </c>
      <c r="E385" s="3" t="s">
        <v>4146</v>
      </c>
      <c r="F385" s="2" t="s">
        <v>5731</v>
      </c>
      <c r="G385" s="1" t="s">
        <v>406</v>
      </c>
      <c r="H385" s="3" t="s">
        <v>4148</v>
      </c>
    </row>
    <row r="386" spans="1:8" x14ac:dyDescent="0.25">
      <c r="A386" s="1" t="s">
        <v>187</v>
      </c>
      <c r="B386" s="1" t="s">
        <v>418</v>
      </c>
      <c r="C386" s="1" t="s">
        <v>534</v>
      </c>
      <c r="D386" s="1" t="s">
        <v>482</v>
      </c>
      <c r="E386" s="3" t="s">
        <v>1484</v>
      </c>
      <c r="F386" s="2" t="s">
        <v>5732</v>
      </c>
      <c r="G386" s="1"/>
      <c r="H386" s="3" t="s">
        <v>682</v>
      </c>
    </row>
    <row r="387" spans="1:8" x14ac:dyDescent="0.25">
      <c r="A387" s="1" t="s">
        <v>187</v>
      </c>
      <c r="B387" s="1" t="s">
        <v>418</v>
      </c>
      <c r="C387" s="1" t="s">
        <v>534</v>
      </c>
      <c r="D387" s="1" t="s">
        <v>482</v>
      </c>
      <c r="E387" s="3" t="s">
        <v>1478</v>
      </c>
      <c r="F387" s="2" t="s">
        <v>5733</v>
      </c>
      <c r="G387" s="1"/>
      <c r="H387" s="3" t="s">
        <v>561</v>
      </c>
    </row>
    <row r="388" spans="1:8" ht="30" x14ac:dyDescent="0.25">
      <c r="A388" s="1" t="s">
        <v>187</v>
      </c>
      <c r="B388" s="1" t="s">
        <v>418</v>
      </c>
      <c r="C388" s="1" t="s">
        <v>534</v>
      </c>
      <c r="D388" s="1" t="s">
        <v>482</v>
      </c>
      <c r="E388" s="3" t="s">
        <v>210</v>
      </c>
      <c r="F388" s="2" t="s">
        <v>213</v>
      </c>
      <c r="G388" s="1"/>
      <c r="H388" s="3" t="s">
        <v>993</v>
      </c>
    </row>
    <row r="389" spans="1:8" x14ac:dyDescent="0.25">
      <c r="A389" s="1" t="s">
        <v>187</v>
      </c>
      <c r="B389" s="1" t="s">
        <v>418</v>
      </c>
      <c r="C389" s="1" t="s">
        <v>534</v>
      </c>
      <c r="D389" s="1" t="s">
        <v>482</v>
      </c>
      <c r="E389" s="3" t="s">
        <v>1479</v>
      </c>
      <c r="F389" s="2" t="s">
        <v>5734</v>
      </c>
      <c r="G389" s="1"/>
      <c r="H389" s="3" t="s">
        <v>597</v>
      </c>
    </row>
    <row r="390" spans="1:8" x14ac:dyDescent="0.25">
      <c r="A390" s="1" t="s">
        <v>187</v>
      </c>
      <c r="B390" s="1" t="s">
        <v>418</v>
      </c>
      <c r="C390" s="1" t="s">
        <v>534</v>
      </c>
      <c r="D390" s="1" t="s">
        <v>482</v>
      </c>
      <c r="E390" s="3" t="s">
        <v>1481</v>
      </c>
      <c r="F390" s="2" t="s">
        <v>5735</v>
      </c>
      <c r="G390" s="1" t="s">
        <v>442</v>
      </c>
      <c r="H390" s="3" t="s">
        <v>27</v>
      </c>
    </row>
    <row r="391" spans="1:8" ht="30" x14ac:dyDescent="0.25">
      <c r="A391" s="1" t="s">
        <v>187</v>
      </c>
      <c r="B391" s="1" t="s">
        <v>418</v>
      </c>
      <c r="C391" s="1" t="s">
        <v>534</v>
      </c>
      <c r="D391" s="1" t="s">
        <v>482</v>
      </c>
      <c r="E391" s="3" t="s">
        <v>1475</v>
      </c>
      <c r="F391" s="2" t="s">
        <v>5736</v>
      </c>
      <c r="G391" s="1" t="s">
        <v>413</v>
      </c>
      <c r="H391" s="3" t="s">
        <v>1</v>
      </c>
    </row>
    <row r="392" spans="1:8" x14ac:dyDescent="0.25">
      <c r="A392" s="1" t="s">
        <v>187</v>
      </c>
      <c r="B392" s="1" t="s">
        <v>418</v>
      </c>
      <c r="C392" s="1" t="s">
        <v>534</v>
      </c>
      <c r="D392" s="1" t="s">
        <v>482</v>
      </c>
      <c r="E392" s="3" t="s">
        <v>184</v>
      </c>
      <c r="F392" s="2" t="s">
        <v>188</v>
      </c>
      <c r="G392" s="1" t="s">
        <v>442</v>
      </c>
      <c r="H392" s="3" t="s">
        <v>1</v>
      </c>
    </row>
    <row r="393" spans="1:8" x14ac:dyDescent="0.25">
      <c r="A393" s="1" t="s">
        <v>90</v>
      </c>
      <c r="B393" s="1" t="s">
        <v>418</v>
      </c>
      <c r="C393" s="1" t="s">
        <v>454</v>
      </c>
      <c r="D393" s="1" t="s">
        <v>482</v>
      </c>
      <c r="E393" s="3" t="s">
        <v>2228</v>
      </c>
      <c r="F393" s="2" t="s">
        <v>5737</v>
      </c>
      <c r="G393" s="1"/>
      <c r="H393" s="3" t="s">
        <v>63</v>
      </c>
    </row>
    <row r="394" spans="1:8" ht="30" x14ac:dyDescent="0.25">
      <c r="A394" s="1" t="s">
        <v>90</v>
      </c>
      <c r="B394" s="1" t="s">
        <v>418</v>
      </c>
      <c r="C394" s="1" t="s">
        <v>454</v>
      </c>
      <c r="D394" s="1" t="s">
        <v>482</v>
      </c>
      <c r="E394" s="3" t="s">
        <v>165</v>
      </c>
      <c r="F394" s="2" t="s">
        <v>169</v>
      </c>
      <c r="G394" s="1"/>
      <c r="H394" s="3" t="s">
        <v>168</v>
      </c>
    </row>
    <row r="395" spans="1:8" ht="30" x14ac:dyDescent="0.25">
      <c r="A395" s="1" t="s">
        <v>90</v>
      </c>
      <c r="B395" s="1" t="s">
        <v>418</v>
      </c>
      <c r="C395" s="1" t="s">
        <v>454</v>
      </c>
      <c r="D395" s="1" t="s">
        <v>482</v>
      </c>
      <c r="E395" s="3" t="s">
        <v>2230</v>
      </c>
      <c r="F395" s="2" t="s">
        <v>5738</v>
      </c>
      <c r="G395" s="1"/>
      <c r="H395" s="3" t="s">
        <v>1169</v>
      </c>
    </row>
    <row r="396" spans="1:8" ht="30" x14ac:dyDescent="0.25">
      <c r="A396" s="1" t="s">
        <v>90</v>
      </c>
      <c r="B396" s="1" t="s">
        <v>418</v>
      </c>
      <c r="C396" s="1" t="s">
        <v>454</v>
      </c>
      <c r="D396" s="1" t="s">
        <v>482</v>
      </c>
      <c r="E396" s="3" t="s">
        <v>2232</v>
      </c>
      <c r="F396" s="2" t="s">
        <v>5739</v>
      </c>
      <c r="G396" s="1"/>
      <c r="H396" s="3" t="s">
        <v>1169</v>
      </c>
    </row>
    <row r="397" spans="1:8" x14ac:dyDescent="0.25">
      <c r="A397" s="1" t="s">
        <v>90</v>
      </c>
      <c r="B397" s="1" t="s">
        <v>418</v>
      </c>
      <c r="C397" s="1" t="s">
        <v>454</v>
      </c>
      <c r="D397" s="1" t="s">
        <v>482</v>
      </c>
      <c r="E397" s="3" t="s">
        <v>103</v>
      </c>
      <c r="F397" s="2" t="s">
        <v>110</v>
      </c>
      <c r="G397" s="1" t="s">
        <v>442</v>
      </c>
      <c r="H397" s="3" t="s">
        <v>1057</v>
      </c>
    </row>
    <row r="398" spans="1:8" x14ac:dyDescent="0.25">
      <c r="A398" s="1" t="s">
        <v>90</v>
      </c>
      <c r="B398" s="1" t="s">
        <v>418</v>
      </c>
      <c r="C398" s="1" t="s">
        <v>454</v>
      </c>
      <c r="D398" s="1" t="s">
        <v>482</v>
      </c>
      <c r="E398" s="3" t="s">
        <v>89</v>
      </c>
      <c r="F398" s="2" t="s">
        <v>91</v>
      </c>
      <c r="G398" s="1" t="s">
        <v>406</v>
      </c>
      <c r="H398" s="3" t="s">
        <v>56</v>
      </c>
    </row>
    <row r="399" spans="1:8" ht="30" x14ac:dyDescent="0.25">
      <c r="A399" s="1" t="s">
        <v>90</v>
      </c>
      <c r="B399" s="1" t="s">
        <v>418</v>
      </c>
      <c r="C399" s="1" t="s">
        <v>454</v>
      </c>
      <c r="D399" s="1" t="s">
        <v>482</v>
      </c>
      <c r="E399" s="3" t="s">
        <v>227</v>
      </c>
      <c r="F399" s="2" t="s">
        <v>228</v>
      </c>
      <c r="G399" s="1" t="s">
        <v>406</v>
      </c>
      <c r="H399" s="3" t="s">
        <v>56</v>
      </c>
    </row>
    <row r="400" spans="1:8" x14ac:dyDescent="0.25">
      <c r="A400" s="1" t="s">
        <v>90</v>
      </c>
      <c r="B400" s="1" t="s">
        <v>418</v>
      </c>
      <c r="C400" s="1" t="s">
        <v>454</v>
      </c>
      <c r="D400" s="1" t="s">
        <v>482</v>
      </c>
      <c r="E400" s="3" t="s">
        <v>2224</v>
      </c>
      <c r="F400" s="2" t="s">
        <v>5740</v>
      </c>
      <c r="G400" s="1"/>
      <c r="H400" s="3" t="s">
        <v>1</v>
      </c>
    </row>
    <row r="401" spans="1:8" x14ac:dyDescent="0.25">
      <c r="A401" s="1" t="s">
        <v>4226</v>
      </c>
      <c r="B401" s="1" t="s">
        <v>457</v>
      </c>
      <c r="C401" s="1" t="s">
        <v>4227</v>
      </c>
      <c r="D401" s="1" t="s">
        <v>482</v>
      </c>
      <c r="E401" s="3"/>
      <c r="F401" s="2"/>
      <c r="G401" s="1"/>
      <c r="H401" s="3"/>
    </row>
    <row r="402" spans="1:8" ht="30" x14ac:dyDescent="0.25">
      <c r="A402" s="1" t="s">
        <v>202</v>
      </c>
      <c r="B402" s="1" t="s">
        <v>399</v>
      </c>
      <c r="C402" s="1" t="s">
        <v>469</v>
      </c>
      <c r="D402" s="1" t="s">
        <v>541</v>
      </c>
      <c r="E402" s="3" t="s">
        <v>201</v>
      </c>
      <c r="F402" s="2" t="s">
        <v>203</v>
      </c>
      <c r="G402" s="1" t="s">
        <v>442</v>
      </c>
      <c r="H402" s="3" t="s">
        <v>912</v>
      </c>
    </row>
    <row r="403" spans="1:8" x14ac:dyDescent="0.25">
      <c r="A403" s="1" t="s">
        <v>202</v>
      </c>
      <c r="B403" s="1" t="s">
        <v>399</v>
      </c>
      <c r="C403" s="1" t="s">
        <v>469</v>
      </c>
      <c r="D403" s="1" t="s">
        <v>541</v>
      </c>
      <c r="E403" s="3" t="s">
        <v>905</v>
      </c>
      <c r="F403" s="2" t="s">
        <v>5741</v>
      </c>
      <c r="G403" s="1"/>
      <c r="H403" s="3" t="s">
        <v>907</v>
      </c>
    </row>
    <row r="404" spans="1:8" x14ac:dyDescent="0.25">
      <c r="A404" s="1" t="s">
        <v>202</v>
      </c>
      <c r="B404" s="1" t="s">
        <v>399</v>
      </c>
      <c r="C404" s="1" t="s">
        <v>469</v>
      </c>
      <c r="D404" s="1" t="s">
        <v>541</v>
      </c>
      <c r="E404" s="3" t="s">
        <v>916</v>
      </c>
      <c r="F404" s="2" t="s">
        <v>5742</v>
      </c>
      <c r="G404" s="1"/>
      <c r="H404" s="3" t="s">
        <v>915</v>
      </c>
    </row>
    <row r="405" spans="1:8" x14ac:dyDescent="0.25">
      <c r="A405" s="1" t="s">
        <v>202</v>
      </c>
      <c r="B405" s="1" t="s">
        <v>399</v>
      </c>
      <c r="C405" s="1" t="s">
        <v>469</v>
      </c>
      <c r="D405" s="1" t="s">
        <v>541</v>
      </c>
      <c r="E405" s="3" t="s">
        <v>913</v>
      </c>
      <c r="F405" s="2" t="s">
        <v>5743</v>
      </c>
      <c r="G405" s="1"/>
      <c r="H405" s="3" t="s">
        <v>915</v>
      </c>
    </row>
    <row r="406" spans="1:8" x14ac:dyDescent="0.25">
      <c r="A406" s="1" t="s">
        <v>202</v>
      </c>
      <c r="B406" s="1" t="s">
        <v>399</v>
      </c>
      <c r="C406" s="1" t="s">
        <v>469</v>
      </c>
      <c r="D406" s="1" t="s">
        <v>541</v>
      </c>
      <c r="E406" s="3" t="s">
        <v>908</v>
      </c>
      <c r="F406" s="2" t="s">
        <v>5744</v>
      </c>
      <c r="G406" s="1"/>
      <c r="H406" s="3" t="s">
        <v>910</v>
      </c>
    </row>
    <row r="407" spans="1:8" x14ac:dyDescent="0.25">
      <c r="A407" s="1" t="s">
        <v>202</v>
      </c>
      <c r="B407" s="1" t="s">
        <v>399</v>
      </c>
      <c r="C407" s="1" t="s">
        <v>469</v>
      </c>
      <c r="D407" s="1" t="s">
        <v>541</v>
      </c>
      <c r="E407" s="3" t="s">
        <v>918</v>
      </c>
      <c r="F407" s="2" t="s">
        <v>5745</v>
      </c>
      <c r="G407" s="1"/>
      <c r="H407" s="3" t="s">
        <v>7</v>
      </c>
    </row>
    <row r="408" spans="1:8" x14ac:dyDescent="0.25">
      <c r="A408" s="1" t="s">
        <v>2634</v>
      </c>
      <c r="B408" s="1" t="s">
        <v>418</v>
      </c>
      <c r="C408" s="1" t="s">
        <v>488</v>
      </c>
      <c r="D408" s="1" t="s">
        <v>541</v>
      </c>
      <c r="E408" s="3" t="s">
        <v>2635</v>
      </c>
      <c r="F408" s="2" t="s">
        <v>5746</v>
      </c>
      <c r="G408" s="1"/>
      <c r="H408" s="3" t="s">
        <v>63</v>
      </c>
    </row>
    <row r="409" spans="1:8" x14ac:dyDescent="0.25">
      <c r="A409" s="1" t="s">
        <v>1339</v>
      </c>
      <c r="B409" s="1" t="s">
        <v>418</v>
      </c>
      <c r="C409" s="1" t="s">
        <v>1340</v>
      </c>
      <c r="D409" s="1" t="s">
        <v>472</v>
      </c>
      <c r="E409" s="3" t="s">
        <v>1342</v>
      </c>
      <c r="F409" s="2" t="s">
        <v>5747</v>
      </c>
      <c r="G409" s="1"/>
      <c r="H409" s="3" t="s">
        <v>60</v>
      </c>
    </row>
    <row r="410" spans="1:8" x14ac:dyDescent="0.25">
      <c r="A410" s="1" t="s">
        <v>1339</v>
      </c>
      <c r="B410" s="1" t="s">
        <v>418</v>
      </c>
      <c r="C410" s="1" t="s">
        <v>1340</v>
      </c>
      <c r="D410" s="1" t="s">
        <v>472</v>
      </c>
      <c r="E410" s="3" t="s">
        <v>1343</v>
      </c>
      <c r="F410" s="2" t="s">
        <v>5748</v>
      </c>
      <c r="G410" s="1"/>
      <c r="H410" s="3" t="s">
        <v>597</v>
      </c>
    </row>
    <row r="411" spans="1:8" x14ac:dyDescent="0.25">
      <c r="A411" s="1" t="s">
        <v>1339</v>
      </c>
      <c r="B411" s="1" t="s">
        <v>418</v>
      </c>
      <c r="C411" s="1" t="s">
        <v>1340</v>
      </c>
      <c r="D411" s="1" t="s">
        <v>472</v>
      </c>
      <c r="E411" s="3" t="s">
        <v>1357</v>
      </c>
      <c r="F411" s="2" t="s">
        <v>5749</v>
      </c>
      <c r="G411" s="1"/>
      <c r="H411" s="3" t="s">
        <v>682</v>
      </c>
    </row>
    <row r="412" spans="1:8" ht="30" x14ac:dyDescent="0.25">
      <c r="A412" s="1" t="s">
        <v>1339</v>
      </c>
      <c r="B412" s="1" t="s">
        <v>418</v>
      </c>
      <c r="C412" s="1" t="s">
        <v>1340</v>
      </c>
      <c r="D412" s="1" t="s">
        <v>472</v>
      </c>
      <c r="E412" s="3" t="s">
        <v>1341</v>
      </c>
      <c r="F412" s="2" t="s">
        <v>5749</v>
      </c>
      <c r="G412" s="1" t="s">
        <v>406</v>
      </c>
      <c r="H412" s="3" t="s">
        <v>407</v>
      </c>
    </row>
    <row r="413" spans="1:8" x14ac:dyDescent="0.25">
      <c r="A413" s="1" t="s">
        <v>1339</v>
      </c>
      <c r="B413" s="1" t="s">
        <v>418</v>
      </c>
      <c r="C413" s="1" t="s">
        <v>1340</v>
      </c>
      <c r="D413" s="1" t="s">
        <v>472</v>
      </c>
      <c r="E413" s="3" t="s">
        <v>1345</v>
      </c>
      <c r="F413" s="2" t="s">
        <v>5750</v>
      </c>
      <c r="G413" s="1"/>
      <c r="H413" s="3" t="s">
        <v>79</v>
      </c>
    </row>
    <row r="414" spans="1:8" x14ac:dyDescent="0.25">
      <c r="A414" s="1" t="s">
        <v>1339</v>
      </c>
      <c r="B414" s="1" t="s">
        <v>418</v>
      </c>
      <c r="C414" s="1" t="s">
        <v>1340</v>
      </c>
      <c r="D414" s="1" t="s">
        <v>472</v>
      </c>
      <c r="E414" s="3" t="s">
        <v>1349</v>
      </c>
      <c r="F414" s="2" t="s">
        <v>5751</v>
      </c>
      <c r="G414" s="1"/>
      <c r="H414" s="3" t="s">
        <v>79</v>
      </c>
    </row>
    <row r="415" spans="1:8" x14ac:dyDescent="0.25">
      <c r="A415" s="1" t="s">
        <v>1339</v>
      </c>
      <c r="B415" s="1" t="s">
        <v>418</v>
      </c>
      <c r="C415" s="1" t="s">
        <v>1340</v>
      </c>
      <c r="D415" s="1" t="s">
        <v>472</v>
      </c>
      <c r="E415" s="3" t="s">
        <v>1347</v>
      </c>
      <c r="F415" s="2" t="s">
        <v>5752</v>
      </c>
      <c r="G415" s="1"/>
      <c r="H415" s="3" t="s">
        <v>79</v>
      </c>
    </row>
    <row r="416" spans="1:8" x14ac:dyDescent="0.25">
      <c r="A416" s="1" t="s">
        <v>1339</v>
      </c>
      <c r="B416" s="1" t="s">
        <v>418</v>
      </c>
      <c r="C416" s="1" t="s">
        <v>1340</v>
      </c>
      <c r="D416" s="1" t="s">
        <v>472</v>
      </c>
      <c r="E416" s="3" t="s">
        <v>1351</v>
      </c>
      <c r="F416" s="2" t="s">
        <v>5753</v>
      </c>
      <c r="G416" s="1"/>
      <c r="H416" s="3" t="s">
        <v>79</v>
      </c>
    </row>
    <row r="417" spans="1:8" x14ac:dyDescent="0.25">
      <c r="A417" s="1" t="s">
        <v>1339</v>
      </c>
      <c r="B417" s="1" t="s">
        <v>418</v>
      </c>
      <c r="C417" s="1" t="s">
        <v>1340</v>
      </c>
      <c r="D417" s="1" t="s">
        <v>472</v>
      </c>
      <c r="E417" s="3" t="s">
        <v>1353</v>
      </c>
      <c r="F417" s="2" t="s">
        <v>5754</v>
      </c>
      <c r="G417" s="1"/>
      <c r="H417" s="3" t="s">
        <v>682</v>
      </c>
    </row>
    <row r="418" spans="1:8" x14ac:dyDescent="0.25">
      <c r="A418" s="1" t="s">
        <v>1339</v>
      </c>
      <c r="B418" s="1" t="s">
        <v>418</v>
      </c>
      <c r="C418" s="1" t="s">
        <v>1340</v>
      </c>
      <c r="D418" s="1" t="s">
        <v>472</v>
      </c>
      <c r="E418" s="3" t="s">
        <v>1355</v>
      </c>
      <c r="F418" s="2" t="s">
        <v>5755</v>
      </c>
      <c r="G418" s="1"/>
      <c r="H418" s="3" t="s">
        <v>682</v>
      </c>
    </row>
    <row r="419" spans="1:8" ht="30" x14ac:dyDescent="0.25">
      <c r="A419" s="1" t="s">
        <v>2690</v>
      </c>
      <c r="B419" s="1" t="s">
        <v>443</v>
      </c>
      <c r="C419" s="1" t="s">
        <v>2691</v>
      </c>
      <c r="D419" s="1" t="s">
        <v>586</v>
      </c>
      <c r="E419" s="3" t="s">
        <v>2692</v>
      </c>
      <c r="F419" s="2" t="s">
        <v>5756</v>
      </c>
      <c r="G419" s="1"/>
      <c r="H419" s="3" t="s">
        <v>2694</v>
      </c>
    </row>
    <row r="420" spans="1:8" ht="30" x14ac:dyDescent="0.25">
      <c r="A420" s="1" t="s">
        <v>2690</v>
      </c>
      <c r="B420" s="1" t="s">
        <v>443</v>
      </c>
      <c r="C420" s="1" t="s">
        <v>2691</v>
      </c>
      <c r="D420" s="1" t="s">
        <v>586</v>
      </c>
      <c r="E420" s="3" t="s">
        <v>2695</v>
      </c>
      <c r="F420" s="2" t="s">
        <v>5757</v>
      </c>
      <c r="G420" s="1"/>
      <c r="H420" s="3" t="s">
        <v>2697</v>
      </c>
    </row>
    <row r="421" spans="1:8" x14ac:dyDescent="0.25">
      <c r="A421" s="1" t="s">
        <v>292</v>
      </c>
      <c r="B421" s="1" t="s">
        <v>418</v>
      </c>
      <c r="C421" s="1" t="s">
        <v>541</v>
      </c>
      <c r="D421" s="1" t="s">
        <v>586</v>
      </c>
      <c r="E421" s="3" t="s">
        <v>3068</v>
      </c>
      <c r="F421" s="2" t="s">
        <v>5758</v>
      </c>
      <c r="G421" s="1"/>
      <c r="H421" s="3" t="s">
        <v>1617</v>
      </c>
    </row>
    <row r="422" spans="1:8" ht="30" x14ac:dyDescent="0.25">
      <c r="A422" s="1" t="s">
        <v>292</v>
      </c>
      <c r="B422" s="1" t="s">
        <v>418</v>
      </c>
      <c r="C422" s="1" t="s">
        <v>541</v>
      </c>
      <c r="D422" s="1" t="s">
        <v>586</v>
      </c>
      <c r="E422" s="3" t="s">
        <v>291</v>
      </c>
      <c r="F422" s="2" t="s">
        <v>293</v>
      </c>
      <c r="G422" s="1"/>
      <c r="H422" s="3" t="s">
        <v>3071</v>
      </c>
    </row>
    <row r="423" spans="1:8" x14ac:dyDescent="0.25">
      <c r="A423" s="1" t="s">
        <v>3372</v>
      </c>
      <c r="B423" s="1" t="s">
        <v>1815</v>
      </c>
      <c r="C423" s="1" t="s">
        <v>2691</v>
      </c>
      <c r="D423" s="1" t="s">
        <v>586</v>
      </c>
      <c r="E423" s="3" t="s">
        <v>3376</v>
      </c>
      <c r="F423" s="2" t="s">
        <v>5759</v>
      </c>
      <c r="G423" s="1"/>
      <c r="H423" s="3" t="s">
        <v>3378</v>
      </c>
    </row>
    <row r="424" spans="1:8" x14ac:dyDescent="0.25">
      <c r="A424" s="1" t="s">
        <v>3372</v>
      </c>
      <c r="B424" s="1" t="s">
        <v>1815</v>
      </c>
      <c r="C424" s="1" t="s">
        <v>2691</v>
      </c>
      <c r="D424" s="1" t="s">
        <v>586</v>
      </c>
      <c r="E424" s="3" t="s">
        <v>3373</v>
      </c>
      <c r="F424" s="2" t="s">
        <v>5760</v>
      </c>
      <c r="G424" s="1"/>
      <c r="H424" s="3" t="s">
        <v>3375</v>
      </c>
    </row>
    <row r="425" spans="1:8" ht="30" x14ac:dyDescent="0.25">
      <c r="A425" s="1" t="s">
        <v>2630</v>
      </c>
      <c r="B425" s="1" t="s">
        <v>557</v>
      </c>
      <c r="C425" s="1" t="s">
        <v>602</v>
      </c>
      <c r="D425" s="1" t="s">
        <v>2631</v>
      </c>
      <c r="E425" s="3" t="s">
        <v>2632</v>
      </c>
      <c r="F425" s="2" t="s">
        <v>5761</v>
      </c>
      <c r="G425" s="1"/>
      <c r="H425" s="3" t="s">
        <v>7</v>
      </c>
    </row>
    <row r="426" spans="1:8" ht="30" x14ac:dyDescent="0.25">
      <c r="A426" s="1" t="s">
        <v>2762</v>
      </c>
      <c r="B426" s="1" t="s">
        <v>446</v>
      </c>
      <c r="C426" s="1" t="s">
        <v>602</v>
      </c>
      <c r="D426" s="1" t="s">
        <v>2631</v>
      </c>
      <c r="E426" s="3" t="s">
        <v>2763</v>
      </c>
      <c r="F426" s="2" t="s">
        <v>5762</v>
      </c>
      <c r="G426" s="1"/>
      <c r="H426" s="3" t="s">
        <v>2765</v>
      </c>
    </row>
    <row r="427" spans="1:8" ht="30" x14ac:dyDescent="0.25">
      <c r="A427" s="1" t="s">
        <v>2762</v>
      </c>
      <c r="B427" s="1" t="s">
        <v>446</v>
      </c>
      <c r="C427" s="1" t="s">
        <v>602</v>
      </c>
      <c r="D427" s="1" t="s">
        <v>2631</v>
      </c>
      <c r="E427" s="3" t="s">
        <v>2766</v>
      </c>
      <c r="F427" s="2" t="s">
        <v>5763</v>
      </c>
      <c r="G427" s="1"/>
      <c r="H427" s="3" t="s">
        <v>2765</v>
      </c>
    </row>
    <row r="428" spans="1:8" x14ac:dyDescent="0.25">
      <c r="A428" s="1" t="s">
        <v>791</v>
      </c>
      <c r="B428" s="1" t="s">
        <v>424</v>
      </c>
      <c r="C428" s="1" t="s">
        <v>792</v>
      </c>
      <c r="D428" s="1" t="s">
        <v>594</v>
      </c>
      <c r="E428" s="3" t="s">
        <v>795</v>
      </c>
      <c r="F428" s="2" t="s">
        <v>5764</v>
      </c>
      <c r="G428" s="1"/>
      <c r="H428" s="3" t="s">
        <v>797</v>
      </c>
    </row>
    <row r="429" spans="1:8" x14ac:dyDescent="0.25">
      <c r="A429" s="1" t="s">
        <v>791</v>
      </c>
      <c r="B429" s="1" t="s">
        <v>424</v>
      </c>
      <c r="C429" s="1" t="s">
        <v>792</v>
      </c>
      <c r="D429" s="1" t="s">
        <v>594</v>
      </c>
      <c r="E429" s="3" t="s">
        <v>800</v>
      </c>
      <c r="F429" s="2" t="s">
        <v>5765</v>
      </c>
      <c r="G429" s="1"/>
      <c r="H429" s="3" t="s">
        <v>797</v>
      </c>
    </row>
    <row r="430" spans="1:8" x14ac:dyDescent="0.25">
      <c r="A430" s="1" t="s">
        <v>791</v>
      </c>
      <c r="B430" s="1" t="s">
        <v>424</v>
      </c>
      <c r="C430" s="1" t="s">
        <v>792</v>
      </c>
      <c r="D430" s="1" t="s">
        <v>594</v>
      </c>
      <c r="E430" s="3" t="s">
        <v>802</v>
      </c>
      <c r="F430" s="2" t="s">
        <v>5766</v>
      </c>
      <c r="G430" s="1"/>
      <c r="H430" s="3" t="s">
        <v>797</v>
      </c>
    </row>
    <row r="431" spans="1:8" x14ac:dyDescent="0.25">
      <c r="A431" s="1" t="s">
        <v>791</v>
      </c>
      <c r="B431" s="1" t="s">
        <v>424</v>
      </c>
      <c r="C431" s="1" t="s">
        <v>792</v>
      </c>
      <c r="D431" s="1" t="s">
        <v>594</v>
      </c>
      <c r="E431" s="3" t="s">
        <v>798</v>
      </c>
      <c r="F431" s="2" t="s">
        <v>5767</v>
      </c>
      <c r="G431" s="1"/>
      <c r="H431" s="3" t="s">
        <v>797</v>
      </c>
    </row>
    <row r="432" spans="1:8" ht="30" x14ac:dyDescent="0.25">
      <c r="A432" s="1" t="s">
        <v>791</v>
      </c>
      <c r="B432" s="1" t="s">
        <v>424</v>
      </c>
      <c r="C432" s="1" t="s">
        <v>792</v>
      </c>
      <c r="D432" s="1" t="s">
        <v>594</v>
      </c>
      <c r="E432" s="3" t="s">
        <v>793</v>
      </c>
      <c r="F432" s="2" t="s">
        <v>5768</v>
      </c>
      <c r="G432" s="1"/>
      <c r="H432" s="3" t="s">
        <v>687</v>
      </c>
    </row>
    <row r="433" spans="1:8" x14ac:dyDescent="0.25">
      <c r="A433" s="1" t="s">
        <v>1957</v>
      </c>
      <c r="B433" s="1" t="s">
        <v>418</v>
      </c>
      <c r="C433" s="1" t="s">
        <v>444</v>
      </c>
      <c r="D433" s="1" t="s">
        <v>594</v>
      </c>
      <c r="E433" s="3" t="s">
        <v>1958</v>
      </c>
      <c r="F433" s="2" t="s">
        <v>5769</v>
      </c>
      <c r="G433" s="1"/>
      <c r="H433" s="3" t="s">
        <v>63</v>
      </c>
    </row>
    <row r="434" spans="1:8" x14ac:dyDescent="0.25">
      <c r="A434" s="1" t="s">
        <v>1957</v>
      </c>
      <c r="B434" s="1" t="s">
        <v>418</v>
      </c>
      <c r="C434" s="1" t="s">
        <v>444</v>
      </c>
      <c r="D434" s="1" t="s">
        <v>594</v>
      </c>
      <c r="E434" s="3" t="s">
        <v>1964</v>
      </c>
      <c r="F434" s="2" t="s">
        <v>5770</v>
      </c>
      <c r="G434" s="1"/>
      <c r="H434" s="3" t="s">
        <v>554</v>
      </c>
    </row>
    <row r="435" spans="1:8" x14ac:dyDescent="0.25">
      <c r="A435" s="1" t="s">
        <v>1957</v>
      </c>
      <c r="B435" s="1" t="s">
        <v>418</v>
      </c>
      <c r="C435" s="1" t="s">
        <v>444</v>
      </c>
      <c r="D435" s="1" t="s">
        <v>594</v>
      </c>
      <c r="E435" s="3" t="s">
        <v>1960</v>
      </c>
      <c r="F435" s="2" t="s">
        <v>5771</v>
      </c>
      <c r="G435" s="1"/>
      <c r="H435" s="3" t="s">
        <v>554</v>
      </c>
    </row>
    <row r="436" spans="1:8" x14ac:dyDescent="0.25">
      <c r="A436" s="1" t="s">
        <v>1957</v>
      </c>
      <c r="B436" s="1" t="s">
        <v>418</v>
      </c>
      <c r="C436" s="1" t="s">
        <v>444</v>
      </c>
      <c r="D436" s="1" t="s">
        <v>594</v>
      </c>
      <c r="E436" s="3" t="s">
        <v>1962</v>
      </c>
      <c r="F436" s="2" t="s">
        <v>5772</v>
      </c>
      <c r="G436" s="1"/>
      <c r="H436" s="3" t="s">
        <v>554</v>
      </c>
    </row>
    <row r="437" spans="1:8" ht="30" x14ac:dyDescent="0.25">
      <c r="A437" s="1" t="s">
        <v>30</v>
      </c>
      <c r="B437" s="1" t="s">
        <v>443</v>
      </c>
      <c r="C437" s="1" t="s">
        <v>444</v>
      </c>
      <c r="D437" s="1" t="s">
        <v>445</v>
      </c>
      <c r="E437" s="3" t="s">
        <v>26</v>
      </c>
      <c r="F437" s="2" t="s">
        <v>31</v>
      </c>
      <c r="G437" s="1" t="s">
        <v>406</v>
      </c>
      <c r="H437" s="3" t="s">
        <v>3162</v>
      </c>
    </row>
    <row r="438" spans="1:8" ht="30" x14ac:dyDescent="0.25">
      <c r="A438" s="1" t="s">
        <v>30</v>
      </c>
      <c r="B438" s="1" t="s">
        <v>443</v>
      </c>
      <c r="C438" s="1" t="s">
        <v>444</v>
      </c>
      <c r="D438" s="1" t="s">
        <v>445</v>
      </c>
      <c r="E438" s="3" t="s">
        <v>274</v>
      </c>
      <c r="F438" s="2" t="s">
        <v>277</v>
      </c>
      <c r="G438" s="1" t="s">
        <v>406</v>
      </c>
      <c r="H438" s="3" t="s">
        <v>3162</v>
      </c>
    </row>
    <row r="439" spans="1:8" x14ac:dyDescent="0.25">
      <c r="A439" s="1" t="s">
        <v>30</v>
      </c>
      <c r="B439" s="1" t="s">
        <v>443</v>
      </c>
      <c r="C439" s="1" t="s">
        <v>444</v>
      </c>
      <c r="D439" s="1" t="s">
        <v>445</v>
      </c>
      <c r="E439" s="3" t="s">
        <v>218</v>
      </c>
      <c r="F439" s="2" t="s">
        <v>219</v>
      </c>
      <c r="G439" s="1" t="s">
        <v>406</v>
      </c>
      <c r="H439" s="3" t="s">
        <v>3165</v>
      </c>
    </row>
    <row r="440" spans="1:8" x14ac:dyDescent="0.25">
      <c r="A440" s="1" t="s">
        <v>96</v>
      </c>
      <c r="B440" s="1" t="s">
        <v>418</v>
      </c>
      <c r="C440" s="1" t="s">
        <v>485</v>
      </c>
      <c r="D440" s="1" t="s">
        <v>486</v>
      </c>
      <c r="E440" s="3" t="s">
        <v>118</v>
      </c>
      <c r="F440" s="2" t="s">
        <v>124</v>
      </c>
      <c r="G440" s="1" t="s">
        <v>406</v>
      </c>
      <c r="H440" s="3" t="s">
        <v>1057</v>
      </c>
    </row>
    <row r="441" spans="1:8" x14ac:dyDescent="0.25">
      <c r="A441" s="1" t="s">
        <v>96</v>
      </c>
      <c r="B441" s="1" t="s">
        <v>418</v>
      </c>
      <c r="C441" s="1" t="s">
        <v>485</v>
      </c>
      <c r="D441" s="1" t="s">
        <v>486</v>
      </c>
      <c r="E441" s="3" t="s">
        <v>359</v>
      </c>
      <c r="F441" s="2" t="s">
        <v>360</v>
      </c>
      <c r="G441" s="1" t="s">
        <v>413</v>
      </c>
      <c r="H441" s="3" t="s">
        <v>1057</v>
      </c>
    </row>
    <row r="442" spans="1:8" ht="30" x14ac:dyDescent="0.25">
      <c r="A442" s="1" t="s">
        <v>96</v>
      </c>
      <c r="B442" s="1" t="s">
        <v>418</v>
      </c>
      <c r="C442" s="1" t="s">
        <v>485</v>
      </c>
      <c r="D442" s="1" t="s">
        <v>486</v>
      </c>
      <c r="E442" s="3" t="s">
        <v>1055</v>
      </c>
      <c r="F442" s="2" t="s">
        <v>5773</v>
      </c>
      <c r="G442" s="1" t="s">
        <v>442</v>
      </c>
      <c r="H442" s="3" t="s">
        <v>1057</v>
      </c>
    </row>
    <row r="443" spans="1:8" x14ac:dyDescent="0.25">
      <c r="A443" s="1" t="s">
        <v>96</v>
      </c>
      <c r="B443" s="1" t="s">
        <v>418</v>
      </c>
      <c r="C443" s="1" t="s">
        <v>485</v>
      </c>
      <c r="D443" s="1" t="s">
        <v>486</v>
      </c>
      <c r="E443" s="3" t="s">
        <v>94</v>
      </c>
      <c r="F443" s="2" t="s">
        <v>97</v>
      </c>
      <c r="G443" s="1" t="s">
        <v>406</v>
      </c>
      <c r="H443" s="3" t="s">
        <v>95</v>
      </c>
    </row>
    <row r="444" spans="1:8" x14ac:dyDescent="0.25">
      <c r="A444" s="1" t="s">
        <v>96</v>
      </c>
      <c r="B444" s="1" t="s">
        <v>418</v>
      </c>
      <c r="C444" s="1" t="s">
        <v>485</v>
      </c>
      <c r="D444" s="1" t="s">
        <v>486</v>
      </c>
      <c r="E444" s="3" t="s">
        <v>341</v>
      </c>
      <c r="F444" s="2" t="s">
        <v>343</v>
      </c>
      <c r="G444" s="1" t="s">
        <v>406</v>
      </c>
      <c r="H444" s="3" t="s">
        <v>95</v>
      </c>
    </row>
    <row r="445" spans="1:8" x14ac:dyDescent="0.25">
      <c r="A445" s="1" t="s">
        <v>1669</v>
      </c>
      <c r="B445" s="1" t="s">
        <v>603</v>
      </c>
      <c r="C445" s="1" t="s">
        <v>524</v>
      </c>
      <c r="D445" s="1" t="s">
        <v>486</v>
      </c>
      <c r="E445" s="3" t="s">
        <v>1677</v>
      </c>
      <c r="F445" s="2" t="s">
        <v>5774</v>
      </c>
      <c r="G445" s="1"/>
      <c r="H445" s="3" t="s">
        <v>1679</v>
      </c>
    </row>
    <row r="446" spans="1:8" x14ac:dyDescent="0.25">
      <c r="A446" s="1" t="s">
        <v>1669</v>
      </c>
      <c r="B446" s="1" t="s">
        <v>603</v>
      </c>
      <c r="C446" s="1" t="s">
        <v>524</v>
      </c>
      <c r="D446" s="1" t="s">
        <v>486</v>
      </c>
      <c r="E446" s="3" t="s">
        <v>1680</v>
      </c>
      <c r="F446" s="2" t="s">
        <v>5775</v>
      </c>
      <c r="G446" s="1"/>
      <c r="H446" s="3" t="s">
        <v>682</v>
      </c>
    </row>
    <row r="447" spans="1:8" x14ac:dyDescent="0.25">
      <c r="A447" s="1" t="s">
        <v>1669</v>
      </c>
      <c r="B447" s="1" t="s">
        <v>603</v>
      </c>
      <c r="C447" s="1" t="s">
        <v>524</v>
      </c>
      <c r="D447" s="1" t="s">
        <v>486</v>
      </c>
      <c r="E447" s="3" t="s">
        <v>1682</v>
      </c>
      <c r="F447" s="2" t="s">
        <v>5776</v>
      </c>
      <c r="G447" s="1"/>
      <c r="H447" s="3" t="s">
        <v>682</v>
      </c>
    </row>
    <row r="448" spans="1:8" x14ac:dyDescent="0.25">
      <c r="A448" s="1" t="s">
        <v>1669</v>
      </c>
      <c r="B448" s="1" t="s">
        <v>603</v>
      </c>
      <c r="C448" s="1" t="s">
        <v>524</v>
      </c>
      <c r="D448" s="1" t="s">
        <v>486</v>
      </c>
      <c r="E448" s="3" t="s">
        <v>1675</v>
      </c>
      <c r="F448" s="2" t="s">
        <v>5777</v>
      </c>
      <c r="G448" s="1"/>
      <c r="H448" s="3" t="s">
        <v>584</v>
      </c>
    </row>
    <row r="449" spans="1:8" ht="30" x14ac:dyDescent="0.25">
      <c r="A449" s="1" t="s">
        <v>1669</v>
      </c>
      <c r="B449" s="1" t="s">
        <v>603</v>
      </c>
      <c r="C449" s="1" t="s">
        <v>524</v>
      </c>
      <c r="D449" s="1" t="s">
        <v>486</v>
      </c>
      <c r="E449" s="3" t="s">
        <v>1670</v>
      </c>
      <c r="F449" s="2" t="s">
        <v>5778</v>
      </c>
      <c r="G449" s="1"/>
      <c r="H449" s="3" t="s">
        <v>1672</v>
      </c>
    </row>
    <row r="450" spans="1:8" ht="30" x14ac:dyDescent="0.25">
      <c r="A450" s="1" t="s">
        <v>1669</v>
      </c>
      <c r="B450" s="1" t="s">
        <v>603</v>
      </c>
      <c r="C450" s="1" t="s">
        <v>524</v>
      </c>
      <c r="D450" s="1" t="s">
        <v>486</v>
      </c>
      <c r="E450" s="3" t="s">
        <v>1673</v>
      </c>
      <c r="F450" s="2" t="s">
        <v>5779</v>
      </c>
      <c r="G450" s="1"/>
      <c r="H450" s="3" t="s">
        <v>1672</v>
      </c>
    </row>
    <row r="451" spans="1:8" x14ac:dyDescent="0.25">
      <c r="A451" s="1" t="s">
        <v>2559</v>
      </c>
      <c r="B451" s="1" t="s">
        <v>457</v>
      </c>
      <c r="C451" s="1" t="s">
        <v>2560</v>
      </c>
      <c r="D451" s="1" t="s">
        <v>486</v>
      </c>
      <c r="E451" s="3" t="s">
        <v>2561</v>
      </c>
      <c r="F451" s="2"/>
      <c r="G451" s="1"/>
      <c r="H451" s="3" t="s">
        <v>407</v>
      </c>
    </row>
    <row r="452" spans="1:8" x14ac:dyDescent="0.25">
      <c r="A452" s="1" t="s">
        <v>3118</v>
      </c>
      <c r="B452" s="1" t="s">
        <v>603</v>
      </c>
      <c r="C452" s="1" t="s">
        <v>3119</v>
      </c>
      <c r="D452" s="1" t="s">
        <v>486</v>
      </c>
      <c r="E452" s="3" t="s">
        <v>3122</v>
      </c>
      <c r="F452" s="2" t="s">
        <v>5780</v>
      </c>
      <c r="G452" s="1"/>
      <c r="H452" s="3" t="s">
        <v>1679</v>
      </c>
    </row>
    <row r="453" spans="1:8" x14ac:dyDescent="0.25">
      <c r="A453" s="1" t="s">
        <v>3118</v>
      </c>
      <c r="B453" s="1" t="s">
        <v>603</v>
      </c>
      <c r="C453" s="1" t="s">
        <v>3119</v>
      </c>
      <c r="D453" s="1" t="s">
        <v>486</v>
      </c>
      <c r="E453" s="3" t="s">
        <v>3120</v>
      </c>
      <c r="F453" s="2" t="s">
        <v>5781</v>
      </c>
      <c r="G453" s="1"/>
      <c r="H453" s="3" t="s">
        <v>584</v>
      </c>
    </row>
    <row r="454" spans="1:8" x14ac:dyDescent="0.25">
      <c r="A454" s="1" t="s">
        <v>4235</v>
      </c>
      <c r="B454" s="1" t="s">
        <v>536</v>
      </c>
      <c r="C454" s="1" t="s">
        <v>1737</v>
      </c>
      <c r="D454" s="1" t="s">
        <v>486</v>
      </c>
      <c r="E454" s="3"/>
      <c r="F454" s="2"/>
      <c r="G454" s="1"/>
      <c r="H454" s="3"/>
    </row>
    <row r="455" spans="1:8" ht="30" x14ac:dyDescent="0.25">
      <c r="A455" s="1" t="s">
        <v>170</v>
      </c>
      <c r="B455" s="1" t="s">
        <v>421</v>
      </c>
      <c r="C455" s="1" t="s">
        <v>524</v>
      </c>
      <c r="D455" s="1" t="s">
        <v>486</v>
      </c>
      <c r="E455" s="3" t="s">
        <v>165</v>
      </c>
      <c r="F455" s="2" t="s">
        <v>171</v>
      </c>
      <c r="G455" s="1"/>
      <c r="H455" s="3" t="s">
        <v>168</v>
      </c>
    </row>
    <row r="456" spans="1:8" ht="30" x14ac:dyDescent="0.25">
      <c r="A456" s="1" t="s">
        <v>170</v>
      </c>
      <c r="B456" s="1" t="s">
        <v>421</v>
      </c>
      <c r="C456" s="1" t="s">
        <v>524</v>
      </c>
      <c r="D456" s="1" t="s">
        <v>486</v>
      </c>
      <c r="E456" s="3" t="s">
        <v>268</v>
      </c>
      <c r="F456" s="2" t="s">
        <v>273</v>
      </c>
      <c r="G456" s="1"/>
      <c r="H456" s="3" t="s">
        <v>3662</v>
      </c>
    </row>
    <row r="457" spans="1:8" ht="30" x14ac:dyDescent="0.25">
      <c r="A457" s="1" t="s">
        <v>170</v>
      </c>
      <c r="B457" s="1" t="s">
        <v>421</v>
      </c>
      <c r="C457" s="1" t="s">
        <v>524</v>
      </c>
      <c r="D457" s="1" t="s">
        <v>486</v>
      </c>
      <c r="E457" s="3" t="s">
        <v>582</v>
      </c>
      <c r="F457" s="2" t="s">
        <v>585</v>
      </c>
      <c r="G457" s="1"/>
      <c r="H457" s="3" t="s">
        <v>3662</v>
      </c>
    </row>
    <row r="458" spans="1:8" x14ac:dyDescent="0.25">
      <c r="A458" s="1" t="s">
        <v>170</v>
      </c>
      <c r="B458" s="1" t="s">
        <v>421</v>
      </c>
      <c r="C458" s="1" t="s">
        <v>524</v>
      </c>
      <c r="D458" s="1" t="s">
        <v>486</v>
      </c>
      <c r="E458" s="3" t="s">
        <v>214</v>
      </c>
      <c r="F458" s="2" t="s">
        <v>215</v>
      </c>
      <c r="G458" s="1" t="s">
        <v>442</v>
      </c>
      <c r="H458" s="3" t="s">
        <v>281</v>
      </c>
    </row>
    <row r="459" spans="1:8" x14ac:dyDescent="0.25">
      <c r="A459" s="1" t="s">
        <v>170</v>
      </c>
      <c r="B459" s="1" t="s">
        <v>421</v>
      </c>
      <c r="C459" s="1" t="s">
        <v>524</v>
      </c>
      <c r="D459" s="1" t="s">
        <v>486</v>
      </c>
      <c r="E459" s="3" t="s">
        <v>280</v>
      </c>
      <c r="F459" s="2" t="s">
        <v>282</v>
      </c>
      <c r="G459" s="1" t="s">
        <v>413</v>
      </c>
      <c r="H459" s="3" t="s">
        <v>281</v>
      </c>
    </row>
    <row r="460" spans="1:8" ht="30" x14ac:dyDescent="0.25">
      <c r="A460" s="1" t="s">
        <v>170</v>
      </c>
      <c r="B460" s="1" t="s">
        <v>421</v>
      </c>
      <c r="C460" s="1" t="s">
        <v>524</v>
      </c>
      <c r="D460" s="1" t="s">
        <v>486</v>
      </c>
      <c r="E460" s="3" t="s">
        <v>355</v>
      </c>
      <c r="F460" s="2" t="s">
        <v>358</v>
      </c>
      <c r="G460" s="1"/>
      <c r="H460" s="3" t="s">
        <v>3660</v>
      </c>
    </row>
    <row r="461" spans="1:8" x14ac:dyDescent="0.25">
      <c r="A461" s="1" t="s">
        <v>3727</v>
      </c>
      <c r="B461" s="1" t="s">
        <v>817</v>
      </c>
      <c r="C461" s="1" t="s">
        <v>1363</v>
      </c>
      <c r="D461" s="1" t="s">
        <v>569</v>
      </c>
      <c r="E461" s="3" t="s">
        <v>3731</v>
      </c>
      <c r="F461" s="2" t="s">
        <v>5782</v>
      </c>
      <c r="G461" s="1"/>
      <c r="H461" s="3" t="s">
        <v>3730</v>
      </c>
    </row>
    <row r="462" spans="1:8" x14ac:dyDescent="0.25">
      <c r="A462" s="1" t="s">
        <v>3727</v>
      </c>
      <c r="B462" s="1" t="s">
        <v>817</v>
      </c>
      <c r="C462" s="1" t="s">
        <v>1363</v>
      </c>
      <c r="D462" s="1" t="s">
        <v>569</v>
      </c>
      <c r="E462" s="3" t="s">
        <v>3728</v>
      </c>
      <c r="F462" s="2" t="s">
        <v>5783</v>
      </c>
      <c r="G462" s="1"/>
      <c r="H462" s="3" t="s">
        <v>3730</v>
      </c>
    </row>
    <row r="463" spans="1:8" ht="30" x14ac:dyDescent="0.25">
      <c r="A463" s="1" t="s">
        <v>1027</v>
      </c>
      <c r="B463" s="1" t="s">
        <v>443</v>
      </c>
      <c r="C463" s="1" t="s">
        <v>1028</v>
      </c>
      <c r="D463" s="1" t="s">
        <v>613</v>
      </c>
      <c r="E463" s="3" t="s">
        <v>1029</v>
      </c>
      <c r="F463" s="2"/>
      <c r="G463" s="1"/>
      <c r="H463" s="3" t="s">
        <v>1031</v>
      </c>
    </row>
    <row r="464" spans="1:8" ht="30" x14ac:dyDescent="0.25">
      <c r="A464" s="1" t="s">
        <v>1027</v>
      </c>
      <c r="B464" s="1" t="s">
        <v>443</v>
      </c>
      <c r="C464" s="1" t="s">
        <v>1028</v>
      </c>
      <c r="D464" s="1" t="s">
        <v>613</v>
      </c>
      <c r="E464" s="3" t="s">
        <v>1032</v>
      </c>
      <c r="F464" s="2"/>
      <c r="G464" s="1"/>
      <c r="H464" s="3" t="s">
        <v>1031</v>
      </c>
    </row>
    <row r="465" spans="1:8" x14ac:dyDescent="0.25">
      <c r="A465" s="1" t="s">
        <v>4213</v>
      </c>
      <c r="B465" s="1" t="s">
        <v>496</v>
      </c>
      <c r="C465" s="1" t="s">
        <v>4214</v>
      </c>
      <c r="D465" s="1" t="s">
        <v>2418</v>
      </c>
      <c r="E465" s="3"/>
      <c r="F465" s="2"/>
      <c r="G465" s="1"/>
      <c r="H465" s="3"/>
    </row>
    <row r="466" spans="1:8" ht="30" x14ac:dyDescent="0.25">
      <c r="A466" s="1" t="s">
        <v>2417</v>
      </c>
      <c r="B466" s="1" t="s">
        <v>1632</v>
      </c>
      <c r="C466" s="1" t="s">
        <v>469</v>
      </c>
      <c r="D466" s="1" t="s">
        <v>2418</v>
      </c>
      <c r="E466" s="3" t="s">
        <v>2419</v>
      </c>
      <c r="F466" s="2"/>
      <c r="G466" s="1"/>
      <c r="H466" s="3" t="s">
        <v>2421</v>
      </c>
    </row>
    <row r="467" spans="1:8" x14ac:dyDescent="0.25">
      <c r="A467" s="1" t="s">
        <v>3113</v>
      </c>
      <c r="B467" s="1" t="s">
        <v>418</v>
      </c>
      <c r="C467" s="1" t="s">
        <v>3114</v>
      </c>
      <c r="D467" s="1" t="s">
        <v>3115</v>
      </c>
      <c r="E467" s="3" t="s">
        <v>3116</v>
      </c>
      <c r="F467" s="2" t="s">
        <v>5784</v>
      </c>
      <c r="G467" s="1"/>
      <c r="H467" s="3" t="s">
        <v>79</v>
      </c>
    </row>
    <row r="468" spans="1:8" ht="30" x14ac:dyDescent="0.25">
      <c r="A468" s="1" t="s">
        <v>262</v>
      </c>
      <c r="B468" s="1" t="s">
        <v>409</v>
      </c>
      <c r="C468" s="1" t="s">
        <v>425</v>
      </c>
      <c r="D468" s="1" t="s">
        <v>426</v>
      </c>
      <c r="E468" s="3" t="s">
        <v>723</v>
      </c>
      <c r="F468" s="2" t="s">
        <v>5785</v>
      </c>
      <c r="G468" s="1"/>
      <c r="H468" s="3" t="s">
        <v>725</v>
      </c>
    </row>
    <row r="469" spans="1:8" ht="30" x14ac:dyDescent="0.25">
      <c r="A469" s="1" t="s">
        <v>262</v>
      </c>
      <c r="B469" s="1" t="s">
        <v>409</v>
      </c>
      <c r="C469" s="1" t="s">
        <v>425</v>
      </c>
      <c r="D469" s="1" t="s">
        <v>426</v>
      </c>
      <c r="E469" s="3" t="s">
        <v>261</v>
      </c>
      <c r="F469" s="2" t="s">
        <v>263</v>
      </c>
      <c r="G469" s="1"/>
      <c r="H469" s="3" t="s">
        <v>737</v>
      </c>
    </row>
    <row r="470" spans="1:8" x14ac:dyDescent="0.25">
      <c r="A470" s="1" t="s">
        <v>262</v>
      </c>
      <c r="B470" s="1" t="s">
        <v>409</v>
      </c>
      <c r="C470" s="1" t="s">
        <v>425</v>
      </c>
      <c r="D470" s="1" t="s">
        <v>426</v>
      </c>
      <c r="E470" s="3" t="s">
        <v>730</v>
      </c>
      <c r="F470" s="2" t="s">
        <v>5786</v>
      </c>
      <c r="G470" s="1" t="s">
        <v>406</v>
      </c>
      <c r="H470" s="3" t="s">
        <v>732</v>
      </c>
    </row>
    <row r="471" spans="1:8" ht="30" x14ac:dyDescent="0.25">
      <c r="A471" s="1" t="s">
        <v>262</v>
      </c>
      <c r="B471" s="1" t="s">
        <v>409</v>
      </c>
      <c r="C471" s="1" t="s">
        <v>425</v>
      </c>
      <c r="D471" s="1" t="s">
        <v>426</v>
      </c>
      <c r="E471" s="3" t="s">
        <v>728</v>
      </c>
      <c r="F471" s="2" t="s">
        <v>5787</v>
      </c>
      <c r="G471" s="1"/>
      <c r="H471" s="3" t="s">
        <v>727</v>
      </c>
    </row>
    <row r="472" spans="1:8" ht="30" x14ac:dyDescent="0.25">
      <c r="A472" s="1" t="s">
        <v>262</v>
      </c>
      <c r="B472" s="1" t="s">
        <v>409</v>
      </c>
      <c r="C472" s="1" t="s">
        <v>425</v>
      </c>
      <c r="D472" s="1" t="s">
        <v>426</v>
      </c>
      <c r="E472" s="3" t="s">
        <v>318</v>
      </c>
      <c r="F472" s="2" t="s">
        <v>320</v>
      </c>
      <c r="G472" s="1"/>
      <c r="H472" s="3" t="s">
        <v>727</v>
      </c>
    </row>
    <row r="473" spans="1:8" x14ac:dyDescent="0.25">
      <c r="A473" s="1" t="s">
        <v>262</v>
      </c>
      <c r="B473" s="1" t="s">
        <v>409</v>
      </c>
      <c r="C473" s="1" t="s">
        <v>425</v>
      </c>
      <c r="D473" s="1" t="s">
        <v>426</v>
      </c>
      <c r="E473" s="3" t="s">
        <v>712</v>
      </c>
      <c r="F473" s="2" t="s">
        <v>5788</v>
      </c>
      <c r="G473" s="1"/>
      <c r="H473" s="3" t="s">
        <v>714</v>
      </c>
    </row>
    <row r="474" spans="1:8" x14ac:dyDescent="0.25">
      <c r="A474" s="1" t="s">
        <v>262</v>
      </c>
      <c r="B474" s="1" t="s">
        <v>409</v>
      </c>
      <c r="C474" s="1" t="s">
        <v>425</v>
      </c>
      <c r="D474" s="1" t="s">
        <v>426</v>
      </c>
      <c r="E474" s="3" t="s">
        <v>719</v>
      </c>
      <c r="F474" s="2" t="s">
        <v>5789</v>
      </c>
      <c r="G474" s="1"/>
      <c r="H474" s="3" t="s">
        <v>714</v>
      </c>
    </row>
    <row r="475" spans="1:8" x14ac:dyDescent="0.25">
      <c r="A475" s="1" t="s">
        <v>262</v>
      </c>
      <c r="B475" s="1" t="s">
        <v>409</v>
      </c>
      <c r="C475" s="1" t="s">
        <v>425</v>
      </c>
      <c r="D475" s="1" t="s">
        <v>426</v>
      </c>
      <c r="E475" s="3" t="s">
        <v>721</v>
      </c>
      <c r="F475" s="2" t="s">
        <v>5790</v>
      </c>
      <c r="G475" s="1"/>
      <c r="H475" s="3" t="s">
        <v>714</v>
      </c>
    </row>
    <row r="476" spans="1:8" x14ac:dyDescent="0.25">
      <c r="A476" s="1" t="s">
        <v>262</v>
      </c>
      <c r="B476" s="1" t="s">
        <v>409</v>
      </c>
      <c r="C476" s="1" t="s">
        <v>425</v>
      </c>
      <c r="D476" s="1" t="s">
        <v>426</v>
      </c>
      <c r="E476" s="3" t="s">
        <v>715</v>
      </c>
      <c r="F476" s="2" t="s">
        <v>5791</v>
      </c>
      <c r="G476" s="1"/>
      <c r="H476" s="3" t="s">
        <v>714</v>
      </c>
    </row>
    <row r="477" spans="1:8" x14ac:dyDescent="0.25">
      <c r="A477" s="1" t="s">
        <v>262</v>
      </c>
      <c r="B477" s="1" t="s">
        <v>409</v>
      </c>
      <c r="C477" s="1" t="s">
        <v>425</v>
      </c>
      <c r="D477" s="1" t="s">
        <v>426</v>
      </c>
      <c r="E477" s="3" t="s">
        <v>717</v>
      </c>
      <c r="F477" s="2" t="s">
        <v>5792</v>
      </c>
      <c r="G477" s="1"/>
      <c r="H477" s="3" t="s">
        <v>714</v>
      </c>
    </row>
    <row r="478" spans="1:8" x14ac:dyDescent="0.25">
      <c r="A478" s="1" t="s">
        <v>262</v>
      </c>
      <c r="B478" s="1" t="s">
        <v>409</v>
      </c>
      <c r="C478" s="1" t="s">
        <v>425</v>
      </c>
      <c r="D478" s="1" t="s">
        <v>426</v>
      </c>
      <c r="E478" s="3" t="s">
        <v>733</v>
      </c>
      <c r="F478" s="2" t="s">
        <v>5793</v>
      </c>
      <c r="G478" s="1"/>
      <c r="H478" s="3" t="s">
        <v>735</v>
      </c>
    </row>
    <row r="479" spans="1:8" x14ac:dyDescent="0.25">
      <c r="A479" s="1" t="s">
        <v>10</v>
      </c>
      <c r="B479" s="1" t="s">
        <v>424</v>
      </c>
      <c r="C479" s="1" t="s">
        <v>425</v>
      </c>
      <c r="D479" s="1" t="s">
        <v>426</v>
      </c>
      <c r="E479" s="3" t="s">
        <v>1985</v>
      </c>
      <c r="F479" s="2" t="s">
        <v>5794</v>
      </c>
      <c r="G479" s="1"/>
      <c r="H479" s="3" t="s">
        <v>1015</v>
      </c>
    </row>
    <row r="480" spans="1:8" ht="30" x14ac:dyDescent="0.25">
      <c r="A480" s="1" t="s">
        <v>10</v>
      </c>
      <c r="B480" s="1" t="s">
        <v>424</v>
      </c>
      <c r="C480" s="1" t="s">
        <v>425</v>
      </c>
      <c r="D480" s="1" t="s">
        <v>426</v>
      </c>
      <c r="E480" s="3" t="s">
        <v>6</v>
      </c>
      <c r="F480" s="2" t="s">
        <v>11</v>
      </c>
      <c r="G480" s="1"/>
      <c r="H480" s="3" t="s">
        <v>1988</v>
      </c>
    </row>
    <row r="481" spans="1:8" x14ac:dyDescent="0.25">
      <c r="A481" s="1" t="s">
        <v>2236</v>
      </c>
      <c r="B481" s="1" t="s">
        <v>437</v>
      </c>
      <c r="C481" s="1" t="s">
        <v>2237</v>
      </c>
      <c r="D481" s="1" t="s">
        <v>2238</v>
      </c>
      <c r="E481" s="3" t="s">
        <v>2257</v>
      </c>
      <c r="F481" s="2" t="s">
        <v>5795</v>
      </c>
      <c r="G481" s="1"/>
      <c r="H481" s="3" t="s">
        <v>2259</v>
      </c>
    </row>
    <row r="482" spans="1:8" ht="45" x14ac:dyDescent="0.25">
      <c r="A482" s="1" t="s">
        <v>2236</v>
      </c>
      <c r="B482" s="1" t="s">
        <v>437</v>
      </c>
      <c r="C482" s="1" t="s">
        <v>2237</v>
      </c>
      <c r="D482" s="1" t="s">
        <v>2238</v>
      </c>
      <c r="E482" s="3" t="s">
        <v>2242</v>
      </c>
      <c r="F482" s="2" t="s">
        <v>5796</v>
      </c>
      <c r="G482" s="1"/>
      <c r="H482" s="3" t="s">
        <v>2241</v>
      </c>
    </row>
    <row r="483" spans="1:8" ht="45" x14ac:dyDescent="0.25">
      <c r="A483" s="1" t="s">
        <v>2236</v>
      </c>
      <c r="B483" s="1" t="s">
        <v>437</v>
      </c>
      <c r="C483" s="1" t="s">
        <v>2237</v>
      </c>
      <c r="D483" s="1" t="s">
        <v>2238</v>
      </c>
      <c r="E483" s="3" t="s">
        <v>2239</v>
      </c>
      <c r="F483" s="2" t="s">
        <v>5797</v>
      </c>
      <c r="G483" s="1"/>
      <c r="H483" s="3" t="s">
        <v>2241</v>
      </c>
    </row>
    <row r="484" spans="1:8" x14ac:dyDescent="0.25">
      <c r="A484" s="1" t="s">
        <v>2236</v>
      </c>
      <c r="B484" s="1" t="s">
        <v>437</v>
      </c>
      <c r="C484" s="1" t="s">
        <v>2237</v>
      </c>
      <c r="D484" s="1" t="s">
        <v>2238</v>
      </c>
      <c r="E484" s="3" t="s">
        <v>2244</v>
      </c>
      <c r="F484" s="2" t="s">
        <v>5798</v>
      </c>
      <c r="G484" s="1"/>
      <c r="H484" s="3" t="s">
        <v>2246</v>
      </c>
    </row>
    <row r="485" spans="1:8" x14ac:dyDescent="0.25">
      <c r="A485" s="1" t="s">
        <v>2236</v>
      </c>
      <c r="B485" s="1" t="s">
        <v>437</v>
      </c>
      <c r="C485" s="1" t="s">
        <v>2237</v>
      </c>
      <c r="D485" s="1" t="s">
        <v>2238</v>
      </c>
      <c r="E485" s="3" t="s">
        <v>2254</v>
      </c>
      <c r="F485" s="2" t="s">
        <v>5799</v>
      </c>
      <c r="G485" s="1"/>
      <c r="H485" s="3" t="s">
        <v>2256</v>
      </c>
    </row>
    <row r="486" spans="1:8" ht="30" x14ac:dyDescent="0.25">
      <c r="A486" s="1" t="s">
        <v>2236</v>
      </c>
      <c r="B486" s="1" t="s">
        <v>437</v>
      </c>
      <c r="C486" s="1" t="s">
        <v>2237</v>
      </c>
      <c r="D486" s="1" t="s">
        <v>2238</v>
      </c>
      <c r="E486" s="3" t="s">
        <v>2252</v>
      </c>
      <c r="F486" s="2" t="s">
        <v>5800</v>
      </c>
      <c r="G486" s="1"/>
      <c r="H486" s="3" t="s">
        <v>2249</v>
      </c>
    </row>
    <row r="487" spans="1:8" ht="30" x14ac:dyDescent="0.25">
      <c r="A487" s="1" t="s">
        <v>2236</v>
      </c>
      <c r="B487" s="1" t="s">
        <v>437</v>
      </c>
      <c r="C487" s="1" t="s">
        <v>2237</v>
      </c>
      <c r="D487" s="1" t="s">
        <v>2238</v>
      </c>
      <c r="E487" s="3" t="s">
        <v>2250</v>
      </c>
      <c r="F487" s="2" t="s">
        <v>5801</v>
      </c>
      <c r="G487" s="1"/>
      <c r="H487" s="3" t="s">
        <v>2249</v>
      </c>
    </row>
    <row r="488" spans="1:8" ht="30" x14ac:dyDescent="0.25">
      <c r="A488" s="1" t="s">
        <v>2236</v>
      </c>
      <c r="B488" s="1" t="s">
        <v>437</v>
      </c>
      <c r="C488" s="1" t="s">
        <v>2237</v>
      </c>
      <c r="D488" s="1" t="s">
        <v>2238</v>
      </c>
      <c r="E488" s="3" t="s">
        <v>2247</v>
      </c>
      <c r="F488" s="2" t="s">
        <v>5802</v>
      </c>
      <c r="G488" s="1"/>
      <c r="H488" s="3" t="s">
        <v>2249</v>
      </c>
    </row>
    <row r="489" spans="1:8" x14ac:dyDescent="0.25">
      <c r="A489" s="1" t="s">
        <v>2534</v>
      </c>
      <c r="B489" s="1" t="s">
        <v>418</v>
      </c>
      <c r="C489" s="1" t="s">
        <v>495</v>
      </c>
      <c r="D489" s="1" t="s">
        <v>591</v>
      </c>
      <c r="E489" s="3" t="s">
        <v>2539</v>
      </c>
      <c r="F489" s="2" t="s">
        <v>5803</v>
      </c>
      <c r="G489" s="1"/>
      <c r="H489" s="3" t="s">
        <v>682</v>
      </c>
    </row>
    <row r="490" spans="1:8" x14ac:dyDescent="0.25">
      <c r="A490" s="1" t="s">
        <v>2534</v>
      </c>
      <c r="B490" s="1" t="s">
        <v>418</v>
      </c>
      <c r="C490" s="1" t="s">
        <v>495</v>
      </c>
      <c r="D490" s="1" t="s">
        <v>591</v>
      </c>
      <c r="E490" s="3" t="s">
        <v>2537</v>
      </c>
      <c r="F490" s="2" t="s">
        <v>5804</v>
      </c>
      <c r="G490" s="1"/>
      <c r="H490" s="3" t="s">
        <v>1813</v>
      </c>
    </row>
    <row r="491" spans="1:8" x14ac:dyDescent="0.25">
      <c r="A491" s="1" t="s">
        <v>2534</v>
      </c>
      <c r="B491" s="1" t="s">
        <v>418</v>
      </c>
      <c r="C491" s="1" t="s">
        <v>495</v>
      </c>
      <c r="D491" s="1" t="s">
        <v>591</v>
      </c>
      <c r="E491" s="3" t="s">
        <v>2535</v>
      </c>
      <c r="F491" s="2" t="s">
        <v>5805</v>
      </c>
      <c r="G491" s="1" t="s">
        <v>406</v>
      </c>
      <c r="H491" s="3" t="s">
        <v>309</v>
      </c>
    </row>
    <row r="492" spans="1:8" ht="30" x14ac:dyDescent="0.25">
      <c r="A492" s="1" t="s">
        <v>1115</v>
      </c>
      <c r="B492" s="1" t="s">
        <v>1116</v>
      </c>
      <c r="C492" s="1" t="s">
        <v>495</v>
      </c>
      <c r="D492" s="1" t="s">
        <v>1117</v>
      </c>
      <c r="E492" s="3" t="s">
        <v>1118</v>
      </c>
      <c r="F492" s="2"/>
      <c r="G492" s="1"/>
      <c r="H492" s="3" t="s">
        <v>1120</v>
      </c>
    </row>
    <row r="493" spans="1:8" ht="30" x14ac:dyDescent="0.25">
      <c r="A493" s="1" t="s">
        <v>1115</v>
      </c>
      <c r="B493" s="1" t="s">
        <v>1116</v>
      </c>
      <c r="C493" s="1" t="s">
        <v>495</v>
      </c>
      <c r="D493" s="1" t="s">
        <v>1117</v>
      </c>
      <c r="E493" s="3" t="s">
        <v>1121</v>
      </c>
      <c r="F493" s="2"/>
      <c r="G493" s="1"/>
      <c r="H493" s="3" t="s">
        <v>1120</v>
      </c>
    </row>
    <row r="494" spans="1:8" x14ac:dyDescent="0.25">
      <c r="A494" s="1" t="s">
        <v>1545</v>
      </c>
      <c r="B494" s="1" t="s">
        <v>418</v>
      </c>
      <c r="C494" s="1" t="s">
        <v>1546</v>
      </c>
      <c r="D494" s="1" t="s">
        <v>805</v>
      </c>
      <c r="E494" s="3" t="s">
        <v>1547</v>
      </c>
      <c r="F494" s="2" t="s">
        <v>5806</v>
      </c>
      <c r="G494" s="1"/>
      <c r="H494" s="3" t="s">
        <v>682</v>
      </c>
    </row>
    <row r="495" spans="1:8" x14ac:dyDescent="0.25">
      <c r="A495" s="1" t="s">
        <v>1596</v>
      </c>
      <c r="B495" s="1" t="s">
        <v>446</v>
      </c>
      <c r="C495" s="1" t="s">
        <v>1546</v>
      </c>
      <c r="D495" s="1" t="s">
        <v>805</v>
      </c>
      <c r="E495" s="3" t="s">
        <v>1601</v>
      </c>
      <c r="F495" s="2" t="s">
        <v>5807</v>
      </c>
      <c r="G495" s="1"/>
      <c r="H495" s="3" t="s">
        <v>682</v>
      </c>
    </row>
    <row r="496" spans="1:8" ht="30" x14ac:dyDescent="0.25">
      <c r="A496" s="1" t="s">
        <v>1596</v>
      </c>
      <c r="B496" s="1" t="s">
        <v>446</v>
      </c>
      <c r="C496" s="1" t="s">
        <v>1546</v>
      </c>
      <c r="D496" s="1" t="s">
        <v>805</v>
      </c>
      <c r="E496" s="3" t="s">
        <v>1599</v>
      </c>
      <c r="F496" s="2" t="s">
        <v>5808</v>
      </c>
      <c r="G496" s="1" t="s">
        <v>406</v>
      </c>
      <c r="H496" s="3" t="s">
        <v>1600</v>
      </c>
    </row>
    <row r="497" spans="1:8" x14ac:dyDescent="0.25">
      <c r="A497" s="1" t="s">
        <v>1596</v>
      </c>
      <c r="B497" s="1" t="s">
        <v>446</v>
      </c>
      <c r="C497" s="1" t="s">
        <v>1546</v>
      </c>
      <c r="D497" s="1" t="s">
        <v>805</v>
      </c>
      <c r="E497" s="3" t="s">
        <v>1597</v>
      </c>
      <c r="F497" s="2" t="s">
        <v>5809</v>
      </c>
      <c r="G497" s="1"/>
      <c r="H497" s="3" t="s">
        <v>1598</v>
      </c>
    </row>
    <row r="498" spans="1:8" x14ac:dyDescent="0.25">
      <c r="A498" s="1" t="s">
        <v>3355</v>
      </c>
      <c r="B498" s="1" t="s">
        <v>418</v>
      </c>
      <c r="C498" s="1" t="s">
        <v>1546</v>
      </c>
      <c r="D498" s="1" t="s">
        <v>805</v>
      </c>
      <c r="E498" s="3" t="s">
        <v>3358</v>
      </c>
      <c r="F498" s="2" t="s">
        <v>5810</v>
      </c>
      <c r="G498" s="1"/>
      <c r="H498" s="3" t="s">
        <v>682</v>
      </c>
    </row>
    <row r="499" spans="1:8" x14ac:dyDescent="0.25">
      <c r="A499" s="1" t="s">
        <v>3355</v>
      </c>
      <c r="B499" s="1" t="s">
        <v>418</v>
      </c>
      <c r="C499" s="1" t="s">
        <v>1546</v>
      </c>
      <c r="D499" s="1" t="s">
        <v>805</v>
      </c>
      <c r="E499" s="3" t="s">
        <v>3356</v>
      </c>
      <c r="F499" s="2" t="s">
        <v>5811</v>
      </c>
      <c r="G499" s="1"/>
      <c r="H499" s="3" t="s">
        <v>561</v>
      </c>
    </row>
    <row r="500" spans="1:8" x14ac:dyDescent="0.25">
      <c r="A500" s="1" t="s">
        <v>132</v>
      </c>
      <c r="B500" s="1" t="s">
        <v>418</v>
      </c>
      <c r="C500" s="1" t="s">
        <v>498</v>
      </c>
      <c r="D500" s="1" t="s">
        <v>499</v>
      </c>
      <c r="E500" s="3" t="s">
        <v>172</v>
      </c>
      <c r="F500" s="2" t="s">
        <v>174</v>
      </c>
      <c r="G500" s="1" t="s">
        <v>525</v>
      </c>
      <c r="H500" s="3" t="s">
        <v>56</v>
      </c>
    </row>
    <row r="501" spans="1:8" x14ac:dyDescent="0.25">
      <c r="A501" s="1" t="s">
        <v>132</v>
      </c>
      <c r="B501" s="1" t="s">
        <v>418</v>
      </c>
      <c r="C501" s="1" t="s">
        <v>498</v>
      </c>
      <c r="D501" s="1" t="s">
        <v>499</v>
      </c>
      <c r="E501" s="3" t="s">
        <v>1805</v>
      </c>
      <c r="F501" s="2" t="s">
        <v>5812</v>
      </c>
      <c r="G501" s="1" t="s">
        <v>576</v>
      </c>
      <c r="H501" s="3" t="s">
        <v>250</v>
      </c>
    </row>
    <row r="502" spans="1:8" x14ac:dyDescent="0.25">
      <c r="A502" s="1" t="s">
        <v>132</v>
      </c>
      <c r="B502" s="1" t="s">
        <v>418</v>
      </c>
      <c r="C502" s="1" t="s">
        <v>498</v>
      </c>
      <c r="D502" s="1" t="s">
        <v>499</v>
      </c>
      <c r="E502" s="3" t="s">
        <v>1807</v>
      </c>
      <c r="F502" s="2" t="s">
        <v>5813</v>
      </c>
      <c r="G502" s="1" t="s">
        <v>576</v>
      </c>
      <c r="H502" s="3" t="s">
        <v>250</v>
      </c>
    </row>
    <row r="503" spans="1:8" x14ac:dyDescent="0.25">
      <c r="A503" s="1" t="s">
        <v>132</v>
      </c>
      <c r="B503" s="1" t="s">
        <v>418</v>
      </c>
      <c r="C503" s="1" t="s">
        <v>498</v>
      </c>
      <c r="D503" s="1" t="s">
        <v>499</v>
      </c>
      <c r="E503" s="3" t="s">
        <v>355</v>
      </c>
      <c r="F503" s="2" t="s">
        <v>356</v>
      </c>
      <c r="G503" s="1" t="s">
        <v>576</v>
      </c>
      <c r="H503" s="3" t="s">
        <v>250</v>
      </c>
    </row>
    <row r="504" spans="1:8" x14ac:dyDescent="0.25">
      <c r="A504" s="1" t="s">
        <v>132</v>
      </c>
      <c r="B504" s="1" t="s">
        <v>418</v>
      </c>
      <c r="C504" s="1" t="s">
        <v>498</v>
      </c>
      <c r="D504" s="1" t="s">
        <v>499</v>
      </c>
      <c r="E504" s="3" t="s">
        <v>362</v>
      </c>
      <c r="F504" s="2" t="s">
        <v>363</v>
      </c>
      <c r="G504" s="1" t="s">
        <v>413</v>
      </c>
      <c r="H504" s="3" t="s">
        <v>1</v>
      </c>
    </row>
    <row r="505" spans="1:8" x14ac:dyDescent="0.25">
      <c r="A505" s="1" t="s">
        <v>132</v>
      </c>
      <c r="B505" s="1" t="s">
        <v>418</v>
      </c>
      <c r="C505" s="1" t="s">
        <v>498</v>
      </c>
      <c r="D505" s="1" t="s">
        <v>499</v>
      </c>
      <c r="E505" s="3" t="s">
        <v>131</v>
      </c>
      <c r="F505" s="2" t="s">
        <v>133</v>
      </c>
      <c r="G505" s="1"/>
      <c r="H505" s="3" t="s">
        <v>1813</v>
      </c>
    </row>
    <row r="506" spans="1:8" ht="30" x14ac:dyDescent="0.25">
      <c r="A506" s="1" t="s">
        <v>270</v>
      </c>
      <c r="B506" s="1" t="s">
        <v>574</v>
      </c>
      <c r="C506" s="1" t="s">
        <v>575</v>
      </c>
      <c r="D506" s="1" t="s">
        <v>499</v>
      </c>
      <c r="E506" s="3" t="s">
        <v>1897</v>
      </c>
      <c r="F506" s="2" t="s">
        <v>5814</v>
      </c>
      <c r="G506" s="1" t="s">
        <v>576</v>
      </c>
      <c r="H506" s="3" t="s">
        <v>1899</v>
      </c>
    </row>
    <row r="507" spans="1:8" ht="30" x14ac:dyDescent="0.25">
      <c r="A507" s="1" t="s">
        <v>270</v>
      </c>
      <c r="B507" s="1" t="s">
        <v>574</v>
      </c>
      <c r="C507" s="1" t="s">
        <v>575</v>
      </c>
      <c r="D507" s="1" t="s">
        <v>499</v>
      </c>
      <c r="E507" s="3" t="s">
        <v>268</v>
      </c>
      <c r="F507" s="2" t="s">
        <v>271</v>
      </c>
      <c r="G507" s="1" t="s">
        <v>576</v>
      </c>
      <c r="H507" s="3" t="s">
        <v>1899</v>
      </c>
    </row>
    <row r="508" spans="1:8" ht="30" x14ac:dyDescent="0.25">
      <c r="A508" s="1" t="s">
        <v>270</v>
      </c>
      <c r="B508" s="1" t="s">
        <v>574</v>
      </c>
      <c r="C508" s="1" t="s">
        <v>575</v>
      </c>
      <c r="D508" s="1" t="s">
        <v>499</v>
      </c>
      <c r="E508" s="3" t="s">
        <v>295</v>
      </c>
      <c r="F508" s="2" t="s">
        <v>5815</v>
      </c>
      <c r="G508" s="1" t="s">
        <v>576</v>
      </c>
      <c r="H508" s="3" t="s">
        <v>1899</v>
      </c>
    </row>
    <row r="509" spans="1:8" x14ac:dyDescent="0.25">
      <c r="A509" s="1" t="s">
        <v>270</v>
      </c>
      <c r="B509" s="1" t="s">
        <v>574</v>
      </c>
      <c r="C509" s="1" t="s">
        <v>575</v>
      </c>
      <c r="D509" s="1" t="s">
        <v>499</v>
      </c>
      <c r="E509" s="3" t="s">
        <v>1902</v>
      </c>
      <c r="F509" s="2" t="s">
        <v>5816</v>
      </c>
      <c r="G509" s="1"/>
      <c r="H509" s="3" t="s">
        <v>1903</v>
      </c>
    </row>
    <row r="510" spans="1:8" x14ac:dyDescent="0.25">
      <c r="A510" s="1" t="s">
        <v>2389</v>
      </c>
      <c r="B510" s="1" t="s">
        <v>457</v>
      </c>
      <c r="C510" s="1" t="s">
        <v>2390</v>
      </c>
      <c r="D510" s="1" t="s">
        <v>499</v>
      </c>
      <c r="E510" s="3" t="s">
        <v>2397</v>
      </c>
      <c r="F510" s="2" t="s">
        <v>5817</v>
      </c>
      <c r="G510" s="1"/>
      <c r="H510" s="3" t="s">
        <v>554</v>
      </c>
    </row>
    <row r="511" spans="1:8" x14ac:dyDescent="0.25">
      <c r="A511" s="1" t="s">
        <v>2389</v>
      </c>
      <c r="B511" s="1" t="s">
        <v>457</v>
      </c>
      <c r="C511" s="1" t="s">
        <v>2390</v>
      </c>
      <c r="D511" s="1" t="s">
        <v>499</v>
      </c>
      <c r="E511" s="3" t="s">
        <v>2395</v>
      </c>
      <c r="F511" s="2" t="s">
        <v>5818</v>
      </c>
      <c r="G511" s="1"/>
      <c r="H511" s="3" t="s">
        <v>554</v>
      </c>
    </row>
    <row r="512" spans="1:8" x14ac:dyDescent="0.25">
      <c r="A512" s="1" t="s">
        <v>2389</v>
      </c>
      <c r="B512" s="1" t="s">
        <v>457</v>
      </c>
      <c r="C512" s="1" t="s">
        <v>2390</v>
      </c>
      <c r="D512" s="1" t="s">
        <v>499</v>
      </c>
      <c r="E512" s="3" t="s">
        <v>2393</v>
      </c>
      <c r="F512" s="2" t="s">
        <v>5819</v>
      </c>
      <c r="G512" s="1"/>
      <c r="H512" s="3" t="s">
        <v>63</v>
      </c>
    </row>
    <row r="513" spans="1:8" x14ac:dyDescent="0.25">
      <c r="A513" s="1" t="s">
        <v>2389</v>
      </c>
      <c r="B513" s="1" t="s">
        <v>457</v>
      </c>
      <c r="C513" s="1" t="s">
        <v>2390</v>
      </c>
      <c r="D513" s="1" t="s">
        <v>499</v>
      </c>
      <c r="E513" s="3" t="s">
        <v>2391</v>
      </c>
      <c r="F513" s="2" t="s">
        <v>5820</v>
      </c>
      <c r="G513" s="1" t="s">
        <v>406</v>
      </c>
      <c r="H513" s="3" t="s">
        <v>597</v>
      </c>
    </row>
    <row r="514" spans="1:8" x14ac:dyDescent="0.25">
      <c r="A514" s="1" t="s">
        <v>3616</v>
      </c>
      <c r="B514" s="1" t="s">
        <v>457</v>
      </c>
      <c r="C514" s="1" t="s">
        <v>3204</v>
      </c>
      <c r="D514" s="1" t="s">
        <v>499</v>
      </c>
      <c r="E514" s="3" t="s">
        <v>3617</v>
      </c>
      <c r="F514" s="2" t="s">
        <v>5821</v>
      </c>
      <c r="G514" s="1"/>
      <c r="H514" s="3" t="s">
        <v>63</v>
      </c>
    </row>
    <row r="515" spans="1:8" x14ac:dyDescent="0.25">
      <c r="A515" s="1" t="s">
        <v>3616</v>
      </c>
      <c r="B515" s="1" t="s">
        <v>457</v>
      </c>
      <c r="C515" s="1" t="s">
        <v>3204</v>
      </c>
      <c r="D515" s="1" t="s">
        <v>499</v>
      </c>
      <c r="E515" s="3" t="s">
        <v>3619</v>
      </c>
      <c r="F515" s="2" t="s">
        <v>5822</v>
      </c>
      <c r="G515" s="1"/>
      <c r="H515" s="3" t="s">
        <v>554</v>
      </c>
    </row>
    <row r="516" spans="1:8" x14ac:dyDescent="0.25">
      <c r="A516" s="1" t="s">
        <v>3616</v>
      </c>
      <c r="B516" s="1" t="s">
        <v>457</v>
      </c>
      <c r="C516" s="1" t="s">
        <v>3204</v>
      </c>
      <c r="D516" s="1" t="s">
        <v>499</v>
      </c>
      <c r="E516" s="3" t="s">
        <v>3621</v>
      </c>
      <c r="F516" s="2" t="s">
        <v>5823</v>
      </c>
      <c r="G516" s="1"/>
      <c r="H516" s="3" t="s">
        <v>554</v>
      </c>
    </row>
    <row r="517" spans="1:8" x14ac:dyDescent="0.25">
      <c r="A517" s="1" t="s">
        <v>3616</v>
      </c>
      <c r="B517" s="1" t="s">
        <v>457</v>
      </c>
      <c r="C517" s="1" t="s">
        <v>3204</v>
      </c>
      <c r="D517" s="1" t="s">
        <v>499</v>
      </c>
      <c r="E517" s="3" t="s">
        <v>3618</v>
      </c>
      <c r="F517" s="2" t="s">
        <v>5824</v>
      </c>
      <c r="G517" s="1"/>
      <c r="H517" s="3" t="s">
        <v>554</v>
      </c>
    </row>
    <row r="518" spans="1:8" x14ac:dyDescent="0.25">
      <c r="A518" s="1" t="s">
        <v>3616</v>
      </c>
      <c r="B518" s="1" t="s">
        <v>457</v>
      </c>
      <c r="C518" s="1" t="s">
        <v>3204</v>
      </c>
      <c r="D518" s="1" t="s">
        <v>499</v>
      </c>
      <c r="E518" s="3" t="s">
        <v>3620</v>
      </c>
      <c r="F518" s="2" t="s">
        <v>5822</v>
      </c>
      <c r="G518" s="1"/>
      <c r="H518" s="3" t="s">
        <v>554</v>
      </c>
    </row>
    <row r="519" spans="1:8" ht="30" x14ac:dyDescent="0.25">
      <c r="A519" s="1" t="s">
        <v>4088</v>
      </c>
      <c r="B519" s="1" t="s">
        <v>531</v>
      </c>
      <c r="C519" s="1" t="s">
        <v>2390</v>
      </c>
      <c r="D519" s="1" t="s">
        <v>499</v>
      </c>
      <c r="E519" s="3" t="s">
        <v>4089</v>
      </c>
      <c r="F519" s="2" t="s">
        <v>5825</v>
      </c>
      <c r="G519" s="1"/>
      <c r="H519" s="3" t="s">
        <v>4091</v>
      </c>
    </row>
    <row r="520" spans="1:8" x14ac:dyDescent="0.25">
      <c r="A520" s="1" t="s">
        <v>2413</v>
      </c>
      <c r="B520" s="1" t="s">
        <v>418</v>
      </c>
      <c r="C520" s="1" t="s">
        <v>482</v>
      </c>
      <c r="D520" s="1" t="s">
        <v>2416</v>
      </c>
      <c r="E520" s="3" t="s">
        <v>2415</v>
      </c>
      <c r="F520" s="2" t="s">
        <v>5826</v>
      </c>
      <c r="G520" s="1"/>
      <c r="H520" s="3" t="s">
        <v>682</v>
      </c>
    </row>
    <row r="521" spans="1:8" x14ac:dyDescent="0.25">
      <c r="A521" s="1" t="s">
        <v>1436</v>
      </c>
      <c r="B521" s="1" t="s">
        <v>418</v>
      </c>
      <c r="C521" s="1" t="s">
        <v>487</v>
      </c>
      <c r="D521" s="1" t="s">
        <v>466</v>
      </c>
      <c r="E521" s="3" t="s">
        <v>1444</v>
      </c>
      <c r="F521" s="2" t="s">
        <v>5827</v>
      </c>
      <c r="G521" s="1"/>
      <c r="H521" s="3" t="s">
        <v>1443</v>
      </c>
    </row>
    <row r="522" spans="1:8" x14ac:dyDescent="0.25">
      <c r="A522" s="1" t="s">
        <v>1436</v>
      </c>
      <c r="B522" s="1" t="s">
        <v>418</v>
      </c>
      <c r="C522" s="1" t="s">
        <v>487</v>
      </c>
      <c r="D522" s="1" t="s">
        <v>466</v>
      </c>
      <c r="E522" s="3" t="s">
        <v>1441</v>
      </c>
      <c r="F522" s="2" t="s">
        <v>5828</v>
      </c>
      <c r="G522" s="1"/>
      <c r="H522" s="3" t="s">
        <v>1443</v>
      </c>
    </row>
    <row r="523" spans="1:8" x14ac:dyDescent="0.25">
      <c r="A523" s="1" t="s">
        <v>1436</v>
      </c>
      <c r="B523" s="1" t="s">
        <v>418</v>
      </c>
      <c r="C523" s="1" t="s">
        <v>487</v>
      </c>
      <c r="D523" s="1" t="s">
        <v>466</v>
      </c>
      <c r="E523" s="3" t="s">
        <v>1446</v>
      </c>
      <c r="F523" s="2" t="s">
        <v>5829</v>
      </c>
      <c r="G523" s="1"/>
      <c r="H523" s="3" t="s">
        <v>192</v>
      </c>
    </row>
    <row r="524" spans="1:8" x14ac:dyDescent="0.25">
      <c r="A524" s="1" t="s">
        <v>1436</v>
      </c>
      <c r="B524" s="1" t="s">
        <v>418</v>
      </c>
      <c r="C524" s="1" t="s">
        <v>487</v>
      </c>
      <c r="D524" s="1" t="s">
        <v>466</v>
      </c>
      <c r="E524" s="3" t="s">
        <v>1437</v>
      </c>
      <c r="F524" s="2" t="s">
        <v>5830</v>
      </c>
      <c r="G524" s="1"/>
      <c r="H524" s="3" t="s">
        <v>597</v>
      </c>
    </row>
    <row r="525" spans="1:8" x14ac:dyDescent="0.25">
      <c r="A525" s="1" t="s">
        <v>1436</v>
      </c>
      <c r="B525" s="1" t="s">
        <v>418</v>
      </c>
      <c r="C525" s="1" t="s">
        <v>487</v>
      </c>
      <c r="D525" s="1" t="s">
        <v>466</v>
      </c>
      <c r="E525" s="3" t="s">
        <v>1439</v>
      </c>
      <c r="F525" s="2" t="s">
        <v>5831</v>
      </c>
      <c r="G525" s="1"/>
      <c r="H525" s="3" t="s">
        <v>63</v>
      </c>
    </row>
    <row r="526" spans="1:8" x14ac:dyDescent="0.25">
      <c r="A526" s="1" t="s">
        <v>98</v>
      </c>
      <c r="B526" s="1" t="s">
        <v>418</v>
      </c>
      <c r="C526" s="1" t="s">
        <v>487</v>
      </c>
      <c r="D526" s="1" t="s">
        <v>466</v>
      </c>
      <c r="E526" s="3" t="s">
        <v>1625</v>
      </c>
      <c r="F526" s="2" t="s">
        <v>5832</v>
      </c>
      <c r="G526" s="1"/>
      <c r="H526" s="3" t="s">
        <v>682</v>
      </c>
    </row>
    <row r="527" spans="1:8" x14ac:dyDescent="0.25">
      <c r="A527" s="1" t="s">
        <v>98</v>
      </c>
      <c r="B527" s="1" t="s">
        <v>418</v>
      </c>
      <c r="C527" s="1" t="s">
        <v>487</v>
      </c>
      <c r="D527" s="1" t="s">
        <v>466</v>
      </c>
      <c r="E527" s="3" t="s">
        <v>1623</v>
      </c>
      <c r="F527" s="2" t="s">
        <v>5833</v>
      </c>
      <c r="G527" s="1"/>
      <c r="H527" s="3" t="s">
        <v>63</v>
      </c>
    </row>
    <row r="528" spans="1:8" x14ac:dyDescent="0.25">
      <c r="A528" s="1" t="s">
        <v>98</v>
      </c>
      <c r="B528" s="1" t="s">
        <v>418</v>
      </c>
      <c r="C528" s="1" t="s">
        <v>487</v>
      </c>
      <c r="D528" s="1" t="s">
        <v>466</v>
      </c>
      <c r="E528" s="3" t="s">
        <v>1620</v>
      </c>
      <c r="F528" s="2" t="s">
        <v>5834</v>
      </c>
      <c r="G528" s="1" t="s">
        <v>406</v>
      </c>
      <c r="H528" s="3" t="s">
        <v>56</v>
      </c>
    </row>
    <row r="529" spans="1:8" x14ac:dyDescent="0.25">
      <c r="A529" s="1" t="s">
        <v>98</v>
      </c>
      <c r="B529" s="1" t="s">
        <v>418</v>
      </c>
      <c r="C529" s="1" t="s">
        <v>487</v>
      </c>
      <c r="D529" s="1" t="s">
        <v>466</v>
      </c>
      <c r="E529" s="3" t="s">
        <v>1621</v>
      </c>
      <c r="F529" s="2" t="s">
        <v>5835</v>
      </c>
      <c r="G529" s="1" t="s">
        <v>406</v>
      </c>
      <c r="H529" s="3" t="s">
        <v>56</v>
      </c>
    </row>
    <row r="530" spans="1:8" x14ac:dyDescent="0.25">
      <c r="A530" s="1" t="s">
        <v>98</v>
      </c>
      <c r="B530" s="1" t="s">
        <v>418</v>
      </c>
      <c r="C530" s="1" t="s">
        <v>487</v>
      </c>
      <c r="D530" s="1" t="s">
        <v>466</v>
      </c>
      <c r="E530" s="3" t="s">
        <v>1622</v>
      </c>
      <c r="F530" s="2" t="s">
        <v>5836</v>
      </c>
      <c r="G530" s="1" t="s">
        <v>406</v>
      </c>
      <c r="H530" s="3" t="s">
        <v>56</v>
      </c>
    </row>
    <row r="531" spans="1:8" x14ac:dyDescent="0.25">
      <c r="A531" s="1" t="s">
        <v>98</v>
      </c>
      <c r="B531" s="1" t="s">
        <v>418</v>
      </c>
      <c r="C531" s="1" t="s">
        <v>487</v>
      </c>
      <c r="D531" s="1" t="s">
        <v>466</v>
      </c>
      <c r="E531" s="3" t="s">
        <v>1624</v>
      </c>
      <c r="F531" s="2" t="s">
        <v>5837</v>
      </c>
      <c r="G531" s="1" t="s">
        <v>413</v>
      </c>
      <c r="H531" s="3" t="s">
        <v>1204</v>
      </c>
    </row>
    <row r="532" spans="1:8" x14ac:dyDescent="0.25">
      <c r="A532" s="1" t="s">
        <v>98</v>
      </c>
      <c r="B532" s="1" t="s">
        <v>418</v>
      </c>
      <c r="C532" s="1" t="s">
        <v>487</v>
      </c>
      <c r="D532" s="1" t="s">
        <v>466</v>
      </c>
      <c r="E532" s="3" t="s">
        <v>94</v>
      </c>
      <c r="F532" s="2" t="s">
        <v>99</v>
      </c>
      <c r="G532" s="1"/>
      <c r="H532" s="3" t="s">
        <v>7</v>
      </c>
    </row>
    <row r="533" spans="1:8" ht="30" x14ac:dyDescent="0.25">
      <c r="A533" s="1" t="s">
        <v>120</v>
      </c>
      <c r="B533" s="1" t="s">
        <v>496</v>
      </c>
      <c r="C533" s="1" t="s">
        <v>482</v>
      </c>
      <c r="D533" s="1" t="s">
        <v>466</v>
      </c>
      <c r="E533" s="3" t="s">
        <v>2215</v>
      </c>
      <c r="F533" s="2" t="s">
        <v>5838</v>
      </c>
      <c r="G533" s="1"/>
      <c r="H533" s="3" t="s">
        <v>2217</v>
      </c>
    </row>
    <row r="534" spans="1:8" ht="30" x14ac:dyDescent="0.25">
      <c r="A534" s="1" t="s">
        <v>120</v>
      </c>
      <c r="B534" s="1" t="s">
        <v>496</v>
      </c>
      <c r="C534" s="1" t="s">
        <v>482</v>
      </c>
      <c r="D534" s="1" t="s">
        <v>466</v>
      </c>
      <c r="E534" s="3" t="s">
        <v>118</v>
      </c>
      <c r="F534" s="2" t="s">
        <v>121</v>
      </c>
      <c r="G534" s="1"/>
      <c r="H534" s="3" t="s">
        <v>2218</v>
      </c>
    </row>
    <row r="535" spans="1:8" ht="30" x14ac:dyDescent="0.25">
      <c r="A535" s="1" t="s">
        <v>120</v>
      </c>
      <c r="B535" s="1" t="s">
        <v>496</v>
      </c>
      <c r="C535" s="1" t="s">
        <v>482</v>
      </c>
      <c r="D535" s="1" t="s">
        <v>466</v>
      </c>
      <c r="E535" s="3" t="s">
        <v>327</v>
      </c>
      <c r="F535" s="2" t="s">
        <v>331</v>
      </c>
      <c r="G535" s="1"/>
      <c r="H535" s="3" t="s">
        <v>2218</v>
      </c>
    </row>
    <row r="536" spans="1:8" ht="30" x14ac:dyDescent="0.25">
      <c r="A536" s="1" t="s">
        <v>120</v>
      </c>
      <c r="B536" s="1" t="s">
        <v>496</v>
      </c>
      <c r="C536" s="1" t="s">
        <v>482</v>
      </c>
      <c r="D536" s="1" t="s">
        <v>466</v>
      </c>
      <c r="E536" s="3" t="s">
        <v>249</v>
      </c>
      <c r="F536" s="2" t="s">
        <v>251</v>
      </c>
      <c r="G536" s="1" t="s">
        <v>413</v>
      </c>
      <c r="H536" s="3" t="s">
        <v>2214</v>
      </c>
    </row>
    <row r="537" spans="1:8" x14ac:dyDescent="0.25">
      <c r="A537" s="1" t="s">
        <v>2832</v>
      </c>
      <c r="B537" s="1" t="s">
        <v>418</v>
      </c>
      <c r="C537" s="1" t="s">
        <v>2833</v>
      </c>
      <c r="D537" s="1" t="s">
        <v>466</v>
      </c>
      <c r="E537" s="3" t="s">
        <v>2834</v>
      </c>
      <c r="F537" s="2" t="s">
        <v>5839</v>
      </c>
      <c r="G537" s="1" t="s">
        <v>1651</v>
      </c>
      <c r="H537" s="3" t="s">
        <v>849</v>
      </c>
    </row>
    <row r="538" spans="1:8" x14ac:dyDescent="0.25">
      <c r="A538" s="1" t="s">
        <v>2832</v>
      </c>
      <c r="B538" s="1" t="s">
        <v>418</v>
      </c>
      <c r="C538" s="1" t="s">
        <v>2833</v>
      </c>
      <c r="D538" s="1" t="s">
        <v>466</v>
      </c>
      <c r="E538" s="3" t="s">
        <v>2836</v>
      </c>
      <c r="F538" s="2" t="s">
        <v>5840</v>
      </c>
      <c r="G538" s="1"/>
      <c r="H538" s="3" t="s">
        <v>63</v>
      </c>
    </row>
    <row r="539" spans="1:8" x14ac:dyDescent="0.25">
      <c r="A539" s="1" t="s">
        <v>2832</v>
      </c>
      <c r="B539" s="1" t="s">
        <v>418</v>
      </c>
      <c r="C539" s="1" t="s">
        <v>2833</v>
      </c>
      <c r="D539" s="1" t="s">
        <v>466</v>
      </c>
      <c r="E539" s="3" t="s">
        <v>2838</v>
      </c>
      <c r="F539" s="2" t="s">
        <v>5841</v>
      </c>
      <c r="G539" s="1"/>
      <c r="H539" s="3" t="s">
        <v>1204</v>
      </c>
    </row>
    <row r="540" spans="1:8" x14ac:dyDescent="0.25">
      <c r="A540" s="1" t="s">
        <v>2832</v>
      </c>
      <c r="B540" s="1" t="s">
        <v>418</v>
      </c>
      <c r="C540" s="1" t="s">
        <v>2833</v>
      </c>
      <c r="D540" s="1" t="s">
        <v>466</v>
      </c>
      <c r="E540" s="3" t="s">
        <v>2840</v>
      </c>
      <c r="F540" s="2" t="s">
        <v>5842</v>
      </c>
      <c r="G540" s="1"/>
      <c r="H540" s="3" t="s">
        <v>1204</v>
      </c>
    </row>
    <row r="541" spans="1:8" x14ac:dyDescent="0.25">
      <c r="A541" s="1" t="s">
        <v>382</v>
      </c>
      <c r="B541" s="1" t="s">
        <v>465</v>
      </c>
      <c r="C541" s="1" t="s">
        <v>541</v>
      </c>
      <c r="D541" s="1" t="s">
        <v>611</v>
      </c>
      <c r="E541" s="3" t="s">
        <v>1626</v>
      </c>
      <c r="F541" s="2" t="s">
        <v>5843</v>
      </c>
      <c r="G541" s="1" t="s">
        <v>413</v>
      </c>
      <c r="H541" s="3" t="s">
        <v>1628</v>
      </c>
    </row>
    <row r="542" spans="1:8" x14ac:dyDescent="0.25">
      <c r="A542" s="1" t="s">
        <v>382</v>
      </c>
      <c r="B542" s="1" t="s">
        <v>465</v>
      </c>
      <c r="C542" s="1" t="s">
        <v>541</v>
      </c>
      <c r="D542" s="1" t="s">
        <v>611</v>
      </c>
      <c r="E542" s="3" t="s">
        <v>378</v>
      </c>
      <c r="F542" s="2" t="s">
        <v>383</v>
      </c>
      <c r="G542" s="1" t="s">
        <v>413</v>
      </c>
      <c r="H542" s="3" t="s">
        <v>1630</v>
      </c>
    </row>
    <row r="543" spans="1:8" x14ac:dyDescent="0.25">
      <c r="A543" s="1" t="s">
        <v>74</v>
      </c>
      <c r="B543" s="1" t="s">
        <v>457</v>
      </c>
      <c r="C543" s="1" t="s">
        <v>472</v>
      </c>
      <c r="D543" s="1" t="s">
        <v>473</v>
      </c>
      <c r="E543" s="3" t="s">
        <v>2565</v>
      </c>
      <c r="F543" s="2" t="s">
        <v>5844</v>
      </c>
      <c r="G543" s="1"/>
      <c r="H543" s="3" t="s">
        <v>63</v>
      </c>
    </row>
    <row r="544" spans="1:8" x14ac:dyDescent="0.25">
      <c r="A544" s="1" t="s">
        <v>74</v>
      </c>
      <c r="B544" s="1" t="s">
        <v>457</v>
      </c>
      <c r="C544" s="1" t="s">
        <v>472</v>
      </c>
      <c r="D544" s="1" t="s">
        <v>473</v>
      </c>
      <c r="E544" s="3" t="s">
        <v>2568</v>
      </c>
      <c r="F544" s="2" t="s">
        <v>5845</v>
      </c>
      <c r="G544" s="1"/>
      <c r="H544" s="3" t="s">
        <v>554</v>
      </c>
    </row>
    <row r="545" spans="1:8" x14ac:dyDescent="0.25">
      <c r="A545" s="1" t="s">
        <v>74</v>
      </c>
      <c r="B545" s="1" t="s">
        <v>457</v>
      </c>
      <c r="C545" s="1" t="s">
        <v>472</v>
      </c>
      <c r="D545" s="1" t="s">
        <v>473</v>
      </c>
      <c r="E545" s="3" t="s">
        <v>2566</v>
      </c>
      <c r="F545" s="2" t="s">
        <v>5846</v>
      </c>
      <c r="G545" s="1"/>
      <c r="H545" s="3" t="s">
        <v>554</v>
      </c>
    </row>
    <row r="546" spans="1:8" x14ac:dyDescent="0.25">
      <c r="A546" s="1" t="s">
        <v>74</v>
      </c>
      <c r="B546" s="1" t="s">
        <v>457</v>
      </c>
      <c r="C546" s="1" t="s">
        <v>472</v>
      </c>
      <c r="D546" s="1" t="s">
        <v>473</v>
      </c>
      <c r="E546" s="3" t="s">
        <v>2567</v>
      </c>
      <c r="F546" s="2" t="s">
        <v>5847</v>
      </c>
      <c r="G546" s="1"/>
      <c r="H546" s="3" t="s">
        <v>554</v>
      </c>
    </row>
    <row r="547" spans="1:8" x14ac:dyDescent="0.25">
      <c r="A547" s="1" t="s">
        <v>74</v>
      </c>
      <c r="B547" s="1" t="s">
        <v>457</v>
      </c>
      <c r="C547" s="1" t="s">
        <v>472</v>
      </c>
      <c r="D547" s="1" t="s">
        <v>473</v>
      </c>
      <c r="E547" s="3" t="s">
        <v>69</v>
      </c>
      <c r="F547" s="2" t="s">
        <v>75</v>
      </c>
      <c r="G547" s="1"/>
      <c r="H547" s="3" t="s">
        <v>2563</v>
      </c>
    </row>
    <row r="548" spans="1:8" ht="30" x14ac:dyDescent="0.25">
      <c r="A548" s="1" t="s">
        <v>74</v>
      </c>
      <c r="B548" s="1" t="s">
        <v>457</v>
      </c>
      <c r="C548" s="1" t="s">
        <v>472</v>
      </c>
      <c r="D548" s="1" t="s">
        <v>473</v>
      </c>
      <c r="E548" s="3" t="s">
        <v>264</v>
      </c>
      <c r="F548" s="2" t="s">
        <v>267</v>
      </c>
      <c r="G548" s="1" t="s">
        <v>442</v>
      </c>
      <c r="H548" s="3" t="s">
        <v>2570</v>
      </c>
    </row>
    <row r="549" spans="1:8" x14ac:dyDescent="0.25">
      <c r="A549" s="1" t="s">
        <v>74</v>
      </c>
      <c r="B549" s="1" t="s">
        <v>457</v>
      </c>
      <c r="C549" s="1" t="s">
        <v>472</v>
      </c>
      <c r="D549" s="1" t="s">
        <v>473</v>
      </c>
      <c r="E549" s="3" t="s">
        <v>2564</v>
      </c>
      <c r="F549" s="2" t="s">
        <v>5848</v>
      </c>
      <c r="G549" s="1" t="s">
        <v>406</v>
      </c>
      <c r="H549" s="3" t="s">
        <v>309</v>
      </c>
    </row>
    <row r="550" spans="1:8" ht="30" x14ac:dyDescent="0.25">
      <c r="A550" s="1" t="s">
        <v>74</v>
      </c>
      <c r="B550" s="1" t="s">
        <v>457</v>
      </c>
      <c r="C550" s="1" t="s">
        <v>472</v>
      </c>
      <c r="D550" s="1" t="s">
        <v>473</v>
      </c>
      <c r="E550" s="3" t="s">
        <v>2569</v>
      </c>
      <c r="F550" s="2" t="s">
        <v>5849</v>
      </c>
      <c r="G550" s="1"/>
      <c r="H550" s="3" t="s">
        <v>7</v>
      </c>
    </row>
    <row r="551" spans="1:8" x14ac:dyDescent="0.25">
      <c r="A551" s="1" t="s">
        <v>74</v>
      </c>
      <c r="B551" s="1" t="s">
        <v>457</v>
      </c>
      <c r="C551" s="1" t="s">
        <v>472</v>
      </c>
      <c r="D551" s="1" t="s">
        <v>473</v>
      </c>
      <c r="E551" s="3" t="s">
        <v>172</v>
      </c>
      <c r="F551" s="2" t="s">
        <v>173</v>
      </c>
      <c r="G551" s="1"/>
      <c r="H551" s="3" t="s">
        <v>1</v>
      </c>
    </row>
    <row r="552" spans="1:8" x14ac:dyDescent="0.25">
      <c r="A552" s="1" t="s">
        <v>2732</v>
      </c>
      <c r="B552" s="1" t="s">
        <v>446</v>
      </c>
      <c r="C552" s="1" t="s">
        <v>1546</v>
      </c>
      <c r="D552" s="1" t="s">
        <v>509</v>
      </c>
      <c r="E552" s="3" t="s">
        <v>2733</v>
      </c>
      <c r="F552" s="2"/>
      <c r="G552" s="1"/>
      <c r="H552" s="3" t="s">
        <v>2735</v>
      </c>
    </row>
    <row r="553" spans="1:8" ht="30" x14ac:dyDescent="0.25">
      <c r="A553" s="1" t="s">
        <v>239</v>
      </c>
      <c r="B553" s="1" t="s">
        <v>424</v>
      </c>
      <c r="C553" s="1" t="s">
        <v>508</v>
      </c>
      <c r="D553" s="1" t="s">
        <v>509</v>
      </c>
      <c r="E553" s="3" t="s">
        <v>3085</v>
      </c>
      <c r="F553" s="2" t="s">
        <v>5850</v>
      </c>
      <c r="G553" s="1"/>
      <c r="H553" s="3" t="s">
        <v>767</v>
      </c>
    </row>
    <row r="554" spans="1:8" ht="30" x14ac:dyDescent="0.25">
      <c r="A554" s="1" t="s">
        <v>239</v>
      </c>
      <c r="B554" s="1" t="s">
        <v>424</v>
      </c>
      <c r="C554" s="1" t="s">
        <v>508</v>
      </c>
      <c r="D554" s="1" t="s">
        <v>509</v>
      </c>
      <c r="E554" s="3" t="s">
        <v>3072</v>
      </c>
      <c r="F554" s="2" t="s">
        <v>5851</v>
      </c>
      <c r="G554" s="1" t="s">
        <v>413</v>
      </c>
      <c r="H554" s="3" t="s">
        <v>238</v>
      </c>
    </row>
    <row r="555" spans="1:8" ht="30" x14ac:dyDescent="0.25">
      <c r="A555" s="1" t="s">
        <v>239</v>
      </c>
      <c r="B555" s="1" t="s">
        <v>424</v>
      </c>
      <c r="C555" s="1" t="s">
        <v>508</v>
      </c>
      <c r="D555" s="1" t="s">
        <v>509</v>
      </c>
      <c r="E555" s="3" t="s">
        <v>3078</v>
      </c>
      <c r="F555" s="2" t="s">
        <v>5852</v>
      </c>
      <c r="G555" s="1" t="s">
        <v>413</v>
      </c>
      <c r="H555" s="3" t="s">
        <v>238</v>
      </c>
    </row>
    <row r="556" spans="1:8" ht="30" x14ac:dyDescent="0.25">
      <c r="A556" s="1" t="s">
        <v>239</v>
      </c>
      <c r="B556" s="1" t="s">
        <v>424</v>
      </c>
      <c r="C556" s="1" t="s">
        <v>508</v>
      </c>
      <c r="D556" s="1" t="s">
        <v>509</v>
      </c>
      <c r="E556" s="3" t="s">
        <v>3075</v>
      </c>
      <c r="F556" s="2" t="s">
        <v>5853</v>
      </c>
      <c r="G556" s="1" t="s">
        <v>413</v>
      </c>
      <c r="H556" s="3" t="s">
        <v>238</v>
      </c>
    </row>
    <row r="557" spans="1:8" ht="30" x14ac:dyDescent="0.25">
      <c r="A557" s="1" t="s">
        <v>239</v>
      </c>
      <c r="B557" s="1" t="s">
        <v>424</v>
      </c>
      <c r="C557" s="1" t="s">
        <v>508</v>
      </c>
      <c r="D557" s="1" t="s">
        <v>509</v>
      </c>
      <c r="E557" s="3" t="s">
        <v>237</v>
      </c>
      <c r="F557" s="2" t="s">
        <v>240</v>
      </c>
      <c r="G557" s="1" t="s">
        <v>413</v>
      </c>
      <c r="H557" s="3" t="s">
        <v>238</v>
      </c>
    </row>
    <row r="558" spans="1:8" ht="30" x14ac:dyDescent="0.25">
      <c r="A558" s="1" t="s">
        <v>239</v>
      </c>
      <c r="B558" s="1" t="s">
        <v>424</v>
      </c>
      <c r="C558" s="1" t="s">
        <v>508</v>
      </c>
      <c r="D558" s="1" t="s">
        <v>509</v>
      </c>
      <c r="E558" s="3" t="s">
        <v>3080</v>
      </c>
      <c r="F558" s="2" t="s">
        <v>5854</v>
      </c>
      <c r="G558" s="1" t="s">
        <v>413</v>
      </c>
      <c r="H558" s="3" t="s">
        <v>238</v>
      </c>
    </row>
    <row r="559" spans="1:8" ht="30" x14ac:dyDescent="0.25">
      <c r="A559" s="1" t="s">
        <v>239</v>
      </c>
      <c r="B559" s="1" t="s">
        <v>424</v>
      </c>
      <c r="C559" s="1" t="s">
        <v>508</v>
      </c>
      <c r="D559" s="1" t="s">
        <v>509</v>
      </c>
      <c r="E559" s="3" t="s">
        <v>3082</v>
      </c>
      <c r="F559" s="2" t="s">
        <v>5855</v>
      </c>
      <c r="G559" s="1" t="s">
        <v>413</v>
      </c>
      <c r="H559" s="3" t="s">
        <v>238</v>
      </c>
    </row>
    <row r="560" spans="1:8" x14ac:dyDescent="0.25">
      <c r="A560" s="1" t="s">
        <v>239</v>
      </c>
      <c r="B560" s="1" t="s">
        <v>424</v>
      </c>
      <c r="C560" s="1" t="s">
        <v>508</v>
      </c>
      <c r="D560" s="1" t="s">
        <v>509</v>
      </c>
      <c r="E560" s="3" t="s">
        <v>506</v>
      </c>
      <c r="F560" s="2" t="s">
        <v>510</v>
      </c>
      <c r="G560" s="1" t="s">
        <v>406</v>
      </c>
      <c r="H560" s="3" t="s">
        <v>631</v>
      </c>
    </row>
    <row r="561" spans="1:8" x14ac:dyDescent="0.25">
      <c r="A561" s="1" t="s">
        <v>239</v>
      </c>
      <c r="B561" s="1" t="s">
        <v>424</v>
      </c>
      <c r="C561" s="1" t="s">
        <v>508</v>
      </c>
      <c r="D561" s="1" t="s">
        <v>509</v>
      </c>
      <c r="E561" s="3" t="s">
        <v>565</v>
      </c>
      <c r="F561" s="2" t="s">
        <v>568</v>
      </c>
      <c r="G561" s="1"/>
      <c r="H561" s="3" t="s">
        <v>3088</v>
      </c>
    </row>
    <row r="562" spans="1:8" ht="30" x14ac:dyDescent="0.25">
      <c r="A562" s="1" t="s">
        <v>3674</v>
      </c>
      <c r="B562" s="1" t="s">
        <v>491</v>
      </c>
      <c r="C562" s="1" t="s">
        <v>586</v>
      </c>
      <c r="D562" s="1" t="s">
        <v>509</v>
      </c>
      <c r="E562" s="3" t="s">
        <v>3675</v>
      </c>
      <c r="F562" s="2" t="s">
        <v>5856</v>
      </c>
      <c r="G562" s="1"/>
      <c r="H562" s="3" t="s">
        <v>3677</v>
      </c>
    </row>
    <row r="563" spans="1:8" x14ac:dyDescent="0.25">
      <c r="A563" s="1" t="s">
        <v>627</v>
      </c>
      <c r="B563" s="1" t="s">
        <v>418</v>
      </c>
      <c r="C563" s="1" t="s">
        <v>455</v>
      </c>
      <c r="D563" s="1" t="s">
        <v>456</v>
      </c>
      <c r="E563" s="3" t="s">
        <v>635</v>
      </c>
      <c r="F563" s="2" t="s">
        <v>5857</v>
      </c>
      <c r="G563" s="1"/>
      <c r="H563" s="3" t="s">
        <v>597</v>
      </c>
    </row>
    <row r="564" spans="1:8" x14ac:dyDescent="0.25">
      <c r="A564" s="1" t="s">
        <v>627</v>
      </c>
      <c r="B564" s="1" t="s">
        <v>418</v>
      </c>
      <c r="C564" s="1" t="s">
        <v>455</v>
      </c>
      <c r="D564" s="1" t="s">
        <v>456</v>
      </c>
      <c r="E564" s="3" t="s">
        <v>629</v>
      </c>
      <c r="F564" s="2" t="s">
        <v>5858</v>
      </c>
      <c r="G564" s="1"/>
      <c r="H564" s="3" t="s">
        <v>631</v>
      </c>
    </row>
    <row r="565" spans="1:8" x14ac:dyDescent="0.25">
      <c r="A565" s="1" t="s">
        <v>51</v>
      </c>
      <c r="B565" s="1" t="s">
        <v>418</v>
      </c>
      <c r="C565" s="1" t="s">
        <v>455</v>
      </c>
      <c r="D565" s="1" t="s">
        <v>456</v>
      </c>
      <c r="E565" s="3" t="s">
        <v>1753</v>
      </c>
      <c r="F565" s="2" t="s">
        <v>5859</v>
      </c>
      <c r="G565" s="1"/>
      <c r="H565" s="3" t="s">
        <v>63</v>
      </c>
    </row>
    <row r="566" spans="1:8" ht="30" x14ac:dyDescent="0.25">
      <c r="A566" s="1" t="s">
        <v>51</v>
      </c>
      <c r="B566" s="1" t="s">
        <v>418</v>
      </c>
      <c r="C566" s="1" t="s">
        <v>455</v>
      </c>
      <c r="D566" s="1" t="s">
        <v>456</v>
      </c>
      <c r="E566" s="3" t="s">
        <v>81</v>
      </c>
      <c r="F566" s="2" t="s">
        <v>82</v>
      </c>
      <c r="G566" s="1" t="s">
        <v>476</v>
      </c>
      <c r="H566" s="3" t="s">
        <v>1750</v>
      </c>
    </row>
    <row r="567" spans="1:8" ht="30" x14ac:dyDescent="0.25">
      <c r="A567" s="1" t="s">
        <v>51</v>
      </c>
      <c r="B567" s="1" t="s">
        <v>418</v>
      </c>
      <c r="C567" s="1" t="s">
        <v>455</v>
      </c>
      <c r="D567" s="1" t="s">
        <v>456</v>
      </c>
      <c r="E567" s="3" t="s">
        <v>1751</v>
      </c>
      <c r="F567" s="2" t="s">
        <v>5860</v>
      </c>
      <c r="G567" s="1" t="s">
        <v>476</v>
      </c>
      <c r="H567" s="3" t="s">
        <v>1750</v>
      </c>
    </row>
    <row r="568" spans="1:8" x14ac:dyDescent="0.25">
      <c r="A568" s="1" t="s">
        <v>51</v>
      </c>
      <c r="B568" s="1" t="s">
        <v>418</v>
      </c>
      <c r="C568" s="1" t="s">
        <v>455</v>
      </c>
      <c r="D568" s="1" t="s">
        <v>456</v>
      </c>
      <c r="E568" s="3" t="s">
        <v>1754</v>
      </c>
      <c r="F568" s="2" t="s">
        <v>5861</v>
      </c>
      <c r="G568" s="1"/>
      <c r="H568" s="3" t="s">
        <v>1204</v>
      </c>
    </row>
    <row r="569" spans="1:8" x14ac:dyDescent="0.25">
      <c r="A569" s="1" t="s">
        <v>51</v>
      </c>
      <c r="B569" s="1" t="s">
        <v>418</v>
      </c>
      <c r="C569" s="1" t="s">
        <v>455</v>
      </c>
      <c r="D569" s="1" t="s">
        <v>456</v>
      </c>
      <c r="E569" s="3" t="s">
        <v>1749</v>
      </c>
      <c r="F569" s="2" t="s">
        <v>5862</v>
      </c>
      <c r="G569" s="1" t="s">
        <v>476</v>
      </c>
      <c r="H569" s="3" t="s">
        <v>1328</v>
      </c>
    </row>
    <row r="570" spans="1:8" x14ac:dyDescent="0.25">
      <c r="A570" s="1" t="s">
        <v>51</v>
      </c>
      <c r="B570" s="1" t="s">
        <v>418</v>
      </c>
      <c r="C570" s="1" t="s">
        <v>455</v>
      </c>
      <c r="D570" s="1" t="s">
        <v>456</v>
      </c>
      <c r="E570" s="3" t="s">
        <v>1752</v>
      </c>
      <c r="F570" s="2" t="s">
        <v>5863</v>
      </c>
      <c r="G570" s="1"/>
      <c r="H570" s="3" t="s">
        <v>849</v>
      </c>
    </row>
    <row r="571" spans="1:8" x14ac:dyDescent="0.25">
      <c r="A571" s="1" t="s">
        <v>51</v>
      </c>
      <c r="B571" s="1" t="s">
        <v>418</v>
      </c>
      <c r="C571" s="1" t="s">
        <v>455</v>
      </c>
      <c r="D571" s="1" t="s">
        <v>456</v>
      </c>
      <c r="E571" s="3" t="s">
        <v>39</v>
      </c>
      <c r="F571" s="2" t="s">
        <v>52</v>
      </c>
      <c r="G571" s="1" t="s">
        <v>442</v>
      </c>
      <c r="H571" s="3" t="s">
        <v>27</v>
      </c>
    </row>
    <row r="572" spans="1:8" x14ac:dyDescent="0.25">
      <c r="A572" s="1" t="s">
        <v>51</v>
      </c>
      <c r="B572" s="1" t="s">
        <v>418</v>
      </c>
      <c r="C572" s="1" t="s">
        <v>455</v>
      </c>
      <c r="D572" s="1" t="s">
        <v>456</v>
      </c>
      <c r="E572" s="3" t="s">
        <v>346</v>
      </c>
      <c r="F572" s="2" t="s">
        <v>347</v>
      </c>
      <c r="G572" s="1"/>
      <c r="H572" s="3" t="s">
        <v>7</v>
      </c>
    </row>
    <row r="573" spans="1:8" x14ac:dyDescent="0.25">
      <c r="A573" s="1" t="s">
        <v>51</v>
      </c>
      <c r="B573" s="1" t="s">
        <v>418</v>
      </c>
      <c r="C573" s="1" t="s">
        <v>455</v>
      </c>
      <c r="D573" s="1" t="s">
        <v>456</v>
      </c>
      <c r="E573" s="3" t="s">
        <v>348</v>
      </c>
      <c r="F573" s="2" t="s">
        <v>349</v>
      </c>
      <c r="G573" s="1"/>
      <c r="H573" s="3" t="s">
        <v>7</v>
      </c>
    </row>
    <row r="574" spans="1:8" x14ac:dyDescent="0.25">
      <c r="A574" s="1" t="s">
        <v>300</v>
      </c>
      <c r="B574" s="1" t="s">
        <v>418</v>
      </c>
      <c r="C574" s="1" t="s">
        <v>588</v>
      </c>
      <c r="D574" s="1" t="s">
        <v>456</v>
      </c>
      <c r="E574" s="3" t="s">
        <v>2092</v>
      </c>
      <c r="F574" s="2" t="s">
        <v>5864</v>
      </c>
      <c r="G574" s="1"/>
      <c r="H574" s="3" t="s">
        <v>1443</v>
      </c>
    </row>
    <row r="575" spans="1:8" x14ac:dyDescent="0.25">
      <c r="A575" s="1" t="s">
        <v>300</v>
      </c>
      <c r="B575" s="1" t="s">
        <v>418</v>
      </c>
      <c r="C575" s="1" t="s">
        <v>588</v>
      </c>
      <c r="D575" s="1" t="s">
        <v>456</v>
      </c>
      <c r="E575" s="3" t="s">
        <v>2094</v>
      </c>
      <c r="F575" s="2" t="s">
        <v>5865</v>
      </c>
      <c r="G575" s="1"/>
      <c r="H575" s="3" t="s">
        <v>1443</v>
      </c>
    </row>
    <row r="576" spans="1:8" x14ac:dyDescent="0.25">
      <c r="A576" s="1" t="s">
        <v>300</v>
      </c>
      <c r="B576" s="1" t="s">
        <v>418</v>
      </c>
      <c r="C576" s="1" t="s">
        <v>588</v>
      </c>
      <c r="D576" s="1" t="s">
        <v>456</v>
      </c>
      <c r="E576" s="3" t="s">
        <v>2090</v>
      </c>
      <c r="F576" s="2" t="s">
        <v>5866</v>
      </c>
      <c r="G576" s="1"/>
      <c r="H576" s="3" t="s">
        <v>63</v>
      </c>
    </row>
    <row r="577" spans="1:8" x14ac:dyDescent="0.25">
      <c r="A577" s="1" t="s">
        <v>300</v>
      </c>
      <c r="B577" s="1" t="s">
        <v>418</v>
      </c>
      <c r="C577" s="1" t="s">
        <v>588</v>
      </c>
      <c r="D577" s="1" t="s">
        <v>456</v>
      </c>
      <c r="E577" s="3" t="s">
        <v>2088</v>
      </c>
      <c r="F577" s="2" t="s">
        <v>5867</v>
      </c>
      <c r="G577" s="1" t="s">
        <v>442</v>
      </c>
      <c r="H577" s="3" t="s">
        <v>27</v>
      </c>
    </row>
    <row r="578" spans="1:8" x14ac:dyDescent="0.25">
      <c r="A578" s="1" t="s">
        <v>300</v>
      </c>
      <c r="B578" s="1" t="s">
        <v>418</v>
      </c>
      <c r="C578" s="1" t="s">
        <v>588</v>
      </c>
      <c r="D578" s="1" t="s">
        <v>456</v>
      </c>
      <c r="E578" s="3" t="s">
        <v>2086</v>
      </c>
      <c r="F578" s="2" t="s">
        <v>5868</v>
      </c>
      <c r="G578" s="1" t="s">
        <v>406</v>
      </c>
      <c r="H578" s="3" t="s">
        <v>407</v>
      </c>
    </row>
    <row r="579" spans="1:8" x14ac:dyDescent="0.25">
      <c r="A579" s="1" t="s">
        <v>300</v>
      </c>
      <c r="B579" s="1" t="s">
        <v>418</v>
      </c>
      <c r="C579" s="1" t="s">
        <v>588</v>
      </c>
      <c r="D579" s="1" t="s">
        <v>456</v>
      </c>
      <c r="E579" s="3" t="s">
        <v>298</v>
      </c>
      <c r="F579" s="2" t="s">
        <v>301</v>
      </c>
      <c r="G579" s="1"/>
      <c r="H579" s="3" t="s">
        <v>7</v>
      </c>
    </row>
    <row r="580" spans="1:8" ht="30" x14ac:dyDescent="0.25">
      <c r="A580" s="1" t="s">
        <v>321</v>
      </c>
      <c r="B580" s="1" t="s">
        <v>511</v>
      </c>
      <c r="C580" s="1" t="s">
        <v>594</v>
      </c>
      <c r="D580" s="1" t="s">
        <v>456</v>
      </c>
      <c r="E580" s="3" t="s">
        <v>318</v>
      </c>
      <c r="F580" s="2" t="s">
        <v>322</v>
      </c>
      <c r="G580" s="1"/>
      <c r="H580" s="3" t="s">
        <v>3671</v>
      </c>
    </row>
    <row r="581" spans="1:8" x14ac:dyDescent="0.25">
      <c r="A581" s="1" t="s">
        <v>321</v>
      </c>
      <c r="B581" s="1" t="s">
        <v>511</v>
      </c>
      <c r="C581" s="1" t="s">
        <v>594</v>
      </c>
      <c r="D581" s="1" t="s">
        <v>456</v>
      </c>
      <c r="E581" s="3" t="s">
        <v>3672</v>
      </c>
      <c r="F581" s="2" t="s">
        <v>5869</v>
      </c>
      <c r="G581" s="1"/>
      <c r="H581" s="3" t="s">
        <v>60</v>
      </c>
    </row>
    <row r="582" spans="1:8" x14ac:dyDescent="0.25">
      <c r="A582" s="1" t="s">
        <v>3989</v>
      </c>
      <c r="B582" s="1" t="s">
        <v>418</v>
      </c>
      <c r="C582" s="1" t="s">
        <v>588</v>
      </c>
      <c r="D582" s="1" t="s">
        <v>456</v>
      </c>
      <c r="E582" s="3" t="s">
        <v>3994</v>
      </c>
      <c r="F582" s="2" t="s">
        <v>5870</v>
      </c>
      <c r="G582" s="1"/>
      <c r="H582" s="3" t="s">
        <v>192</v>
      </c>
    </row>
    <row r="583" spans="1:8" x14ac:dyDescent="0.25">
      <c r="A583" s="1" t="s">
        <v>3989</v>
      </c>
      <c r="B583" s="1" t="s">
        <v>418</v>
      </c>
      <c r="C583" s="1" t="s">
        <v>588</v>
      </c>
      <c r="D583" s="1" t="s">
        <v>456</v>
      </c>
      <c r="E583" s="3" t="s">
        <v>3990</v>
      </c>
      <c r="F583" s="2" t="s">
        <v>5871</v>
      </c>
      <c r="G583" s="1"/>
      <c r="H583" s="3" t="s">
        <v>885</v>
      </c>
    </row>
    <row r="584" spans="1:8" x14ac:dyDescent="0.25">
      <c r="A584" s="1" t="s">
        <v>3989</v>
      </c>
      <c r="B584" s="1" t="s">
        <v>418</v>
      </c>
      <c r="C584" s="1" t="s">
        <v>588</v>
      </c>
      <c r="D584" s="1" t="s">
        <v>456</v>
      </c>
      <c r="E584" s="3" t="s">
        <v>3992</v>
      </c>
      <c r="F584" s="2" t="s">
        <v>5872</v>
      </c>
      <c r="G584" s="1"/>
      <c r="H584" s="3" t="s">
        <v>885</v>
      </c>
    </row>
    <row r="585" spans="1:8" x14ac:dyDescent="0.25">
      <c r="A585" s="1" t="s">
        <v>154</v>
      </c>
      <c r="B585" s="1" t="s">
        <v>515</v>
      </c>
      <c r="C585" s="1" t="s">
        <v>445</v>
      </c>
      <c r="D585" s="1" t="s">
        <v>516</v>
      </c>
      <c r="E585" s="3" t="s">
        <v>327</v>
      </c>
      <c r="F585" s="2" t="s">
        <v>330</v>
      </c>
      <c r="G585" s="1" t="s">
        <v>442</v>
      </c>
      <c r="H585" s="3" t="s">
        <v>1186</v>
      </c>
    </row>
    <row r="586" spans="1:8" ht="30" x14ac:dyDescent="0.25">
      <c r="A586" s="1" t="s">
        <v>154</v>
      </c>
      <c r="B586" s="1" t="s">
        <v>515</v>
      </c>
      <c r="C586" s="1" t="s">
        <v>445</v>
      </c>
      <c r="D586" s="1" t="s">
        <v>516</v>
      </c>
      <c r="E586" s="3" t="s">
        <v>291</v>
      </c>
      <c r="F586" s="2" t="s">
        <v>294</v>
      </c>
      <c r="G586" s="1" t="s">
        <v>413</v>
      </c>
      <c r="H586" s="3" t="s">
        <v>1191</v>
      </c>
    </row>
    <row r="587" spans="1:8" ht="30" x14ac:dyDescent="0.25">
      <c r="A587" s="1" t="s">
        <v>154</v>
      </c>
      <c r="B587" s="1" t="s">
        <v>515</v>
      </c>
      <c r="C587" s="1" t="s">
        <v>445</v>
      </c>
      <c r="D587" s="1" t="s">
        <v>516</v>
      </c>
      <c r="E587" s="3" t="s">
        <v>1183</v>
      </c>
      <c r="F587" s="2" t="s">
        <v>5873</v>
      </c>
      <c r="G587" s="1" t="s">
        <v>476</v>
      </c>
      <c r="H587" s="3" t="s">
        <v>1182</v>
      </c>
    </row>
    <row r="588" spans="1:8" ht="30" x14ac:dyDescent="0.25">
      <c r="A588" s="1" t="s">
        <v>154</v>
      </c>
      <c r="B588" s="1" t="s">
        <v>515</v>
      </c>
      <c r="C588" s="1" t="s">
        <v>445</v>
      </c>
      <c r="D588" s="1" t="s">
        <v>516</v>
      </c>
      <c r="E588" s="3" t="s">
        <v>152</v>
      </c>
      <c r="F588" s="2" t="s">
        <v>155</v>
      </c>
      <c r="G588" s="1" t="s">
        <v>413</v>
      </c>
      <c r="H588" s="3" t="s">
        <v>1182</v>
      </c>
    </row>
    <row r="589" spans="1:8" x14ac:dyDescent="0.25">
      <c r="A589" s="1" t="s">
        <v>154</v>
      </c>
      <c r="B589" s="1" t="s">
        <v>515</v>
      </c>
      <c r="C589" s="1" t="s">
        <v>445</v>
      </c>
      <c r="D589" s="1" t="s">
        <v>516</v>
      </c>
      <c r="E589" s="3" t="s">
        <v>156</v>
      </c>
      <c r="F589" s="2"/>
      <c r="G589" s="1"/>
      <c r="H589" s="3" t="s">
        <v>1179</v>
      </c>
    </row>
    <row r="590" spans="1:8" x14ac:dyDescent="0.25">
      <c r="A590" s="1" t="s">
        <v>154</v>
      </c>
      <c r="B590" s="1" t="s">
        <v>515</v>
      </c>
      <c r="C590" s="1" t="s">
        <v>445</v>
      </c>
      <c r="D590" s="1" t="s">
        <v>516</v>
      </c>
      <c r="E590" s="3" t="s">
        <v>1177</v>
      </c>
      <c r="F590" s="2" t="s">
        <v>5874</v>
      </c>
      <c r="G590" s="1" t="s">
        <v>413</v>
      </c>
      <c r="H590" s="3" t="s">
        <v>1179</v>
      </c>
    </row>
    <row r="591" spans="1:8" x14ac:dyDescent="0.25">
      <c r="A591" s="1" t="s">
        <v>154</v>
      </c>
      <c r="B591" s="1" t="s">
        <v>515</v>
      </c>
      <c r="C591" s="1" t="s">
        <v>445</v>
      </c>
      <c r="D591" s="1" t="s">
        <v>516</v>
      </c>
      <c r="E591" s="3" t="s">
        <v>1174</v>
      </c>
      <c r="F591" s="2" t="s">
        <v>5875</v>
      </c>
      <c r="G591" s="1" t="s">
        <v>413</v>
      </c>
      <c r="H591" s="3" t="s">
        <v>1176</v>
      </c>
    </row>
    <row r="592" spans="1:8" x14ac:dyDescent="0.25">
      <c r="A592" s="1" t="s">
        <v>154</v>
      </c>
      <c r="B592" s="1" t="s">
        <v>515</v>
      </c>
      <c r="C592" s="1" t="s">
        <v>445</v>
      </c>
      <c r="D592" s="1" t="s">
        <v>516</v>
      </c>
      <c r="E592" s="3" t="s">
        <v>1187</v>
      </c>
      <c r="F592" s="2" t="s">
        <v>5876</v>
      </c>
      <c r="G592" s="1"/>
      <c r="H592" s="3" t="s">
        <v>1189</v>
      </c>
    </row>
    <row r="593" spans="1:8" x14ac:dyDescent="0.25">
      <c r="A593" s="1" t="s">
        <v>1701</v>
      </c>
      <c r="B593" s="1" t="s">
        <v>424</v>
      </c>
      <c r="C593" s="1" t="s">
        <v>486</v>
      </c>
      <c r="D593" s="1" t="s">
        <v>1702</v>
      </c>
      <c r="E593" s="3" t="s">
        <v>1703</v>
      </c>
      <c r="F593" s="2" t="s">
        <v>5877</v>
      </c>
      <c r="G593" s="1" t="s">
        <v>406</v>
      </c>
      <c r="H593" s="3" t="s">
        <v>309</v>
      </c>
    </row>
    <row r="594" spans="1:8" x14ac:dyDescent="0.25">
      <c r="A594" s="1" t="s">
        <v>1701</v>
      </c>
      <c r="B594" s="1" t="s">
        <v>424</v>
      </c>
      <c r="C594" s="1" t="s">
        <v>486</v>
      </c>
      <c r="D594" s="1" t="s">
        <v>1702</v>
      </c>
      <c r="E594" s="3" t="s">
        <v>1707</v>
      </c>
      <c r="F594" s="2" t="s">
        <v>5878</v>
      </c>
      <c r="G594" s="1" t="s">
        <v>406</v>
      </c>
      <c r="H594" s="3" t="s">
        <v>309</v>
      </c>
    </row>
    <row r="595" spans="1:8" x14ac:dyDescent="0.25">
      <c r="A595" s="1" t="s">
        <v>1701</v>
      </c>
      <c r="B595" s="1" t="s">
        <v>424</v>
      </c>
      <c r="C595" s="1" t="s">
        <v>486</v>
      </c>
      <c r="D595" s="1" t="s">
        <v>1702</v>
      </c>
      <c r="E595" s="3" t="s">
        <v>1705</v>
      </c>
      <c r="F595" s="2" t="s">
        <v>5879</v>
      </c>
      <c r="G595" s="1" t="s">
        <v>406</v>
      </c>
      <c r="H595" s="3" t="s">
        <v>309</v>
      </c>
    </row>
    <row r="596" spans="1:8" x14ac:dyDescent="0.25">
      <c r="A596" s="1" t="s">
        <v>4234</v>
      </c>
      <c r="B596" s="1" t="s">
        <v>457</v>
      </c>
      <c r="C596" s="1" t="s">
        <v>3870</v>
      </c>
      <c r="D596" s="1" t="s">
        <v>1702</v>
      </c>
      <c r="E596" s="3"/>
      <c r="F596" s="2"/>
      <c r="G596" s="1"/>
      <c r="H596" s="3"/>
    </row>
    <row r="597" spans="1:8" ht="30" x14ac:dyDescent="0.25">
      <c r="A597" s="1" t="s">
        <v>3360</v>
      </c>
      <c r="B597" s="1" t="s">
        <v>457</v>
      </c>
      <c r="C597" s="1" t="s">
        <v>569</v>
      </c>
      <c r="D597" s="1" t="s">
        <v>1702</v>
      </c>
      <c r="E597" s="3" t="s">
        <v>3361</v>
      </c>
      <c r="F597" s="2"/>
      <c r="G597" s="1"/>
      <c r="H597" s="3" t="s">
        <v>3363</v>
      </c>
    </row>
    <row r="598" spans="1:8" ht="30" x14ac:dyDescent="0.25">
      <c r="A598" s="1" t="s">
        <v>3868</v>
      </c>
      <c r="B598" s="1" t="s">
        <v>3869</v>
      </c>
      <c r="C598" s="1" t="s">
        <v>3870</v>
      </c>
      <c r="D598" s="1" t="s">
        <v>1702</v>
      </c>
      <c r="E598" s="3" t="s">
        <v>3909</v>
      </c>
      <c r="F598" s="2" t="s">
        <v>5880</v>
      </c>
      <c r="G598" s="1"/>
      <c r="H598" s="3" t="s">
        <v>943</v>
      </c>
    </row>
    <row r="599" spans="1:8" ht="30" x14ac:dyDescent="0.25">
      <c r="A599" s="1" t="s">
        <v>3868</v>
      </c>
      <c r="B599" s="1" t="s">
        <v>3869</v>
      </c>
      <c r="C599" s="1" t="s">
        <v>3870</v>
      </c>
      <c r="D599" s="1" t="s">
        <v>1702</v>
      </c>
      <c r="E599" s="3" t="s">
        <v>3911</v>
      </c>
      <c r="F599" s="2" t="s">
        <v>5881</v>
      </c>
      <c r="G599" s="1"/>
      <c r="H599" s="3" t="s">
        <v>943</v>
      </c>
    </row>
    <row r="600" spans="1:8" ht="30" x14ac:dyDescent="0.25">
      <c r="A600" s="1" t="s">
        <v>3868</v>
      </c>
      <c r="B600" s="1" t="s">
        <v>3869</v>
      </c>
      <c r="C600" s="1" t="s">
        <v>3870</v>
      </c>
      <c r="D600" s="1" t="s">
        <v>1702</v>
      </c>
      <c r="E600" s="3" t="s">
        <v>3885</v>
      </c>
      <c r="F600" s="2" t="s">
        <v>5882</v>
      </c>
      <c r="G600" s="1" t="s">
        <v>442</v>
      </c>
      <c r="H600" s="3" t="s">
        <v>3882</v>
      </c>
    </row>
    <row r="601" spans="1:8" ht="30" x14ac:dyDescent="0.25">
      <c r="A601" s="1" t="s">
        <v>3868</v>
      </c>
      <c r="B601" s="1" t="s">
        <v>3869</v>
      </c>
      <c r="C601" s="1" t="s">
        <v>3870</v>
      </c>
      <c r="D601" s="1" t="s">
        <v>1702</v>
      </c>
      <c r="E601" s="3" t="s">
        <v>3880</v>
      </c>
      <c r="F601" s="2" t="s">
        <v>5883</v>
      </c>
      <c r="G601" s="1" t="s">
        <v>406</v>
      </c>
      <c r="H601" s="3" t="s">
        <v>3882</v>
      </c>
    </row>
    <row r="602" spans="1:8" ht="30" x14ac:dyDescent="0.25">
      <c r="A602" s="1" t="s">
        <v>3868</v>
      </c>
      <c r="B602" s="1" t="s">
        <v>3869</v>
      </c>
      <c r="C602" s="1" t="s">
        <v>3870</v>
      </c>
      <c r="D602" s="1" t="s">
        <v>1702</v>
      </c>
      <c r="E602" s="3" t="s">
        <v>3883</v>
      </c>
      <c r="F602" s="2" t="s">
        <v>5884</v>
      </c>
      <c r="G602" s="1" t="s">
        <v>442</v>
      </c>
      <c r="H602" s="3" t="s">
        <v>3882</v>
      </c>
    </row>
    <row r="603" spans="1:8" x14ac:dyDescent="0.25">
      <c r="A603" s="1" t="s">
        <v>3868</v>
      </c>
      <c r="B603" s="1" t="s">
        <v>3869</v>
      </c>
      <c r="C603" s="1" t="s">
        <v>3870</v>
      </c>
      <c r="D603" s="1" t="s">
        <v>1702</v>
      </c>
      <c r="E603" s="3" t="s">
        <v>3871</v>
      </c>
      <c r="F603" s="2" t="s">
        <v>5885</v>
      </c>
      <c r="G603" s="1"/>
      <c r="H603" s="3" t="s">
        <v>3873</v>
      </c>
    </row>
    <row r="604" spans="1:8" x14ac:dyDescent="0.25">
      <c r="A604" s="1" t="s">
        <v>3868</v>
      </c>
      <c r="B604" s="1" t="s">
        <v>3869</v>
      </c>
      <c r="C604" s="1" t="s">
        <v>3870</v>
      </c>
      <c r="D604" s="1" t="s">
        <v>1702</v>
      </c>
      <c r="E604" s="3" t="s">
        <v>3874</v>
      </c>
      <c r="F604" s="2" t="s">
        <v>5886</v>
      </c>
      <c r="G604" s="1"/>
      <c r="H604" s="3" t="s">
        <v>3873</v>
      </c>
    </row>
    <row r="605" spans="1:8" x14ac:dyDescent="0.25">
      <c r="A605" s="1" t="s">
        <v>3868</v>
      </c>
      <c r="B605" s="1" t="s">
        <v>3869</v>
      </c>
      <c r="C605" s="1" t="s">
        <v>3870</v>
      </c>
      <c r="D605" s="1" t="s">
        <v>1702</v>
      </c>
      <c r="E605" s="3" t="s">
        <v>3878</v>
      </c>
      <c r="F605" s="2" t="s">
        <v>5887</v>
      </c>
      <c r="G605" s="1"/>
      <c r="H605" s="3" t="s">
        <v>3873</v>
      </c>
    </row>
    <row r="606" spans="1:8" x14ac:dyDescent="0.25">
      <c r="A606" s="1" t="s">
        <v>3868</v>
      </c>
      <c r="B606" s="1" t="s">
        <v>3869</v>
      </c>
      <c r="C606" s="1" t="s">
        <v>3870</v>
      </c>
      <c r="D606" s="1" t="s">
        <v>1702</v>
      </c>
      <c r="E606" s="3" t="s">
        <v>3876</v>
      </c>
      <c r="F606" s="2" t="s">
        <v>5888</v>
      </c>
      <c r="G606" s="1"/>
      <c r="H606" s="3" t="s">
        <v>3873</v>
      </c>
    </row>
    <row r="607" spans="1:8" x14ac:dyDescent="0.25">
      <c r="A607" s="1" t="s">
        <v>3868</v>
      </c>
      <c r="B607" s="1" t="s">
        <v>3869</v>
      </c>
      <c r="C607" s="1" t="s">
        <v>3870</v>
      </c>
      <c r="D607" s="1" t="s">
        <v>1702</v>
      </c>
      <c r="E607" s="3" t="s">
        <v>3895</v>
      </c>
      <c r="F607" s="2" t="s">
        <v>5889</v>
      </c>
      <c r="G607" s="1"/>
      <c r="H607" s="3" t="s">
        <v>3892</v>
      </c>
    </row>
    <row r="608" spans="1:8" x14ac:dyDescent="0.25">
      <c r="A608" s="1" t="s">
        <v>3868</v>
      </c>
      <c r="B608" s="1" t="s">
        <v>3869</v>
      </c>
      <c r="C608" s="1" t="s">
        <v>3870</v>
      </c>
      <c r="D608" s="1" t="s">
        <v>1702</v>
      </c>
      <c r="E608" s="3" t="s">
        <v>3890</v>
      </c>
      <c r="F608" s="2" t="s">
        <v>5890</v>
      </c>
      <c r="G608" s="1"/>
      <c r="H608" s="3" t="s">
        <v>3892</v>
      </c>
    </row>
    <row r="609" spans="1:8" x14ac:dyDescent="0.25">
      <c r="A609" s="1" t="s">
        <v>3868</v>
      </c>
      <c r="B609" s="1" t="s">
        <v>3869</v>
      </c>
      <c r="C609" s="1" t="s">
        <v>3870</v>
      </c>
      <c r="D609" s="1" t="s">
        <v>1702</v>
      </c>
      <c r="E609" s="3" t="s">
        <v>3893</v>
      </c>
      <c r="F609" s="2" t="s">
        <v>5891</v>
      </c>
      <c r="G609" s="1"/>
      <c r="H609" s="3" t="s">
        <v>3892</v>
      </c>
    </row>
    <row r="610" spans="1:8" ht="30" x14ac:dyDescent="0.25">
      <c r="A610" s="1" t="s">
        <v>3868</v>
      </c>
      <c r="B610" s="1" t="s">
        <v>3869</v>
      </c>
      <c r="C610" s="1" t="s">
        <v>3870</v>
      </c>
      <c r="D610" s="1" t="s">
        <v>1702</v>
      </c>
      <c r="E610" s="3" t="s">
        <v>3887</v>
      </c>
      <c r="F610" s="2" t="s">
        <v>5892</v>
      </c>
      <c r="G610" s="1"/>
      <c r="H610" s="3" t="s">
        <v>3889</v>
      </c>
    </row>
    <row r="611" spans="1:8" x14ac:dyDescent="0.25">
      <c r="A611" s="1" t="s">
        <v>3868</v>
      </c>
      <c r="B611" s="1" t="s">
        <v>3869</v>
      </c>
      <c r="C611" s="1" t="s">
        <v>3870</v>
      </c>
      <c r="D611" s="1" t="s">
        <v>1702</v>
      </c>
      <c r="E611" s="3" t="s">
        <v>3897</v>
      </c>
      <c r="F611" s="2" t="s">
        <v>5893</v>
      </c>
      <c r="G611" s="1" t="s">
        <v>406</v>
      </c>
      <c r="H611" s="3" t="s">
        <v>3899</v>
      </c>
    </row>
    <row r="612" spans="1:8" x14ac:dyDescent="0.25">
      <c r="A612" s="1" t="s">
        <v>3868</v>
      </c>
      <c r="B612" s="1" t="s">
        <v>3869</v>
      </c>
      <c r="C612" s="1" t="s">
        <v>3870</v>
      </c>
      <c r="D612" s="1" t="s">
        <v>1702</v>
      </c>
      <c r="E612" s="3" t="s">
        <v>3900</v>
      </c>
      <c r="F612" s="2" t="s">
        <v>5894</v>
      </c>
      <c r="G612" s="1"/>
      <c r="H612" s="3" t="s">
        <v>3902</v>
      </c>
    </row>
    <row r="613" spans="1:8" x14ac:dyDescent="0.25">
      <c r="A613" s="1" t="s">
        <v>3868</v>
      </c>
      <c r="B613" s="1" t="s">
        <v>3869</v>
      </c>
      <c r="C613" s="1" t="s">
        <v>3870</v>
      </c>
      <c r="D613" s="1" t="s">
        <v>1702</v>
      </c>
      <c r="E613" s="3" t="s">
        <v>3907</v>
      </c>
      <c r="F613" s="2" t="s">
        <v>5895</v>
      </c>
      <c r="G613" s="1"/>
      <c r="H613" s="3" t="s">
        <v>3902</v>
      </c>
    </row>
    <row r="614" spans="1:8" x14ac:dyDescent="0.25">
      <c r="A614" s="1" t="s">
        <v>3868</v>
      </c>
      <c r="B614" s="1" t="s">
        <v>3869</v>
      </c>
      <c r="C614" s="1" t="s">
        <v>3870</v>
      </c>
      <c r="D614" s="1" t="s">
        <v>1702</v>
      </c>
      <c r="E614" s="3" t="s">
        <v>3905</v>
      </c>
      <c r="F614" s="2" t="s">
        <v>5896</v>
      </c>
      <c r="G614" s="1"/>
      <c r="H614" s="3" t="s">
        <v>3902</v>
      </c>
    </row>
    <row r="615" spans="1:8" x14ac:dyDescent="0.25">
      <c r="A615" s="1" t="s">
        <v>3868</v>
      </c>
      <c r="B615" s="1" t="s">
        <v>3869</v>
      </c>
      <c r="C615" s="1" t="s">
        <v>3870</v>
      </c>
      <c r="D615" s="1" t="s">
        <v>1702</v>
      </c>
      <c r="E615" s="3" t="s">
        <v>3903</v>
      </c>
      <c r="F615" s="2" t="s">
        <v>5897</v>
      </c>
      <c r="G615" s="1"/>
      <c r="H615" s="3" t="s">
        <v>3902</v>
      </c>
    </row>
    <row r="616" spans="1:8" x14ac:dyDescent="0.25">
      <c r="A616" s="1" t="s">
        <v>257</v>
      </c>
      <c r="B616" s="1" t="s">
        <v>418</v>
      </c>
      <c r="C616" s="1" t="s">
        <v>569</v>
      </c>
      <c r="D616" s="1" t="s">
        <v>410</v>
      </c>
      <c r="E616" s="3" t="s">
        <v>997</v>
      </c>
      <c r="F616" s="2" t="s">
        <v>5898</v>
      </c>
      <c r="G616" s="1"/>
      <c r="H616" s="3" t="s">
        <v>682</v>
      </c>
    </row>
    <row r="617" spans="1:8" x14ac:dyDescent="0.25">
      <c r="A617" s="1" t="s">
        <v>257</v>
      </c>
      <c r="B617" s="1" t="s">
        <v>418</v>
      </c>
      <c r="C617" s="1" t="s">
        <v>569</v>
      </c>
      <c r="D617" s="1" t="s">
        <v>410</v>
      </c>
      <c r="E617" s="3" t="s">
        <v>298</v>
      </c>
      <c r="F617" s="2" t="s">
        <v>302</v>
      </c>
      <c r="G617" s="1" t="s">
        <v>413</v>
      </c>
      <c r="H617" s="3" t="s">
        <v>265</v>
      </c>
    </row>
    <row r="618" spans="1:8" x14ac:dyDescent="0.25">
      <c r="A618" s="1" t="s">
        <v>257</v>
      </c>
      <c r="B618" s="1" t="s">
        <v>418</v>
      </c>
      <c r="C618" s="1" t="s">
        <v>569</v>
      </c>
      <c r="D618" s="1" t="s">
        <v>410</v>
      </c>
      <c r="E618" s="3" t="s">
        <v>303</v>
      </c>
      <c r="F618" s="2" t="s">
        <v>306</v>
      </c>
      <c r="G618" s="1" t="s">
        <v>413</v>
      </c>
      <c r="H618" s="3" t="s">
        <v>265</v>
      </c>
    </row>
    <row r="619" spans="1:8" x14ac:dyDescent="0.25">
      <c r="A619" s="1" t="s">
        <v>257</v>
      </c>
      <c r="B619" s="1" t="s">
        <v>418</v>
      </c>
      <c r="C619" s="1" t="s">
        <v>569</v>
      </c>
      <c r="D619" s="1" t="s">
        <v>410</v>
      </c>
      <c r="E619" s="3" t="s">
        <v>249</v>
      </c>
      <c r="F619" s="2" t="s">
        <v>258</v>
      </c>
      <c r="G619" s="1" t="s">
        <v>442</v>
      </c>
      <c r="H619" s="3" t="s">
        <v>256</v>
      </c>
    </row>
    <row r="620" spans="1:8" x14ac:dyDescent="0.25">
      <c r="A620" s="1" t="s">
        <v>2795</v>
      </c>
      <c r="B620" s="1" t="s">
        <v>409</v>
      </c>
      <c r="C620" s="1" t="s">
        <v>2796</v>
      </c>
      <c r="D620" s="1" t="s">
        <v>2797</v>
      </c>
      <c r="E620" s="3" t="s">
        <v>2802</v>
      </c>
      <c r="F620" s="2" t="s">
        <v>5899</v>
      </c>
      <c r="G620" s="1"/>
      <c r="H620" s="3" t="s">
        <v>2326</v>
      </c>
    </row>
    <row r="621" spans="1:8" x14ac:dyDescent="0.25">
      <c r="A621" s="1" t="s">
        <v>2795</v>
      </c>
      <c r="B621" s="1" t="s">
        <v>409</v>
      </c>
      <c r="C621" s="1" t="s">
        <v>2796</v>
      </c>
      <c r="D621" s="1" t="s">
        <v>2797</v>
      </c>
      <c r="E621" s="3" t="s">
        <v>2798</v>
      </c>
      <c r="F621" s="2" t="s">
        <v>5900</v>
      </c>
      <c r="G621" s="1"/>
      <c r="H621" s="3" t="s">
        <v>63</v>
      </c>
    </row>
    <row r="622" spans="1:8" x14ac:dyDescent="0.25">
      <c r="A622" s="1" t="s">
        <v>2795</v>
      </c>
      <c r="B622" s="1" t="s">
        <v>409</v>
      </c>
      <c r="C622" s="1" t="s">
        <v>2796</v>
      </c>
      <c r="D622" s="1" t="s">
        <v>2797</v>
      </c>
      <c r="E622" s="3" t="s">
        <v>2800</v>
      </c>
      <c r="F622" s="2" t="s">
        <v>5901</v>
      </c>
      <c r="G622" s="1" t="s">
        <v>442</v>
      </c>
      <c r="H622" s="3" t="s">
        <v>109</v>
      </c>
    </row>
    <row r="623" spans="1:8" x14ac:dyDescent="0.25">
      <c r="A623" s="1" t="s">
        <v>612</v>
      </c>
      <c r="B623" s="1" t="s">
        <v>409</v>
      </c>
      <c r="C623" s="1" t="s">
        <v>613</v>
      </c>
      <c r="D623" s="1" t="s">
        <v>519</v>
      </c>
      <c r="E623" s="3" t="s">
        <v>1318</v>
      </c>
      <c r="F623" s="2" t="s">
        <v>5902</v>
      </c>
      <c r="G623" s="1"/>
      <c r="H623" s="3" t="s">
        <v>63</v>
      </c>
    </row>
    <row r="624" spans="1:8" ht="30" x14ac:dyDescent="0.25">
      <c r="A624" s="1" t="s">
        <v>612</v>
      </c>
      <c r="B624" s="1" t="s">
        <v>409</v>
      </c>
      <c r="C624" s="1" t="s">
        <v>613</v>
      </c>
      <c r="D624" s="1" t="s">
        <v>519</v>
      </c>
      <c r="E624" s="3" t="s">
        <v>1311</v>
      </c>
      <c r="F624" s="2" t="s">
        <v>5903</v>
      </c>
      <c r="G624" s="1"/>
      <c r="H624" s="3" t="s">
        <v>1313</v>
      </c>
    </row>
    <row r="625" spans="1:8" ht="30" x14ac:dyDescent="0.25">
      <c r="A625" s="1" t="s">
        <v>612</v>
      </c>
      <c r="B625" s="1" t="s">
        <v>409</v>
      </c>
      <c r="C625" s="1" t="s">
        <v>613</v>
      </c>
      <c r="D625" s="1" t="s">
        <v>519</v>
      </c>
      <c r="E625" s="3" t="s">
        <v>1314</v>
      </c>
      <c r="F625" s="2" t="s">
        <v>5904</v>
      </c>
      <c r="G625" s="1"/>
      <c r="H625" s="3" t="s">
        <v>1313</v>
      </c>
    </row>
    <row r="626" spans="1:8" ht="30" x14ac:dyDescent="0.25">
      <c r="A626" s="1" t="s">
        <v>612</v>
      </c>
      <c r="B626" s="1" t="s">
        <v>409</v>
      </c>
      <c r="C626" s="1" t="s">
        <v>613</v>
      </c>
      <c r="D626" s="1" t="s">
        <v>519</v>
      </c>
      <c r="E626" s="3" t="s">
        <v>1316</v>
      </c>
      <c r="F626" s="2" t="s">
        <v>5905</v>
      </c>
      <c r="G626" s="1"/>
      <c r="H626" s="3" t="s">
        <v>1313</v>
      </c>
    </row>
    <row r="627" spans="1:8" x14ac:dyDescent="0.25">
      <c r="A627" s="1" t="s">
        <v>612</v>
      </c>
      <c r="B627" s="1" t="s">
        <v>409</v>
      </c>
      <c r="C627" s="1" t="s">
        <v>613</v>
      </c>
      <c r="D627" s="1" t="s">
        <v>519</v>
      </c>
      <c r="E627" s="3" t="s">
        <v>1320</v>
      </c>
      <c r="F627" s="2" t="s">
        <v>5906</v>
      </c>
      <c r="G627" s="1"/>
      <c r="H627" s="3" t="s">
        <v>735</v>
      </c>
    </row>
    <row r="628" spans="1:8" x14ac:dyDescent="0.25">
      <c r="A628" s="1" t="s">
        <v>612</v>
      </c>
      <c r="B628" s="1" t="s">
        <v>409</v>
      </c>
      <c r="C628" s="1" t="s">
        <v>613</v>
      </c>
      <c r="D628" s="1" t="s">
        <v>519</v>
      </c>
      <c r="E628" s="3" t="s">
        <v>614</v>
      </c>
      <c r="F628" s="2" t="s">
        <v>615</v>
      </c>
      <c r="G628" s="1"/>
      <c r="H628" s="3" t="s">
        <v>735</v>
      </c>
    </row>
    <row r="629" spans="1:8" x14ac:dyDescent="0.25">
      <c r="A629" s="1" t="s">
        <v>2306</v>
      </c>
      <c r="B629" s="1" t="s">
        <v>424</v>
      </c>
      <c r="C629" s="1" t="s">
        <v>2307</v>
      </c>
      <c r="D629" s="1" t="s">
        <v>519</v>
      </c>
      <c r="E629" s="3" t="s">
        <v>2308</v>
      </c>
      <c r="F629" s="2" t="s">
        <v>5907</v>
      </c>
      <c r="G629" s="1"/>
      <c r="H629" s="3" t="s">
        <v>2310</v>
      </c>
    </row>
    <row r="630" spans="1:8" x14ac:dyDescent="0.25">
      <c r="A630" s="1" t="s">
        <v>2306</v>
      </c>
      <c r="B630" s="1" t="s">
        <v>424</v>
      </c>
      <c r="C630" s="1" t="s">
        <v>2307</v>
      </c>
      <c r="D630" s="1" t="s">
        <v>519</v>
      </c>
      <c r="E630" s="3" t="s">
        <v>2313</v>
      </c>
      <c r="F630" s="2" t="s">
        <v>5908</v>
      </c>
      <c r="G630" s="1"/>
      <c r="H630" s="3" t="s">
        <v>797</v>
      </c>
    </row>
    <row r="631" spans="1:8" x14ac:dyDescent="0.25">
      <c r="A631" s="1" t="s">
        <v>2306</v>
      </c>
      <c r="B631" s="1" t="s">
        <v>424</v>
      </c>
      <c r="C631" s="1" t="s">
        <v>2307</v>
      </c>
      <c r="D631" s="1" t="s">
        <v>519</v>
      </c>
      <c r="E631" s="3" t="s">
        <v>2311</v>
      </c>
      <c r="F631" s="2" t="s">
        <v>5909</v>
      </c>
      <c r="G631" s="1"/>
      <c r="H631" s="3" t="s">
        <v>797</v>
      </c>
    </row>
    <row r="632" spans="1:8" x14ac:dyDescent="0.25">
      <c r="A632" s="1" t="s">
        <v>1516</v>
      </c>
      <c r="B632" s="1" t="s">
        <v>418</v>
      </c>
      <c r="C632" s="1" t="s">
        <v>1517</v>
      </c>
      <c r="D632" s="1" t="s">
        <v>589</v>
      </c>
      <c r="E632" s="3" t="s">
        <v>1543</v>
      </c>
      <c r="F632" s="2" t="s">
        <v>5910</v>
      </c>
      <c r="G632" s="1"/>
      <c r="H632" s="3" t="s">
        <v>682</v>
      </c>
    </row>
    <row r="633" spans="1:8" x14ac:dyDescent="0.25">
      <c r="A633" s="1" t="s">
        <v>1516</v>
      </c>
      <c r="B633" s="1" t="s">
        <v>418</v>
      </c>
      <c r="C633" s="1" t="s">
        <v>1517</v>
      </c>
      <c r="D633" s="1" t="s">
        <v>589</v>
      </c>
      <c r="E633" s="3" t="s">
        <v>1526</v>
      </c>
      <c r="F633" s="2" t="s">
        <v>5911</v>
      </c>
      <c r="G633" s="1"/>
      <c r="H633" s="3" t="s">
        <v>597</v>
      </c>
    </row>
    <row r="634" spans="1:8" x14ac:dyDescent="0.25">
      <c r="A634" s="1" t="s">
        <v>1516</v>
      </c>
      <c r="B634" s="1" t="s">
        <v>418</v>
      </c>
      <c r="C634" s="1" t="s">
        <v>1517</v>
      </c>
      <c r="D634" s="1" t="s">
        <v>589</v>
      </c>
      <c r="E634" s="3" t="s">
        <v>1528</v>
      </c>
      <c r="F634" s="2" t="s">
        <v>5912</v>
      </c>
      <c r="G634" s="1"/>
      <c r="H634" s="3" t="s">
        <v>597</v>
      </c>
    </row>
    <row r="635" spans="1:8" x14ac:dyDescent="0.25">
      <c r="A635" s="1" t="s">
        <v>1516</v>
      </c>
      <c r="B635" s="1" t="s">
        <v>418</v>
      </c>
      <c r="C635" s="1" t="s">
        <v>1517</v>
      </c>
      <c r="D635" s="1" t="s">
        <v>589</v>
      </c>
      <c r="E635" s="3" t="s">
        <v>1524</v>
      </c>
      <c r="F635" s="2" t="s">
        <v>5913</v>
      </c>
      <c r="G635" s="1"/>
      <c r="H635" s="3" t="s">
        <v>561</v>
      </c>
    </row>
    <row r="636" spans="1:8" x14ac:dyDescent="0.25">
      <c r="A636" s="1" t="s">
        <v>1516</v>
      </c>
      <c r="B636" s="1" t="s">
        <v>418</v>
      </c>
      <c r="C636" s="1" t="s">
        <v>1517</v>
      </c>
      <c r="D636" s="1" t="s">
        <v>589</v>
      </c>
      <c r="E636" s="3" t="s">
        <v>1522</v>
      </c>
      <c r="F636" s="2" t="s">
        <v>5914</v>
      </c>
      <c r="G636" s="1"/>
      <c r="H636" s="3" t="s">
        <v>561</v>
      </c>
    </row>
    <row r="637" spans="1:8" x14ac:dyDescent="0.25">
      <c r="A637" s="1" t="s">
        <v>1516</v>
      </c>
      <c r="B637" s="1" t="s">
        <v>418</v>
      </c>
      <c r="C637" s="1" t="s">
        <v>1517</v>
      </c>
      <c r="D637" s="1" t="s">
        <v>589</v>
      </c>
      <c r="E637" s="3" t="s">
        <v>1520</v>
      </c>
      <c r="F637" s="2" t="s">
        <v>5915</v>
      </c>
      <c r="G637" s="1"/>
      <c r="H637" s="3" t="s">
        <v>561</v>
      </c>
    </row>
    <row r="638" spans="1:8" x14ac:dyDescent="0.25">
      <c r="A638" s="1" t="s">
        <v>1516</v>
      </c>
      <c r="B638" s="1" t="s">
        <v>418</v>
      </c>
      <c r="C638" s="1" t="s">
        <v>1517</v>
      </c>
      <c r="D638" s="1" t="s">
        <v>589</v>
      </c>
      <c r="E638" s="3" t="s">
        <v>1518</v>
      </c>
      <c r="F638" s="2" t="s">
        <v>5916</v>
      </c>
      <c r="G638" s="1"/>
      <c r="H638" s="3" t="s">
        <v>561</v>
      </c>
    </row>
    <row r="639" spans="1:8" x14ac:dyDescent="0.25">
      <c r="A639" s="1" t="s">
        <v>1516</v>
      </c>
      <c r="B639" s="1" t="s">
        <v>418</v>
      </c>
      <c r="C639" s="1" t="s">
        <v>1517</v>
      </c>
      <c r="D639" s="1" t="s">
        <v>589</v>
      </c>
      <c r="E639" s="3" t="s">
        <v>1530</v>
      </c>
      <c r="F639" s="2" t="s">
        <v>5917</v>
      </c>
      <c r="G639" s="1"/>
      <c r="H639" s="3" t="s">
        <v>849</v>
      </c>
    </row>
    <row r="640" spans="1:8" x14ac:dyDescent="0.25">
      <c r="A640" s="1" t="s">
        <v>1516</v>
      </c>
      <c r="B640" s="1" t="s">
        <v>418</v>
      </c>
      <c r="C640" s="1" t="s">
        <v>1517</v>
      </c>
      <c r="D640" s="1" t="s">
        <v>589</v>
      </c>
      <c r="E640" s="3" t="s">
        <v>1532</v>
      </c>
      <c r="F640" s="2" t="s">
        <v>5918</v>
      </c>
      <c r="G640" s="1"/>
      <c r="H640" s="3" t="s">
        <v>48</v>
      </c>
    </row>
    <row r="641" spans="1:8" x14ac:dyDescent="0.25">
      <c r="A641" s="1" t="s">
        <v>1516</v>
      </c>
      <c r="B641" s="1" t="s">
        <v>418</v>
      </c>
      <c r="C641" s="1" t="s">
        <v>1517</v>
      </c>
      <c r="D641" s="1" t="s">
        <v>589</v>
      </c>
      <c r="E641" s="3" t="s">
        <v>1534</v>
      </c>
      <c r="F641" s="2" t="s">
        <v>5919</v>
      </c>
      <c r="G641" s="1" t="s">
        <v>406</v>
      </c>
      <c r="H641" s="3" t="s">
        <v>56</v>
      </c>
    </row>
    <row r="642" spans="1:8" x14ac:dyDescent="0.25">
      <c r="A642" s="1" t="s">
        <v>1516</v>
      </c>
      <c r="B642" s="1" t="s">
        <v>418</v>
      </c>
      <c r="C642" s="1" t="s">
        <v>1517</v>
      </c>
      <c r="D642" s="1" t="s">
        <v>589</v>
      </c>
      <c r="E642" s="3" t="s">
        <v>1538</v>
      </c>
      <c r="F642" s="2"/>
      <c r="G642" s="1"/>
      <c r="H642" s="3" t="s">
        <v>1540</v>
      </c>
    </row>
    <row r="643" spans="1:8" x14ac:dyDescent="0.25">
      <c r="A643" s="1" t="s">
        <v>1516</v>
      </c>
      <c r="B643" s="1" t="s">
        <v>418</v>
      </c>
      <c r="C643" s="1" t="s">
        <v>1517</v>
      </c>
      <c r="D643" s="1" t="s">
        <v>589</v>
      </c>
      <c r="E643" s="3" t="s">
        <v>1541</v>
      </c>
      <c r="F643" s="2"/>
      <c r="G643" s="1"/>
      <c r="H643" s="3" t="s">
        <v>1540</v>
      </c>
    </row>
    <row r="644" spans="1:8" x14ac:dyDescent="0.25">
      <c r="A644" s="1" t="s">
        <v>1516</v>
      </c>
      <c r="B644" s="1" t="s">
        <v>418</v>
      </c>
      <c r="C644" s="1" t="s">
        <v>1517</v>
      </c>
      <c r="D644" s="1" t="s">
        <v>589</v>
      </c>
      <c r="E644" s="3" t="s">
        <v>1536</v>
      </c>
      <c r="F644" s="2" t="s">
        <v>5920</v>
      </c>
      <c r="G644" s="1"/>
      <c r="H644" s="3" t="s">
        <v>7</v>
      </c>
    </row>
    <row r="645" spans="1:8" ht="30" x14ac:dyDescent="0.25">
      <c r="A645" s="1" t="s">
        <v>3665</v>
      </c>
      <c r="B645" s="1" t="s">
        <v>1632</v>
      </c>
      <c r="C645" s="1" t="s">
        <v>3666</v>
      </c>
      <c r="D645" s="1" t="s">
        <v>580</v>
      </c>
      <c r="E645" s="3" t="s">
        <v>3667</v>
      </c>
      <c r="F645" s="2"/>
      <c r="G645" s="1"/>
      <c r="H645" s="3" t="s">
        <v>3669</v>
      </c>
    </row>
    <row r="646" spans="1:8" ht="30" x14ac:dyDescent="0.25">
      <c r="A646" s="1" t="s">
        <v>4092</v>
      </c>
      <c r="B646" s="1" t="s">
        <v>457</v>
      </c>
      <c r="C646" s="1" t="s">
        <v>426</v>
      </c>
      <c r="D646" s="1" t="s">
        <v>3149</v>
      </c>
      <c r="E646" s="3" t="s">
        <v>4093</v>
      </c>
      <c r="F646" s="2" t="s">
        <v>5921</v>
      </c>
      <c r="G646" s="1" t="s">
        <v>476</v>
      </c>
      <c r="H646" s="3" t="s">
        <v>166</v>
      </c>
    </row>
    <row r="647" spans="1:8" x14ac:dyDescent="0.25">
      <c r="A647" s="1" t="s">
        <v>314</v>
      </c>
      <c r="B647" s="1" t="s">
        <v>418</v>
      </c>
      <c r="C647" s="1" t="s">
        <v>591</v>
      </c>
      <c r="D647" s="1" t="s">
        <v>432</v>
      </c>
      <c r="E647" s="3" t="s">
        <v>313</v>
      </c>
      <c r="F647" s="2" t="s">
        <v>315</v>
      </c>
      <c r="G647" s="1"/>
      <c r="H647" s="3" t="s">
        <v>1144</v>
      </c>
    </row>
    <row r="648" spans="1:8" x14ac:dyDescent="0.25">
      <c r="A648" s="1" t="s">
        <v>314</v>
      </c>
      <c r="B648" s="1" t="s">
        <v>418</v>
      </c>
      <c r="C648" s="1" t="s">
        <v>591</v>
      </c>
      <c r="D648" s="1" t="s">
        <v>432</v>
      </c>
      <c r="E648" s="3" t="s">
        <v>2356</v>
      </c>
      <c r="F648" s="2" t="s">
        <v>5922</v>
      </c>
      <c r="G648" s="1"/>
      <c r="H648" s="3" t="s">
        <v>584</v>
      </c>
    </row>
    <row r="649" spans="1:8" x14ac:dyDescent="0.25">
      <c r="A649" s="1" t="s">
        <v>804</v>
      </c>
      <c r="B649" s="1" t="s">
        <v>418</v>
      </c>
      <c r="C649" s="1" t="s">
        <v>805</v>
      </c>
      <c r="D649" s="1" t="s">
        <v>806</v>
      </c>
      <c r="E649" s="3" t="s">
        <v>807</v>
      </c>
      <c r="F649" s="2" t="s">
        <v>5923</v>
      </c>
      <c r="G649" s="1"/>
      <c r="H649" s="3" t="s">
        <v>63</v>
      </c>
    </row>
    <row r="650" spans="1:8" x14ac:dyDescent="0.25">
      <c r="A650" s="1" t="s">
        <v>2204</v>
      </c>
      <c r="B650" s="1" t="s">
        <v>418</v>
      </c>
      <c r="C650" s="1" t="s">
        <v>805</v>
      </c>
      <c r="D650" s="1" t="s">
        <v>806</v>
      </c>
      <c r="E650" s="3" t="s">
        <v>2207</v>
      </c>
      <c r="F650" s="2" t="s">
        <v>5924</v>
      </c>
      <c r="G650" s="1"/>
      <c r="H650" s="3" t="s">
        <v>682</v>
      </c>
    </row>
    <row r="651" spans="1:8" x14ac:dyDescent="0.25">
      <c r="A651" s="1" t="s">
        <v>2204</v>
      </c>
      <c r="B651" s="1" t="s">
        <v>418</v>
      </c>
      <c r="C651" s="1" t="s">
        <v>805</v>
      </c>
      <c r="D651" s="1" t="s">
        <v>806</v>
      </c>
      <c r="E651" s="3" t="s">
        <v>2205</v>
      </c>
      <c r="F651" s="2" t="s">
        <v>5925</v>
      </c>
      <c r="G651" s="1"/>
      <c r="H651" s="3" t="s">
        <v>79</v>
      </c>
    </row>
    <row r="652" spans="1:8" ht="30" x14ac:dyDescent="0.25">
      <c r="A652" s="1" t="s">
        <v>2616</v>
      </c>
      <c r="B652" s="1" t="s">
        <v>536</v>
      </c>
      <c r="C652" s="1" t="s">
        <v>2617</v>
      </c>
      <c r="D652" s="1" t="s">
        <v>2618</v>
      </c>
      <c r="E652" s="3" t="s">
        <v>2619</v>
      </c>
      <c r="F652" s="2" t="s">
        <v>5926</v>
      </c>
      <c r="G652" s="1"/>
      <c r="H652" s="3" t="s">
        <v>687</v>
      </c>
    </row>
    <row r="653" spans="1:8" x14ac:dyDescent="0.25">
      <c r="A653" s="1" t="s">
        <v>2616</v>
      </c>
      <c r="B653" s="1" t="s">
        <v>536</v>
      </c>
      <c r="C653" s="1" t="s">
        <v>2617</v>
      </c>
      <c r="D653" s="1" t="s">
        <v>2618</v>
      </c>
      <c r="E653" s="3" t="s">
        <v>2628</v>
      </c>
      <c r="F653" s="2" t="s">
        <v>5927</v>
      </c>
      <c r="G653" s="1"/>
      <c r="H653" s="3" t="s">
        <v>682</v>
      </c>
    </row>
    <row r="654" spans="1:8" ht="30" x14ac:dyDescent="0.25">
      <c r="A654" s="1" t="s">
        <v>2616</v>
      </c>
      <c r="B654" s="1" t="s">
        <v>536</v>
      </c>
      <c r="C654" s="1" t="s">
        <v>2617</v>
      </c>
      <c r="D654" s="1" t="s">
        <v>2618</v>
      </c>
      <c r="E654" s="3" t="s">
        <v>2621</v>
      </c>
      <c r="F654" s="2" t="s">
        <v>5928</v>
      </c>
      <c r="G654" s="1"/>
      <c r="H654" s="3" t="s">
        <v>2623</v>
      </c>
    </row>
    <row r="655" spans="1:8" ht="30" x14ac:dyDescent="0.25">
      <c r="A655" s="1" t="s">
        <v>2616</v>
      </c>
      <c r="B655" s="1" t="s">
        <v>536</v>
      </c>
      <c r="C655" s="1" t="s">
        <v>2617</v>
      </c>
      <c r="D655" s="1" t="s">
        <v>2618</v>
      </c>
      <c r="E655" s="3" t="s">
        <v>2626</v>
      </c>
      <c r="F655" s="2" t="s">
        <v>5929</v>
      </c>
      <c r="G655" s="1"/>
      <c r="H655" s="3" t="s">
        <v>2623</v>
      </c>
    </row>
    <row r="656" spans="1:8" ht="30" x14ac:dyDescent="0.25">
      <c r="A656" s="1" t="s">
        <v>2616</v>
      </c>
      <c r="B656" s="1" t="s">
        <v>536</v>
      </c>
      <c r="C656" s="1" t="s">
        <v>2617</v>
      </c>
      <c r="D656" s="1" t="s">
        <v>2618</v>
      </c>
      <c r="E656" s="3" t="s">
        <v>2624</v>
      </c>
      <c r="F656" s="2" t="s">
        <v>5930</v>
      </c>
      <c r="G656" s="1"/>
      <c r="H656" s="3" t="s">
        <v>2623</v>
      </c>
    </row>
    <row r="657" spans="1:8" x14ac:dyDescent="0.25">
      <c r="A657" s="1" t="s">
        <v>2054</v>
      </c>
      <c r="B657" s="1" t="s">
        <v>511</v>
      </c>
      <c r="C657" s="1" t="s">
        <v>1517</v>
      </c>
      <c r="D657" s="1" t="s">
        <v>2055</v>
      </c>
      <c r="E657" s="3" t="s">
        <v>2056</v>
      </c>
      <c r="F657" s="2" t="s">
        <v>5931</v>
      </c>
      <c r="G657" s="1"/>
      <c r="H657" s="3" t="s">
        <v>2057</v>
      </c>
    </row>
    <row r="658" spans="1:8" x14ac:dyDescent="0.25">
      <c r="A658" s="1" t="s">
        <v>2054</v>
      </c>
      <c r="B658" s="1" t="s">
        <v>511</v>
      </c>
      <c r="C658" s="1" t="s">
        <v>1517</v>
      </c>
      <c r="D658" s="1" t="s">
        <v>2055</v>
      </c>
      <c r="E658" s="3" t="s">
        <v>2059</v>
      </c>
      <c r="F658" s="2" t="s">
        <v>5932</v>
      </c>
      <c r="G658" s="1"/>
      <c r="H658" s="3" t="s">
        <v>2057</v>
      </c>
    </row>
    <row r="659" spans="1:8" x14ac:dyDescent="0.25">
      <c r="A659" s="1" t="s">
        <v>2054</v>
      </c>
      <c r="B659" s="1" t="s">
        <v>511</v>
      </c>
      <c r="C659" s="1" t="s">
        <v>1517</v>
      </c>
      <c r="D659" s="1" t="s">
        <v>2055</v>
      </c>
      <c r="E659" s="3" t="s">
        <v>2060</v>
      </c>
      <c r="F659" s="2" t="s">
        <v>5933</v>
      </c>
      <c r="G659" s="1"/>
      <c r="H659" s="3" t="s">
        <v>2057</v>
      </c>
    </row>
    <row r="660" spans="1:8" x14ac:dyDescent="0.25">
      <c r="A660" s="1" t="s">
        <v>2054</v>
      </c>
      <c r="B660" s="1" t="s">
        <v>511</v>
      </c>
      <c r="C660" s="1" t="s">
        <v>1517</v>
      </c>
      <c r="D660" s="1" t="s">
        <v>2055</v>
      </c>
      <c r="E660" s="3" t="s">
        <v>2058</v>
      </c>
      <c r="F660" s="2" t="s">
        <v>5934</v>
      </c>
      <c r="G660" s="1"/>
      <c r="H660" s="3" t="s">
        <v>2057</v>
      </c>
    </row>
    <row r="661" spans="1:8" x14ac:dyDescent="0.25">
      <c r="A661" s="1" t="s">
        <v>4224</v>
      </c>
      <c r="B661" s="1" t="s">
        <v>503</v>
      </c>
      <c r="C661" s="1" t="s">
        <v>2418</v>
      </c>
      <c r="D661" s="1" t="s">
        <v>2055</v>
      </c>
      <c r="E661" s="3"/>
      <c r="F661" s="2"/>
      <c r="G661" s="1"/>
      <c r="H661" s="3"/>
    </row>
    <row r="662" spans="1:8" x14ac:dyDescent="0.25">
      <c r="A662" s="1" t="s">
        <v>4228</v>
      </c>
      <c r="B662" s="1" t="s">
        <v>421</v>
      </c>
      <c r="C662" s="1" t="s">
        <v>466</v>
      </c>
      <c r="D662" s="1" t="s">
        <v>1825</v>
      </c>
      <c r="E662" s="3"/>
      <c r="F662" s="2"/>
      <c r="G662" s="1"/>
      <c r="H662" s="3"/>
    </row>
    <row r="663" spans="1:8" x14ac:dyDescent="0.25">
      <c r="A663" s="1" t="s">
        <v>4210</v>
      </c>
      <c r="B663" s="1" t="s">
        <v>446</v>
      </c>
      <c r="C663" s="1" t="s">
        <v>426</v>
      </c>
      <c r="D663" s="1" t="s">
        <v>467</v>
      </c>
      <c r="E663" s="3"/>
      <c r="F663" s="2"/>
      <c r="G663" s="1"/>
      <c r="H663" s="3"/>
    </row>
    <row r="664" spans="1:8" x14ac:dyDescent="0.25">
      <c r="A664" s="1" t="s">
        <v>2450</v>
      </c>
      <c r="B664" s="1" t="s">
        <v>480</v>
      </c>
      <c r="C664" s="1" t="s">
        <v>611</v>
      </c>
      <c r="D664" s="1" t="s">
        <v>467</v>
      </c>
      <c r="E664" s="3" t="s">
        <v>2462</v>
      </c>
      <c r="F664" s="2" t="s">
        <v>5935</v>
      </c>
      <c r="G664" s="1"/>
      <c r="H664" s="3" t="s">
        <v>2464</v>
      </c>
    </row>
    <row r="665" spans="1:8" ht="30" x14ac:dyDescent="0.25">
      <c r="A665" s="1" t="s">
        <v>2450</v>
      </c>
      <c r="B665" s="1" t="s">
        <v>480</v>
      </c>
      <c r="C665" s="1" t="s">
        <v>611</v>
      </c>
      <c r="D665" s="1" t="s">
        <v>467</v>
      </c>
      <c r="E665" s="3" t="s">
        <v>2458</v>
      </c>
      <c r="F665" s="2" t="s">
        <v>5936</v>
      </c>
      <c r="G665" s="1"/>
      <c r="H665" s="3" t="s">
        <v>2453</v>
      </c>
    </row>
    <row r="666" spans="1:8" ht="30" x14ac:dyDescent="0.25">
      <c r="A666" s="1" t="s">
        <v>2450</v>
      </c>
      <c r="B666" s="1" t="s">
        <v>480</v>
      </c>
      <c r="C666" s="1" t="s">
        <v>611</v>
      </c>
      <c r="D666" s="1" t="s">
        <v>467</v>
      </c>
      <c r="E666" s="3" t="s">
        <v>2451</v>
      </c>
      <c r="F666" s="2" t="s">
        <v>5937</v>
      </c>
      <c r="G666" s="1"/>
      <c r="H666" s="3" t="s">
        <v>2453</v>
      </c>
    </row>
    <row r="667" spans="1:8" ht="30" x14ac:dyDescent="0.25">
      <c r="A667" s="1" t="s">
        <v>2450</v>
      </c>
      <c r="B667" s="1" t="s">
        <v>480</v>
      </c>
      <c r="C667" s="1" t="s">
        <v>611</v>
      </c>
      <c r="D667" s="1" t="s">
        <v>467</v>
      </c>
      <c r="E667" s="3" t="s">
        <v>2460</v>
      </c>
      <c r="F667" s="2" t="s">
        <v>5938</v>
      </c>
      <c r="G667" s="1"/>
      <c r="H667" s="3" t="s">
        <v>2453</v>
      </c>
    </row>
    <row r="668" spans="1:8" ht="30" x14ac:dyDescent="0.25">
      <c r="A668" s="1" t="s">
        <v>2450</v>
      </c>
      <c r="B668" s="1" t="s">
        <v>480</v>
      </c>
      <c r="C668" s="1" t="s">
        <v>611</v>
      </c>
      <c r="D668" s="1" t="s">
        <v>467</v>
      </c>
      <c r="E668" s="3" t="s">
        <v>2454</v>
      </c>
      <c r="F668" s="2" t="s">
        <v>5939</v>
      </c>
      <c r="G668" s="1"/>
      <c r="H668" s="3" t="s">
        <v>2453</v>
      </c>
    </row>
    <row r="669" spans="1:8" ht="30" x14ac:dyDescent="0.25">
      <c r="A669" s="1" t="s">
        <v>2450</v>
      </c>
      <c r="B669" s="1" t="s">
        <v>480</v>
      </c>
      <c r="C669" s="1" t="s">
        <v>611</v>
      </c>
      <c r="D669" s="1" t="s">
        <v>467</v>
      </c>
      <c r="E669" s="3" t="s">
        <v>2456</v>
      </c>
      <c r="F669" s="2" t="s">
        <v>5940</v>
      </c>
      <c r="G669" s="1"/>
      <c r="H669" s="3" t="s">
        <v>2453</v>
      </c>
    </row>
    <row r="670" spans="1:8" x14ac:dyDescent="0.25">
      <c r="A670" s="1" t="s">
        <v>2450</v>
      </c>
      <c r="B670" s="1" t="s">
        <v>480</v>
      </c>
      <c r="C670" s="1" t="s">
        <v>611</v>
      </c>
      <c r="D670" s="1" t="s">
        <v>467</v>
      </c>
      <c r="E670" s="3" t="s">
        <v>2465</v>
      </c>
      <c r="F670" s="2" t="s">
        <v>5941</v>
      </c>
      <c r="G670" s="1" t="s">
        <v>413</v>
      </c>
      <c r="H670" s="3" t="s">
        <v>2467</v>
      </c>
    </row>
    <row r="671" spans="1:8" x14ac:dyDescent="0.25">
      <c r="A671" s="1" t="s">
        <v>44</v>
      </c>
      <c r="B671" s="1" t="s">
        <v>465</v>
      </c>
      <c r="C671" s="1" t="s">
        <v>466</v>
      </c>
      <c r="D671" s="1" t="s">
        <v>467</v>
      </c>
      <c r="E671" s="3" t="s">
        <v>341</v>
      </c>
      <c r="F671" s="2" t="s">
        <v>342</v>
      </c>
      <c r="G671" s="1" t="s">
        <v>442</v>
      </c>
      <c r="H671" s="3" t="s">
        <v>3484</v>
      </c>
    </row>
    <row r="672" spans="1:8" x14ac:dyDescent="0.25">
      <c r="A672" s="1" t="s">
        <v>44</v>
      </c>
      <c r="B672" s="1" t="s">
        <v>465</v>
      </c>
      <c r="C672" s="1" t="s">
        <v>466</v>
      </c>
      <c r="D672" s="1" t="s">
        <v>467</v>
      </c>
      <c r="E672" s="3" t="s">
        <v>39</v>
      </c>
      <c r="F672" s="2" t="s">
        <v>45</v>
      </c>
      <c r="G672" s="1" t="s">
        <v>442</v>
      </c>
      <c r="H672" s="3" t="s">
        <v>1</v>
      </c>
    </row>
    <row r="673" spans="1:8" x14ac:dyDescent="0.25">
      <c r="A673" s="1" t="s">
        <v>44</v>
      </c>
      <c r="B673" s="1" t="s">
        <v>465</v>
      </c>
      <c r="C673" s="1" t="s">
        <v>466</v>
      </c>
      <c r="D673" s="1" t="s">
        <v>467</v>
      </c>
      <c r="E673" s="3" t="s">
        <v>249</v>
      </c>
      <c r="F673" s="2" t="s">
        <v>254</v>
      </c>
      <c r="G673" s="1" t="s">
        <v>413</v>
      </c>
      <c r="H673" s="3" t="s">
        <v>1</v>
      </c>
    </row>
    <row r="674" spans="1:8" ht="30" x14ac:dyDescent="0.25">
      <c r="A674" s="1" t="s">
        <v>83</v>
      </c>
      <c r="B674" s="1" t="s">
        <v>424</v>
      </c>
      <c r="C674" s="1" t="s">
        <v>473</v>
      </c>
      <c r="D674" s="1" t="s">
        <v>479</v>
      </c>
      <c r="E674" s="3" t="s">
        <v>81</v>
      </c>
      <c r="F674" s="2" t="s">
        <v>84</v>
      </c>
      <c r="G674" s="1"/>
      <c r="H674" s="3" t="s">
        <v>1988</v>
      </c>
    </row>
    <row r="675" spans="1:8" ht="45" x14ac:dyDescent="0.25">
      <c r="A675" s="1" t="s">
        <v>83</v>
      </c>
      <c r="B675" s="1" t="s">
        <v>424</v>
      </c>
      <c r="C675" s="1" t="s">
        <v>473</v>
      </c>
      <c r="D675" s="1" t="s">
        <v>479</v>
      </c>
      <c r="E675" s="3" t="s">
        <v>2359</v>
      </c>
      <c r="F675" s="2" t="s">
        <v>5942</v>
      </c>
      <c r="G675" s="1" t="s">
        <v>2360</v>
      </c>
      <c r="H675" s="3" t="s">
        <v>2362</v>
      </c>
    </row>
    <row r="676" spans="1:8" ht="45" x14ac:dyDescent="0.25">
      <c r="A676" s="1" t="s">
        <v>83</v>
      </c>
      <c r="B676" s="1" t="s">
        <v>424</v>
      </c>
      <c r="C676" s="1" t="s">
        <v>473</v>
      </c>
      <c r="D676" s="1" t="s">
        <v>479</v>
      </c>
      <c r="E676" s="3" t="s">
        <v>2363</v>
      </c>
      <c r="F676" s="2"/>
      <c r="G676" s="1"/>
      <c r="H676" s="3" t="s">
        <v>2362</v>
      </c>
    </row>
    <row r="677" spans="1:8" ht="45" x14ac:dyDescent="0.25">
      <c r="A677" s="1" t="s">
        <v>83</v>
      </c>
      <c r="B677" s="1" t="s">
        <v>424</v>
      </c>
      <c r="C677" s="1" t="s">
        <v>473</v>
      </c>
      <c r="D677" s="1" t="s">
        <v>479</v>
      </c>
      <c r="E677" s="3" t="s">
        <v>2365</v>
      </c>
      <c r="F677" s="2"/>
      <c r="G677" s="1"/>
      <c r="H677" s="3" t="s">
        <v>2362</v>
      </c>
    </row>
    <row r="678" spans="1:8" ht="45" x14ac:dyDescent="0.25">
      <c r="A678" s="1" t="s">
        <v>83</v>
      </c>
      <c r="B678" s="1" t="s">
        <v>424</v>
      </c>
      <c r="C678" s="1" t="s">
        <v>473</v>
      </c>
      <c r="D678" s="1" t="s">
        <v>479</v>
      </c>
      <c r="E678" s="3" t="s">
        <v>2367</v>
      </c>
      <c r="F678" s="2"/>
      <c r="G678" s="1"/>
      <c r="H678" s="3" t="s">
        <v>2362</v>
      </c>
    </row>
    <row r="679" spans="1:8" x14ac:dyDescent="0.25">
      <c r="A679" s="1" t="s">
        <v>1276</v>
      </c>
      <c r="B679" s="1" t="s">
        <v>457</v>
      </c>
      <c r="C679" s="1" t="s">
        <v>1277</v>
      </c>
      <c r="D679" s="1" t="s">
        <v>492</v>
      </c>
      <c r="E679" s="3" t="s">
        <v>1283</v>
      </c>
      <c r="F679" s="2"/>
      <c r="G679" s="1"/>
      <c r="H679" s="3" t="s">
        <v>63</v>
      </c>
    </row>
    <row r="680" spans="1:8" x14ac:dyDescent="0.25">
      <c r="A680" s="1" t="s">
        <v>1276</v>
      </c>
      <c r="B680" s="1" t="s">
        <v>457</v>
      </c>
      <c r="C680" s="1" t="s">
        <v>1277</v>
      </c>
      <c r="D680" s="1" t="s">
        <v>492</v>
      </c>
      <c r="E680" s="3" t="s">
        <v>1278</v>
      </c>
      <c r="F680" s="2"/>
      <c r="G680" s="1"/>
      <c r="H680" s="3" t="s">
        <v>1280</v>
      </c>
    </row>
    <row r="681" spans="1:8" x14ac:dyDescent="0.25">
      <c r="A681" s="1" t="s">
        <v>1276</v>
      </c>
      <c r="B681" s="1" t="s">
        <v>457</v>
      </c>
      <c r="C681" s="1" t="s">
        <v>1277</v>
      </c>
      <c r="D681" s="1" t="s">
        <v>492</v>
      </c>
      <c r="E681" s="3" t="s">
        <v>1281</v>
      </c>
      <c r="F681" s="2"/>
      <c r="G681" s="1"/>
      <c r="H681" s="3" t="s">
        <v>1280</v>
      </c>
    </row>
    <row r="682" spans="1:8" ht="45" x14ac:dyDescent="0.25">
      <c r="A682" s="1" t="s">
        <v>1741</v>
      </c>
      <c r="B682" s="1" t="s">
        <v>817</v>
      </c>
      <c r="C682" s="1" t="s">
        <v>1742</v>
      </c>
      <c r="D682" s="1" t="s">
        <v>1743</v>
      </c>
      <c r="E682" s="3" t="s">
        <v>1747</v>
      </c>
      <c r="F682" s="2" t="s">
        <v>5943</v>
      </c>
      <c r="G682" s="1"/>
      <c r="H682" s="3" t="s">
        <v>1746</v>
      </c>
    </row>
    <row r="683" spans="1:8" ht="45" x14ac:dyDescent="0.25">
      <c r="A683" s="1" t="s">
        <v>1741</v>
      </c>
      <c r="B683" s="1" t="s">
        <v>817</v>
      </c>
      <c r="C683" s="1" t="s">
        <v>1742</v>
      </c>
      <c r="D683" s="1" t="s">
        <v>1743</v>
      </c>
      <c r="E683" s="3" t="s">
        <v>1744</v>
      </c>
      <c r="F683" s="2" t="s">
        <v>5944</v>
      </c>
      <c r="G683" s="1"/>
      <c r="H683" s="3" t="s">
        <v>1746</v>
      </c>
    </row>
    <row r="684" spans="1:8" x14ac:dyDescent="0.25">
      <c r="A684" s="1" t="s">
        <v>2468</v>
      </c>
      <c r="B684" s="1" t="s">
        <v>457</v>
      </c>
      <c r="C684" s="1" t="s">
        <v>2469</v>
      </c>
      <c r="D684" s="1" t="s">
        <v>1743</v>
      </c>
      <c r="E684" s="3" t="s">
        <v>2474</v>
      </c>
      <c r="F684" s="2" t="s">
        <v>5945</v>
      </c>
      <c r="G684" s="1"/>
      <c r="H684" s="3" t="s">
        <v>1204</v>
      </c>
    </row>
    <row r="685" spans="1:8" x14ac:dyDescent="0.25">
      <c r="A685" s="1" t="s">
        <v>2468</v>
      </c>
      <c r="B685" s="1" t="s">
        <v>457</v>
      </c>
      <c r="C685" s="1" t="s">
        <v>2469</v>
      </c>
      <c r="D685" s="1" t="s">
        <v>1743</v>
      </c>
      <c r="E685" s="3" t="s">
        <v>2472</v>
      </c>
      <c r="F685" s="2" t="s">
        <v>5946</v>
      </c>
      <c r="G685" s="1"/>
      <c r="H685" s="3" t="s">
        <v>597</v>
      </c>
    </row>
    <row r="686" spans="1:8" x14ac:dyDescent="0.25">
      <c r="A686" s="1" t="s">
        <v>2468</v>
      </c>
      <c r="B686" s="1" t="s">
        <v>457</v>
      </c>
      <c r="C686" s="1" t="s">
        <v>2469</v>
      </c>
      <c r="D686" s="1" t="s">
        <v>1743</v>
      </c>
      <c r="E686" s="3" t="s">
        <v>2470</v>
      </c>
      <c r="F686" s="2" t="s">
        <v>5947</v>
      </c>
      <c r="G686" s="1"/>
      <c r="H686" s="3" t="s">
        <v>597</v>
      </c>
    </row>
    <row r="687" spans="1:8" x14ac:dyDescent="0.25">
      <c r="A687" s="1" t="s">
        <v>4237</v>
      </c>
      <c r="B687" s="1" t="s">
        <v>491</v>
      </c>
      <c r="C687" s="1" t="s">
        <v>4238</v>
      </c>
      <c r="D687" s="1" t="s">
        <v>1743</v>
      </c>
      <c r="E687" s="3"/>
      <c r="F687" s="2"/>
      <c r="G687" s="1"/>
      <c r="H687" s="3"/>
    </row>
    <row r="688" spans="1:8" x14ac:dyDescent="0.25">
      <c r="A688" s="1" t="s">
        <v>1693</v>
      </c>
      <c r="B688" s="1" t="s">
        <v>418</v>
      </c>
      <c r="C688" s="1" t="s">
        <v>539</v>
      </c>
      <c r="D688" s="1" t="s">
        <v>1694</v>
      </c>
      <c r="E688" s="3" t="s">
        <v>1695</v>
      </c>
      <c r="F688" s="2"/>
      <c r="G688" s="1"/>
      <c r="H688" s="3" t="s">
        <v>1280</v>
      </c>
    </row>
    <row r="689" spans="1:8" x14ac:dyDescent="0.25">
      <c r="A689" s="1" t="s">
        <v>1693</v>
      </c>
      <c r="B689" s="1" t="s">
        <v>418</v>
      </c>
      <c r="C689" s="1" t="s">
        <v>539</v>
      </c>
      <c r="D689" s="1" t="s">
        <v>1694</v>
      </c>
      <c r="E689" s="3" t="s">
        <v>1697</v>
      </c>
      <c r="F689" s="2"/>
      <c r="G689" s="1"/>
      <c r="H689" s="3" t="s">
        <v>63</v>
      </c>
    </row>
    <row r="690" spans="1:8" x14ac:dyDescent="0.25">
      <c r="A690" s="1" t="s">
        <v>1693</v>
      </c>
      <c r="B690" s="1" t="s">
        <v>418</v>
      </c>
      <c r="C690" s="1" t="s">
        <v>539</v>
      </c>
      <c r="D690" s="1" t="s">
        <v>1694</v>
      </c>
      <c r="E690" s="3" t="s">
        <v>1699</v>
      </c>
      <c r="F690" s="2"/>
      <c r="G690" s="1"/>
      <c r="H690" s="3" t="s">
        <v>63</v>
      </c>
    </row>
    <row r="691" spans="1:8" x14ac:dyDescent="0.25">
      <c r="A691" s="1" t="s">
        <v>552</v>
      </c>
      <c r="B691" s="1" t="s">
        <v>446</v>
      </c>
      <c r="C691" s="1" t="s">
        <v>456</v>
      </c>
      <c r="D691" s="1" t="s">
        <v>540</v>
      </c>
      <c r="E691" s="3" t="s">
        <v>1579</v>
      </c>
      <c r="F691" s="2" t="s">
        <v>5948</v>
      </c>
      <c r="G691" s="1"/>
      <c r="H691" s="3" t="s">
        <v>597</v>
      </c>
    </row>
    <row r="692" spans="1:8" x14ac:dyDescent="0.25">
      <c r="A692" s="1" t="s">
        <v>552</v>
      </c>
      <c r="B692" s="1" t="s">
        <v>446</v>
      </c>
      <c r="C692" s="1" t="s">
        <v>456</v>
      </c>
      <c r="D692" s="1" t="s">
        <v>540</v>
      </c>
      <c r="E692" s="3" t="s">
        <v>1584</v>
      </c>
      <c r="F692" s="2" t="s">
        <v>5949</v>
      </c>
      <c r="G692" s="1"/>
      <c r="H692" s="3" t="s">
        <v>63</v>
      </c>
    </row>
    <row r="693" spans="1:8" x14ac:dyDescent="0.25">
      <c r="A693" s="1" t="s">
        <v>552</v>
      </c>
      <c r="B693" s="1" t="s">
        <v>446</v>
      </c>
      <c r="C693" s="1" t="s">
        <v>456</v>
      </c>
      <c r="D693" s="1" t="s">
        <v>540</v>
      </c>
      <c r="E693" s="3" t="s">
        <v>1581</v>
      </c>
      <c r="F693" s="2" t="s">
        <v>5950</v>
      </c>
      <c r="G693" s="1"/>
      <c r="H693" s="3" t="s">
        <v>1583</v>
      </c>
    </row>
    <row r="694" spans="1:8" x14ac:dyDescent="0.25">
      <c r="A694" s="1" t="s">
        <v>552</v>
      </c>
      <c r="B694" s="1" t="s">
        <v>446</v>
      </c>
      <c r="C694" s="1" t="s">
        <v>456</v>
      </c>
      <c r="D694" s="1" t="s">
        <v>540</v>
      </c>
      <c r="E694" s="3" t="s">
        <v>1588</v>
      </c>
      <c r="F694" s="2" t="s">
        <v>5951</v>
      </c>
      <c r="G694" s="1" t="s">
        <v>476</v>
      </c>
      <c r="H694" s="3" t="s">
        <v>554</v>
      </c>
    </row>
    <row r="695" spans="1:8" x14ac:dyDescent="0.25">
      <c r="A695" s="1" t="s">
        <v>552</v>
      </c>
      <c r="B695" s="1" t="s">
        <v>446</v>
      </c>
      <c r="C695" s="1" t="s">
        <v>456</v>
      </c>
      <c r="D695" s="1" t="s">
        <v>540</v>
      </c>
      <c r="E695" s="3" t="s">
        <v>1595</v>
      </c>
      <c r="F695" s="2" t="s">
        <v>5952</v>
      </c>
      <c r="G695" s="1"/>
      <c r="H695" s="3" t="s">
        <v>554</v>
      </c>
    </row>
    <row r="696" spans="1:8" x14ac:dyDescent="0.25">
      <c r="A696" s="1" t="s">
        <v>552</v>
      </c>
      <c r="B696" s="1" t="s">
        <v>446</v>
      </c>
      <c r="C696" s="1" t="s">
        <v>456</v>
      </c>
      <c r="D696" s="1" t="s">
        <v>540</v>
      </c>
      <c r="E696" s="3" t="s">
        <v>550</v>
      </c>
      <c r="F696" s="2" t="s">
        <v>553</v>
      </c>
      <c r="G696" s="1" t="s">
        <v>413</v>
      </c>
      <c r="H696" s="3" t="s">
        <v>554</v>
      </c>
    </row>
    <row r="697" spans="1:8" x14ac:dyDescent="0.25">
      <c r="A697" s="1" t="s">
        <v>552</v>
      </c>
      <c r="B697" s="1" t="s">
        <v>446</v>
      </c>
      <c r="C697" s="1" t="s">
        <v>456</v>
      </c>
      <c r="D697" s="1" t="s">
        <v>540</v>
      </c>
      <c r="E697" s="3" t="s">
        <v>1593</v>
      </c>
      <c r="F697" s="2" t="s">
        <v>5953</v>
      </c>
      <c r="G697" s="1" t="s">
        <v>476</v>
      </c>
      <c r="H697" s="3" t="s">
        <v>554</v>
      </c>
    </row>
    <row r="698" spans="1:8" x14ac:dyDescent="0.25">
      <c r="A698" s="1" t="s">
        <v>552</v>
      </c>
      <c r="B698" s="1" t="s">
        <v>446</v>
      </c>
      <c r="C698" s="1" t="s">
        <v>456</v>
      </c>
      <c r="D698" s="1" t="s">
        <v>540</v>
      </c>
      <c r="E698" s="3" t="s">
        <v>1591</v>
      </c>
      <c r="F698" s="2" t="s">
        <v>5954</v>
      </c>
      <c r="G698" s="1" t="s">
        <v>476</v>
      </c>
      <c r="H698" s="3" t="s">
        <v>554</v>
      </c>
    </row>
    <row r="699" spans="1:8" x14ac:dyDescent="0.25">
      <c r="A699" s="1" t="s">
        <v>552</v>
      </c>
      <c r="B699" s="1" t="s">
        <v>446</v>
      </c>
      <c r="C699" s="1" t="s">
        <v>456</v>
      </c>
      <c r="D699" s="1" t="s">
        <v>540</v>
      </c>
      <c r="E699" s="3" t="s">
        <v>1586</v>
      </c>
      <c r="F699" s="2" t="s">
        <v>5955</v>
      </c>
      <c r="G699" s="1" t="s">
        <v>476</v>
      </c>
      <c r="H699" s="3" t="s">
        <v>554</v>
      </c>
    </row>
    <row r="700" spans="1:8" ht="30" x14ac:dyDescent="0.25">
      <c r="A700" s="1" t="s">
        <v>197</v>
      </c>
      <c r="B700" s="1" t="s">
        <v>418</v>
      </c>
      <c r="C700" s="1" t="s">
        <v>539</v>
      </c>
      <c r="D700" s="1" t="s">
        <v>540</v>
      </c>
      <c r="E700" s="3" t="s">
        <v>195</v>
      </c>
      <c r="F700" s="2" t="s">
        <v>198</v>
      </c>
      <c r="G700" s="1" t="s">
        <v>476</v>
      </c>
      <c r="H700" s="3" t="s">
        <v>196</v>
      </c>
    </row>
    <row r="701" spans="1:8" x14ac:dyDescent="0.25">
      <c r="A701" s="1" t="s">
        <v>197</v>
      </c>
      <c r="B701" s="1" t="s">
        <v>418</v>
      </c>
      <c r="C701" s="1" t="s">
        <v>539</v>
      </c>
      <c r="D701" s="1" t="s">
        <v>540</v>
      </c>
      <c r="E701" s="3" t="s">
        <v>233</v>
      </c>
      <c r="F701" s="2" t="s">
        <v>236</v>
      </c>
      <c r="G701" s="1" t="s">
        <v>413</v>
      </c>
      <c r="H701" s="3" t="s">
        <v>1</v>
      </c>
    </row>
    <row r="702" spans="1:8" x14ac:dyDescent="0.25">
      <c r="A702" s="1" t="s">
        <v>197</v>
      </c>
      <c r="B702" s="1" t="s">
        <v>418</v>
      </c>
      <c r="C702" s="1" t="s">
        <v>539</v>
      </c>
      <c r="D702" s="1" t="s">
        <v>540</v>
      </c>
      <c r="E702" s="3" t="s">
        <v>1711</v>
      </c>
      <c r="F702" s="2" t="s">
        <v>5956</v>
      </c>
      <c r="G702" s="1" t="s">
        <v>406</v>
      </c>
      <c r="H702" s="3" t="s">
        <v>56</v>
      </c>
    </row>
    <row r="703" spans="1:8" ht="45" x14ac:dyDescent="0.25">
      <c r="A703" s="1" t="s">
        <v>197</v>
      </c>
      <c r="B703" s="1" t="s">
        <v>418</v>
      </c>
      <c r="C703" s="1" t="s">
        <v>539</v>
      </c>
      <c r="D703" s="1" t="s">
        <v>540</v>
      </c>
      <c r="E703" s="3" t="s">
        <v>1713</v>
      </c>
      <c r="F703" s="2" t="s">
        <v>5957</v>
      </c>
      <c r="G703" s="1"/>
      <c r="H703" s="3" t="s">
        <v>7</v>
      </c>
    </row>
    <row r="704" spans="1:8" x14ac:dyDescent="0.25">
      <c r="A704" s="1" t="s">
        <v>3321</v>
      </c>
      <c r="B704" s="1" t="s">
        <v>424</v>
      </c>
      <c r="C704" s="1" t="s">
        <v>3322</v>
      </c>
      <c r="D704" s="1" t="s">
        <v>577</v>
      </c>
      <c r="E704" s="3" t="s">
        <v>3327</v>
      </c>
      <c r="F704" s="2" t="s">
        <v>5958</v>
      </c>
      <c r="G704" s="1"/>
      <c r="H704" s="3" t="s">
        <v>63</v>
      </c>
    </row>
    <row r="705" spans="1:8" x14ac:dyDescent="0.25">
      <c r="A705" s="1" t="s">
        <v>3321</v>
      </c>
      <c r="B705" s="1" t="s">
        <v>424</v>
      </c>
      <c r="C705" s="1" t="s">
        <v>3322</v>
      </c>
      <c r="D705" s="1" t="s">
        <v>577</v>
      </c>
      <c r="E705" s="3" t="s">
        <v>3329</v>
      </c>
      <c r="F705" s="2" t="s">
        <v>5959</v>
      </c>
      <c r="G705" s="1"/>
      <c r="H705" s="3" t="s">
        <v>682</v>
      </c>
    </row>
    <row r="706" spans="1:8" x14ac:dyDescent="0.25">
      <c r="A706" s="1" t="s">
        <v>3321</v>
      </c>
      <c r="B706" s="1" t="s">
        <v>424</v>
      </c>
      <c r="C706" s="1" t="s">
        <v>3322</v>
      </c>
      <c r="D706" s="1" t="s">
        <v>577</v>
      </c>
      <c r="E706" s="3" t="s">
        <v>3323</v>
      </c>
      <c r="F706" s="2" t="s">
        <v>5960</v>
      </c>
      <c r="G706" s="1"/>
      <c r="H706" s="3" t="s">
        <v>561</v>
      </c>
    </row>
    <row r="707" spans="1:8" x14ac:dyDescent="0.25">
      <c r="A707" s="1" t="s">
        <v>3321</v>
      </c>
      <c r="B707" s="1" t="s">
        <v>424</v>
      </c>
      <c r="C707" s="1" t="s">
        <v>3322</v>
      </c>
      <c r="D707" s="1" t="s">
        <v>577</v>
      </c>
      <c r="E707" s="3" t="s">
        <v>3325</v>
      </c>
      <c r="F707" s="2" t="s">
        <v>5961</v>
      </c>
      <c r="G707" s="1"/>
      <c r="H707" s="3" t="s">
        <v>561</v>
      </c>
    </row>
    <row r="708" spans="1:8" x14ac:dyDescent="0.25">
      <c r="A708" s="1" t="s">
        <v>1876</v>
      </c>
      <c r="B708" s="1" t="s">
        <v>1632</v>
      </c>
      <c r="C708" s="1" t="s">
        <v>1877</v>
      </c>
      <c r="D708" s="1" t="s">
        <v>1878</v>
      </c>
      <c r="E708" s="3" t="s">
        <v>1887</v>
      </c>
      <c r="F708" s="2" t="s">
        <v>5962</v>
      </c>
      <c r="G708" s="1"/>
      <c r="H708" s="3" t="s">
        <v>1802</v>
      </c>
    </row>
    <row r="709" spans="1:8" ht="30" x14ac:dyDescent="0.25">
      <c r="A709" s="1" t="s">
        <v>1876</v>
      </c>
      <c r="B709" s="1" t="s">
        <v>1632</v>
      </c>
      <c r="C709" s="1" t="s">
        <v>1877</v>
      </c>
      <c r="D709" s="1" t="s">
        <v>1878</v>
      </c>
      <c r="E709" s="3" t="s">
        <v>1879</v>
      </c>
      <c r="F709" s="2" t="s">
        <v>5963</v>
      </c>
      <c r="G709" s="1"/>
      <c r="H709" s="3" t="s">
        <v>1789</v>
      </c>
    </row>
    <row r="710" spans="1:8" x14ac:dyDescent="0.25">
      <c r="A710" s="1" t="s">
        <v>1876</v>
      </c>
      <c r="B710" s="1" t="s">
        <v>1632</v>
      </c>
      <c r="C710" s="1" t="s">
        <v>1877</v>
      </c>
      <c r="D710" s="1" t="s">
        <v>1878</v>
      </c>
      <c r="E710" s="3" t="s">
        <v>1884</v>
      </c>
      <c r="F710" s="2" t="s">
        <v>5964</v>
      </c>
      <c r="G710" s="1" t="s">
        <v>1885</v>
      </c>
      <c r="H710" s="3" t="s">
        <v>1883</v>
      </c>
    </row>
    <row r="711" spans="1:8" x14ac:dyDescent="0.25">
      <c r="A711" s="1" t="s">
        <v>1876</v>
      </c>
      <c r="B711" s="1" t="s">
        <v>1632</v>
      </c>
      <c r="C711" s="1" t="s">
        <v>1877</v>
      </c>
      <c r="D711" s="1" t="s">
        <v>1878</v>
      </c>
      <c r="E711" s="3" t="s">
        <v>1881</v>
      </c>
      <c r="F711" s="2" t="s">
        <v>5965</v>
      </c>
      <c r="G711" s="1"/>
      <c r="H711" s="3" t="s">
        <v>1883</v>
      </c>
    </row>
    <row r="712" spans="1:8" x14ac:dyDescent="0.25">
      <c r="A712" s="1" t="s">
        <v>3429</v>
      </c>
      <c r="B712" s="1" t="s">
        <v>536</v>
      </c>
      <c r="C712" s="1" t="s">
        <v>1742</v>
      </c>
      <c r="D712" s="1" t="s">
        <v>3856</v>
      </c>
      <c r="E712" s="3"/>
      <c r="F712" s="2"/>
      <c r="G712" s="1"/>
      <c r="H712" s="3"/>
    </row>
    <row r="713" spans="1:8" x14ac:dyDescent="0.25">
      <c r="A713" s="1" t="s">
        <v>3855</v>
      </c>
      <c r="B713" s="1" t="s">
        <v>409</v>
      </c>
      <c r="C713" s="1" t="s">
        <v>1702</v>
      </c>
      <c r="D713" s="1" t="s">
        <v>3856</v>
      </c>
      <c r="E713" s="3" t="s">
        <v>3857</v>
      </c>
      <c r="F713" s="2" t="s">
        <v>5966</v>
      </c>
      <c r="G713" s="1"/>
      <c r="H713" s="3" t="s">
        <v>79</v>
      </c>
    </row>
    <row r="714" spans="1:8" x14ac:dyDescent="0.25">
      <c r="A714" s="1" t="s">
        <v>3855</v>
      </c>
      <c r="B714" s="1" t="s">
        <v>409</v>
      </c>
      <c r="C714" s="1" t="s">
        <v>1702</v>
      </c>
      <c r="D714" s="1" t="s">
        <v>3856</v>
      </c>
      <c r="E714" s="3" t="s">
        <v>3859</v>
      </c>
      <c r="F714" s="2" t="s">
        <v>5967</v>
      </c>
      <c r="G714" s="1"/>
      <c r="H714" s="3" t="s">
        <v>682</v>
      </c>
    </row>
    <row r="715" spans="1:8" x14ac:dyDescent="0.25">
      <c r="A715" s="1" t="s">
        <v>408</v>
      </c>
      <c r="B715" s="1" t="s">
        <v>409</v>
      </c>
      <c r="C715" s="1" t="s">
        <v>2504</v>
      </c>
      <c r="D715" s="1" t="s">
        <v>411</v>
      </c>
      <c r="E715" s="3" t="s">
        <v>402</v>
      </c>
      <c r="F715" s="2"/>
      <c r="G715" s="1"/>
      <c r="H715" s="3" t="s">
        <v>157</v>
      </c>
    </row>
    <row r="716" spans="1:8" x14ac:dyDescent="0.25">
      <c r="A716" s="1" t="s">
        <v>408</v>
      </c>
      <c r="B716" s="1" t="s">
        <v>409</v>
      </c>
      <c r="C716" s="1" t="s">
        <v>2504</v>
      </c>
      <c r="D716" s="1" t="s">
        <v>411</v>
      </c>
      <c r="E716" s="3" t="s">
        <v>2506</v>
      </c>
      <c r="F716" s="2"/>
      <c r="G716" s="1"/>
      <c r="H716" s="3" t="s">
        <v>157</v>
      </c>
    </row>
    <row r="717" spans="1:8" x14ac:dyDescent="0.25">
      <c r="A717" s="1" t="s">
        <v>408</v>
      </c>
      <c r="B717" s="1" t="s">
        <v>409</v>
      </c>
      <c r="C717" s="1" t="s">
        <v>410</v>
      </c>
      <c r="D717" s="1" t="s">
        <v>411</v>
      </c>
      <c r="E717" s="3" t="s">
        <v>2511</v>
      </c>
      <c r="F717" s="2" t="s">
        <v>5968</v>
      </c>
      <c r="G717" s="1"/>
      <c r="H717" s="3" t="s">
        <v>682</v>
      </c>
    </row>
    <row r="718" spans="1:8" x14ac:dyDescent="0.25">
      <c r="A718" s="1" t="s">
        <v>408</v>
      </c>
      <c r="B718" s="1" t="s">
        <v>409</v>
      </c>
      <c r="C718" s="1" t="s">
        <v>410</v>
      </c>
      <c r="D718" s="1" t="s">
        <v>411</v>
      </c>
      <c r="E718" s="3" t="s">
        <v>2513</v>
      </c>
      <c r="F718" s="2" t="s">
        <v>5969</v>
      </c>
      <c r="G718" s="1"/>
      <c r="H718" s="3" t="s">
        <v>682</v>
      </c>
    </row>
    <row r="719" spans="1:8" x14ac:dyDescent="0.25">
      <c r="A719" s="1" t="s">
        <v>408</v>
      </c>
      <c r="B719" s="1" t="s">
        <v>409</v>
      </c>
      <c r="C719" s="1" t="s">
        <v>410</v>
      </c>
      <c r="D719" s="1" t="s">
        <v>411</v>
      </c>
      <c r="E719" s="3" t="s">
        <v>2509</v>
      </c>
      <c r="F719" s="2" t="s">
        <v>5970</v>
      </c>
      <c r="G719" s="1"/>
      <c r="H719" s="3" t="s">
        <v>1583</v>
      </c>
    </row>
    <row r="720" spans="1:8" x14ac:dyDescent="0.25">
      <c r="A720" s="1" t="s">
        <v>408</v>
      </c>
      <c r="B720" s="1" t="s">
        <v>409</v>
      </c>
      <c r="C720" s="1" t="s">
        <v>410</v>
      </c>
      <c r="D720" s="1" t="s">
        <v>411</v>
      </c>
      <c r="E720" s="3" t="s">
        <v>402</v>
      </c>
      <c r="F720" s="2" t="s">
        <v>412</v>
      </c>
      <c r="G720" s="1" t="s">
        <v>413</v>
      </c>
      <c r="H720" s="3" t="s">
        <v>2508</v>
      </c>
    </row>
    <row r="721" spans="1:8" x14ac:dyDescent="0.25">
      <c r="A721" s="1" t="s">
        <v>408</v>
      </c>
      <c r="B721" s="1" t="s">
        <v>409</v>
      </c>
      <c r="C721" s="1" t="s">
        <v>410</v>
      </c>
      <c r="D721" s="1" t="s">
        <v>411</v>
      </c>
      <c r="E721" s="3" t="s">
        <v>2506</v>
      </c>
      <c r="F721" s="2" t="s">
        <v>5971</v>
      </c>
      <c r="G721" s="1" t="s">
        <v>442</v>
      </c>
      <c r="H721" s="3" t="s">
        <v>2508</v>
      </c>
    </row>
    <row r="722" spans="1:8" x14ac:dyDescent="0.25">
      <c r="A722" s="1" t="s">
        <v>4241</v>
      </c>
      <c r="B722" s="1" t="s">
        <v>1008</v>
      </c>
      <c r="C722" s="1" t="s">
        <v>4242</v>
      </c>
      <c r="D722" s="1" t="s">
        <v>411</v>
      </c>
      <c r="E722" s="3"/>
      <c r="F722" s="2"/>
      <c r="G722" s="1"/>
      <c r="H722" s="3"/>
    </row>
    <row r="723" spans="1:8" x14ac:dyDescent="0.25">
      <c r="A723" s="1" t="s">
        <v>4246</v>
      </c>
      <c r="B723" s="1" t="s">
        <v>457</v>
      </c>
      <c r="C723" s="1" t="s">
        <v>4247</v>
      </c>
      <c r="D723" s="1" t="s">
        <v>411</v>
      </c>
      <c r="E723" s="3"/>
      <c r="F723" s="2"/>
      <c r="G723" s="1"/>
      <c r="H723" s="3"/>
    </row>
    <row r="724" spans="1:8" x14ac:dyDescent="0.25">
      <c r="A724" s="1" t="s">
        <v>163</v>
      </c>
      <c r="B724" s="1" t="s">
        <v>418</v>
      </c>
      <c r="C724" s="1" t="s">
        <v>519</v>
      </c>
      <c r="D724" s="1" t="s">
        <v>520</v>
      </c>
      <c r="E724" s="3" t="s">
        <v>156</v>
      </c>
      <c r="F724" s="2" t="s">
        <v>164</v>
      </c>
      <c r="G724" s="1"/>
      <c r="H724" s="3" t="s">
        <v>79</v>
      </c>
    </row>
    <row r="725" spans="1:8" x14ac:dyDescent="0.25">
      <c r="A725" s="1" t="s">
        <v>163</v>
      </c>
      <c r="B725" s="1" t="s">
        <v>418</v>
      </c>
      <c r="C725" s="1" t="s">
        <v>519</v>
      </c>
      <c r="D725" s="1" t="s">
        <v>520</v>
      </c>
      <c r="E725" s="3" t="s">
        <v>230</v>
      </c>
      <c r="F725" s="2" t="s">
        <v>231</v>
      </c>
      <c r="G725" s="1"/>
      <c r="H725" s="3" t="s">
        <v>79</v>
      </c>
    </row>
    <row r="726" spans="1:8" x14ac:dyDescent="0.25">
      <c r="A726" s="1" t="s">
        <v>163</v>
      </c>
      <c r="B726" s="1" t="s">
        <v>418</v>
      </c>
      <c r="C726" s="1" t="s">
        <v>519</v>
      </c>
      <c r="D726" s="1" t="s">
        <v>520</v>
      </c>
      <c r="E726" s="3" t="s">
        <v>1733</v>
      </c>
      <c r="F726" s="2" t="s">
        <v>5972</v>
      </c>
      <c r="G726" s="1"/>
      <c r="H726" s="3" t="s">
        <v>682</v>
      </c>
    </row>
    <row r="727" spans="1:8" x14ac:dyDescent="0.25">
      <c r="A727" s="1" t="s">
        <v>1941</v>
      </c>
      <c r="B727" s="1" t="s">
        <v>1116</v>
      </c>
      <c r="C727" s="1" t="s">
        <v>461</v>
      </c>
      <c r="D727" s="1" t="s">
        <v>462</v>
      </c>
      <c r="E727" s="3" t="s">
        <v>1955</v>
      </c>
      <c r="F727" s="2" t="s">
        <v>5973</v>
      </c>
      <c r="G727" s="1"/>
      <c r="H727" s="3" t="s">
        <v>682</v>
      </c>
    </row>
    <row r="728" spans="1:8" x14ac:dyDescent="0.25">
      <c r="A728" s="1" t="s">
        <v>1941</v>
      </c>
      <c r="B728" s="1" t="s">
        <v>1116</v>
      </c>
      <c r="C728" s="1" t="s">
        <v>461</v>
      </c>
      <c r="D728" s="1" t="s">
        <v>462</v>
      </c>
      <c r="E728" s="3" t="s">
        <v>1953</v>
      </c>
      <c r="F728" s="2" t="s">
        <v>5974</v>
      </c>
      <c r="G728" s="1"/>
      <c r="H728" s="3" t="s">
        <v>682</v>
      </c>
    </row>
    <row r="729" spans="1:8" x14ac:dyDescent="0.25">
      <c r="A729" s="1" t="s">
        <v>1941</v>
      </c>
      <c r="B729" s="1" t="s">
        <v>1116</v>
      </c>
      <c r="C729" s="1" t="s">
        <v>461</v>
      </c>
      <c r="D729" s="1" t="s">
        <v>462</v>
      </c>
      <c r="E729" s="3" t="s">
        <v>1942</v>
      </c>
      <c r="F729" s="2" t="s">
        <v>5975</v>
      </c>
      <c r="G729" s="1" t="s">
        <v>406</v>
      </c>
      <c r="H729" s="3" t="s">
        <v>1944</v>
      </c>
    </row>
    <row r="730" spans="1:8" ht="30" x14ac:dyDescent="0.25">
      <c r="A730" s="1" t="s">
        <v>1941</v>
      </c>
      <c r="B730" s="1" t="s">
        <v>1116</v>
      </c>
      <c r="C730" s="1" t="s">
        <v>461</v>
      </c>
      <c r="D730" s="1" t="s">
        <v>462</v>
      </c>
      <c r="E730" s="3" t="s">
        <v>1949</v>
      </c>
      <c r="F730" s="2" t="s">
        <v>5976</v>
      </c>
      <c r="G730" s="1"/>
      <c r="H730" s="3" t="s">
        <v>852</v>
      </c>
    </row>
    <row r="731" spans="1:8" ht="30" x14ac:dyDescent="0.25">
      <c r="A731" s="1" t="s">
        <v>1941</v>
      </c>
      <c r="B731" s="1" t="s">
        <v>1116</v>
      </c>
      <c r="C731" s="1" t="s">
        <v>461</v>
      </c>
      <c r="D731" s="1" t="s">
        <v>462</v>
      </c>
      <c r="E731" s="3" t="s">
        <v>1951</v>
      </c>
      <c r="F731" s="2" t="s">
        <v>5977</v>
      </c>
      <c r="G731" s="1"/>
      <c r="H731" s="3" t="s">
        <v>852</v>
      </c>
    </row>
    <row r="732" spans="1:8" ht="30" x14ac:dyDescent="0.25">
      <c r="A732" s="1" t="s">
        <v>1941</v>
      </c>
      <c r="B732" s="1" t="s">
        <v>1116</v>
      </c>
      <c r="C732" s="1" t="s">
        <v>461</v>
      </c>
      <c r="D732" s="1" t="s">
        <v>462</v>
      </c>
      <c r="E732" s="3" t="s">
        <v>1945</v>
      </c>
      <c r="F732" s="2" t="s">
        <v>5978</v>
      </c>
      <c r="G732" s="1"/>
      <c r="H732" s="3" t="s">
        <v>852</v>
      </c>
    </row>
    <row r="733" spans="1:8" ht="30" x14ac:dyDescent="0.25">
      <c r="A733" s="1" t="s">
        <v>1941</v>
      </c>
      <c r="B733" s="1" t="s">
        <v>1116</v>
      </c>
      <c r="C733" s="1" t="s">
        <v>461</v>
      </c>
      <c r="D733" s="1" t="s">
        <v>462</v>
      </c>
      <c r="E733" s="3" t="s">
        <v>1947</v>
      </c>
      <c r="F733" s="2" t="s">
        <v>5979</v>
      </c>
      <c r="G733" s="1"/>
      <c r="H733" s="3" t="s">
        <v>852</v>
      </c>
    </row>
    <row r="734" spans="1:8" ht="30" x14ac:dyDescent="0.25">
      <c r="A734" s="1" t="s">
        <v>54</v>
      </c>
      <c r="B734" s="1" t="s">
        <v>460</v>
      </c>
      <c r="C734" s="1" t="s">
        <v>461</v>
      </c>
      <c r="D734" s="1" t="s">
        <v>462</v>
      </c>
      <c r="E734" s="3" t="s">
        <v>145</v>
      </c>
      <c r="F734" s="2" t="s">
        <v>147</v>
      </c>
      <c r="G734" s="1"/>
      <c r="H734" s="3" t="s">
        <v>2989</v>
      </c>
    </row>
    <row r="735" spans="1:8" ht="30" x14ac:dyDescent="0.25">
      <c r="A735" s="1" t="s">
        <v>54</v>
      </c>
      <c r="B735" s="1" t="s">
        <v>460</v>
      </c>
      <c r="C735" s="1" t="s">
        <v>461</v>
      </c>
      <c r="D735" s="1" t="s">
        <v>462</v>
      </c>
      <c r="E735" s="3" t="s">
        <v>39</v>
      </c>
      <c r="F735" s="2" t="s">
        <v>55</v>
      </c>
      <c r="G735" s="1" t="s">
        <v>406</v>
      </c>
      <c r="H735" s="3" t="s">
        <v>2982</v>
      </c>
    </row>
    <row r="736" spans="1:8" ht="30" x14ac:dyDescent="0.25">
      <c r="A736" s="1" t="s">
        <v>54</v>
      </c>
      <c r="B736" s="1" t="s">
        <v>460</v>
      </c>
      <c r="C736" s="1" t="s">
        <v>461</v>
      </c>
      <c r="D736" s="1" t="s">
        <v>462</v>
      </c>
      <c r="E736" s="3" t="s">
        <v>2986</v>
      </c>
      <c r="F736" s="2" t="s">
        <v>5980</v>
      </c>
      <c r="G736" s="1"/>
      <c r="H736" s="3" t="s">
        <v>2985</v>
      </c>
    </row>
    <row r="737" spans="1:8" ht="30" x14ac:dyDescent="0.25">
      <c r="A737" s="1" t="s">
        <v>54</v>
      </c>
      <c r="B737" s="1" t="s">
        <v>460</v>
      </c>
      <c r="C737" s="1" t="s">
        <v>461</v>
      </c>
      <c r="D737" s="1" t="s">
        <v>462</v>
      </c>
      <c r="E737" s="3" t="s">
        <v>2983</v>
      </c>
      <c r="F737" s="2" t="s">
        <v>5981</v>
      </c>
      <c r="G737" s="1"/>
      <c r="H737" s="3" t="s">
        <v>2985</v>
      </c>
    </row>
    <row r="738" spans="1:8" x14ac:dyDescent="0.25">
      <c r="A738" s="1" t="s">
        <v>4107</v>
      </c>
      <c r="B738" s="1" t="s">
        <v>545</v>
      </c>
      <c r="C738" s="1" t="s">
        <v>4108</v>
      </c>
      <c r="D738" s="1" t="s">
        <v>462</v>
      </c>
      <c r="E738" s="3" t="s">
        <v>4109</v>
      </c>
      <c r="F738" s="2" t="s">
        <v>5982</v>
      </c>
      <c r="G738" s="1" t="s">
        <v>2674</v>
      </c>
      <c r="H738" s="3" t="s">
        <v>4111</v>
      </c>
    </row>
    <row r="739" spans="1:8" x14ac:dyDescent="0.25">
      <c r="A739" s="1" t="s">
        <v>4107</v>
      </c>
      <c r="B739" s="1" t="s">
        <v>545</v>
      </c>
      <c r="C739" s="1" t="s">
        <v>4108</v>
      </c>
      <c r="D739" s="1" t="s">
        <v>462</v>
      </c>
      <c r="E739" s="3" t="s">
        <v>4112</v>
      </c>
      <c r="F739" s="2"/>
      <c r="G739" s="1"/>
      <c r="H739" s="3" t="s">
        <v>4111</v>
      </c>
    </row>
    <row r="740" spans="1:8" x14ac:dyDescent="0.25">
      <c r="A740" s="1" t="s">
        <v>4107</v>
      </c>
      <c r="B740" s="1" t="s">
        <v>545</v>
      </c>
      <c r="C740" s="1" t="s">
        <v>4108</v>
      </c>
      <c r="D740" s="1" t="s">
        <v>462</v>
      </c>
      <c r="E740" s="3" t="s">
        <v>4121</v>
      </c>
      <c r="F740" s="2" t="s">
        <v>5983</v>
      </c>
      <c r="G740" s="1" t="s">
        <v>2674</v>
      </c>
      <c r="H740" s="3" t="s">
        <v>682</v>
      </c>
    </row>
    <row r="741" spans="1:8" x14ac:dyDescent="0.25">
      <c r="A741" s="1" t="s">
        <v>4107</v>
      </c>
      <c r="B741" s="1" t="s">
        <v>545</v>
      </c>
      <c r="C741" s="1" t="s">
        <v>4108</v>
      </c>
      <c r="D741" s="1" t="s">
        <v>462</v>
      </c>
      <c r="E741" s="3" t="s">
        <v>4122</v>
      </c>
      <c r="F741" s="2"/>
      <c r="G741" s="1"/>
      <c r="H741" s="3" t="s">
        <v>682</v>
      </c>
    </row>
    <row r="742" spans="1:8" x14ac:dyDescent="0.25">
      <c r="A742" s="1" t="s">
        <v>4107</v>
      </c>
      <c r="B742" s="1" t="s">
        <v>545</v>
      </c>
      <c r="C742" s="1" t="s">
        <v>4108</v>
      </c>
      <c r="D742" s="1" t="s">
        <v>462</v>
      </c>
      <c r="E742" s="3" t="s">
        <v>4123</v>
      </c>
      <c r="F742" s="2"/>
      <c r="G742" s="1"/>
      <c r="H742" s="3" t="s">
        <v>682</v>
      </c>
    </row>
    <row r="743" spans="1:8" ht="30" x14ac:dyDescent="0.25">
      <c r="A743" s="1" t="s">
        <v>4107</v>
      </c>
      <c r="B743" s="1" t="s">
        <v>545</v>
      </c>
      <c r="C743" s="1" t="s">
        <v>4108</v>
      </c>
      <c r="D743" s="1" t="s">
        <v>462</v>
      </c>
      <c r="E743" s="3" t="s">
        <v>4125</v>
      </c>
      <c r="F743" s="2" t="s">
        <v>5984</v>
      </c>
      <c r="G743" s="1"/>
      <c r="H743" s="3" t="s">
        <v>2001</v>
      </c>
    </row>
    <row r="744" spans="1:8" ht="30" x14ac:dyDescent="0.25">
      <c r="A744" s="1" t="s">
        <v>4107</v>
      </c>
      <c r="B744" s="1" t="s">
        <v>545</v>
      </c>
      <c r="C744" s="1" t="s">
        <v>4108</v>
      </c>
      <c r="D744" s="1" t="s">
        <v>462</v>
      </c>
      <c r="E744" s="3" t="s">
        <v>4126</v>
      </c>
      <c r="F744" s="2" t="s">
        <v>5985</v>
      </c>
      <c r="G744" s="1"/>
      <c r="H744" s="3" t="s">
        <v>2001</v>
      </c>
    </row>
    <row r="745" spans="1:8" ht="30" x14ac:dyDescent="0.25">
      <c r="A745" s="1" t="s">
        <v>4107</v>
      </c>
      <c r="B745" s="1" t="s">
        <v>545</v>
      </c>
      <c r="C745" s="1" t="s">
        <v>4108</v>
      </c>
      <c r="D745" s="1" t="s">
        <v>462</v>
      </c>
      <c r="E745" s="3" t="s">
        <v>4124</v>
      </c>
      <c r="F745" s="2" t="s">
        <v>5986</v>
      </c>
      <c r="G745" s="1"/>
      <c r="H745" s="3" t="s">
        <v>2001</v>
      </c>
    </row>
    <row r="746" spans="1:8" ht="30" x14ac:dyDescent="0.25">
      <c r="A746" s="1" t="s">
        <v>4107</v>
      </c>
      <c r="B746" s="1" t="s">
        <v>545</v>
      </c>
      <c r="C746" s="1" t="s">
        <v>4108</v>
      </c>
      <c r="D746" s="1" t="s">
        <v>462</v>
      </c>
      <c r="E746" s="3" t="s">
        <v>4127</v>
      </c>
      <c r="F746" s="2" t="s">
        <v>5987</v>
      </c>
      <c r="G746" s="1"/>
      <c r="H746" s="3" t="s">
        <v>2001</v>
      </c>
    </row>
    <row r="747" spans="1:8" x14ac:dyDescent="0.25">
      <c r="A747" s="1" t="s">
        <v>4107</v>
      </c>
      <c r="B747" s="1" t="s">
        <v>545</v>
      </c>
      <c r="C747" s="1" t="s">
        <v>4108</v>
      </c>
      <c r="D747" s="1" t="s">
        <v>462</v>
      </c>
      <c r="E747" s="3" t="s">
        <v>4114</v>
      </c>
      <c r="F747" s="2" t="s">
        <v>5988</v>
      </c>
      <c r="G747" s="1" t="s">
        <v>413</v>
      </c>
      <c r="H747" s="3" t="s">
        <v>4116</v>
      </c>
    </row>
    <row r="748" spans="1:8" x14ac:dyDescent="0.25">
      <c r="A748" s="1" t="s">
        <v>4107</v>
      </c>
      <c r="B748" s="1" t="s">
        <v>545</v>
      </c>
      <c r="C748" s="1" t="s">
        <v>4108</v>
      </c>
      <c r="D748" s="1" t="s">
        <v>462</v>
      </c>
      <c r="E748" s="3" t="s">
        <v>4119</v>
      </c>
      <c r="F748" s="2" t="s">
        <v>5989</v>
      </c>
      <c r="G748" s="1" t="s">
        <v>476</v>
      </c>
      <c r="H748" s="3" t="s">
        <v>4116</v>
      </c>
    </row>
    <row r="749" spans="1:8" x14ac:dyDescent="0.25">
      <c r="A749" s="1" t="s">
        <v>4107</v>
      </c>
      <c r="B749" s="1" t="s">
        <v>545</v>
      </c>
      <c r="C749" s="1" t="s">
        <v>4108</v>
      </c>
      <c r="D749" s="1" t="s">
        <v>462</v>
      </c>
      <c r="E749" s="3" t="s">
        <v>4117</v>
      </c>
      <c r="F749" s="2" t="s">
        <v>5990</v>
      </c>
      <c r="G749" s="1" t="s">
        <v>476</v>
      </c>
      <c r="H749" s="3" t="s">
        <v>4116</v>
      </c>
    </row>
    <row r="750" spans="1:8" x14ac:dyDescent="0.25">
      <c r="A750" s="1" t="s">
        <v>1486</v>
      </c>
      <c r="B750" s="1" t="s">
        <v>418</v>
      </c>
      <c r="C750" s="1" t="s">
        <v>589</v>
      </c>
      <c r="D750" s="1" t="s">
        <v>590</v>
      </c>
      <c r="E750" s="3" t="s">
        <v>1495</v>
      </c>
      <c r="F750" s="2" t="s">
        <v>5991</v>
      </c>
      <c r="G750" s="1"/>
      <c r="H750" s="3" t="s">
        <v>63</v>
      </c>
    </row>
    <row r="751" spans="1:8" x14ac:dyDescent="0.25">
      <c r="A751" s="1" t="s">
        <v>1486</v>
      </c>
      <c r="B751" s="1" t="s">
        <v>418</v>
      </c>
      <c r="C751" s="1" t="s">
        <v>589</v>
      </c>
      <c r="D751" s="1" t="s">
        <v>590</v>
      </c>
      <c r="E751" s="3" t="s">
        <v>1497</v>
      </c>
      <c r="F751" s="2" t="s">
        <v>5992</v>
      </c>
      <c r="G751" s="1"/>
      <c r="H751" s="3" t="s">
        <v>63</v>
      </c>
    </row>
    <row r="752" spans="1:8" x14ac:dyDescent="0.25">
      <c r="A752" s="1" t="s">
        <v>1486</v>
      </c>
      <c r="B752" s="1" t="s">
        <v>418</v>
      </c>
      <c r="C752" s="1" t="s">
        <v>589</v>
      </c>
      <c r="D752" s="1" t="s">
        <v>590</v>
      </c>
      <c r="E752" s="3" t="s">
        <v>1499</v>
      </c>
      <c r="F752" s="2" t="s">
        <v>5993</v>
      </c>
      <c r="G752" s="1"/>
      <c r="H752" s="3" t="s">
        <v>682</v>
      </c>
    </row>
    <row r="753" spans="1:8" x14ac:dyDescent="0.25">
      <c r="A753" s="1" t="s">
        <v>1486</v>
      </c>
      <c r="B753" s="1" t="s">
        <v>418</v>
      </c>
      <c r="C753" s="1" t="s">
        <v>589</v>
      </c>
      <c r="D753" s="1" t="s">
        <v>590</v>
      </c>
      <c r="E753" s="3" t="s">
        <v>1487</v>
      </c>
      <c r="F753" s="2" t="s">
        <v>5994</v>
      </c>
      <c r="G753" s="1"/>
      <c r="H753" s="3" t="s">
        <v>597</v>
      </c>
    </row>
    <row r="754" spans="1:8" x14ac:dyDescent="0.25">
      <c r="A754" s="1" t="s">
        <v>1486</v>
      </c>
      <c r="B754" s="1" t="s">
        <v>418</v>
      </c>
      <c r="C754" s="1" t="s">
        <v>589</v>
      </c>
      <c r="D754" s="1" t="s">
        <v>590</v>
      </c>
      <c r="E754" s="3" t="s">
        <v>1493</v>
      </c>
      <c r="F754" s="2" t="s">
        <v>5995</v>
      </c>
      <c r="G754" s="1"/>
      <c r="H754" s="3" t="s">
        <v>584</v>
      </c>
    </row>
    <row r="755" spans="1:8" x14ac:dyDescent="0.25">
      <c r="A755" s="1" t="s">
        <v>1486</v>
      </c>
      <c r="B755" s="1" t="s">
        <v>418</v>
      </c>
      <c r="C755" s="1" t="s">
        <v>589</v>
      </c>
      <c r="D755" s="1" t="s">
        <v>590</v>
      </c>
      <c r="E755" s="3" t="s">
        <v>1491</v>
      </c>
      <c r="F755" s="2" t="s">
        <v>5996</v>
      </c>
      <c r="G755" s="1"/>
      <c r="H755" s="3" t="s">
        <v>584</v>
      </c>
    </row>
    <row r="756" spans="1:8" x14ac:dyDescent="0.25">
      <c r="A756" s="1" t="s">
        <v>1486</v>
      </c>
      <c r="B756" s="1" t="s">
        <v>418</v>
      </c>
      <c r="C756" s="1" t="s">
        <v>589</v>
      </c>
      <c r="D756" s="1" t="s">
        <v>590</v>
      </c>
      <c r="E756" s="3" t="s">
        <v>1489</v>
      </c>
      <c r="F756" s="2" t="s">
        <v>5997</v>
      </c>
      <c r="G756" s="1"/>
      <c r="H756" s="3" t="s">
        <v>584</v>
      </c>
    </row>
    <row r="757" spans="1:8" x14ac:dyDescent="0.25">
      <c r="A757" s="1" t="s">
        <v>311</v>
      </c>
      <c r="B757" s="1" t="s">
        <v>457</v>
      </c>
      <c r="C757" s="1" t="s">
        <v>589</v>
      </c>
      <c r="D757" s="1" t="s">
        <v>590</v>
      </c>
      <c r="E757" s="3" t="s">
        <v>3436</v>
      </c>
      <c r="F757" s="2" t="s">
        <v>5998</v>
      </c>
      <c r="G757" s="1"/>
      <c r="H757" s="3" t="s">
        <v>584</v>
      </c>
    </row>
    <row r="758" spans="1:8" x14ac:dyDescent="0.25">
      <c r="A758" s="1" t="s">
        <v>311</v>
      </c>
      <c r="B758" s="1" t="s">
        <v>457</v>
      </c>
      <c r="C758" s="1" t="s">
        <v>589</v>
      </c>
      <c r="D758" s="1" t="s">
        <v>590</v>
      </c>
      <c r="E758" s="3" t="s">
        <v>3438</v>
      </c>
      <c r="F758" s="2" t="s">
        <v>5999</v>
      </c>
      <c r="G758" s="1"/>
      <c r="H758" s="3" t="s">
        <v>584</v>
      </c>
    </row>
    <row r="759" spans="1:8" ht="30" x14ac:dyDescent="0.25">
      <c r="A759" s="1" t="s">
        <v>311</v>
      </c>
      <c r="B759" s="1" t="s">
        <v>457</v>
      </c>
      <c r="C759" s="1" t="s">
        <v>589</v>
      </c>
      <c r="D759" s="1" t="s">
        <v>590</v>
      </c>
      <c r="E759" s="3" t="s">
        <v>308</v>
      </c>
      <c r="F759" s="2" t="s">
        <v>312</v>
      </c>
      <c r="G759" s="1" t="s">
        <v>406</v>
      </c>
      <c r="H759" s="3" t="s">
        <v>2862</v>
      </c>
    </row>
    <row r="760" spans="1:8" x14ac:dyDescent="0.25">
      <c r="A760" s="1" t="s">
        <v>311</v>
      </c>
      <c r="B760" s="1" t="s">
        <v>457</v>
      </c>
      <c r="C760" s="1" t="s">
        <v>589</v>
      </c>
      <c r="D760" s="1" t="s">
        <v>590</v>
      </c>
      <c r="E760" s="3" t="s">
        <v>3440</v>
      </c>
      <c r="F760" s="2" t="s">
        <v>6000</v>
      </c>
      <c r="G760" s="1"/>
      <c r="H760" s="3" t="s">
        <v>3442</v>
      </c>
    </row>
    <row r="761" spans="1:8" x14ac:dyDescent="0.25">
      <c r="A761" s="1" t="s">
        <v>2426</v>
      </c>
      <c r="B761" s="1" t="s">
        <v>570</v>
      </c>
      <c r="C761" s="1" t="s">
        <v>580</v>
      </c>
      <c r="D761" s="1" t="s">
        <v>581</v>
      </c>
      <c r="E761" s="3" t="s">
        <v>2430</v>
      </c>
      <c r="F761" s="2"/>
      <c r="G761" s="1"/>
      <c r="H761" s="3" t="s">
        <v>2432</v>
      </c>
    </row>
    <row r="762" spans="1:8" x14ac:dyDescent="0.25">
      <c r="A762" s="1" t="s">
        <v>2426</v>
      </c>
      <c r="B762" s="1" t="s">
        <v>570</v>
      </c>
      <c r="C762" s="1" t="s">
        <v>580</v>
      </c>
      <c r="D762" s="1" t="s">
        <v>581</v>
      </c>
      <c r="E762" s="3" t="s">
        <v>2433</v>
      </c>
      <c r="F762" s="2"/>
      <c r="G762" s="1"/>
      <c r="H762" s="3" t="s">
        <v>2432</v>
      </c>
    </row>
    <row r="763" spans="1:8" x14ac:dyDescent="0.25">
      <c r="A763" s="1" t="s">
        <v>2426</v>
      </c>
      <c r="B763" s="1" t="s">
        <v>570</v>
      </c>
      <c r="C763" s="1" t="s">
        <v>580</v>
      </c>
      <c r="D763" s="1" t="s">
        <v>581</v>
      </c>
      <c r="E763" s="3" t="s">
        <v>2435</v>
      </c>
      <c r="F763" s="2"/>
      <c r="G763" s="1"/>
      <c r="H763" s="3" t="s">
        <v>2432</v>
      </c>
    </row>
    <row r="764" spans="1:8" x14ac:dyDescent="0.25">
      <c r="A764" s="1" t="s">
        <v>2426</v>
      </c>
      <c r="B764" s="1" t="s">
        <v>570</v>
      </c>
      <c r="C764" s="1" t="s">
        <v>580</v>
      </c>
      <c r="D764" s="1" t="s">
        <v>581</v>
      </c>
      <c r="E764" s="3" t="s">
        <v>2437</v>
      </c>
      <c r="F764" s="2"/>
      <c r="G764" s="1"/>
      <c r="H764" s="3" t="s">
        <v>2432</v>
      </c>
    </row>
    <row r="765" spans="1:8" x14ac:dyDescent="0.25">
      <c r="A765" s="1" t="s">
        <v>2426</v>
      </c>
      <c r="B765" s="1" t="s">
        <v>570</v>
      </c>
      <c r="C765" s="1" t="s">
        <v>580</v>
      </c>
      <c r="D765" s="1" t="s">
        <v>581</v>
      </c>
      <c r="E765" s="3" t="s">
        <v>2439</v>
      </c>
      <c r="F765" s="2"/>
      <c r="G765" s="1"/>
      <c r="H765" s="3" t="s">
        <v>2432</v>
      </c>
    </row>
    <row r="766" spans="1:8" ht="30" x14ac:dyDescent="0.25">
      <c r="A766" s="1" t="s">
        <v>2426</v>
      </c>
      <c r="B766" s="1" t="s">
        <v>570</v>
      </c>
      <c r="C766" s="1" t="s">
        <v>580</v>
      </c>
      <c r="D766" s="1" t="s">
        <v>581</v>
      </c>
      <c r="E766" s="3" t="s">
        <v>2427</v>
      </c>
      <c r="F766" s="2"/>
      <c r="G766" s="1"/>
      <c r="H766" s="3" t="s">
        <v>2429</v>
      </c>
    </row>
    <row r="767" spans="1:8" x14ac:dyDescent="0.25">
      <c r="A767" s="1" t="s">
        <v>2876</v>
      </c>
      <c r="B767" s="1" t="s">
        <v>418</v>
      </c>
      <c r="C767" s="1" t="s">
        <v>2877</v>
      </c>
      <c r="D767" s="1" t="s">
        <v>581</v>
      </c>
      <c r="E767" s="3" t="s">
        <v>2880</v>
      </c>
      <c r="F767" s="2" t="s">
        <v>6001</v>
      </c>
      <c r="G767" s="1"/>
      <c r="H767" s="3" t="s">
        <v>584</v>
      </c>
    </row>
    <row r="768" spans="1:8" x14ac:dyDescent="0.25">
      <c r="A768" s="1" t="s">
        <v>2876</v>
      </c>
      <c r="B768" s="1" t="s">
        <v>418</v>
      </c>
      <c r="C768" s="1" t="s">
        <v>2877</v>
      </c>
      <c r="D768" s="1" t="s">
        <v>581</v>
      </c>
      <c r="E768" s="3" t="s">
        <v>2878</v>
      </c>
      <c r="F768" s="2" t="s">
        <v>6002</v>
      </c>
      <c r="G768" s="1"/>
      <c r="H768" s="3" t="s">
        <v>584</v>
      </c>
    </row>
    <row r="769" spans="1:8" x14ac:dyDescent="0.25">
      <c r="A769" s="1" t="s">
        <v>2876</v>
      </c>
      <c r="B769" s="1" t="s">
        <v>418</v>
      </c>
      <c r="C769" s="1" t="s">
        <v>2877</v>
      </c>
      <c r="D769" s="1" t="s">
        <v>581</v>
      </c>
      <c r="E769" s="3" t="s">
        <v>2882</v>
      </c>
      <c r="F769" s="2" t="s">
        <v>6003</v>
      </c>
      <c r="G769" s="1"/>
      <c r="H769" s="3" t="s">
        <v>1002</v>
      </c>
    </row>
    <row r="770" spans="1:8" x14ac:dyDescent="0.25">
      <c r="A770" s="1" t="s">
        <v>579</v>
      </c>
      <c r="B770" s="1" t="s">
        <v>457</v>
      </c>
      <c r="C770" s="1" t="s">
        <v>580</v>
      </c>
      <c r="D770" s="1" t="s">
        <v>581</v>
      </c>
      <c r="E770" s="3" t="s">
        <v>3603</v>
      </c>
      <c r="F770" s="2" t="s">
        <v>6004</v>
      </c>
      <c r="G770" s="1"/>
      <c r="H770" s="3" t="s">
        <v>63</v>
      </c>
    </row>
    <row r="771" spans="1:8" x14ac:dyDescent="0.25">
      <c r="A771" s="1" t="s">
        <v>579</v>
      </c>
      <c r="B771" s="1" t="s">
        <v>457</v>
      </c>
      <c r="C771" s="1" t="s">
        <v>580</v>
      </c>
      <c r="D771" s="1" t="s">
        <v>581</v>
      </c>
      <c r="E771" s="3" t="s">
        <v>3591</v>
      </c>
      <c r="F771" s="2" t="s">
        <v>6005</v>
      </c>
      <c r="G771" s="1" t="s">
        <v>1651</v>
      </c>
      <c r="H771" s="3" t="s">
        <v>3593</v>
      </c>
    </row>
    <row r="772" spans="1:8" x14ac:dyDescent="0.25">
      <c r="A772" s="1" t="s">
        <v>579</v>
      </c>
      <c r="B772" s="1" t="s">
        <v>457</v>
      </c>
      <c r="C772" s="1" t="s">
        <v>580</v>
      </c>
      <c r="D772" s="1" t="s">
        <v>581</v>
      </c>
      <c r="E772" s="3" t="s">
        <v>3597</v>
      </c>
      <c r="F772" s="2" t="s">
        <v>6006</v>
      </c>
      <c r="G772" s="1"/>
      <c r="H772" s="3" t="s">
        <v>1002</v>
      </c>
    </row>
    <row r="773" spans="1:8" x14ac:dyDescent="0.25">
      <c r="A773" s="1" t="s">
        <v>579</v>
      </c>
      <c r="B773" s="1" t="s">
        <v>457</v>
      </c>
      <c r="C773" s="1" t="s">
        <v>580</v>
      </c>
      <c r="D773" s="1" t="s">
        <v>581</v>
      </c>
      <c r="E773" s="3" t="s">
        <v>3599</v>
      </c>
      <c r="F773" s="2" t="s">
        <v>6007</v>
      </c>
      <c r="G773" s="1"/>
      <c r="H773" s="3" t="s">
        <v>1002</v>
      </c>
    </row>
    <row r="774" spans="1:8" x14ac:dyDescent="0.25">
      <c r="A774" s="1" t="s">
        <v>579</v>
      </c>
      <c r="B774" s="1" t="s">
        <v>457</v>
      </c>
      <c r="C774" s="1" t="s">
        <v>580</v>
      </c>
      <c r="D774" s="1" t="s">
        <v>581</v>
      </c>
      <c r="E774" s="3" t="s">
        <v>3601</v>
      </c>
      <c r="F774" s="2" t="s">
        <v>6008</v>
      </c>
      <c r="G774" s="1"/>
      <c r="H774" s="3" t="s">
        <v>1002</v>
      </c>
    </row>
    <row r="775" spans="1:8" x14ac:dyDescent="0.25">
      <c r="A775" s="1" t="s">
        <v>579</v>
      </c>
      <c r="B775" s="1" t="s">
        <v>457</v>
      </c>
      <c r="C775" s="1" t="s">
        <v>580</v>
      </c>
      <c r="D775" s="1" t="s">
        <v>581</v>
      </c>
      <c r="E775" s="3" t="s">
        <v>3610</v>
      </c>
      <c r="F775" s="2" t="s">
        <v>6009</v>
      </c>
      <c r="G775" s="1"/>
      <c r="H775" s="3" t="s">
        <v>3607</v>
      </c>
    </row>
    <row r="776" spans="1:8" x14ac:dyDescent="0.25">
      <c r="A776" s="1" t="s">
        <v>579</v>
      </c>
      <c r="B776" s="1" t="s">
        <v>457</v>
      </c>
      <c r="C776" s="1" t="s">
        <v>580</v>
      </c>
      <c r="D776" s="1" t="s">
        <v>581</v>
      </c>
      <c r="E776" s="3" t="s">
        <v>3605</v>
      </c>
      <c r="F776" s="2" t="s">
        <v>6010</v>
      </c>
      <c r="G776" s="1"/>
      <c r="H776" s="3" t="s">
        <v>3607</v>
      </c>
    </row>
    <row r="777" spans="1:8" x14ac:dyDescent="0.25">
      <c r="A777" s="1" t="s">
        <v>579</v>
      </c>
      <c r="B777" s="1" t="s">
        <v>457</v>
      </c>
      <c r="C777" s="1" t="s">
        <v>580</v>
      </c>
      <c r="D777" s="1" t="s">
        <v>581</v>
      </c>
      <c r="E777" s="3" t="s">
        <v>3608</v>
      </c>
      <c r="F777" s="2" t="s">
        <v>6011</v>
      </c>
      <c r="G777" s="1"/>
      <c r="H777" s="3" t="s">
        <v>3607</v>
      </c>
    </row>
    <row r="778" spans="1:8" x14ac:dyDescent="0.25">
      <c r="A778" s="1" t="s">
        <v>579</v>
      </c>
      <c r="B778" s="1" t="s">
        <v>457</v>
      </c>
      <c r="C778" s="1" t="s">
        <v>580</v>
      </c>
      <c r="D778" s="1" t="s">
        <v>581</v>
      </c>
      <c r="E778" s="3" t="s">
        <v>3612</v>
      </c>
      <c r="F778" s="2" t="s">
        <v>6012</v>
      </c>
      <c r="G778" s="1"/>
      <c r="H778" s="3" t="s">
        <v>3607</v>
      </c>
    </row>
    <row r="779" spans="1:8" x14ac:dyDescent="0.25">
      <c r="A779" s="1" t="s">
        <v>579</v>
      </c>
      <c r="B779" s="1" t="s">
        <v>457</v>
      </c>
      <c r="C779" s="1" t="s">
        <v>580</v>
      </c>
      <c r="D779" s="1" t="s">
        <v>581</v>
      </c>
      <c r="E779" s="3" t="s">
        <v>3614</v>
      </c>
      <c r="F779" s="2" t="s">
        <v>6013</v>
      </c>
      <c r="G779" s="1"/>
      <c r="H779" s="3" t="s">
        <v>3607</v>
      </c>
    </row>
    <row r="780" spans="1:8" x14ac:dyDescent="0.25">
      <c r="A780" s="1" t="s">
        <v>579</v>
      </c>
      <c r="B780" s="1" t="s">
        <v>457</v>
      </c>
      <c r="C780" s="1" t="s">
        <v>580</v>
      </c>
      <c r="D780" s="1" t="s">
        <v>581</v>
      </c>
      <c r="E780" s="3" t="s">
        <v>3595</v>
      </c>
      <c r="F780" s="2" t="s">
        <v>6014</v>
      </c>
      <c r="G780" s="1"/>
      <c r="H780" s="3" t="s">
        <v>584</v>
      </c>
    </row>
    <row r="781" spans="1:8" x14ac:dyDescent="0.25">
      <c r="A781" s="1" t="s">
        <v>579</v>
      </c>
      <c r="B781" s="1" t="s">
        <v>457</v>
      </c>
      <c r="C781" s="1" t="s">
        <v>580</v>
      </c>
      <c r="D781" s="1" t="s">
        <v>581</v>
      </c>
      <c r="E781" s="3" t="s">
        <v>582</v>
      </c>
      <c r="F781" s="2" t="s">
        <v>583</v>
      </c>
      <c r="G781" s="1"/>
      <c r="H781" s="3" t="s">
        <v>584</v>
      </c>
    </row>
    <row r="782" spans="1:8" x14ac:dyDescent="0.25">
      <c r="A782" s="1" t="s">
        <v>3783</v>
      </c>
      <c r="B782" s="1" t="s">
        <v>1008</v>
      </c>
      <c r="C782" s="1" t="s">
        <v>3784</v>
      </c>
      <c r="D782" s="1" t="s">
        <v>581</v>
      </c>
      <c r="E782" s="3" t="s">
        <v>3806</v>
      </c>
      <c r="F782" s="2" t="s">
        <v>6015</v>
      </c>
      <c r="G782" s="1"/>
      <c r="H782" s="3" t="s">
        <v>682</v>
      </c>
    </row>
    <row r="783" spans="1:8" x14ac:dyDescent="0.25">
      <c r="A783" s="1" t="s">
        <v>3783</v>
      </c>
      <c r="B783" s="1" t="s">
        <v>1008</v>
      </c>
      <c r="C783" s="1" t="s">
        <v>3784</v>
      </c>
      <c r="D783" s="1" t="s">
        <v>581</v>
      </c>
      <c r="E783" s="3" t="s">
        <v>3785</v>
      </c>
      <c r="F783" s="2" t="s">
        <v>6016</v>
      </c>
      <c r="G783" s="1"/>
      <c r="H783" s="3" t="s">
        <v>3787</v>
      </c>
    </row>
    <row r="784" spans="1:8" x14ac:dyDescent="0.25">
      <c r="A784" s="1" t="s">
        <v>3783</v>
      </c>
      <c r="B784" s="1" t="s">
        <v>1008</v>
      </c>
      <c r="C784" s="1" t="s">
        <v>3784</v>
      </c>
      <c r="D784" s="1" t="s">
        <v>581</v>
      </c>
      <c r="E784" s="3" t="s">
        <v>3796</v>
      </c>
      <c r="F784" s="2" t="s">
        <v>6017</v>
      </c>
      <c r="G784" s="1"/>
      <c r="H784" s="3" t="s">
        <v>7</v>
      </c>
    </row>
    <row r="785" spans="1:8" x14ac:dyDescent="0.25">
      <c r="A785" s="1" t="s">
        <v>3783</v>
      </c>
      <c r="B785" s="1" t="s">
        <v>1008</v>
      </c>
      <c r="C785" s="1" t="s">
        <v>3784</v>
      </c>
      <c r="D785" s="1" t="s">
        <v>581</v>
      </c>
      <c r="E785" s="3" t="s">
        <v>3798</v>
      </c>
      <c r="F785" s="2" t="s">
        <v>6018</v>
      </c>
      <c r="G785" s="1"/>
      <c r="H785" s="3" t="s">
        <v>7</v>
      </c>
    </row>
    <row r="786" spans="1:8" x14ac:dyDescent="0.25">
      <c r="A786" s="1" t="s">
        <v>3783</v>
      </c>
      <c r="B786" s="1" t="s">
        <v>1008</v>
      </c>
      <c r="C786" s="1" t="s">
        <v>3784</v>
      </c>
      <c r="D786" s="1" t="s">
        <v>581</v>
      </c>
      <c r="E786" s="3" t="s">
        <v>3800</v>
      </c>
      <c r="F786" s="2" t="s">
        <v>6019</v>
      </c>
      <c r="G786" s="1"/>
      <c r="H786" s="3" t="s">
        <v>7</v>
      </c>
    </row>
    <row r="787" spans="1:8" x14ac:dyDescent="0.25">
      <c r="A787" s="1" t="s">
        <v>3783</v>
      </c>
      <c r="B787" s="1" t="s">
        <v>1008</v>
      </c>
      <c r="C787" s="1" t="s">
        <v>3784</v>
      </c>
      <c r="D787" s="1" t="s">
        <v>581</v>
      </c>
      <c r="E787" s="3" t="s">
        <v>3804</v>
      </c>
      <c r="F787" s="2" t="s">
        <v>6020</v>
      </c>
      <c r="G787" s="1"/>
      <c r="H787" s="3" t="s">
        <v>7</v>
      </c>
    </row>
    <row r="788" spans="1:8" x14ac:dyDescent="0.25">
      <c r="A788" s="1" t="s">
        <v>3783</v>
      </c>
      <c r="B788" s="1" t="s">
        <v>1008</v>
      </c>
      <c r="C788" s="1" t="s">
        <v>3784</v>
      </c>
      <c r="D788" s="1" t="s">
        <v>581</v>
      </c>
      <c r="E788" s="3" t="s">
        <v>3802</v>
      </c>
      <c r="F788" s="2" t="s">
        <v>6021</v>
      </c>
      <c r="G788" s="1"/>
      <c r="H788" s="3" t="s">
        <v>7</v>
      </c>
    </row>
    <row r="789" spans="1:8" ht="30" x14ac:dyDescent="0.25">
      <c r="A789" s="1" t="s">
        <v>3783</v>
      </c>
      <c r="B789" s="1" t="s">
        <v>1008</v>
      </c>
      <c r="C789" s="1" t="s">
        <v>3784</v>
      </c>
      <c r="D789" s="1" t="s">
        <v>581</v>
      </c>
      <c r="E789" s="3" t="s">
        <v>3791</v>
      </c>
      <c r="F789" s="2" t="s">
        <v>6022</v>
      </c>
      <c r="G789" s="1" t="s">
        <v>442</v>
      </c>
      <c r="H789" s="3" t="s">
        <v>3793</v>
      </c>
    </row>
    <row r="790" spans="1:8" x14ac:dyDescent="0.25">
      <c r="A790" s="1" t="s">
        <v>3783</v>
      </c>
      <c r="B790" s="1" t="s">
        <v>1008</v>
      </c>
      <c r="C790" s="1" t="s">
        <v>3784</v>
      </c>
      <c r="D790" s="1" t="s">
        <v>581</v>
      </c>
      <c r="E790" s="3" t="s">
        <v>3788</v>
      </c>
      <c r="F790" s="2" t="s">
        <v>6023</v>
      </c>
      <c r="G790" s="1" t="s">
        <v>476</v>
      </c>
      <c r="H790" s="3" t="s">
        <v>3790</v>
      </c>
    </row>
    <row r="791" spans="1:8" x14ac:dyDescent="0.25">
      <c r="A791" s="1" t="s">
        <v>3783</v>
      </c>
      <c r="B791" s="1" t="s">
        <v>1008</v>
      </c>
      <c r="C791" s="1" t="s">
        <v>3784</v>
      </c>
      <c r="D791" s="1" t="s">
        <v>581</v>
      </c>
      <c r="E791" s="3" t="s">
        <v>3794</v>
      </c>
      <c r="F791" s="2" t="s">
        <v>6024</v>
      </c>
      <c r="G791" s="1"/>
      <c r="H791" s="3" t="s">
        <v>1204</v>
      </c>
    </row>
    <row r="792" spans="1:8" ht="30" x14ac:dyDescent="0.25">
      <c r="A792" s="1" t="s">
        <v>3148</v>
      </c>
      <c r="B792" s="1" t="s">
        <v>465</v>
      </c>
      <c r="C792" s="1" t="s">
        <v>3149</v>
      </c>
      <c r="D792" s="1" t="s">
        <v>448</v>
      </c>
      <c r="E792" s="3" t="s">
        <v>3150</v>
      </c>
      <c r="F792" s="2" t="s">
        <v>6025</v>
      </c>
      <c r="G792" s="1"/>
      <c r="H792" s="3" t="s">
        <v>3152</v>
      </c>
    </row>
    <row r="793" spans="1:8" x14ac:dyDescent="0.25">
      <c r="A793" s="1" t="s">
        <v>3148</v>
      </c>
      <c r="B793" s="1" t="s">
        <v>465</v>
      </c>
      <c r="C793" s="1" t="s">
        <v>3149</v>
      </c>
      <c r="D793" s="1" t="s">
        <v>448</v>
      </c>
      <c r="E793" s="3" t="s">
        <v>3155</v>
      </c>
      <c r="F793" s="2" t="s">
        <v>6026</v>
      </c>
      <c r="G793" s="1"/>
      <c r="H793" s="3" t="s">
        <v>79</v>
      </c>
    </row>
    <row r="794" spans="1:8" x14ac:dyDescent="0.25">
      <c r="A794" s="1" t="s">
        <v>3148</v>
      </c>
      <c r="B794" s="1" t="s">
        <v>465</v>
      </c>
      <c r="C794" s="1" t="s">
        <v>3149</v>
      </c>
      <c r="D794" s="1" t="s">
        <v>448</v>
      </c>
      <c r="E794" s="3" t="s">
        <v>3153</v>
      </c>
      <c r="F794" s="2" t="s">
        <v>6027</v>
      </c>
      <c r="G794" s="1"/>
      <c r="H794" s="3" t="s">
        <v>79</v>
      </c>
    </row>
    <row r="795" spans="1:8" x14ac:dyDescent="0.25">
      <c r="A795" s="1" t="s">
        <v>24</v>
      </c>
      <c r="B795" s="1" t="s">
        <v>431</v>
      </c>
      <c r="C795" s="1" t="s">
        <v>432</v>
      </c>
      <c r="D795" s="1" t="s">
        <v>433</v>
      </c>
      <c r="E795" s="3" t="s">
        <v>1504</v>
      </c>
      <c r="F795" s="2" t="s">
        <v>6028</v>
      </c>
      <c r="G795" s="1"/>
      <c r="H795" s="3" t="s">
        <v>1506</v>
      </c>
    </row>
    <row r="796" spans="1:8" ht="30" x14ac:dyDescent="0.25">
      <c r="A796" s="1" t="s">
        <v>24</v>
      </c>
      <c r="B796" s="1" t="s">
        <v>431</v>
      </c>
      <c r="C796" s="1" t="s">
        <v>432</v>
      </c>
      <c r="D796" s="1" t="s">
        <v>433</v>
      </c>
      <c r="E796" s="3" t="s">
        <v>1501</v>
      </c>
      <c r="F796" s="2" t="s">
        <v>6029</v>
      </c>
      <c r="G796" s="1" t="s">
        <v>442</v>
      </c>
      <c r="H796" s="3" t="s">
        <v>1503</v>
      </c>
    </row>
    <row r="797" spans="1:8" x14ac:dyDescent="0.25">
      <c r="A797" s="1" t="s">
        <v>24</v>
      </c>
      <c r="B797" s="1" t="s">
        <v>431</v>
      </c>
      <c r="C797" s="1" t="s">
        <v>432</v>
      </c>
      <c r="D797" s="1" t="s">
        <v>433</v>
      </c>
      <c r="E797" s="3" t="s">
        <v>1507</v>
      </c>
      <c r="F797" s="2" t="s">
        <v>6030</v>
      </c>
      <c r="G797" s="1"/>
      <c r="H797" s="3" t="s">
        <v>1509</v>
      </c>
    </row>
    <row r="798" spans="1:8" x14ac:dyDescent="0.25">
      <c r="A798" s="1" t="s">
        <v>24</v>
      </c>
      <c r="B798" s="1" t="s">
        <v>431</v>
      </c>
      <c r="C798" s="1" t="s">
        <v>432</v>
      </c>
      <c r="D798" s="1" t="s">
        <v>433</v>
      </c>
      <c r="E798" s="3" t="s">
        <v>1510</v>
      </c>
      <c r="F798" s="2" t="s">
        <v>6031</v>
      </c>
      <c r="G798" s="1"/>
      <c r="H798" s="3" t="s">
        <v>1509</v>
      </c>
    </row>
    <row r="799" spans="1:8" x14ac:dyDescent="0.25">
      <c r="A799" s="1" t="s">
        <v>24</v>
      </c>
      <c r="B799" s="1" t="s">
        <v>431</v>
      </c>
      <c r="C799" s="1" t="s">
        <v>432</v>
      </c>
      <c r="D799" s="1" t="s">
        <v>433</v>
      </c>
      <c r="E799" s="3" t="s">
        <v>1512</v>
      </c>
      <c r="F799" s="2" t="s">
        <v>6032</v>
      </c>
      <c r="G799" s="1"/>
      <c r="H799" s="3" t="s">
        <v>1509</v>
      </c>
    </row>
    <row r="800" spans="1:8" ht="30" x14ac:dyDescent="0.25">
      <c r="A800" s="1" t="s">
        <v>24</v>
      </c>
      <c r="B800" s="1" t="s">
        <v>431</v>
      </c>
      <c r="C800" s="1" t="s">
        <v>432</v>
      </c>
      <c r="D800" s="1" t="s">
        <v>433</v>
      </c>
      <c r="E800" s="3" t="s">
        <v>12</v>
      </c>
      <c r="F800" s="2" t="s">
        <v>25</v>
      </c>
      <c r="G800" s="1"/>
      <c r="H800" s="3" t="s">
        <v>1515</v>
      </c>
    </row>
    <row r="801" spans="1:8" x14ac:dyDescent="0.25">
      <c r="A801" s="1" t="s">
        <v>2124</v>
      </c>
      <c r="B801" s="1" t="s">
        <v>424</v>
      </c>
      <c r="C801" s="1" t="s">
        <v>2125</v>
      </c>
      <c r="D801" s="1" t="s">
        <v>433</v>
      </c>
      <c r="E801" s="3" t="s">
        <v>2130</v>
      </c>
      <c r="F801" s="2" t="s">
        <v>6033</v>
      </c>
      <c r="G801" s="1"/>
      <c r="H801" s="3" t="s">
        <v>561</v>
      </c>
    </row>
    <row r="802" spans="1:8" x14ac:dyDescent="0.25">
      <c r="A802" s="1" t="s">
        <v>2124</v>
      </c>
      <c r="B802" s="1" t="s">
        <v>424</v>
      </c>
      <c r="C802" s="1" t="s">
        <v>2125</v>
      </c>
      <c r="D802" s="1" t="s">
        <v>433</v>
      </c>
      <c r="E802" s="3" t="s">
        <v>2126</v>
      </c>
      <c r="F802" s="2" t="s">
        <v>6034</v>
      </c>
      <c r="G802" s="1"/>
      <c r="H802" s="3" t="s">
        <v>561</v>
      </c>
    </row>
    <row r="803" spans="1:8" x14ac:dyDescent="0.25">
      <c r="A803" s="1" t="s">
        <v>2124</v>
      </c>
      <c r="B803" s="1" t="s">
        <v>424</v>
      </c>
      <c r="C803" s="1" t="s">
        <v>2125</v>
      </c>
      <c r="D803" s="1" t="s">
        <v>433</v>
      </c>
      <c r="E803" s="3" t="s">
        <v>2128</v>
      </c>
      <c r="F803" s="2" t="s">
        <v>6035</v>
      </c>
      <c r="G803" s="1"/>
      <c r="H803" s="3" t="s">
        <v>561</v>
      </c>
    </row>
    <row r="804" spans="1:8" x14ac:dyDescent="0.25">
      <c r="A804" s="1" t="s">
        <v>2124</v>
      </c>
      <c r="B804" s="1" t="s">
        <v>424</v>
      </c>
      <c r="C804" s="1" t="s">
        <v>2125</v>
      </c>
      <c r="D804" s="1" t="s">
        <v>433</v>
      </c>
      <c r="E804" s="3" t="s">
        <v>2136</v>
      </c>
      <c r="F804" s="2" t="s">
        <v>6036</v>
      </c>
      <c r="G804" s="1"/>
      <c r="H804" s="3" t="s">
        <v>192</v>
      </c>
    </row>
    <row r="805" spans="1:8" x14ac:dyDescent="0.25">
      <c r="A805" s="1" t="s">
        <v>2124</v>
      </c>
      <c r="B805" s="1" t="s">
        <v>424</v>
      </c>
      <c r="C805" s="1" t="s">
        <v>2125</v>
      </c>
      <c r="D805" s="1" t="s">
        <v>433</v>
      </c>
      <c r="E805" s="3" t="s">
        <v>2138</v>
      </c>
      <c r="F805" s="2" t="s">
        <v>6037</v>
      </c>
      <c r="G805" s="1"/>
      <c r="H805" s="3" t="s">
        <v>192</v>
      </c>
    </row>
    <row r="806" spans="1:8" x14ac:dyDescent="0.25">
      <c r="A806" s="1" t="s">
        <v>2124</v>
      </c>
      <c r="B806" s="1" t="s">
        <v>424</v>
      </c>
      <c r="C806" s="1" t="s">
        <v>2125</v>
      </c>
      <c r="D806" s="1" t="s">
        <v>433</v>
      </c>
      <c r="E806" s="3" t="s">
        <v>2132</v>
      </c>
      <c r="F806" s="2" t="s">
        <v>6038</v>
      </c>
      <c r="G806" s="1"/>
      <c r="H806" s="3" t="s">
        <v>63</v>
      </c>
    </row>
    <row r="807" spans="1:8" x14ac:dyDescent="0.25">
      <c r="A807" s="1" t="s">
        <v>2124</v>
      </c>
      <c r="B807" s="1" t="s">
        <v>424</v>
      </c>
      <c r="C807" s="1" t="s">
        <v>2125</v>
      </c>
      <c r="D807" s="1" t="s">
        <v>433</v>
      </c>
      <c r="E807" s="3" t="s">
        <v>2134</v>
      </c>
      <c r="F807" s="2" t="s">
        <v>6039</v>
      </c>
      <c r="G807" s="1"/>
      <c r="H807" s="3" t="s">
        <v>682</v>
      </c>
    </row>
    <row r="808" spans="1:8" x14ac:dyDescent="0.25">
      <c r="A808" s="1" t="s">
        <v>129</v>
      </c>
      <c r="B808" s="1" t="s">
        <v>446</v>
      </c>
      <c r="C808" s="1" t="s">
        <v>497</v>
      </c>
      <c r="D808" s="1" t="s">
        <v>433</v>
      </c>
      <c r="E808" s="3" t="s">
        <v>2146</v>
      </c>
      <c r="F808" s="2" t="s">
        <v>6040</v>
      </c>
      <c r="G808" s="1"/>
      <c r="H808" s="3" t="s">
        <v>63</v>
      </c>
    </row>
    <row r="809" spans="1:8" x14ac:dyDescent="0.25">
      <c r="A809" s="1" t="s">
        <v>129</v>
      </c>
      <c r="B809" s="1" t="s">
        <v>446</v>
      </c>
      <c r="C809" s="1" t="s">
        <v>497</v>
      </c>
      <c r="D809" s="1" t="s">
        <v>433</v>
      </c>
      <c r="E809" s="3" t="s">
        <v>2151</v>
      </c>
      <c r="F809" s="2" t="s">
        <v>6041</v>
      </c>
      <c r="G809" s="1"/>
      <c r="H809" s="3" t="s">
        <v>682</v>
      </c>
    </row>
    <row r="810" spans="1:8" x14ac:dyDescent="0.25">
      <c r="A810" s="1" t="s">
        <v>129</v>
      </c>
      <c r="B810" s="1" t="s">
        <v>446</v>
      </c>
      <c r="C810" s="1" t="s">
        <v>497</v>
      </c>
      <c r="D810" s="1" t="s">
        <v>433</v>
      </c>
      <c r="E810" s="3" t="s">
        <v>128</v>
      </c>
      <c r="F810" s="2" t="s">
        <v>130</v>
      </c>
      <c r="G810" s="1" t="s">
        <v>406</v>
      </c>
      <c r="H810" s="3" t="s">
        <v>125</v>
      </c>
    </row>
    <row r="811" spans="1:8" x14ac:dyDescent="0.25">
      <c r="A811" s="1" t="s">
        <v>129</v>
      </c>
      <c r="B811" s="1" t="s">
        <v>446</v>
      </c>
      <c r="C811" s="1" t="s">
        <v>497</v>
      </c>
      <c r="D811" s="1" t="s">
        <v>433</v>
      </c>
      <c r="E811" s="3" t="s">
        <v>2140</v>
      </c>
      <c r="F811" s="2" t="s">
        <v>6042</v>
      </c>
      <c r="G811" s="1"/>
      <c r="H811" s="3" t="s">
        <v>597</v>
      </c>
    </row>
    <row r="812" spans="1:8" x14ac:dyDescent="0.25">
      <c r="A812" s="1" t="s">
        <v>129</v>
      </c>
      <c r="B812" s="1" t="s">
        <v>446</v>
      </c>
      <c r="C812" s="1" t="s">
        <v>497</v>
      </c>
      <c r="D812" s="1" t="s">
        <v>433</v>
      </c>
      <c r="E812" s="3" t="s">
        <v>2142</v>
      </c>
      <c r="F812" s="2" t="s">
        <v>6043</v>
      </c>
      <c r="G812" s="1"/>
      <c r="H812" s="3" t="s">
        <v>597</v>
      </c>
    </row>
    <row r="813" spans="1:8" x14ac:dyDescent="0.25">
      <c r="A813" s="1" t="s">
        <v>129</v>
      </c>
      <c r="B813" s="1" t="s">
        <v>446</v>
      </c>
      <c r="C813" s="1" t="s">
        <v>497</v>
      </c>
      <c r="D813" s="1" t="s">
        <v>433</v>
      </c>
      <c r="E813" s="3" t="s">
        <v>2148</v>
      </c>
      <c r="F813" s="2" t="s">
        <v>6044</v>
      </c>
      <c r="G813" s="1"/>
      <c r="H813" s="3" t="s">
        <v>79</v>
      </c>
    </row>
    <row r="814" spans="1:8" x14ac:dyDescent="0.25">
      <c r="A814" s="1" t="s">
        <v>129</v>
      </c>
      <c r="B814" s="1" t="s">
        <v>446</v>
      </c>
      <c r="C814" s="1" t="s">
        <v>497</v>
      </c>
      <c r="D814" s="1" t="s">
        <v>433</v>
      </c>
      <c r="E814" s="3" t="s">
        <v>2144</v>
      </c>
      <c r="F814" s="2" t="s">
        <v>6045</v>
      </c>
      <c r="G814" s="1"/>
      <c r="H814" s="3" t="s">
        <v>1002</v>
      </c>
    </row>
    <row r="815" spans="1:8" x14ac:dyDescent="0.25">
      <c r="A815" s="1" t="s">
        <v>3411</v>
      </c>
      <c r="B815" s="1" t="s">
        <v>418</v>
      </c>
      <c r="C815" s="1" t="s">
        <v>497</v>
      </c>
      <c r="D815" s="1" t="s">
        <v>433</v>
      </c>
      <c r="E815" s="3" t="s">
        <v>3414</v>
      </c>
      <c r="F815" s="2" t="s">
        <v>6046</v>
      </c>
      <c r="G815" s="1"/>
      <c r="H815" s="3" t="s">
        <v>885</v>
      </c>
    </row>
    <row r="816" spans="1:8" x14ac:dyDescent="0.25">
      <c r="A816" s="1" t="s">
        <v>3411</v>
      </c>
      <c r="B816" s="1" t="s">
        <v>418</v>
      </c>
      <c r="C816" s="1" t="s">
        <v>497</v>
      </c>
      <c r="D816" s="1" t="s">
        <v>433</v>
      </c>
      <c r="E816" s="3" t="s">
        <v>3412</v>
      </c>
      <c r="F816" s="2" t="s">
        <v>6047</v>
      </c>
      <c r="G816" s="1"/>
      <c r="H816" s="3" t="s">
        <v>885</v>
      </c>
    </row>
    <row r="817" spans="1:8" x14ac:dyDescent="0.25">
      <c r="A817" s="1" t="s">
        <v>3772</v>
      </c>
      <c r="B817" s="1" t="s">
        <v>603</v>
      </c>
      <c r="C817" s="1" t="s">
        <v>497</v>
      </c>
      <c r="D817" s="1" t="s">
        <v>433</v>
      </c>
      <c r="E817" s="3" t="s">
        <v>3779</v>
      </c>
      <c r="F817" s="2" t="s">
        <v>6048</v>
      </c>
      <c r="G817" s="1"/>
      <c r="H817" s="3" t="s">
        <v>682</v>
      </c>
    </row>
    <row r="818" spans="1:8" x14ac:dyDescent="0.25">
      <c r="A818" s="1" t="s">
        <v>3772</v>
      </c>
      <c r="B818" s="1" t="s">
        <v>603</v>
      </c>
      <c r="C818" s="1" t="s">
        <v>497</v>
      </c>
      <c r="D818" s="1" t="s">
        <v>433</v>
      </c>
      <c r="E818" s="3" t="s">
        <v>3781</v>
      </c>
      <c r="F818" s="2" t="s">
        <v>6049</v>
      </c>
      <c r="G818" s="1"/>
      <c r="H818" s="3" t="s">
        <v>682</v>
      </c>
    </row>
    <row r="819" spans="1:8" x14ac:dyDescent="0.25">
      <c r="A819" s="1" t="s">
        <v>3772</v>
      </c>
      <c r="B819" s="1" t="s">
        <v>603</v>
      </c>
      <c r="C819" s="1" t="s">
        <v>497</v>
      </c>
      <c r="D819" s="1" t="s">
        <v>433</v>
      </c>
      <c r="E819" s="3" t="s">
        <v>3773</v>
      </c>
      <c r="F819" s="2" t="s">
        <v>6050</v>
      </c>
      <c r="G819" s="1" t="s">
        <v>442</v>
      </c>
      <c r="H819" s="3" t="s">
        <v>3774</v>
      </c>
    </row>
    <row r="820" spans="1:8" x14ac:dyDescent="0.25">
      <c r="A820" s="1" t="s">
        <v>3772</v>
      </c>
      <c r="B820" s="1" t="s">
        <v>603</v>
      </c>
      <c r="C820" s="1" t="s">
        <v>497</v>
      </c>
      <c r="D820" s="1" t="s">
        <v>433</v>
      </c>
      <c r="E820" s="3" t="s">
        <v>3775</v>
      </c>
      <c r="F820" s="2" t="s">
        <v>6051</v>
      </c>
      <c r="G820" s="1"/>
      <c r="H820" s="3" t="s">
        <v>79</v>
      </c>
    </row>
    <row r="821" spans="1:8" x14ac:dyDescent="0.25">
      <c r="A821" s="1" t="s">
        <v>3772</v>
      </c>
      <c r="B821" s="1" t="s">
        <v>603</v>
      </c>
      <c r="C821" s="1" t="s">
        <v>497</v>
      </c>
      <c r="D821" s="1" t="s">
        <v>433</v>
      </c>
      <c r="E821" s="3" t="s">
        <v>3777</v>
      </c>
      <c r="F821" s="2" t="s">
        <v>6052</v>
      </c>
      <c r="G821" s="1"/>
      <c r="H821" s="3" t="s">
        <v>79</v>
      </c>
    </row>
    <row r="822" spans="1:8" ht="30" x14ac:dyDescent="0.25">
      <c r="A822" s="1" t="s">
        <v>2884</v>
      </c>
      <c r="B822" s="1" t="s">
        <v>399</v>
      </c>
      <c r="C822" s="1" t="s">
        <v>2125</v>
      </c>
      <c r="D822" s="1" t="s">
        <v>490</v>
      </c>
      <c r="E822" s="3" t="s">
        <v>2885</v>
      </c>
      <c r="F822" s="2"/>
      <c r="G822" s="1"/>
      <c r="H822" s="3" t="s">
        <v>2887</v>
      </c>
    </row>
    <row r="823" spans="1:8" x14ac:dyDescent="0.25">
      <c r="A823" s="1" t="s">
        <v>4245</v>
      </c>
      <c r="B823" s="1" t="s">
        <v>545</v>
      </c>
      <c r="C823" s="1" t="s">
        <v>519</v>
      </c>
      <c r="D823" s="1" t="s">
        <v>490</v>
      </c>
      <c r="E823" s="3"/>
      <c r="F823" s="2"/>
      <c r="G823" s="1"/>
      <c r="H823" s="3"/>
    </row>
    <row r="824" spans="1:8" x14ac:dyDescent="0.25">
      <c r="A824" s="1" t="s">
        <v>4185</v>
      </c>
      <c r="B824" s="1" t="s">
        <v>446</v>
      </c>
      <c r="C824" s="1" t="s">
        <v>2504</v>
      </c>
      <c r="D824" s="1" t="s">
        <v>490</v>
      </c>
      <c r="E824" s="3" t="s">
        <v>4186</v>
      </c>
      <c r="F824" s="2" t="s">
        <v>6053</v>
      </c>
      <c r="G824" s="1"/>
      <c r="H824" s="3" t="s">
        <v>986</v>
      </c>
    </row>
    <row r="825" spans="1:8" x14ac:dyDescent="0.25">
      <c r="A825" s="1" t="s">
        <v>4185</v>
      </c>
      <c r="B825" s="1" t="s">
        <v>446</v>
      </c>
      <c r="C825" s="1" t="s">
        <v>2504</v>
      </c>
      <c r="D825" s="1" t="s">
        <v>490</v>
      </c>
      <c r="E825" s="3" t="s">
        <v>4188</v>
      </c>
      <c r="F825" s="2" t="s">
        <v>6054</v>
      </c>
      <c r="G825" s="1"/>
      <c r="H825" s="3" t="s">
        <v>986</v>
      </c>
    </row>
    <row r="826" spans="1:8" ht="30" x14ac:dyDescent="0.25">
      <c r="A826" s="1" t="s">
        <v>4185</v>
      </c>
      <c r="B826" s="1" t="s">
        <v>446</v>
      </c>
      <c r="C826" s="1" t="s">
        <v>2504</v>
      </c>
      <c r="D826" s="1" t="s">
        <v>490</v>
      </c>
      <c r="E826" s="3" t="s">
        <v>4190</v>
      </c>
      <c r="F826" s="2" t="s">
        <v>6055</v>
      </c>
      <c r="G826" s="1"/>
      <c r="H826" s="3" t="s">
        <v>852</v>
      </c>
    </row>
    <row r="827" spans="1:8" ht="30" x14ac:dyDescent="0.25">
      <c r="A827" s="1" t="s">
        <v>4185</v>
      </c>
      <c r="B827" s="1" t="s">
        <v>446</v>
      </c>
      <c r="C827" s="1" t="s">
        <v>2504</v>
      </c>
      <c r="D827" s="1" t="s">
        <v>490</v>
      </c>
      <c r="E827" s="3" t="s">
        <v>4192</v>
      </c>
      <c r="F827" s="2" t="s">
        <v>6056</v>
      </c>
      <c r="G827" s="1"/>
      <c r="H827" s="3" t="s">
        <v>852</v>
      </c>
    </row>
    <row r="828" spans="1:8" x14ac:dyDescent="0.25">
      <c r="A828" s="1" t="s">
        <v>670</v>
      </c>
      <c r="B828" s="1" t="s">
        <v>446</v>
      </c>
      <c r="C828" s="1" t="s">
        <v>671</v>
      </c>
      <c r="D828" s="1" t="s">
        <v>672</v>
      </c>
      <c r="E828" s="3" t="s">
        <v>677</v>
      </c>
      <c r="F828" s="2" t="s">
        <v>6057</v>
      </c>
      <c r="G828" s="1"/>
      <c r="H828" s="3" t="s">
        <v>675</v>
      </c>
    </row>
    <row r="829" spans="1:8" x14ac:dyDescent="0.25">
      <c r="A829" s="1" t="s">
        <v>670</v>
      </c>
      <c r="B829" s="1" t="s">
        <v>446</v>
      </c>
      <c r="C829" s="1" t="s">
        <v>671</v>
      </c>
      <c r="D829" s="1" t="s">
        <v>672</v>
      </c>
      <c r="E829" s="3" t="s">
        <v>673</v>
      </c>
      <c r="F829" s="2" t="s">
        <v>6058</v>
      </c>
      <c r="G829" s="1"/>
      <c r="H829" s="3" t="s">
        <v>675</v>
      </c>
    </row>
    <row r="830" spans="1:8" x14ac:dyDescent="0.25">
      <c r="A830" s="1" t="s">
        <v>824</v>
      </c>
      <c r="B830" s="1" t="s">
        <v>409</v>
      </c>
      <c r="C830" s="1" t="s">
        <v>572</v>
      </c>
      <c r="D830" s="1" t="s">
        <v>672</v>
      </c>
      <c r="E830" s="3" t="s">
        <v>836</v>
      </c>
      <c r="F830" s="2" t="s">
        <v>6059</v>
      </c>
      <c r="G830" s="1"/>
      <c r="H830" s="3" t="s">
        <v>838</v>
      </c>
    </row>
    <row r="831" spans="1:8" x14ac:dyDescent="0.25">
      <c r="A831" s="1" t="s">
        <v>824</v>
      </c>
      <c r="B831" s="1" t="s">
        <v>409</v>
      </c>
      <c r="C831" s="1" t="s">
        <v>572</v>
      </c>
      <c r="D831" s="1" t="s">
        <v>672</v>
      </c>
      <c r="E831" s="3" t="s">
        <v>828</v>
      </c>
      <c r="F831" s="2" t="s">
        <v>6060</v>
      </c>
      <c r="G831" s="1"/>
      <c r="H831" s="3" t="s">
        <v>830</v>
      </c>
    </row>
    <row r="832" spans="1:8" x14ac:dyDescent="0.25">
      <c r="A832" s="1" t="s">
        <v>824</v>
      </c>
      <c r="B832" s="1" t="s">
        <v>409</v>
      </c>
      <c r="C832" s="1" t="s">
        <v>572</v>
      </c>
      <c r="D832" s="1" t="s">
        <v>672</v>
      </c>
      <c r="E832" s="3" t="s">
        <v>831</v>
      </c>
      <c r="F832" s="2" t="s">
        <v>6061</v>
      </c>
      <c r="G832" s="1"/>
      <c r="H832" s="3" t="s">
        <v>830</v>
      </c>
    </row>
    <row r="833" spans="1:8" ht="30" x14ac:dyDescent="0.25">
      <c r="A833" s="1" t="s">
        <v>824</v>
      </c>
      <c r="B833" s="1" t="s">
        <v>409</v>
      </c>
      <c r="C833" s="1" t="s">
        <v>572</v>
      </c>
      <c r="D833" s="1" t="s">
        <v>672</v>
      </c>
      <c r="E833" s="3" t="s">
        <v>825</v>
      </c>
      <c r="F833" s="2" t="s">
        <v>6062</v>
      </c>
      <c r="G833" s="1"/>
      <c r="H833" s="3" t="s">
        <v>827</v>
      </c>
    </row>
    <row r="834" spans="1:8" ht="30" x14ac:dyDescent="0.25">
      <c r="A834" s="1" t="s">
        <v>824</v>
      </c>
      <c r="B834" s="1" t="s">
        <v>409</v>
      </c>
      <c r="C834" s="1" t="s">
        <v>572</v>
      </c>
      <c r="D834" s="1" t="s">
        <v>672</v>
      </c>
      <c r="E834" s="3" t="s">
        <v>833</v>
      </c>
      <c r="F834" s="2" t="s">
        <v>6063</v>
      </c>
      <c r="G834" s="1"/>
      <c r="H834" s="3" t="s">
        <v>835</v>
      </c>
    </row>
    <row r="835" spans="1:8" x14ac:dyDescent="0.25">
      <c r="A835" s="1" t="s">
        <v>4211</v>
      </c>
      <c r="B835" s="1" t="s">
        <v>545</v>
      </c>
      <c r="C835" s="1" t="s">
        <v>4212</v>
      </c>
      <c r="D835" s="1" t="s">
        <v>672</v>
      </c>
      <c r="E835" s="3"/>
      <c r="F835" s="2"/>
      <c r="G835" s="1"/>
      <c r="H835" s="3"/>
    </row>
    <row r="836" spans="1:8" x14ac:dyDescent="0.25">
      <c r="A836" s="1" t="s">
        <v>3006</v>
      </c>
      <c r="B836" s="1" t="s">
        <v>480</v>
      </c>
      <c r="C836" s="1" t="s">
        <v>461</v>
      </c>
      <c r="D836" s="1" t="s">
        <v>672</v>
      </c>
      <c r="E836" s="3" t="s">
        <v>3010</v>
      </c>
      <c r="F836" s="2"/>
      <c r="G836" s="1"/>
      <c r="H836" s="3" t="s">
        <v>3012</v>
      </c>
    </row>
    <row r="837" spans="1:8" ht="30" x14ac:dyDescent="0.25">
      <c r="A837" s="1" t="s">
        <v>3006</v>
      </c>
      <c r="B837" s="1" t="s">
        <v>480</v>
      </c>
      <c r="C837" s="1" t="s">
        <v>461</v>
      </c>
      <c r="D837" s="1" t="s">
        <v>672</v>
      </c>
      <c r="E837" s="3" t="s">
        <v>3007</v>
      </c>
      <c r="F837" s="2"/>
      <c r="G837" s="1"/>
      <c r="H837" s="3" t="s">
        <v>3009</v>
      </c>
    </row>
    <row r="838" spans="1:8" ht="30" x14ac:dyDescent="0.25">
      <c r="A838" s="1" t="s">
        <v>30</v>
      </c>
      <c r="B838" s="1" t="s">
        <v>443</v>
      </c>
      <c r="C838" s="1" t="s">
        <v>572</v>
      </c>
      <c r="D838" s="1" t="s">
        <v>573</v>
      </c>
      <c r="E838" s="3" t="s">
        <v>3157</v>
      </c>
      <c r="F838" s="2"/>
      <c r="G838" s="1"/>
      <c r="H838" s="3" t="s">
        <v>3159</v>
      </c>
    </row>
    <row r="839" spans="1:8" ht="30" x14ac:dyDescent="0.25">
      <c r="A839" s="1" t="s">
        <v>30</v>
      </c>
      <c r="B839" s="1" t="s">
        <v>443</v>
      </c>
      <c r="C839" s="1" t="s">
        <v>572</v>
      </c>
      <c r="D839" s="1" t="s">
        <v>573</v>
      </c>
      <c r="E839" s="3" t="s">
        <v>261</v>
      </c>
      <c r="F839" s="2"/>
      <c r="G839" s="1"/>
      <c r="H839" s="3" t="s">
        <v>3159</v>
      </c>
    </row>
    <row r="840" spans="1:8" x14ac:dyDescent="0.25">
      <c r="A840" s="1" t="s">
        <v>2441</v>
      </c>
      <c r="B840" s="1" t="s">
        <v>570</v>
      </c>
      <c r="C840" s="1" t="s">
        <v>479</v>
      </c>
      <c r="D840" s="1" t="s">
        <v>1816</v>
      </c>
      <c r="E840" s="3" t="s">
        <v>2442</v>
      </c>
      <c r="F840" s="2"/>
      <c r="G840" s="1"/>
      <c r="H840" s="3" t="s">
        <v>2444</v>
      </c>
    </row>
    <row r="841" spans="1:8" x14ac:dyDescent="0.25">
      <c r="A841" s="1" t="s">
        <v>2441</v>
      </c>
      <c r="B841" s="1" t="s">
        <v>570</v>
      </c>
      <c r="C841" s="1" t="s">
        <v>479</v>
      </c>
      <c r="D841" s="1" t="s">
        <v>1816</v>
      </c>
      <c r="E841" s="3" t="s">
        <v>2445</v>
      </c>
      <c r="F841" s="2"/>
      <c r="G841" s="1"/>
      <c r="H841" s="3" t="s">
        <v>2444</v>
      </c>
    </row>
    <row r="842" spans="1:8" ht="30" x14ac:dyDescent="0.25">
      <c r="A842" s="1" t="s">
        <v>2441</v>
      </c>
      <c r="B842" s="1" t="s">
        <v>570</v>
      </c>
      <c r="C842" s="1" t="s">
        <v>479</v>
      </c>
      <c r="D842" s="1" t="s">
        <v>1816</v>
      </c>
      <c r="E842" s="3" t="s">
        <v>2447</v>
      </c>
      <c r="F842" s="2"/>
      <c r="G842" s="1"/>
      <c r="H842" s="3" t="s">
        <v>2449</v>
      </c>
    </row>
    <row r="843" spans="1:8" x14ac:dyDescent="0.25">
      <c r="A843" s="1" t="s">
        <v>3390</v>
      </c>
      <c r="B843" s="1" t="s">
        <v>557</v>
      </c>
      <c r="C843" s="1" t="s">
        <v>589</v>
      </c>
      <c r="D843" s="1" t="s">
        <v>1816</v>
      </c>
      <c r="E843" s="3" t="s">
        <v>3394</v>
      </c>
      <c r="F843" s="2"/>
      <c r="G843" s="1"/>
      <c r="H843" s="3" t="s">
        <v>1144</v>
      </c>
    </row>
    <row r="844" spans="1:8" x14ac:dyDescent="0.25">
      <c r="A844" s="1" t="s">
        <v>3390</v>
      </c>
      <c r="B844" s="1" t="s">
        <v>557</v>
      </c>
      <c r="C844" s="1" t="s">
        <v>589</v>
      </c>
      <c r="D844" s="1" t="s">
        <v>1816</v>
      </c>
      <c r="E844" s="3" t="s">
        <v>3391</v>
      </c>
      <c r="F844" s="2"/>
      <c r="G844" s="1"/>
      <c r="H844" s="3" t="s">
        <v>3393</v>
      </c>
    </row>
    <row r="845" spans="1:8" ht="30" x14ac:dyDescent="0.25">
      <c r="A845" s="1" t="s">
        <v>1824</v>
      </c>
      <c r="B845" s="1" t="s">
        <v>443</v>
      </c>
      <c r="C845" s="1" t="s">
        <v>1825</v>
      </c>
      <c r="D845" s="1" t="s">
        <v>1826</v>
      </c>
      <c r="E845" s="3" t="s">
        <v>1827</v>
      </c>
      <c r="F845" s="2"/>
      <c r="G845" s="1"/>
      <c r="H845" s="3" t="s">
        <v>1829</v>
      </c>
    </row>
    <row r="846" spans="1:8" ht="30" x14ac:dyDescent="0.25">
      <c r="A846" s="1" t="s">
        <v>2707</v>
      </c>
      <c r="B846" s="1" t="s">
        <v>515</v>
      </c>
      <c r="C846" s="1" t="s">
        <v>2708</v>
      </c>
      <c r="D846" s="1" t="s">
        <v>1826</v>
      </c>
      <c r="E846" s="3" t="s">
        <v>2709</v>
      </c>
      <c r="F846" s="2"/>
      <c r="G846" s="1"/>
      <c r="H846" s="3" t="s">
        <v>2711</v>
      </c>
    </row>
    <row r="847" spans="1:8" x14ac:dyDescent="0.25">
      <c r="A847" s="1" t="s">
        <v>2707</v>
      </c>
      <c r="B847" s="1" t="s">
        <v>515</v>
      </c>
      <c r="C847" s="1" t="s">
        <v>2708</v>
      </c>
      <c r="D847" s="1" t="s">
        <v>1826</v>
      </c>
      <c r="E847" s="3" t="s">
        <v>2712</v>
      </c>
      <c r="F847" s="2"/>
      <c r="G847" s="1"/>
      <c r="H847" s="3" t="s">
        <v>2711</v>
      </c>
    </row>
    <row r="848" spans="1:8" ht="45" x14ac:dyDescent="0.25">
      <c r="A848" s="1" t="s">
        <v>2707</v>
      </c>
      <c r="B848" s="1" t="s">
        <v>515</v>
      </c>
      <c r="C848" s="1" t="s">
        <v>2708</v>
      </c>
      <c r="D848" s="1" t="s">
        <v>1826</v>
      </c>
      <c r="E848" s="3" t="s">
        <v>2714</v>
      </c>
      <c r="F848" s="2"/>
      <c r="G848" s="1"/>
      <c r="H848" s="3" t="s">
        <v>2716</v>
      </c>
    </row>
    <row r="849" spans="1:8" ht="45" x14ac:dyDescent="0.25">
      <c r="A849" s="1" t="s">
        <v>2707</v>
      </c>
      <c r="B849" s="1" t="s">
        <v>515</v>
      </c>
      <c r="C849" s="1" t="s">
        <v>2708</v>
      </c>
      <c r="D849" s="1" t="s">
        <v>1826</v>
      </c>
      <c r="E849" s="3" t="s">
        <v>2717</v>
      </c>
      <c r="F849" s="2"/>
      <c r="G849" s="1"/>
      <c r="H849" s="3" t="s">
        <v>2716</v>
      </c>
    </row>
    <row r="850" spans="1:8" ht="45" x14ac:dyDescent="0.25">
      <c r="A850" s="1" t="s">
        <v>2707</v>
      </c>
      <c r="B850" s="1" t="s">
        <v>515</v>
      </c>
      <c r="C850" s="1" t="s">
        <v>2708</v>
      </c>
      <c r="D850" s="1" t="s">
        <v>1826</v>
      </c>
      <c r="E850" s="3" t="s">
        <v>2719</v>
      </c>
      <c r="F850" s="2"/>
      <c r="G850" s="1"/>
      <c r="H850" s="3" t="s">
        <v>2716</v>
      </c>
    </row>
    <row r="851" spans="1:8" ht="45" x14ac:dyDescent="0.25">
      <c r="A851" s="1" t="s">
        <v>2707</v>
      </c>
      <c r="B851" s="1" t="s">
        <v>515</v>
      </c>
      <c r="C851" s="1" t="s">
        <v>2708</v>
      </c>
      <c r="D851" s="1" t="s">
        <v>1826</v>
      </c>
      <c r="E851" s="3" t="s">
        <v>2721</v>
      </c>
      <c r="F851" s="2"/>
      <c r="G851" s="1"/>
      <c r="H851" s="3" t="s">
        <v>2716</v>
      </c>
    </row>
    <row r="852" spans="1:8" x14ac:dyDescent="0.25">
      <c r="A852" s="1" t="s">
        <v>3239</v>
      </c>
      <c r="B852" s="1" t="s">
        <v>431</v>
      </c>
      <c r="C852" s="1" t="s">
        <v>1825</v>
      </c>
      <c r="D852" s="1" t="s">
        <v>1826</v>
      </c>
      <c r="E852" s="3" t="s">
        <v>3243</v>
      </c>
      <c r="F852" s="2" t="s">
        <v>6064</v>
      </c>
      <c r="G852" s="1"/>
      <c r="H852" s="3" t="s">
        <v>3245</v>
      </c>
    </row>
    <row r="853" spans="1:8" x14ac:dyDescent="0.25">
      <c r="A853" s="1" t="s">
        <v>3239</v>
      </c>
      <c r="B853" s="1" t="s">
        <v>431</v>
      </c>
      <c r="C853" s="1" t="s">
        <v>1825</v>
      </c>
      <c r="D853" s="1" t="s">
        <v>1826</v>
      </c>
      <c r="E853" s="3" t="s">
        <v>3252</v>
      </c>
      <c r="F853" s="2" t="s">
        <v>6065</v>
      </c>
      <c r="G853" s="1"/>
      <c r="H853" s="3" t="s">
        <v>1506</v>
      </c>
    </row>
    <row r="854" spans="1:8" ht="30" x14ac:dyDescent="0.25">
      <c r="A854" s="1" t="s">
        <v>3239</v>
      </c>
      <c r="B854" s="1" t="s">
        <v>431</v>
      </c>
      <c r="C854" s="1" t="s">
        <v>1825</v>
      </c>
      <c r="D854" s="1" t="s">
        <v>1826</v>
      </c>
      <c r="E854" s="3" t="s">
        <v>3249</v>
      </c>
      <c r="F854" s="2" t="s">
        <v>6066</v>
      </c>
      <c r="G854" s="1"/>
      <c r="H854" s="3" t="s">
        <v>3251</v>
      </c>
    </row>
    <row r="855" spans="1:8" x14ac:dyDescent="0.25">
      <c r="A855" s="1" t="s">
        <v>3239</v>
      </c>
      <c r="B855" s="1" t="s">
        <v>431</v>
      </c>
      <c r="C855" s="1" t="s">
        <v>1825</v>
      </c>
      <c r="D855" s="1" t="s">
        <v>1826</v>
      </c>
      <c r="E855" s="3" t="s">
        <v>3246</v>
      </c>
      <c r="F855" s="2" t="s">
        <v>6067</v>
      </c>
      <c r="G855" s="1"/>
      <c r="H855" s="3" t="s">
        <v>3248</v>
      </c>
    </row>
    <row r="856" spans="1:8" ht="30" x14ac:dyDescent="0.25">
      <c r="A856" s="1" t="s">
        <v>3239</v>
      </c>
      <c r="B856" s="1" t="s">
        <v>431</v>
      </c>
      <c r="C856" s="1" t="s">
        <v>1825</v>
      </c>
      <c r="D856" s="1" t="s">
        <v>1826</v>
      </c>
      <c r="E856" s="3" t="s">
        <v>3240</v>
      </c>
      <c r="F856" s="2" t="s">
        <v>6068</v>
      </c>
      <c r="G856" s="1"/>
      <c r="H856" s="3" t="s">
        <v>3242</v>
      </c>
    </row>
    <row r="857" spans="1:8" x14ac:dyDescent="0.25">
      <c r="A857" s="1" t="s">
        <v>2571</v>
      </c>
      <c r="B857" s="1" t="s">
        <v>536</v>
      </c>
      <c r="C857" s="1" t="s">
        <v>2572</v>
      </c>
      <c r="D857" s="1" t="s">
        <v>555</v>
      </c>
      <c r="E857" s="3" t="s">
        <v>2573</v>
      </c>
      <c r="F857" s="2" t="s">
        <v>6069</v>
      </c>
      <c r="G857" s="1" t="s">
        <v>442</v>
      </c>
      <c r="H857" s="3" t="s">
        <v>2575</v>
      </c>
    </row>
    <row r="858" spans="1:8" x14ac:dyDescent="0.25">
      <c r="A858" s="1" t="s">
        <v>2571</v>
      </c>
      <c r="B858" s="1" t="s">
        <v>536</v>
      </c>
      <c r="C858" s="1" t="s">
        <v>2572</v>
      </c>
      <c r="D858" s="1" t="s">
        <v>555</v>
      </c>
      <c r="E858" s="3" t="s">
        <v>2582</v>
      </c>
      <c r="F858" s="2" t="s">
        <v>6070</v>
      </c>
      <c r="G858" s="1"/>
      <c r="H858" s="3" t="s">
        <v>2584</v>
      </c>
    </row>
    <row r="859" spans="1:8" ht="30" x14ac:dyDescent="0.25">
      <c r="A859" s="1" t="s">
        <v>2571</v>
      </c>
      <c r="B859" s="1" t="s">
        <v>536</v>
      </c>
      <c r="C859" s="1" t="s">
        <v>2572</v>
      </c>
      <c r="D859" s="1" t="s">
        <v>555</v>
      </c>
      <c r="E859" s="3" t="s">
        <v>2579</v>
      </c>
      <c r="F859" s="2" t="s">
        <v>6071</v>
      </c>
      <c r="G859" s="1"/>
      <c r="H859" s="3" t="s">
        <v>2578</v>
      </c>
    </row>
    <row r="860" spans="1:8" ht="30" x14ac:dyDescent="0.25">
      <c r="A860" s="1" t="s">
        <v>2571</v>
      </c>
      <c r="B860" s="1" t="s">
        <v>536</v>
      </c>
      <c r="C860" s="1" t="s">
        <v>2572</v>
      </c>
      <c r="D860" s="1" t="s">
        <v>555</v>
      </c>
      <c r="E860" s="3" t="s">
        <v>2576</v>
      </c>
      <c r="F860" s="2" t="s">
        <v>6072</v>
      </c>
      <c r="G860" s="1"/>
      <c r="H860" s="3" t="s">
        <v>2578</v>
      </c>
    </row>
    <row r="861" spans="1:8" x14ac:dyDescent="0.25">
      <c r="A861" s="1" t="s">
        <v>2728</v>
      </c>
      <c r="B861" s="1" t="s">
        <v>437</v>
      </c>
      <c r="C861" s="1" t="s">
        <v>2729</v>
      </c>
      <c r="D861" s="1" t="s">
        <v>555</v>
      </c>
      <c r="E861" s="3" t="s">
        <v>2730</v>
      </c>
      <c r="F861" s="2" t="s">
        <v>6073</v>
      </c>
      <c r="G861" s="1" t="s">
        <v>406</v>
      </c>
      <c r="H861" s="3" t="s">
        <v>56</v>
      </c>
    </row>
    <row r="862" spans="1:8" ht="30" x14ac:dyDescent="0.25">
      <c r="A862" s="1" t="s">
        <v>113</v>
      </c>
      <c r="B862" s="1" t="s">
        <v>491</v>
      </c>
      <c r="C862" s="1" t="s">
        <v>492</v>
      </c>
      <c r="D862" s="1" t="s">
        <v>493</v>
      </c>
      <c r="E862" s="3" t="s">
        <v>3131</v>
      </c>
      <c r="F862" s="2" t="s">
        <v>6074</v>
      </c>
      <c r="G862" s="1" t="s">
        <v>413</v>
      </c>
      <c r="H862" s="3" t="s">
        <v>335</v>
      </c>
    </row>
    <row r="863" spans="1:8" ht="30" x14ac:dyDescent="0.25">
      <c r="A863" s="1" t="s">
        <v>113</v>
      </c>
      <c r="B863" s="1" t="s">
        <v>491</v>
      </c>
      <c r="C863" s="1" t="s">
        <v>492</v>
      </c>
      <c r="D863" s="1" t="s">
        <v>493</v>
      </c>
      <c r="E863" s="3" t="s">
        <v>332</v>
      </c>
      <c r="F863" s="2" t="s">
        <v>336</v>
      </c>
      <c r="G863" s="1" t="s">
        <v>442</v>
      </c>
      <c r="H863" s="3" t="s">
        <v>335</v>
      </c>
    </row>
    <row r="864" spans="1:8" ht="30" x14ac:dyDescent="0.25">
      <c r="A864" s="1" t="s">
        <v>113</v>
      </c>
      <c r="B864" s="1" t="s">
        <v>491</v>
      </c>
      <c r="C864" s="1" t="s">
        <v>492</v>
      </c>
      <c r="D864" s="1" t="s">
        <v>493</v>
      </c>
      <c r="E864" s="3" t="s">
        <v>3140</v>
      </c>
      <c r="F864" s="2" t="s">
        <v>6075</v>
      </c>
      <c r="G864" s="1"/>
      <c r="H864" s="3" t="s">
        <v>3139</v>
      </c>
    </row>
    <row r="865" spans="1:8" ht="30" x14ac:dyDescent="0.25">
      <c r="A865" s="1" t="s">
        <v>113</v>
      </c>
      <c r="B865" s="1" t="s">
        <v>491</v>
      </c>
      <c r="C865" s="1" t="s">
        <v>492</v>
      </c>
      <c r="D865" s="1" t="s">
        <v>493</v>
      </c>
      <c r="E865" s="3" t="s">
        <v>3144</v>
      </c>
      <c r="F865" s="2" t="s">
        <v>6076</v>
      </c>
      <c r="G865" s="1"/>
      <c r="H865" s="3" t="s">
        <v>3139</v>
      </c>
    </row>
    <row r="866" spans="1:8" ht="30" x14ac:dyDescent="0.25">
      <c r="A866" s="1" t="s">
        <v>113</v>
      </c>
      <c r="B866" s="1" t="s">
        <v>491</v>
      </c>
      <c r="C866" s="1" t="s">
        <v>492</v>
      </c>
      <c r="D866" s="1" t="s">
        <v>493</v>
      </c>
      <c r="E866" s="3" t="s">
        <v>3142</v>
      </c>
      <c r="F866" s="2" t="s">
        <v>6077</v>
      </c>
      <c r="G866" s="1"/>
      <c r="H866" s="3" t="s">
        <v>3139</v>
      </c>
    </row>
    <row r="867" spans="1:8" ht="30" x14ac:dyDescent="0.25">
      <c r="A867" s="1" t="s">
        <v>113</v>
      </c>
      <c r="B867" s="1" t="s">
        <v>491</v>
      </c>
      <c r="C867" s="1" t="s">
        <v>492</v>
      </c>
      <c r="D867" s="1" t="s">
        <v>493</v>
      </c>
      <c r="E867" s="3" t="s">
        <v>3137</v>
      </c>
      <c r="F867" s="2" t="s">
        <v>6078</v>
      </c>
      <c r="G867" s="1"/>
      <c r="H867" s="3" t="s">
        <v>3139</v>
      </c>
    </row>
    <row r="868" spans="1:8" ht="30" x14ac:dyDescent="0.25">
      <c r="A868" s="1" t="s">
        <v>113</v>
      </c>
      <c r="B868" s="1" t="s">
        <v>491</v>
      </c>
      <c r="C868" s="1" t="s">
        <v>492</v>
      </c>
      <c r="D868" s="1" t="s">
        <v>493</v>
      </c>
      <c r="E868" s="3" t="s">
        <v>3134</v>
      </c>
      <c r="F868" s="2" t="s">
        <v>6079</v>
      </c>
      <c r="G868" s="1"/>
      <c r="H868" s="3" t="s">
        <v>3136</v>
      </c>
    </row>
    <row r="869" spans="1:8" ht="30" x14ac:dyDescent="0.25">
      <c r="A869" s="1" t="s">
        <v>113</v>
      </c>
      <c r="B869" s="1" t="s">
        <v>491</v>
      </c>
      <c r="C869" s="1" t="s">
        <v>492</v>
      </c>
      <c r="D869" s="1" t="s">
        <v>493</v>
      </c>
      <c r="E869" s="3" t="s">
        <v>111</v>
      </c>
      <c r="F869" s="2" t="s">
        <v>114</v>
      </c>
      <c r="G869" s="1"/>
      <c r="H869" s="3" t="s">
        <v>3147</v>
      </c>
    </row>
    <row r="870" spans="1:8" x14ac:dyDescent="0.25">
      <c r="A870" s="1" t="s">
        <v>221</v>
      </c>
      <c r="B870" s="1" t="s">
        <v>457</v>
      </c>
      <c r="C870" s="1" t="s">
        <v>492</v>
      </c>
      <c r="D870" s="1" t="s">
        <v>493</v>
      </c>
      <c r="E870" s="3" t="s">
        <v>218</v>
      </c>
      <c r="F870" s="2" t="s">
        <v>222</v>
      </c>
      <c r="G870" s="1" t="s">
        <v>413</v>
      </c>
      <c r="H870" s="3" t="s">
        <v>3935</v>
      </c>
    </row>
    <row r="871" spans="1:8" x14ac:dyDescent="0.25">
      <c r="A871" s="1" t="s">
        <v>221</v>
      </c>
      <c r="B871" s="1" t="s">
        <v>457</v>
      </c>
      <c r="C871" s="1" t="s">
        <v>492</v>
      </c>
      <c r="D871" s="1" t="s">
        <v>493</v>
      </c>
      <c r="E871" s="3" t="s">
        <v>3932</v>
      </c>
      <c r="F871" s="2" t="s">
        <v>6080</v>
      </c>
      <c r="G871" s="1" t="s">
        <v>406</v>
      </c>
      <c r="H871" s="3" t="s">
        <v>56</v>
      </c>
    </row>
    <row r="872" spans="1:8" ht="30" x14ac:dyDescent="0.25">
      <c r="A872" s="1" t="s">
        <v>221</v>
      </c>
      <c r="B872" s="1" t="s">
        <v>457</v>
      </c>
      <c r="C872" s="1" t="s">
        <v>492</v>
      </c>
      <c r="D872" s="1" t="s">
        <v>493</v>
      </c>
      <c r="E872" s="3" t="s">
        <v>3944</v>
      </c>
      <c r="F872" s="2" t="s">
        <v>6081</v>
      </c>
      <c r="G872" s="1"/>
      <c r="H872" s="3" t="s">
        <v>1191</v>
      </c>
    </row>
    <row r="873" spans="1:8" x14ac:dyDescent="0.25">
      <c r="A873" s="1" t="s">
        <v>221</v>
      </c>
      <c r="B873" s="1" t="s">
        <v>457</v>
      </c>
      <c r="C873" s="1" t="s">
        <v>492</v>
      </c>
      <c r="D873" s="1" t="s">
        <v>493</v>
      </c>
      <c r="E873" s="3" t="s">
        <v>3946</v>
      </c>
      <c r="F873" s="2" t="s">
        <v>6082</v>
      </c>
      <c r="G873" s="1"/>
      <c r="H873" s="3" t="s">
        <v>682</v>
      </c>
    </row>
    <row r="874" spans="1:8" x14ac:dyDescent="0.25">
      <c r="A874" s="1" t="s">
        <v>221</v>
      </c>
      <c r="B874" s="1" t="s">
        <v>457</v>
      </c>
      <c r="C874" s="1" t="s">
        <v>492</v>
      </c>
      <c r="D874" s="1" t="s">
        <v>493</v>
      </c>
      <c r="E874" s="3" t="s">
        <v>3930</v>
      </c>
      <c r="F874" s="2" t="s">
        <v>6083</v>
      </c>
      <c r="G874" s="1"/>
      <c r="H874" s="3" t="s">
        <v>849</v>
      </c>
    </row>
    <row r="875" spans="1:8" x14ac:dyDescent="0.25">
      <c r="A875" s="1" t="s">
        <v>221</v>
      </c>
      <c r="B875" s="1" t="s">
        <v>457</v>
      </c>
      <c r="C875" s="1" t="s">
        <v>492</v>
      </c>
      <c r="D875" s="1" t="s">
        <v>493</v>
      </c>
      <c r="E875" s="3" t="s">
        <v>3926</v>
      </c>
      <c r="F875" s="2" t="s">
        <v>6084</v>
      </c>
      <c r="G875" s="1"/>
      <c r="H875" s="3" t="s">
        <v>849</v>
      </c>
    </row>
    <row r="876" spans="1:8" x14ac:dyDescent="0.25">
      <c r="A876" s="1" t="s">
        <v>221</v>
      </c>
      <c r="B876" s="1" t="s">
        <v>457</v>
      </c>
      <c r="C876" s="1" t="s">
        <v>492</v>
      </c>
      <c r="D876" s="1" t="s">
        <v>493</v>
      </c>
      <c r="E876" s="3" t="s">
        <v>3928</v>
      </c>
      <c r="F876" s="2" t="s">
        <v>6085</v>
      </c>
      <c r="G876" s="1"/>
      <c r="H876" s="3" t="s">
        <v>849</v>
      </c>
    </row>
    <row r="877" spans="1:8" x14ac:dyDescent="0.25">
      <c r="A877" s="1" t="s">
        <v>221</v>
      </c>
      <c r="B877" s="1" t="s">
        <v>457</v>
      </c>
      <c r="C877" s="1" t="s">
        <v>492</v>
      </c>
      <c r="D877" s="1" t="s">
        <v>493</v>
      </c>
      <c r="E877" s="3" t="s">
        <v>3924</v>
      </c>
      <c r="F877" s="2" t="s">
        <v>6086</v>
      </c>
      <c r="G877" s="1" t="s">
        <v>1651</v>
      </c>
      <c r="H877" s="3" t="s">
        <v>3593</v>
      </c>
    </row>
    <row r="878" spans="1:8" ht="30" x14ac:dyDescent="0.25">
      <c r="A878" s="1" t="s">
        <v>221</v>
      </c>
      <c r="B878" s="1" t="s">
        <v>457</v>
      </c>
      <c r="C878" s="1" t="s">
        <v>492</v>
      </c>
      <c r="D878" s="1" t="s">
        <v>493</v>
      </c>
      <c r="E878" s="3" t="s">
        <v>3940</v>
      </c>
      <c r="F878" s="2" t="s">
        <v>6087</v>
      </c>
      <c r="G878" s="1"/>
      <c r="H878" s="3" t="s">
        <v>852</v>
      </c>
    </row>
    <row r="879" spans="1:8" ht="30" x14ac:dyDescent="0.25">
      <c r="A879" s="1" t="s">
        <v>221</v>
      </c>
      <c r="B879" s="1" t="s">
        <v>457</v>
      </c>
      <c r="C879" s="1" t="s">
        <v>492</v>
      </c>
      <c r="D879" s="1" t="s">
        <v>493</v>
      </c>
      <c r="E879" s="3" t="s">
        <v>3938</v>
      </c>
      <c r="F879" s="2" t="s">
        <v>6088</v>
      </c>
      <c r="G879" s="1"/>
      <c r="H879" s="3" t="s">
        <v>852</v>
      </c>
    </row>
    <row r="880" spans="1:8" ht="30" x14ac:dyDescent="0.25">
      <c r="A880" s="1" t="s">
        <v>221</v>
      </c>
      <c r="B880" s="1" t="s">
        <v>457</v>
      </c>
      <c r="C880" s="1" t="s">
        <v>492</v>
      </c>
      <c r="D880" s="1" t="s">
        <v>493</v>
      </c>
      <c r="E880" s="3" t="s">
        <v>3936</v>
      </c>
      <c r="F880" s="2" t="s">
        <v>6089</v>
      </c>
      <c r="G880" s="1"/>
      <c r="H880" s="3" t="s">
        <v>852</v>
      </c>
    </row>
    <row r="881" spans="1:8" ht="30" x14ac:dyDescent="0.25">
      <c r="A881" s="1" t="s">
        <v>221</v>
      </c>
      <c r="B881" s="1" t="s">
        <v>457</v>
      </c>
      <c r="C881" s="1" t="s">
        <v>492</v>
      </c>
      <c r="D881" s="1" t="s">
        <v>493</v>
      </c>
      <c r="E881" s="3" t="s">
        <v>3942</v>
      </c>
      <c r="F881" s="2" t="s">
        <v>6090</v>
      </c>
      <c r="G881" s="1"/>
      <c r="H881" s="3" t="s">
        <v>852</v>
      </c>
    </row>
    <row r="882" spans="1:8" x14ac:dyDescent="0.25">
      <c r="A882" s="1" t="s">
        <v>2723</v>
      </c>
      <c r="B882" s="1" t="s">
        <v>1008</v>
      </c>
      <c r="C882" s="1" t="s">
        <v>1743</v>
      </c>
      <c r="D882" s="1" t="s">
        <v>1685</v>
      </c>
      <c r="E882" s="3" t="s">
        <v>2724</v>
      </c>
      <c r="F882" s="2" t="s">
        <v>6091</v>
      </c>
      <c r="G882" s="1"/>
      <c r="H882" s="3" t="s">
        <v>682</v>
      </c>
    </row>
    <row r="883" spans="1:8" x14ac:dyDescent="0.25">
      <c r="A883" s="1" t="s">
        <v>2723</v>
      </c>
      <c r="B883" s="1" t="s">
        <v>1008</v>
      </c>
      <c r="C883" s="1" t="s">
        <v>1743</v>
      </c>
      <c r="D883" s="1" t="s">
        <v>1685</v>
      </c>
      <c r="E883" s="3" t="s">
        <v>2726</v>
      </c>
      <c r="F883" s="2" t="s">
        <v>6092</v>
      </c>
      <c r="G883" s="1"/>
      <c r="H883" s="3" t="s">
        <v>682</v>
      </c>
    </row>
    <row r="884" spans="1:8" x14ac:dyDescent="0.25">
      <c r="A884" s="1" t="s">
        <v>2698</v>
      </c>
      <c r="B884" s="1" t="s">
        <v>418</v>
      </c>
      <c r="C884" s="1" t="s">
        <v>2699</v>
      </c>
      <c r="D884" s="1" t="s">
        <v>967</v>
      </c>
      <c r="E884" s="3" t="s">
        <v>2700</v>
      </c>
      <c r="F884" s="2" t="s">
        <v>6093</v>
      </c>
      <c r="G884" s="1" t="s">
        <v>476</v>
      </c>
      <c r="H884" s="3" t="s">
        <v>2702</v>
      </c>
    </row>
    <row r="885" spans="1:8" x14ac:dyDescent="0.25">
      <c r="A885" s="1" t="s">
        <v>2698</v>
      </c>
      <c r="B885" s="1" t="s">
        <v>418</v>
      </c>
      <c r="C885" s="1" t="s">
        <v>2699</v>
      </c>
      <c r="D885" s="1" t="s">
        <v>967</v>
      </c>
      <c r="E885" s="3" t="s">
        <v>2705</v>
      </c>
      <c r="F885" s="2" t="s">
        <v>6094</v>
      </c>
      <c r="G885" s="1"/>
      <c r="H885" s="3" t="s">
        <v>682</v>
      </c>
    </row>
    <row r="886" spans="1:8" x14ac:dyDescent="0.25">
      <c r="A886" s="1" t="s">
        <v>2698</v>
      </c>
      <c r="B886" s="1" t="s">
        <v>418</v>
      </c>
      <c r="C886" s="1" t="s">
        <v>2699</v>
      </c>
      <c r="D886" s="1" t="s">
        <v>967</v>
      </c>
      <c r="E886" s="3" t="s">
        <v>2704</v>
      </c>
      <c r="F886" s="2" t="s">
        <v>6095</v>
      </c>
      <c r="G886" s="1"/>
      <c r="H886" s="3" t="s">
        <v>584</v>
      </c>
    </row>
    <row r="887" spans="1:8" x14ac:dyDescent="0.25">
      <c r="A887" s="1" t="s">
        <v>2698</v>
      </c>
      <c r="B887" s="1" t="s">
        <v>418</v>
      </c>
      <c r="C887" s="1" t="s">
        <v>2699</v>
      </c>
      <c r="D887" s="1" t="s">
        <v>967</v>
      </c>
      <c r="E887" s="3" t="s">
        <v>2703</v>
      </c>
      <c r="F887" s="2" t="s">
        <v>6096</v>
      </c>
      <c r="G887" s="1"/>
      <c r="H887" s="3" t="s">
        <v>584</v>
      </c>
    </row>
    <row r="888" spans="1:8" ht="30" x14ac:dyDescent="0.25">
      <c r="A888" s="1" t="s">
        <v>3448</v>
      </c>
      <c r="B888" s="1" t="s">
        <v>3449</v>
      </c>
      <c r="C888" s="1" t="s">
        <v>3450</v>
      </c>
      <c r="D888" s="1" t="s">
        <v>967</v>
      </c>
      <c r="E888" s="3" t="s">
        <v>3451</v>
      </c>
      <c r="F888" s="2" t="s">
        <v>6097</v>
      </c>
      <c r="G888" s="1" t="s">
        <v>442</v>
      </c>
      <c r="H888" s="3" t="s">
        <v>3453</v>
      </c>
    </row>
    <row r="889" spans="1:8" ht="30" x14ac:dyDescent="0.25">
      <c r="A889" s="1" t="s">
        <v>3448</v>
      </c>
      <c r="B889" s="1" t="s">
        <v>3449</v>
      </c>
      <c r="C889" s="1" t="s">
        <v>3450</v>
      </c>
      <c r="D889" s="1" t="s">
        <v>967</v>
      </c>
      <c r="E889" s="3" t="s">
        <v>3457</v>
      </c>
      <c r="F889" s="2" t="s">
        <v>6098</v>
      </c>
      <c r="G889" s="1"/>
      <c r="H889" s="3" t="s">
        <v>3456</v>
      </c>
    </row>
    <row r="890" spans="1:8" ht="30" x14ac:dyDescent="0.25">
      <c r="A890" s="1" t="s">
        <v>3448</v>
      </c>
      <c r="B890" s="1" t="s">
        <v>3449</v>
      </c>
      <c r="C890" s="1" t="s">
        <v>3450</v>
      </c>
      <c r="D890" s="1" t="s">
        <v>967</v>
      </c>
      <c r="E890" s="3" t="s">
        <v>3454</v>
      </c>
      <c r="F890" s="2" t="s">
        <v>6099</v>
      </c>
      <c r="G890" s="1"/>
      <c r="H890" s="3" t="s">
        <v>3456</v>
      </c>
    </row>
    <row r="891" spans="1:8" x14ac:dyDescent="0.25">
      <c r="A891" s="1" t="s">
        <v>4215</v>
      </c>
      <c r="B891" s="1" t="s">
        <v>817</v>
      </c>
      <c r="C891" s="1" t="s">
        <v>540</v>
      </c>
      <c r="D891" s="1" t="s">
        <v>4216</v>
      </c>
      <c r="E891" s="3"/>
      <c r="F891" s="2"/>
      <c r="G891" s="1"/>
      <c r="H891" s="3"/>
    </row>
    <row r="892" spans="1:8" x14ac:dyDescent="0.25">
      <c r="A892" s="1" t="s">
        <v>289</v>
      </c>
      <c r="B892" s="1" t="s">
        <v>457</v>
      </c>
      <c r="C892" s="1" t="s">
        <v>577</v>
      </c>
      <c r="D892" s="1" t="s">
        <v>578</v>
      </c>
      <c r="E892" s="3" t="s">
        <v>4128</v>
      </c>
      <c r="F892" s="2" t="s">
        <v>6100</v>
      </c>
      <c r="G892" s="1" t="s">
        <v>4129</v>
      </c>
      <c r="H892" s="3" t="s">
        <v>79</v>
      </c>
    </row>
    <row r="893" spans="1:8" x14ac:dyDescent="0.25">
      <c r="A893" s="1" t="s">
        <v>289</v>
      </c>
      <c r="B893" s="1" t="s">
        <v>457</v>
      </c>
      <c r="C893" s="1" t="s">
        <v>577</v>
      </c>
      <c r="D893" s="1" t="s">
        <v>578</v>
      </c>
      <c r="E893" s="3" t="s">
        <v>4130</v>
      </c>
      <c r="F893" s="2"/>
      <c r="G893" s="1"/>
      <c r="H893" s="3" t="s">
        <v>79</v>
      </c>
    </row>
    <row r="894" spans="1:8" x14ac:dyDescent="0.25">
      <c r="A894" s="1" t="s">
        <v>289</v>
      </c>
      <c r="B894" s="1" t="s">
        <v>457</v>
      </c>
      <c r="C894" s="1" t="s">
        <v>577</v>
      </c>
      <c r="D894" s="1" t="s">
        <v>578</v>
      </c>
      <c r="E894" s="3" t="s">
        <v>4131</v>
      </c>
      <c r="F894" s="2"/>
      <c r="G894" s="1"/>
      <c r="H894" s="3" t="s">
        <v>79</v>
      </c>
    </row>
    <row r="895" spans="1:8" x14ac:dyDescent="0.25">
      <c r="A895" s="1" t="s">
        <v>289</v>
      </c>
      <c r="B895" s="1" t="s">
        <v>457</v>
      </c>
      <c r="C895" s="1" t="s">
        <v>577</v>
      </c>
      <c r="D895" s="1" t="s">
        <v>578</v>
      </c>
      <c r="E895" s="3" t="s">
        <v>4132</v>
      </c>
      <c r="F895" s="2"/>
      <c r="G895" s="1"/>
      <c r="H895" s="3" t="s">
        <v>79</v>
      </c>
    </row>
    <row r="896" spans="1:8" x14ac:dyDescent="0.25">
      <c r="A896" s="1" t="s">
        <v>289</v>
      </c>
      <c r="B896" s="1" t="s">
        <v>457</v>
      </c>
      <c r="C896" s="1" t="s">
        <v>577</v>
      </c>
      <c r="D896" s="1" t="s">
        <v>578</v>
      </c>
      <c r="E896" s="3" t="s">
        <v>4133</v>
      </c>
      <c r="F896" s="2"/>
      <c r="G896" s="1"/>
      <c r="H896" s="3" t="s">
        <v>79</v>
      </c>
    </row>
    <row r="897" spans="1:8" x14ac:dyDescent="0.25">
      <c r="A897" s="1" t="s">
        <v>289</v>
      </c>
      <c r="B897" s="1" t="s">
        <v>457</v>
      </c>
      <c r="C897" s="1" t="s">
        <v>577</v>
      </c>
      <c r="D897" s="1" t="s">
        <v>578</v>
      </c>
      <c r="E897" s="3" t="s">
        <v>4134</v>
      </c>
      <c r="F897" s="2"/>
      <c r="G897" s="1"/>
      <c r="H897" s="3" t="s">
        <v>79</v>
      </c>
    </row>
    <row r="898" spans="1:8" x14ac:dyDescent="0.25">
      <c r="A898" s="1" t="s">
        <v>289</v>
      </c>
      <c r="B898" s="1" t="s">
        <v>457</v>
      </c>
      <c r="C898" s="1" t="s">
        <v>577</v>
      </c>
      <c r="D898" s="1" t="s">
        <v>578</v>
      </c>
      <c r="E898" s="3" t="s">
        <v>4135</v>
      </c>
      <c r="F898" s="2"/>
      <c r="G898" s="1"/>
      <c r="H898" s="3" t="s">
        <v>79</v>
      </c>
    </row>
    <row r="899" spans="1:8" x14ac:dyDescent="0.25">
      <c r="A899" s="1" t="s">
        <v>289</v>
      </c>
      <c r="B899" s="1" t="s">
        <v>457</v>
      </c>
      <c r="C899" s="1" t="s">
        <v>577</v>
      </c>
      <c r="D899" s="1" t="s">
        <v>578</v>
      </c>
      <c r="E899" s="3" t="s">
        <v>285</v>
      </c>
      <c r="F899" s="2" t="s">
        <v>290</v>
      </c>
      <c r="G899" s="1" t="s">
        <v>413</v>
      </c>
      <c r="H899" s="3" t="s">
        <v>4136</v>
      </c>
    </row>
    <row r="900" spans="1:8" x14ac:dyDescent="0.25">
      <c r="A900" s="1" t="s">
        <v>289</v>
      </c>
      <c r="B900" s="1" t="s">
        <v>457</v>
      </c>
      <c r="C900" s="1" t="s">
        <v>577</v>
      </c>
      <c r="D900" s="1" t="s">
        <v>578</v>
      </c>
      <c r="E900" s="3" t="s">
        <v>323</v>
      </c>
      <c r="F900" s="2" t="s">
        <v>325</v>
      </c>
      <c r="G900" s="1" t="s">
        <v>406</v>
      </c>
      <c r="H900" s="3" t="s">
        <v>27</v>
      </c>
    </row>
    <row r="901" spans="1:8" x14ac:dyDescent="0.25">
      <c r="A901" s="1" t="s">
        <v>289</v>
      </c>
      <c r="B901" s="1" t="s">
        <v>457</v>
      </c>
      <c r="C901" s="1" t="s">
        <v>577</v>
      </c>
      <c r="D901" s="1" t="s">
        <v>578</v>
      </c>
      <c r="E901" s="3" t="s">
        <v>373</v>
      </c>
      <c r="F901" s="2" t="s">
        <v>376</v>
      </c>
      <c r="G901" s="1" t="s">
        <v>413</v>
      </c>
      <c r="H901" s="3" t="s">
        <v>1166</v>
      </c>
    </row>
    <row r="902" spans="1:8" x14ac:dyDescent="0.25">
      <c r="A902" s="1" t="s">
        <v>180</v>
      </c>
      <c r="B902" s="1" t="s">
        <v>409</v>
      </c>
      <c r="C902" s="1" t="s">
        <v>529</v>
      </c>
      <c r="D902" s="1" t="s">
        <v>530</v>
      </c>
      <c r="E902" s="3" t="s">
        <v>175</v>
      </c>
      <c r="F902" s="2" t="s">
        <v>181</v>
      </c>
      <c r="G902" s="1" t="s">
        <v>413</v>
      </c>
      <c r="H902" s="3" t="s">
        <v>161</v>
      </c>
    </row>
    <row r="903" spans="1:8" x14ac:dyDescent="0.25">
      <c r="A903" s="1" t="s">
        <v>180</v>
      </c>
      <c r="B903" s="1" t="s">
        <v>409</v>
      </c>
      <c r="C903" s="1" t="s">
        <v>529</v>
      </c>
      <c r="D903" s="1" t="s">
        <v>530</v>
      </c>
      <c r="E903" s="3" t="s">
        <v>3404</v>
      </c>
      <c r="F903" s="2" t="s">
        <v>6101</v>
      </c>
      <c r="G903" s="1"/>
      <c r="H903" s="3" t="s">
        <v>3406</v>
      </c>
    </row>
    <row r="904" spans="1:8" x14ac:dyDescent="0.25">
      <c r="A904" s="1" t="s">
        <v>180</v>
      </c>
      <c r="B904" s="1" t="s">
        <v>409</v>
      </c>
      <c r="C904" s="1" t="s">
        <v>529</v>
      </c>
      <c r="D904" s="1" t="s">
        <v>530</v>
      </c>
      <c r="E904" s="3" t="s">
        <v>3408</v>
      </c>
      <c r="F904" s="2" t="s">
        <v>6102</v>
      </c>
      <c r="G904" s="1"/>
      <c r="H904" s="3" t="s">
        <v>3410</v>
      </c>
    </row>
    <row r="905" spans="1:8" x14ac:dyDescent="0.25">
      <c r="A905" s="1" t="s">
        <v>180</v>
      </c>
      <c r="B905" s="1" t="s">
        <v>409</v>
      </c>
      <c r="C905" s="1" t="s">
        <v>529</v>
      </c>
      <c r="D905" s="1" t="s">
        <v>530</v>
      </c>
      <c r="E905" s="3" t="s">
        <v>3396</v>
      </c>
      <c r="F905" s="2" t="s">
        <v>6103</v>
      </c>
      <c r="G905" s="1"/>
      <c r="H905" s="3" t="s">
        <v>3398</v>
      </c>
    </row>
    <row r="906" spans="1:8" x14ac:dyDescent="0.25">
      <c r="A906" s="1" t="s">
        <v>180</v>
      </c>
      <c r="B906" s="1" t="s">
        <v>409</v>
      </c>
      <c r="C906" s="1" t="s">
        <v>529</v>
      </c>
      <c r="D906" s="1" t="s">
        <v>530</v>
      </c>
      <c r="E906" s="3" t="s">
        <v>3402</v>
      </c>
      <c r="F906" s="2" t="s">
        <v>6104</v>
      </c>
      <c r="G906" s="1" t="s">
        <v>406</v>
      </c>
      <c r="H906" s="3" t="s">
        <v>3398</v>
      </c>
    </row>
    <row r="907" spans="1:8" x14ac:dyDescent="0.25">
      <c r="A907" s="1" t="s">
        <v>180</v>
      </c>
      <c r="B907" s="1" t="s">
        <v>409</v>
      </c>
      <c r="C907" s="1" t="s">
        <v>529</v>
      </c>
      <c r="D907" s="1" t="s">
        <v>530</v>
      </c>
      <c r="E907" s="3" t="s">
        <v>3400</v>
      </c>
      <c r="F907" s="2" t="s">
        <v>6105</v>
      </c>
      <c r="G907" s="1"/>
      <c r="H907" s="3" t="s">
        <v>3398</v>
      </c>
    </row>
    <row r="908" spans="1:8" x14ac:dyDescent="0.25">
      <c r="A908" s="1" t="s">
        <v>380</v>
      </c>
      <c r="B908" s="1" t="s">
        <v>609</v>
      </c>
      <c r="C908" s="1" t="s">
        <v>610</v>
      </c>
      <c r="D908" s="1" t="s">
        <v>430</v>
      </c>
      <c r="E908" s="3" t="s">
        <v>1308</v>
      </c>
      <c r="F908" s="2" t="s">
        <v>6106</v>
      </c>
      <c r="G908" s="1"/>
      <c r="H908" s="3" t="s">
        <v>1310</v>
      </c>
    </row>
    <row r="909" spans="1:8" x14ac:dyDescent="0.25">
      <c r="A909" s="1" t="s">
        <v>380</v>
      </c>
      <c r="B909" s="1" t="s">
        <v>609</v>
      </c>
      <c r="C909" s="1" t="s">
        <v>610</v>
      </c>
      <c r="D909" s="1" t="s">
        <v>430</v>
      </c>
      <c r="E909" s="3" t="s">
        <v>1296</v>
      </c>
      <c r="F909" s="2" t="s">
        <v>6107</v>
      </c>
      <c r="G909" s="1"/>
      <c r="H909" s="3" t="s">
        <v>1298</v>
      </c>
    </row>
    <row r="910" spans="1:8" ht="30" x14ac:dyDescent="0.25">
      <c r="A910" s="1" t="s">
        <v>380</v>
      </c>
      <c r="B910" s="1" t="s">
        <v>609</v>
      </c>
      <c r="C910" s="1" t="s">
        <v>610</v>
      </c>
      <c r="D910" s="1" t="s">
        <v>430</v>
      </c>
      <c r="E910" s="3" t="s">
        <v>1299</v>
      </c>
      <c r="F910" s="2" t="s">
        <v>6108</v>
      </c>
      <c r="G910" s="1"/>
      <c r="H910" s="3" t="s">
        <v>1301</v>
      </c>
    </row>
    <row r="911" spans="1:8" ht="30" x14ac:dyDescent="0.25">
      <c r="A911" s="1" t="s">
        <v>380</v>
      </c>
      <c r="B911" s="1" t="s">
        <v>609</v>
      </c>
      <c r="C911" s="1" t="s">
        <v>610</v>
      </c>
      <c r="D911" s="1" t="s">
        <v>430</v>
      </c>
      <c r="E911" s="3" t="s">
        <v>1304</v>
      </c>
      <c r="F911" s="2" t="s">
        <v>6109</v>
      </c>
      <c r="G911" s="1"/>
      <c r="H911" s="3" t="s">
        <v>1301</v>
      </c>
    </row>
    <row r="912" spans="1:8" ht="30" x14ac:dyDescent="0.25">
      <c r="A912" s="1" t="s">
        <v>380</v>
      </c>
      <c r="B912" s="1" t="s">
        <v>609</v>
      </c>
      <c r="C912" s="1" t="s">
        <v>610</v>
      </c>
      <c r="D912" s="1" t="s">
        <v>430</v>
      </c>
      <c r="E912" s="3" t="s">
        <v>1302</v>
      </c>
      <c r="F912" s="2" t="s">
        <v>6110</v>
      </c>
      <c r="G912" s="1"/>
      <c r="H912" s="3" t="s">
        <v>1301</v>
      </c>
    </row>
    <row r="913" spans="1:8" x14ac:dyDescent="0.25">
      <c r="A913" s="1" t="s">
        <v>380</v>
      </c>
      <c r="B913" s="1" t="s">
        <v>609</v>
      </c>
      <c r="C913" s="1" t="s">
        <v>610</v>
      </c>
      <c r="D913" s="1" t="s">
        <v>430</v>
      </c>
      <c r="E913" s="3" t="s">
        <v>378</v>
      </c>
      <c r="F913" s="2" t="s">
        <v>381</v>
      </c>
      <c r="G913" s="1" t="s">
        <v>406</v>
      </c>
      <c r="H913" s="3" t="s">
        <v>1307</v>
      </c>
    </row>
    <row r="914" spans="1:8" x14ac:dyDescent="0.25">
      <c r="A914" s="1" t="s">
        <v>380</v>
      </c>
      <c r="B914" s="1" t="s">
        <v>609</v>
      </c>
      <c r="C914" s="1" t="s">
        <v>610</v>
      </c>
      <c r="D914" s="1" t="s">
        <v>430</v>
      </c>
      <c r="E914" s="3" t="s">
        <v>1294</v>
      </c>
      <c r="F914" s="2" t="s">
        <v>6111</v>
      </c>
      <c r="G914" s="1" t="s">
        <v>442</v>
      </c>
      <c r="H914" s="3" t="s">
        <v>1293</v>
      </c>
    </row>
    <row r="915" spans="1:8" ht="30" x14ac:dyDescent="0.25">
      <c r="A915" s="1" t="s">
        <v>380</v>
      </c>
      <c r="B915" s="1" t="s">
        <v>609</v>
      </c>
      <c r="C915" s="1" t="s">
        <v>610</v>
      </c>
      <c r="D915" s="1" t="s">
        <v>430</v>
      </c>
      <c r="E915" s="3" t="s">
        <v>1291</v>
      </c>
      <c r="F915" s="2" t="s">
        <v>6112</v>
      </c>
      <c r="G915" s="1" t="s">
        <v>442</v>
      </c>
      <c r="H915" s="3" t="s">
        <v>1293</v>
      </c>
    </row>
    <row r="916" spans="1:8" x14ac:dyDescent="0.25">
      <c r="A916" s="1" t="s">
        <v>16</v>
      </c>
      <c r="B916" s="1" t="s">
        <v>424</v>
      </c>
      <c r="C916" s="1" t="s">
        <v>429</v>
      </c>
      <c r="D916" s="1" t="s">
        <v>430</v>
      </c>
      <c r="E916" s="3" t="s">
        <v>1464</v>
      </c>
      <c r="F916" s="2" t="s">
        <v>6113</v>
      </c>
      <c r="G916" s="1"/>
      <c r="H916" s="3" t="s">
        <v>1466</v>
      </c>
    </row>
    <row r="917" spans="1:8" x14ac:dyDescent="0.25">
      <c r="A917" s="1" t="s">
        <v>16</v>
      </c>
      <c r="B917" s="1" t="s">
        <v>424</v>
      </c>
      <c r="C917" s="1" t="s">
        <v>429</v>
      </c>
      <c r="D917" s="1" t="s">
        <v>430</v>
      </c>
      <c r="E917" s="3" t="s">
        <v>1473</v>
      </c>
      <c r="F917" s="2" t="s">
        <v>6114</v>
      </c>
      <c r="G917" s="1"/>
      <c r="H917" s="3" t="s">
        <v>1466</v>
      </c>
    </row>
    <row r="918" spans="1:8" x14ac:dyDescent="0.25">
      <c r="A918" s="1" t="s">
        <v>16</v>
      </c>
      <c r="B918" s="1" t="s">
        <v>424</v>
      </c>
      <c r="C918" s="1" t="s">
        <v>429</v>
      </c>
      <c r="D918" s="1" t="s">
        <v>430</v>
      </c>
      <c r="E918" s="3" t="s">
        <v>1467</v>
      </c>
      <c r="F918" s="2" t="s">
        <v>6115</v>
      </c>
      <c r="G918" s="1"/>
      <c r="H918" s="3" t="s">
        <v>1466</v>
      </c>
    </row>
    <row r="919" spans="1:8" ht="30" x14ac:dyDescent="0.25">
      <c r="A919" s="1" t="s">
        <v>16</v>
      </c>
      <c r="B919" s="1" t="s">
        <v>424</v>
      </c>
      <c r="C919" s="1" t="s">
        <v>429</v>
      </c>
      <c r="D919" s="1" t="s">
        <v>430</v>
      </c>
      <c r="E919" s="3" t="s">
        <v>1471</v>
      </c>
      <c r="F919" s="2" t="s">
        <v>6116</v>
      </c>
      <c r="G919" s="1"/>
      <c r="H919" s="3" t="s">
        <v>1466</v>
      </c>
    </row>
    <row r="920" spans="1:8" x14ac:dyDescent="0.25">
      <c r="A920" s="1" t="s">
        <v>16</v>
      </c>
      <c r="B920" s="1" t="s">
        <v>424</v>
      </c>
      <c r="C920" s="1" t="s">
        <v>429</v>
      </c>
      <c r="D920" s="1" t="s">
        <v>430</v>
      </c>
      <c r="E920" s="3" t="s">
        <v>1469</v>
      </c>
      <c r="F920" s="2" t="s">
        <v>6117</v>
      </c>
      <c r="G920" s="1"/>
      <c r="H920" s="3" t="s">
        <v>1466</v>
      </c>
    </row>
    <row r="921" spans="1:8" ht="30" x14ac:dyDescent="0.25">
      <c r="A921" s="1" t="s">
        <v>16</v>
      </c>
      <c r="B921" s="1" t="s">
        <v>424</v>
      </c>
      <c r="C921" s="1" t="s">
        <v>429</v>
      </c>
      <c r="D921" s="1" t="s">
        <v>430</v>
      </c>
      <c r="E921" s="3" t="s">
        <v>1458</v>
      </c>
      <c r="F921" s="2" t="s">
        <v>6118</v>
      </c>
      <c r="G921" s="1" t="s">
        <v>413</v>
      </c>
      <c r="H921" s="3" t="s">
        <v>1460</v>
      </c>
    </row>
    <row r="922" spans="1:8" x14ac:dyDescent="0.25">
      <c r="A922" s="1" t="s">
        <v>16</v>
      </c>
      <c r="B922" s="1" t="s">
        <v>424</v>
      </c>
      <c r="C922" s="1" t="s">
        <v>429</v>
      </c>
      <c r="D922" s="1" t="s">
        <v>430</v>
      </c>
      <c r="E922" s="3" t="s">
        <v>1461</v>
      </c>
      <c r="F922" s="2" t="s">
        <v>6119</v>
      </c>
      <c r="G922" s="1" t="s">
        <v>406</v>
      </c>
      <c r="H922" s="3" t="s">
        <v>1463</v>
      </c>
    </row>
    <row r="923" spans="1:8" ht="30" x14ac:dyDescent="0.25">
      <c r="A923" s="1" t="s">
        <v>16</v>
      </c>
      <c r="B923" s="1" t="s">
        <v>424</v>
      </c>
      <c r="C923" s="1" t="s">
        <v>429</v>
      </c>
      <c r="D923" s="1" t="s">
        <v>430</v>
      </c>
      <c r="E923" s="3" t="s">
        <v>12</v>
      </c>
      <c r="F923" s="2" t="s">
        <v>17</v>
      </c>
      <c r="G923" s="1" t="s">
        <v>413</v>
      </c>
      <c r="H923" s="3" t="s">
        <v>1450</v>
      </c>
    </row>
    <row r="924" spans="1:8" ht="30" x14ac:dyDescent="0.25">
      <c r="A924" s="1" t="s">
        <v>16</v>
      </c>
      <c r="B924" s="1" t="s">
        <v>424</v>
      </c>
      <c r="C924" s="1" t="s">
        <v>429</v>
      </c>
      <c r="D924" s="1" t="s">
        <v>430</v>
      </c>
      <c r="E924" s="3" t="s">
        <v>1448</v>
      </c>
      <c r="F924" s="2" t="s">
        <v>6120</v>
      </c>
      <c r="G924" s="1" t="s">
        <v>413</v>
      </c>
      <c r="H924" s="3" t="s">
        <v>1450</v>
      </c>
    </row>
    <row r="925" spans="1:8" ht="30" x14ac:dyDescent="0.25">
      <c r="A925" s="1" t="s">
        <v>16</v>
      </c>
      <c r="B925" s="1" t="s">
        <v>424</v>
      </c>
      <c r="C925" s="1" t="s">
        <v>429</v>
      </c>
      <c r="D925" s="1" t="s">
        <v>430</v>
      </c>
      <c r="E925" s="3" t="s">
        <v>373</v>
      </c>
      <c r="F925" s="2" t="s">
        <v>375</v>
      </c>
      <c r="G925" s="1" t="s">
        <v>413</v>
      </c>
      <c r="H925" s="3" t="s">
        <v>1450</v>
      </c>
    </row>
    <row r="926" spans="1:8" x14ac:dyDescent="0.25">
      <c r="A926" s="1" t="s">
        <v>16</v>
      </c>
      <c r="B926" s="1" t="s">
        <v>424</v>
      </c>
      <c r="C926" s="1" t="s">
        <v>429</v>
      </c>
      <c r="D926" s="1" t="s">
        <v>430</v>
      </c>
      <c r="E926" s="3" t="s">
        <v>1456</v>
      </c>
      <c r="F926" s="2" t="s">
        <v>6121</v>
      </c>
      <c r="G926" s="1" t="s">
        <v>442</v>
      </c>
      <c r="H926" s="3" t="s">
        <v>1455</v>
      </c>
    </row>
    <row r="927" spans="1:8" x14ac:dyDescent="0.25">
      <c r="A927" s="1" t="s">
        <v>16</v>
      </c>
      <c r="B927" s="1" t="s">
        <v>424</v>
      </c>
      <c r="C927" s="1" t="s">
        <v>429</v>
      </c>
      <c r="D927" s="1" t="s">
        <v>430</v>
      </c>
      <c r="E927" s="3" t="s">
        <v>1453</v>
      </c>
      <c r="F927" s="2" t="s">
        <v>6122</v>
      </c>
      <c r="G927" s="1" t="s">
        <v>406</v>
      </c>
      <c r="H927" s="3" t="s">
        <v>1455</v>
      </c>
    </row>
    <row r="928" spans="1:8" x14ac:dyDescent="0.25">
      <c r="A928" s="1" t="s">
        <v>1841</v>
      </c>
      <c r="B928" s="1" t="s">
        <v>418</v>
      </c>
      <c r="C928" s="1" t="s">
        <v>1842</v>
      </c>
      <c r="D928" s="1" t="s">
        <v>430</v>
      </c>
      <c r="E928" s="3" t="s">
        <v>1862</v>
      </c>
      <c r="F928" s="2" t="s">
        <v>6123</v>
      </c>
      <c r="G928" s="1"/>
      <c r="H928" s="3" t="s">
        <v>1002</v>
      </c>
    </row>
    <row r="929" spans="1:8" x14ac:dyDescent="0.25">
      <c r="A929" s="1" t="s">
        <v>1841</v>
      </c>
      <c r="B929" s="1" t="s">
        <v>418</v>
      </c>
      <c r="C929" s="1" t="s">
        <v>1842</v>
      </c>
      <c r="D929" s="1" t="s">
        <v>430</v>
      </c>
      <c r="E929" s="3" t="s">
        <v>1864</v>
      </c>
      <c r="F929" s="2" t="s">
        <v>6124</v>
      </c>
      <c r="G929" s="1"/>
      <c r="H929" s="3" t="s">
        <v>849</v>
      </c>
    </row>
    <row r="930" spans="1:8" x14ac:dyDescent="0.25">
      <c r="A930" s="1" t="s">
        <v>1841</v>
      </c>
      <c r="B930" s="1" t="s">
        <v>418</v>
      </c>
      <c r="C930" s="1" t="s">
        <v>1842</v>
      </c>
      <c r="D930" s="1" t="s">
        <v>430</v>
      </c>
      <c r="E930" s="3" t="s">
        <v>1851</v>
      </c>
      <c r="F930" s="2" t="s">
        <v>6125</v>
      </c>
      <c r="G930" s="1" t="s">
        <v>406</v>
      </c>
      <c r="H930" s="3" t="s">
        <v>407</v>
      </c>
    </row>
    <row r="931" spans="1:8" x14ac:dyDescent="0.25">
      <c r="A931" s="1" t="s">
        <v>1841</v>
      </c>
      <c r="B931" s="1" t="s">
        <v>418</v>
      </c>
      <c r="C931" s="1" t="s">
        <v>1842</v>
      </c>
      <c r="D931" s="1" t="s">
        <v>430</v>
      </c>
      <c r="E931" s="3" t="s">
        <v>1843</v>
      </c>
      <c r="F931" s="2" t="s">
        <v>6126</v>
      </c>
      <c r="G931" s="1"/>
      <c r="H931" s="3" t="s">
        <v>1617</v>
      </c>
    </row>
    <row r="932" spans="1:8" x14ac:dyDescent="0.25">
      <c r="A932" s="1" t="s">
        <v>1841</v>
      </c>
      <c r="B932" s="1" t="s">
        <v>418</v>
      </c>
      <c r="C932" s="1" t="s">
        <v>1842</v>
      </c>
      <c r="D932" s="1" t="s">
        <v>430</v>
      </c>
      <c r="E932" s="3" t="s">
        <v>1847</v>
      </c>
      <c r="F932" s="2" t="s">
        <v>6127</v>
      </c>
      <c r="G932" s="1"/>
      <c r="H932" s="3" t="s">
        <v>1617</v>
      </c>
    </row>
    <row r="933" spans="1:8" x14ac:dyDescent="0.25">
      <c r="A933" s="1" t="s">
        <v>1841</v>
      </c>
      <c r="B933" s="1" t="s">
        <v>418</v>
      </c>
      <c r="C933" s="1" t="s">
        <v>1842</v>
      </c>
      <c r="D933" s="1" t="s">
        <v>430</v>
      </c>
      <c r="E933" s="3" t="s">
        <v>1845</v>
      </c>
      <c r="F933" s="2" t="s">
        <v>6128</v>
      </c>
      <c r="G933" s="1"/>
      <c r="H933" s="3" t="s">
        <v>1617</v>
      </c>
    </row>
    <row r="934" spans="1:8" x14ac:dyDescent="0.25">
      <c r="A934" s="1" t="s">
        <v>1841</v>
      </c>
      <c r="B934" s="1" t="s">
        <v>418</v>
      </c>
      <c r="C934" s="1" t="s">
        <v>1842</v>
      </c>
      <c r="D934" s="1" t="s">
        <v>430</v>
      </c>
      <c r="E934" s="3" t="s">
        <v>1849</v>
      </c>
      <c r="F934" s="2" t="s">
        <v>6129</v>
      </c>
      <c r="G934" s="1"/>
      <c r="H934" s="3" t="s">
        <v>1617</v>
      </c>
    </row>
    <row r="935" spans="1:8" ht="30" x14ac:dyDescent="0.25">
      <c r="A935" s="1" t="s">
        <v>1841</v>
      </c>
      <c r="B935" s="1" t="s">
        <v>418</v>
      </c>
      <c r="C935" s="1" t="s">
        <v>1842</v>
      </c>
      <c r="D935" s="1" t="s">
        <v>430</v>
      </c>
      <c r="E935" s="3" t="s">
        <v>1856</v>
      </c>
      <c r="F935" s="2" t="s">
        <v>6130</v>
      </c>
      <c r="G935" s="1" t="s">
        <v>406</v>
      </c>
      <c r="H935" s="3" t="s">
        <v>1855</v>
      </c>
    </row>
    <row r="936" spans="1:8" ht="30" x14ac:dyDescent="0.25">
      <c r="A936" s="1" t="s">
        <v>1841</v>
      </c>
      <c r="B936" s="1" t="s">
        <v>418</v>
      </c>
      <c r="C936" s="1" t="s">
        <v>1842</v>
      </c>
      <c r="D936" s="1" t="s">
        <v>430</v>
      </c>
      <c r="E936" s="3" t="s">
        <v>1853</v>
      </c>
      <c r="F936" s="2" t="s">
        <v>6131</v>
      </c>
      <c r="G936" s="1" t="s">
        <v>406</v>
      </c>
      <c r="H936" s="3" t="s">
        <v>1855</v>
      </c>
    </row>
    <row r="937" spans="1:8" ht="30" x14ac:dyDescent="0.25">
      <c r="A937" s="1" t="s">
        <v>1841</v>
      </c>
      <c r="B937" s="1" t="s">
        <v>418</v>
      </c>
      <c r="C937" s="1" t="s">
        <v>1842</v>
      </c>
      <c r="D937" s="1" t="s">
        <v>430</v>
      </c>
      <c r="E937" s="3" t="s">
        <v>1860</v>
      </c>
      <c r="F937" s="2" t="s">
        <v>6132</v>
      </c>
      <c r="G937" s="1" t="s">
        <v>406</v>
      </c>
      <c r="H937" s="3" t="s">
        <v>1855</v>
      </c>
    </row>
    <row r="938" spans="1:8" ht="30" x14ac:dyDescent="0.25">
      <c r="A938" s="1" t="s">
        <v>1841</v>
      </c>
      <c r="B938" s="1" t="s">
        <v>418</v>
      </c>
      <c r="C938" s="1" t="s">
        <v>1842</v>
      </c>
      <c r="D938" s="1" t="s">
        <v>430</v>
      </c>
      <c r="E938" s="3" t="s">
        <v>1858</v>
      </c>
      <c r="F938" s="2" t="s">
        <v>6133</v>
      </c>
      <c r="G938" s="1" t="s">
        <v>406</v>
      </c>
      <c r="H938" s="3" t="s">
        <v>1855</v>
      </c>
    </row>
    <row r="939" spans="1:8" x14ac:dyDescent="0.25">
      <c r="A939" s="1" t="s">
        <v>1841</v>
      </c>
      <c r="B939" s="1" t="s">
        <v>418</v>
      </c>
      <c r="C939" s="1" t="s">
        <v>1842</v>
      </c>
      <c r="D939" s="1" t="s">
        <v>430</v>
      </c>
      <c r="E939" s="3" t="s">
        <v>1868</v>
      </c>
      <c r="F939" s="2" t="s">
        <v>6134</v>
      </c>
      <c r="G939" s="1" t="s">
        <v>442</v>
      </c>
      <c r="H939" s="3" t="s">
        <v>27</v>
      </c>
    </row>
    <row r="940" spans="1:8" x14ac:dyDescent="0.25">
      <c r="A940" s="1" t="s">
        <v>1841</v>
      </c>
      <c r="B940" s="1" t="s">
        <v>418</v>
      </c>
      <c r="C940" s="1" t="s">
        <v>1842</v>
      </c>
      <c r="D940" s="1" t="s">
        <v>430</v>
      </c>
      <c r="E940" s="3" t="s">
        <v>1866</v>
      </c>
      <c r="F940" s="2" t="s">
        <v>6135</v>
      </c>
      <c r="G940" s="1" t="s">
        <v>442</v>
      </c>
      <c r="H940" s="3" t="s">
        <v>27</v>
      </c>
    </row>
    <row r="941" spans="1:8" x14ac:dyDescent="0.25">
      <c r="A941" s="1" t="s">
        <v>1841</v>
      </c>
      <c r="B941" s="1" t="s">
        <v>418</v>
      </c>
      <c r="C941" s="1" t="s">
        <v>1842</v>
      </c>
      <c r="D941" s="1" t="s">
        <v>430</v>
      </c>
      <c r="E941" s="3" t="s">
        <v>1870</v>
      </c>
      <c r="F941" s="2" t="s">
        <v>6136</v>
      </c>
      <c r="G941" s="1" t="s">
        <v>442</v>
      </c>
      <c r="H941" s="3" t="s">
        <v>27</v>
      </c>
    </row>
    <row r="942" spans="1:8" x14ac:dyDescent="0.25">
      <c r="A942" s="1" t="s">
        <v>1841</v>
      </c>
      <c r="B942" s="1" t="s">
        <v>418</v>
      </c>
      <c r="C942" s="1" t="s">
        <v>1842</v>
      </c>
      <c r="D942" s="1" t="s">
        <v>430</v>
      </c>
      <c r="E942" s="3" t="s">
        <v>1872</v>
      </c>
      <c r="F942" s="2" t="s">
        <v>6137</v>
      </c>
      <c r="G942" s="1" t="s">
        <v>442</v>
      </c>
      <c r="H942" s="3" t="s">
        <v>27</v>
      </c>
    </row>
    <row r="943" spans="1:8" x14ac:dyDescent="0.25">
      <c r="A943" s="1" t="s">
        <v>1841</v>
      </c>
      <c r="B943" s="1" t="s">
        <v>418</v>
      </c>
      <c r="C943" s="1" t="s">
        <v>1842</v>
      </c>
      <c r="D943" s="1" t="s">
        <v>430</v>
      </c>
      <c r="E943" s="3" t="s">
        <v>1874</v>
      </c>
      <c r="F943" s="2" t="s">
        <v>6138</v>
      </c>
      <c r="G943" s="1" t="s">
        <v>442</v>
      </c>
      <c r="H943" s="3" t="s">
        <v>27</v>
      </c>
    </row>
    <row r="944" spans="1:8" x14ac:dyDescent="0.25">
      <c r="A944" s="1" t="s">
        <v>2768</v>
      </c>
      <c r="B944" s="1" t="s">
        <v>446</v>
      </c>
      <c r="C944" s="1" t="s">
        <v>1842</v>
      </c>
      <c r="D944" s="1" t="s">
        <v>430</v>
      </c>
      <c r="E944" s="3" t="s">
        <v>2769</v>
      </c>
      <c r="F944" s="2" t="s">
        <v>6139</v>
      </c>
      <c r="G944" s="1"/>
      <c r="H944" s="3" t="s">
        <v>877</v>
      </c>
    </row>
    <row r="945" spans="1:8" ht="30" x14ac:dyDescent="0.25">
      <c r="A945" s="1" t="s">
        <v>3425</v>
      </c>
      <c r="B945" s="1" t="s">
        <v>1380</v>
      </c>
      <c r="C945" s="1" t="s">
        <v>2572</v>
      </c>
      <c r="D945" s="1" t="s">
        <v>430</v>
      </c>
      <c r="E945" s="3" t="s">
        <v>3426</v>
      </c>
      <c r="F945" s="2"/>
      <c r="G945" s="1"/>
      <c r="H945" s="3" t="s">
        <v>3428</v>
      </c>
    </row>
    <row r="946" spans="1:8" x14ac:dyDescent="0.25">
      <c r="A946" s="1" t="s">
        <v>3715</v>
      </c>
      <c r="B946" s="1" t="s">
        <v>1815</v>
      </c>
      <c r="C946" s="1" t="s">
        <v>3716</v>
      </c>
      <c r="D946" s="1" t="s">
        <v>3717</v>
      </c>
      <c r="E946" s="3" t="s">
        <v>3718</v>
      </c>
      <c r="F946" s="2" t="s">
        <v>6140</v>
      </c>
      <c r="G946" s="1"/>
      <c r="H946" s="3" t="s">
        <v>3720</v>
      </c>
    </row>
    <row r="947" spans="1:8" x14ac:dyDescent="0.25">
      <c r="A947" s="1" t="s">
        <v>3715</v>
      </c>
      <c r="B947" s="1" t="s">
        <v>1815</v>
      </c>
      <c r="C947" s="1" t="s">
        <v>3716</v>
      </c>
      <c r="D947" s="1" t="s">
        <v>3717</v>
      </c>
      <c r="E947" s="3" t="s">
        <v>3723</v>
      </c>
      <c r="F947" s="2" t="s">
        <v>6141</v>
      </c>
      <c r="G947" s="1"/>
      <c r="H947" s="3" t="s">
        <v>3720</v>
      </c>
    </row>
    <row r="948" spans="1:8" x14ac:dyDescent="0.25">
      <c r="A948" s="1" t="s">
        <v>3715</v>
      </c>
      <c r="B948" s="1" t="s">
        <v>1815</v>
      </c>
      <c r="C948" s="1" t="s">
        <v>3716</v>
      </c>
      <c r="D948" s="1" t="s">
        <v>3717</v>
      </c>
      <c r="E948" s="3" t="s">
        <v>3721</v>
      </c>
      <c r="F948" s="2" t="s">
        <v>6142</v>
      </c>
      <c r="G948" s="1"/>
      <c r="H948" s="3" t="s">
        <v>3720</v>
      </c>
    </row>
    <row r="949" spans="1:8" x14ac:dyDescent="0.25">
      <c r="A949" s="1" t="s">
        <v>3715</v>
      </c>
      <c r="B949" s="1" t="s">
        <v>1815</v>
      </c>
      <c r="C949" s="1" t="s">
        <v>3716</v>
      </c>
      <c r="D949" s="1" t="s">
        <v>3717</v>
      </c>
      <c r="E949" s="3" t="s">
        <v>3725</v>
      </c>
      <c r="F949" s="2" t="s">
        <v>6143</v>
      </c>
      <c r="G949" s="1"/>
      <c r="H949" s="3" t="s">
        <v>3720</v>
      </c>
    </row>
    <row r="950" spans="1:8" x14ac:dyDescent="0.25">
      <c r="A950" s="1" t="s">
        <v>241</v>
      </c>
      <c r="B950" s="1" t="s">
        <v>418</v>
      </c>
      <c r="C950" s="1" t="s">
        <v>462</v>
      </c>
      <c r="D950" s="1" t="s">
        <v>505</v>
      </c>
      <c r="E950" s="3" t="s">
        <v>506</v>
      </c>
      <c r="F950" s="2" t="s">
        <v>507</v>
      </c>
      <c r="G950" s="1"/>
      <c r="H950" s="3" t="s">
        <v>631</v>
      </c>
    </row>
    <row r="951" spans="1:8" x14ac:dyDescent="0.25">
      <c r="A951" s="1" t="s">
        <v>241</v>
      </c>
      <c r="B951" s="1" t="s">
        <v>418</v>
      </c>
      <c r="C951" s="1" t="s">
        <v>462</v>
      </c>
      <c r="D951" s="1" t="s">
        <v>505</v>
      </c>
      <c r="E951" s="3" t="s">
        <v>2736</v>
      </c>
      <c r="F951" s="2" t="s">
        <v>6144</v>
      </c>
      <c r="G951" s="1"/>
      <c r="H951" s="3" t="s">
        <v>104</v>
      </c>
    </row>
    <row r="952" spans="1:8" x14ac:dyDescent="0.25">
      <c r="A952" s="1" t="s">
        <v>241</v>
      </c>
      <c r="B952" s="1" t="s">
        <v>418</v>
      </c>
      <c r="C952" s="1" t="s">
        <v>462</v>
      </c>
      <c r="D952" s="1" t="s">
        <v>505</v>
      </c>
      <c r="E952" s="3" t="s">
        <v>237</v>
      </c>
      <c r="F952" s="2" t="s">
        <v>242</v>
      </c>
      <c r="G952" s="1"/>
      <c r="H952" s="3" t="s">
        <v>79</v>
      </c>
    </row>
    <row r="953" spans="1:8" x14ac:dyDescent="0.25">
      <c r="A953" s="1" t="s">
        <v>241</v>
      </c>
      <c r="B953" s="1" t="s">
        <v>418</v>
      </c>
      <c r="C953" s="1" t="s">
        <v>462</v>
      </c>
      <c r="D953" s="1" t="s">
        <v>505</v>
      </c>
      <c r="E953" s="3" t="s">
        <v>2742</v>
      </c>
      <c r="F953" s="2" t="s">
        <v>6145</v>
      </c>
      <c r="G953" s="1" t="s">
        <v>2743</v>
      </c>
      <c r="H953" s="3" t="s">
        <v>79</v>
      </c>
    </row>
    <row r="954" spans="1:8" x14ac:dyDescent="0.25">
      <c r="A954" s="1" t="s">
        <v>241</v>
      </c>
      <c r="B954" s="1" t="s">
        <v>418</v>
      </c>
      <c r="C954" s="1" t="s">
        <v>462</v>
      </c>
      <c r="D954" s="1" t="s">
        <v>505</v>
      </c>
      <c r="E954" s="3" t="s">
        <v>2745</v>
      </c>
      <c r="F954" s="2"/>
      <c r="G954" s="1"/>
      <c r="H954" s="3" t="s">
        <v>79</v>
      </c>
    </row>
    <row r="955" spans="1:8" x14ac:dyDescent="0.25">
      <c r="A955" s="1" t="s">
        <v>241</v>
      </c>
      <c r="B955" s="1" t="s">
        <v>418</v>
      </c>
      <c r="C955" s="1" t="s">
        <v>462</v>
      </c>
      <c r="D955" s="1" t="s">
        <v>505</v>
      </c>
      <c r="E955" s="3" t="s">
        <v>2739</v>
      </c>
      <c r="F955" s="2" t="s">
        <v>6146</v>
      </c>
      <c r="G955" s="1"/>
      <c r="H955" s="3" t="s">
        <v>79</v>
      </c>
    </row>
    <row r="956" spans="1:8" x14ac:dyDescent="0.25">
      <c r="A956" s="1" t="s">
        <v>1549</v>
      </c>
      <c r="B956" s="1" t="s">
        <v>1380</v>
      </c>
      <c r="C956" s="1" t="s">
        <v>577</v>
      </c>
      <c r="D956" s="1" t="s">
        <v>1550</v>
      </c>
      <c r="E956" s="3" t="s">
        <v>1551</v>
      </c>
      <c r="F956" s="2"/>
      <c r="G956" s="1"/>
      <c r="H956" s="3" t="s">
        <v>1553</v>
      </c>
    </row>
    <row r="957" spans="1:8" x14ac:dyDescent="0.25">
      <c r="A957" s="1" t="s">
        <v>3948</v>
      </c>
      <c r="B957" s="1" t="s">
        <v>3949</v>
      </c>
      <c r="C957" s="1" t="s">
        <v>530</v>
      </c>
      <c r="D957" s="1" t="s">
        <v>1603</v>
      </c>
      <c r="E957" s="3" t="s">
        <v>172</v>
      </c>
      <c r="F957" s="2" t="s">
        <v>6147</v>
      </c>
      <c r="G957" s="1" t="s">
        <v>413</v>
      </c>
      <c r="H957" s="3" t="s">
        <v>1</v>
      </c>
    </row>
    <row r="958" spans="1:8" x14ac:dyDescent="0.25">
      <c r="A958" s="1" t="s">
        <v>3948</v>
      </c>
      <c r="B958" s="1" t="s">
        <v>3949</v>
      </c>
      <c r="C958" s="1" t="s">
        <v>530</v>
      </c>
      <c r="D958" s="1" t="s">
        <v>1603</v>
      </c>
      <c r="E958" s="3" t="s">
        <v>3950</v>
      </c>
      <c r="F958" s="2" t="s">
        <v>6148</v>
      </c>
      <c r="G958" s="1" t="s">
        <v>413</v>
      </c>
      <c r="H958" s="3" t="s">
        <v>1</v>
      </c>
    </row>
    <row r="959" spans="1:8" x14ac:dyDescent="0.25">
      <c r="A959" s="1" t="s">
        <v>3948</v>
      </c>
      <c r="B959" s="1" t="s">
        <v>3949</v>
      </c>
      <c r="C959" s="1" t="s">
        <v>530</v>
      </c>
      <c r="D959" s="1" t="s">
        <v>1603</v>
      </c>
      <c r="E959" s="3" t="s">
        <v>3952</v>
      </c>
      <c r="F959" s="2" t="s">
        <v>6149</v>
      </c>
      <c r="G959" s="1" t="s">
        <v>413</v>
      </c>
      <c r="H959" s="3" t="s">
        <v>1</v>
      </c>
    </row>
    <row r="960" spans="1:8" x14ac:dyDescent="0.25">
      <c r="A960" s="1" t="s">
        <v>3948</v>
      </c>
      <c r="B960" s="1" t="s">
        <v>3949</v>
      </c>
      <c r="C960" s="1" t="s">
        <v>530</v>
      </c>
      <c r="D960" s="1" t="s">
        <v>1603</v>
      </c>
      <c r="E960" s="3" t="s">
        <v>3959</v>
      </c>
      <c r="F960" s="2"/>
      <c r="G960" s="1"/>
      <c r="H960" s="3" t="s">
        <v>1466</v>
      </c>
    </row>
    <row r="961" spans="1:8" x14ac:dyDescent="0.25">
      <c r="A961" s="1" t="s">
        <v>3948</v>
      </c>
      <c r="B961" s="1" t="s">
        <v>3949</v>
      </c>
      <c r="C961" s="1" t="s">
        <v>530</v>
      </c>
      <c r="D961" s="1" t="s">
        <v>1603</v>
      </c>
      <c r="E961" s="3" t="s">
        <v>3955</v>
      </c>
      <c r="F961" s="2"/>
      <c r="G961" s="1"/>
      <c r="H961" s="3" t="s">
        <v>675</v>
      </c>
    </row>
    <row r="962" spans="1:8" x14ac:dyDescent="0.25">
      <c r="A962" s="1" t="s">
        <v>3948</v>
      </c>
      <c r="B962" s="1" t="s">
        <v>3949</v>
      </c>
      <c r="C962" s="1" t="s">
        <v>530</v>
      </c>
      <c r="D962" s="1" t="s">
        <v>1603</v>
      </c>
      <c r="E962" s="3" t="s">
        <v>3957</v>
      </c>
      <c r="F962" s="2"/>
      <c r="G962" s="1"/>
      <c r="H962" s="3" t="s">
        <v>675</v>
      </c>
    </row>
    <row r="963" spans="1:8" x14ac:dyDescent="0.25">
      <c r="A963" s="1" t="s">
        <v>4207</v>
      </c>
      <c r="B963" s="1" t="s">
        <v>817</v>
      </c>
      <c r="C963" s="1" t="s">
        <v>4208</v>
      </c>
      <c r="D963" s="1" t="s">
        <v>3090</v>
      </c>
      <c r="E963" s="3"/>
      <c r="F963" s="2"/>
      <c r="G963" s="1"/>
      <c r="H963" s="3"/>
    </row>
    <row r="964" spans="1:8" x14ac:dyDescent="0.25">
      <c r="A964" s="1" t="s">
        <v>3089</v>
      </c>
      <c r="B964" s="1" t="s">
        <v>545</v>
      </c>
      <c r="C964" s="1" t="s">
        <v>500</v>
      </c>
      <c r="D964" s="1" t="s">
        <v>3090</v>
      </c>
      <c r="E964" s="3" t="s">
        <v>3091</v>
      </c>
      <c r="F964" s="2" t="s">
        <v>6150</v>
      </c>
      <c r="G964" s="1" t="s">
        <v>1651</v>
      </c>
      <c r="H964" s="3" t="s">
        <v>3093</v>
      </c>
    </row>
    <row r="965" spans="1:8" x14ac:dyDescent="0.25">
      <c r="A965" s="1" t="s">
        <v>3089</v>
      </c>
      <c r="B965" s="1" t="s">
        <v>545</v>
      </c>
      <c r="C965" s="1" t="s">
        <v>500</v>
      </c>
      <c r="D965" s="1" t="s">
        <v>3090</v>
      </c>
      <c r="E965" s="3" t="s">
        <v>3102</v>
      </c>
      <c r="F965" s="2" t="s">
        <v>6151</v>
      </c>
      <c r="G965" s="1"/>
      <c r="H965" s="3" t="s">
        <v>554</v>
      </c>
    </row>
    <row r="966" spans="1:8" x14ac:dyDescent="0.25">
      <c r="A966" s="1" t="s">
        <v>3089</v>
      </c>
      <c r="B966" s="1" t="s">
        <v>545</v>
      </c>
      <c r="C966" s="1" t="s">
        <v>500</v>
      </c>
      <c r="D966" s="1" t="s">
        <v>3090</v>
      </c>
      <c r="E966" s="3" t="s">
        <v>3094</v>
      </c>
      <c r="F966" s="2" t="s">
        <v>6152</v>
      </c>
      <c r="G966" s="1"/>
      <c r="H966" s="3" t="s">
        <v>554</v>
      </c>
    </row>
    <row r="967" spans="1:8" x14ac:dyDescent="0.25">
      <c r="A967" s="1" t="s">
        <v>3089</v>
      </c>
      <c r="B967" s="1" t="s">
        <v>545</v>
      </c>
      <c r="C967" s="1" t="s">
        <v>500</v>
      </c>
      <c r="D967" s="1" t="s">
        <v>3090</v>
      </c>
      <c r="E967" s="3" t="s">
        <v>3098</v>
      </c>
      <c r="F967" s="2" t="s">
        <v>6153</v>
      </c>
      <c r="G967" s="1"/>
      <c r="H967" s="3" t="s">
        <v>554</v>
      </c>
    </row>
    <row r="968" spans="1:8" x14ac:dyDescent="0.25">
      <c r="A968" s="1" t="s">
        <v>3089</v>
      </c>
      <c r="B968" s="1" t="s">
        <v>545</v>
      </c>
      <c r="C968" s="1" t="s">
        <v>500</v>
      </c>
      <c r="D968" s="1" t="s">
        <v>3090</v>
      </c>
      <c r="E968" s="3" t="s">
        <v>3100</v>
      </c>
      <c r="F968" s="2" t="s">
        <v>6154</v>
      </c>
      <c r="G968" s="1"/>
      <c r="H968" s="3" t="s">
        <v>554</v>
      </c>
    </row>
    <row r="969" spans="1:8" x14ac:dyDescent="0.25">
      <c r="A969" s="1" t="s">
        <v>3089</v>
      </c>
      <c r="B969" s="1" t="s">
        <v>545</v>
      </c>
      <c r="C969" s="1" t="s">
        <v>500</v>
      </c>
      <c r="D969" s="1" t="s">
        <v>3090</v>
      </c>
      <c r="E969" s="3" t="s">
        <v>3096</v>
      </c>
      <c r="F969" s="2" t="s">
        <v>6155</v>
      </c>
      <c r="G969" s="1"/>
      <c r="H969" s="3" t="s">
        <v>554</v>
      </c>
    </row>
    <row r="970" spans="1:8" x14ac:dyDescent="0.25">
      <c r="A970" s="1" t="s">
        <v>138</v>
      </c>
      <c r="B970" s="1" t="s">
        <v>409</v>
      </c>
      <c r="C970" s="1" t="s">
        <v>500</v>
      </c>
      <c r="D970" s="1" t="s">
        <v>449</v>
      </c>
      <c r="E970" s="3" t="s">
        <v>175</v>
      </c>
      <c r="F970" s="2" t="s">
        <v>178</v>
      </c>
      <c r="G970" s="1" t="s">
        <v>528</v>
      </c>
      <c r="H970" s="3" t="s">
        <v>161</v>
      </c>
    </row>
    <row r="971" spans="1:8" x14ac:dyDescent="0.25">
      <c r="A971" s="1" t="s">
        <v>138</v>
      </c>
      <c r="B971" s="1" t="s">
        <v>409</v>
      </c>
      <c r="C971" s="1" t="s">
        <v>500</v>
      </c>
      <c r="D971" s="1" t="s">
        <v>449</v>
      </c>
      <c r="E971" s="3" t="s">
        <v>243</v>
      </c>
      <c r="F971" s="2" t="s">
        <v>244</v>
      </c>
      <c r="G971" s="1" t="s">
        <v>413</v>
      </c>
      <c r="H971" s="3" t="s">
        <v>161</v>
      </c>
    </row>
    <row r="972" spans="1:8" ht="30" x14ac:dyDescent="0.25">
      <c r="A972" s="1" t="s">
        <v>138</v>
      </c>
      <c r="B972" s="1" t="s">
        <v>409</v>
      </c>
      <c r="C972" s="1" t="s">
        <v>500</v>
      </c>
      <c r="D972" s="1" t="s">
        <v>449</v>
      </c>
      <c r="E972" s="3" t="s">
        <v>135</v>
      </c>
      <c r="F972" s="2" t="s">
        <v>139</v>
      </c>
      <c r="G972" s="1"/>
      <c r="H972" s="3" t="s">
        <v>1026</v>
      </c>
    </row>
    <row r="973" spans="1:8" x14ac:dyDescent="0.25">
      <c r="A973" s="1" t="s">
        <v>138</v>
      </c>
      <c r="B973" s="1" t="s">
        <v>409</v>
      </c>
      <c r="C973" s="1" t="s">
        <v>500</v>
      </c>
      <c r="D973" s="1" t="s">
        <v>449</v>
      </c>
      <c r="E973" s="3" t="s">
        <v>1018</v>
      </c>
      <c r="F973" s="2" t="s">
        <v>6156</v>
      </c>
      <c r="G973" s="1" t="s">
        <v>1019</v>
      </c>
      <c r="H973" s="3" t="s">
        <v>56</v>
      </c>
    </row>
    <row r="974" spans="1:8" x14ac:dyDescent="0.25">
      <c r="A974" s="1" t="s">
        <v>138</v>
      </c>
      <c r="B974" s="1" t="s">
        <v>409</v>
      </c>
      <c r="C974" s="1" t="s">
        <v>500</v>
      </c>
      <c r="D974" s="1" t="s">
        <v>449</v>
      </c>
      <c r="E974" s="3" t="s">
        <v>1021</v>
      </c>
      <c r="F974" s="2"/>
      <c r="G974" s="1"/>
      <c r="H974" s="3" t="s">
        <v>56</v>
      </c>
    </row>
    <row r="975" spans="1:8" ht="30" x14ac:dyDescent="0.25">
      <c r="A975" s="1" t="s">
        <v>2589</v>
      </c>
      <c r="B975" s="1" t="s">
        <v>603</v>
      </c>
      <c r="C975" s="1" t="s">
        <v>433</v>
      </c>
      <c r="D975" s="1" t="s">
        <v>449</v>
      </c>
      <c r="E975" s="3" t="s">
        <v>2590</v>
      </c>
      <c r="F975" s="2"/>
      <c r="G975" s="1"/>
      <c r="H975" s="3" t="s">
        <v>2592</v>
      </c>
    </row>
    <row r="976" spans="1:8" x14ac:dyDescent="0.25">
      <c r="A976" s="1" t="s">
        <v>37</v>
      </c>
      <c r="B976" s="1" t="s">
        <v>418</v>
      </c>
      <c r="C976" s="1" t="s">
        <v>448</v>
      </c>
      <c r="D976" s="1" t="s">
        <v>449</v>
      </c>
      <c r="E976" s="3" t="s">
        <v>4173</v>
      </c>
      <c r="F976" s="2"/>
      <c r="G976" s="1"/>
      <c r="H976" s="3" t="s">
        <v>48</v>
      </c>
    </row>
    <row r="977" spans="1:8" x14ac:dyDescent="0.25">
      <c r="A977" s="1" t="s">
        <v>37</v>
      </c>
      <c r="B977" s="1" t="s">
        <v>418</v>
      </c>
      <c r="C977" s="1" t="s">
        <v>448</v>
      </c>
      <c r="D977" s="1" t="s">
        <v>449</v>
      </c>
      <c r="E977" s="3" t="s">
        <v>4176</v>
      </c>
      <c r="F977" s="2" t="s">
        <v>6157</v>
      </c>
      <c r="G977" s="1"/>
      <c r="H977" s="3" t="s">
        <v>63</v>
      </c>
    </row>
    <row r="978" spans="1:8" ht="30" x14ac:dyDescent="0.25">
      <c r="A978" s="1" t="s">
        <v>37</v>
      </c>
      <c r="B978" s="1" t="s">
        <v>418</v>
      </c>
      <c r="C978" s="1" t="s">
        <v>448</v>
      </c>
      <c r="D978" s="1" t="s">
        <v>449</v>
      </c>
      <c r="E978" s="3" t="s">
        <v>4178</v>
      </c>
      <c r="F978" s="2" t="s">
        <v>6158</v>
      </c>
      <c r="G978" s="1"/>
      <c r="H978" s="3" t="s">
        <v>2123</v>
      </c>
    </row>
    <row r="979" spans="1:8" x14ac:dyDescent="0.25">
      <c r="A979" s="1" t="s">
        <v>37</v>
      </c>
      <c r="B979" s="1" t="s">
        <v>418</v>
      </c>
      <c r="C979" s="1" t="s">
        <v>448</v>
      </c>
      <c r="D979" s="1" t="s">
        <v>449</v>
      </c>
      <c r="E979" s="3" t="s">
        <v>32</v>
      </c>
      <c r="F979" s="2" t="s">
        <v>38</v>
      </c>
      <c r="G979" s="1" t="s">
        <v>413</v>
      </c>
      <c r="H979" s="3" t="s">
        <v>256</v>
      </c>
    </row>
    <row r="980" spans="1:8" x14ac:dyDescent="0.25">
      <c r="A980" s="1" t="s">
        <v>2</v>
      </c>
      <c r="B980" s="1" t="s">
        <v>414</v>
      </c>
      <c r="C980" s="1" t="s">
        <v>415</v>
      </c>
      <c r="D980" s="1" t="s">
        <v>416</v>
      </c>
      <c r="E980" s="3" t="s">
        <v>653</v>
      </c>
      <c r="F980" s="2" t="s">
        <v>6159</v>
      </c>
      <c r="G980" s="1"/>
      <c r="H980" s="3" t="s">
        <v>655</v>
      </c>
    </row>
    <row r="981" spans="1:8" x14ac:dyDescent="0.25">
      <c r="A981" s="1" t="s">
        <v>2</v>
      </c>
      <c r="B981" s="1" t="s">
        <v>414</v>
      </c>
      <c r="C981" s="1" t="s">
        <v>415</v>
      </c>
      <c r="D981" s="1" t="s">
        <v>416</v>
      </c>
      <c r="E981" s="3" t="s">
        <v>659</v>
      </c>
      <c r="F981" s="2" t="s">
        <v>6160</v>
      </c>
      <c r="G981" s="1" t="s">
        <v>442</v>
      </c>
      <c r="H981" s="3" t="s">
        <v>661</v>
      </c>
    </row>
    <row r="982" spans="1:8" x14ac:dyDescent="0.25">
      <c r="A982" s="1" t="s">
        <v>2</v>
      </c>
      <c r="B982" s="1" t="s">
        <v>414</v>
      </c>
      <c r="C982" s="1" t="s">
        <v>415</v>
      </c>
      <c r="D982" s="1" t="s">
        <v>416</v>
      </c>
      <c r="E982" s="3" t="s">
        <v>665</v>
      </c>
      <c r="F982" s="2" t="s">
        <v>6161</v>
      </c>
      <c r="G982" s="1" t="s">
        <v>666</v>
      </c>
      <c r="H982" s="3" t="s">
        <v>661</v>
      </c>
    </row>
    <row r="983" spans="1:8" x14ac:dyDescent="0.25">
      <c r="A983" s="1" t="s">
        <v>2</v>
      </c>
      <c r="B983" s="1" t="s">
        <v>414</v>
      </c>
      <c r="C983" s="1" t="s">
        <v>415</v>
      </c>
      <c r="D983" s="1" t="s">
        <v>416</v>
      </c>
      <c r="E983" s="3" t="s">
        <v>668</v>
      </c>
      <c r="F983" s="2"/>
      <c r="G983" s="1"/>
      <c r="H983" s="3" t="s">
        <v>661</v>
      </c>
    </row>
    <row r="984" spans="1:8" x14ac:dyDescent="0.25">
      <c r="A984" s="1" t="s">
        <v>2</v>
      </c>
      <c r="B984" s="1" t="s">
        <v>414</v>
      </c>
      <c r="C984" s="1" t="s">
        <v>415</v>
      </c>
      <c r="D984" s="1" t="s">
        <v>416</v>
      </c>
      <c r="E984" s="3" t="s">
        <v>663</v>
      </c>
      <c r="F984" s="2" t="s">
        <v>6162</v>
      </c>
      <c r="G984" s="1" t="s">
        <v>442</v>
      </c>
      <c r="H984" s="3" t="s">
        <v>661</v>
      </c>
    </row>
    <row r="985" spans="1:8" ht="45" x14ac:dyDescent="0.25">
      <c r="A985" s="1" t="s">
        <v>2</v>
      </c>
      <c r="B985" s="1" t="s">
        <v>414</v>
      </c>
      <c r="C985" s="1" t="s">
        <v>415</v>
      </c>
      <c r="D985" s="1" t="s">
        <v>416</v>
      </c>
      <c r="E985" s="3" t="s">
        <v>0</v>
      </c>
      <c r="F985" s="2" t="s">
        <v>3</v>
      </c>
      <c r="G985" s="1"/>
      <c r="H985" s="3" t="s">
        <v>639</v>
      </c>
    </row>
    <row r="986" spans="1:8" ht="45" x14ac:dyDescent="0.25">
      <c r="A986" s="1" t="s">
        <v>2</v>
      </c>
      <c r="B986" s="1" t="s">
        <v>414</v>
      </c>
      <c r="C986" s="1" t="s">
        <v>415</v>
      </c>
      <c r="D986" s="1" t="s">
        <v>416</v>
      </c>
      <c r="E986" s="3" t="s">
        <v>39</v>
      </c>
      <c r="F986" s="2" t="s">
        <v>47</v>
      </c>
      <c r="G986" s="1"/>
      <c r="H986" s="3" t="s">
        <v>639</v>
      </c>
    </row>
    <row r="987" spans="1:8" x14ac:dyDescent="0.25">
      <c r="A987" s="1" t="s">
        <v>2</v>
      </c>
      <c r="B987" s="1" t="s">
        <v>414</v>
      </c>
      <c r="C987" s="1" t="s">
        <v>415</v>
      </c>
      <c r="D987" s="1" t="s">
        <v>416</v>
      </c>
      <c r="E987" s="3" t="s">
        <v>656</v>
      </c>
      <c r="F987" s="2" t="s">
        <v>6163</v>
      </c>
      <c r="G987" s="1"/>
      <c r="H987" s="3" t="s">
        <v>658</v>
      </c>
    </row>
    <row r="988" spans="1:8" ht="30" x14ac:dyDescent="0.25">
      <c r="A988" s="1" t="s">
        <v>2</v>
      </c>
      <c r="B988" s="1" t="s">
        <v>414</v>
      </c>
      <c r="C988" s="1" t="s">
        <v>415</v>
      </c>
      <c r="D988" s="1" t="s">
        <v>416</v>
      </c>
      <c r="E988" s="3" t="s">
        <v>642</v>
      </c>
      <c r="F988" s="2" t="s">
        <v>6164</v>
      </c>
      <c r="G988" s="1" t="s">
        <v>643</v>
      </c>
      <c r="H988" s="3" t="s">
        <v>645</v>
      </c>
    </row>
    <row r="989" spans="1:8" ht="30" x14ac:dyDescent="0.25">
      <c r="A989" s="1" t="s">
        <v>2</v>
      </c>
      <c r="B989" s="1" t="s">
        <v>414</v>
      </c>
      <c r="C989" s="1" t="s">
        <v>415</v>
      </c>
      <c r="D989" s="1" t="s">
        <v>416</v>
      </c>
      <c r="E989" s="3" t="s">
        <v>647</v>
      </c>
      <c r="F989" s="2"/>
      <c r="G989" s="1"/>
      <c r="H989" s="3" t="s">
        <v>645</v>
      </c>
    </row>
    <row r="990" spans="1:8" ht="30" x14ac:dyDescent="0.25">
      <c r="A990" s="1" t="s">
        <v>2</v>
      </c>
      <c r="B990" s="1" t="s">
        <v>414</v>
      </c>
      <c r="C990" s="1" t="s">
        <v>415</v>
      </c>
      <c r="D990" s="1" t="s">
        <v>416</v>
      </c>
      <c r="E990" s="3" t="s">
        <v>649</v>
      </c>
      <c r="F990" s="2"/>
      <c r="G990" s="1"/>
      <c r="H990" s="3" t="s">
        <v>645</v>
      </c>
    </row>
    <row r="991" spans="1:8" ht="30" x14ac:dyDescent="0.25">
      <c r="A991" s="1" t="s">
        <v>2</v>
      </c>
      <c r="B991" s="1" t="s">
        <v>414</v>
      </c>
      <c r="C991" s="1" t="s">
        <v>415</v>
      </c>
      <c r="D991" s="1" t="s">
        <v>416</v>
      </c>
      <c r="E991" s="3" t="s">
        <v>651</v>
      </c>
      <c r="F991" s="2"/>
      <c r="G991" s="1"/>
      <c r="H991" s="3" t="s">
        <v>645</v>
      </c>
    </row>
    <row r="992" spans="1:8" x14ac:dyDescent="0.25">
      <c r="A992" s="1" t="s">
        <v>35</v>
      </c>
      <c r="B992" s="1" t="s">
        <v>446</v>
      </c>
      <c r="C992" s="1" t="s">
        <v>447</v>
      </c>
      <c r="D992" s="1" t="s">
        <v>416</v>
      </c>
      <c r="E992" s="3" t="s">
        <v>2978</v>
      </c>
      <c r="F992" s="2" t="s">
        <v>6165</v>
      </c>
      <c r="G992" s="1"/>
      <c r="H992" s="3" t="s">
        <v>2977</v>
      </c>
    </row>
    <row r="993" spans="1:8" x14ac:dyDescent="0.25">
      <c r="A993" s="1" t="s">
        <v>35</v>
      </c>
      <c r="B993" s="1" t="s">
        <v>446</v>
      </c>
      <c r="C993" s="1" t="s">
        <v>447</v>
      </c>
      <c r="D993" s="1" t="s">
        <v>416</v>
      </c>
      <c r="E993" s="3" t="s">
        <v>2975</v>
      </c>
      <c r="F993" s="2" t="s">
        <v>6166</v>
      </c>
      <c r="G993" s="1"/>
      <c r="H993" s="3" t="s">
        <v>2977</v>
      </c>
    </row>
    <row r="994" spans="1:8" x14ac:dyDescent="0.25">
      <c r="A994" s="1" t="s">
        <v>35</v>
      </c>
      <c r="B994" s="1" t="s">
        <v>446</v>
      </c>
      <c r="C994" s="1" t="s">
        <v>447</v>
      </c>
      <c r="D994" s="1" t="s">
        <v>416</v>
      </c>
      <c r="E994" s="3" t="s">
        <v>69</v>
      </c>
      <c r="F994" s="2" t="s">
        <v>76</v>
      </c>
      <c r="G994" s="1" t="s">
        <v>476</v>
      </c>
      <c r="H994" s="3" t="s">
        <v>2971</v>
      </c>
    </row>
    <row r="995" spans="1:8" ht="30" x14ac:dyDescent="0.25">
      <c r="A995" s="1" t="s">
        <v>35</v>
      </c>
      <c r="B995" s="1" t="s">
        <v>446</v>
      </c>
      <c r="C995" s="1" t="s">
        <v>447</v>
      </c>
      <c r="D995" s="1" t="s">
        <v>416</v>
      </c>
      <c r="E995" s="3" t="s">
        <v>332</v>
      </c>
      <c r="F995" s="2" t="s">
        <v>337</v>
      </c>
      <c r="G995" s="1" t="s">
        <v>476</v>
      </c>
      <c r="H995" s="3" t="s">
        <v>2971</v>
      </c>
    </row>
    <row r="996" spans="1:8" x14ac:dyDescent="0.25">
      <c r="A996" s="1" t="s">
        <v>35</v>
      </c>
      <c r="B996" s="1" t="s">
        <v>446</v>
      </c>
      <c r="C996" s="1" t="s">
        <v>447</v>
      </c>
      <c r="D996" s="1" t="s">
        <v>416</v>
      </c>
      <c r="E996" s="3" t="s">
        <v>131</v>
      </c>
      <c r="F996" s="2" t="s">
        <v>134</v>
      </c>
      <c r="G996" s="1"/>
      <c r="H996" s="3" t="s">
        <v>1813</v>
      </c>
    </row>
    <row r="997" spans="1:8" x14ac:dyDescent="0.25">
      <c r="A997" s="1" t="s">
        <v>35</v>
      </c>
      <c r="B997" s="1" t="s">
        <v>446</v>
      </c>
      <c r="C997" s="1" t="s">
        <v>447</v>
      </c>
      <c r="D997" s="1" t="s">
        <v>416</v>
      </c>
      <c r="E997" s="3" t="s">
        <v>32</v>
      </c>
      <c r="F997" s="2" t="s">
        <v>36</v>
      </c>
      <c r="G997" s="1" t="s">
        <v>406</v>
      </c>
      <c r="H997" s="3" t="s">
        <v>2974</v>
      </c>
    </row>
    <row r="998" spans="1:8" x14ac:dyDescent="0.25">
      <c r="A998" s="1" t="s">
        <v>3366</v>
      </c>
      <c r="B998" s="1" t="s">
        <v>418</v>
      </c>
      <c r="C998" s="1" t="s">
        <v>3367</v>
      </c>
      <c r="D998" s="1" t="s">
        <v>416</v>
      </c>
      <c r="E998" s="3" t="s">
        <v>3368</v>
      </c>
      <c r="F998" s="2" t="s">
        <v>6167</v>
      </c>
      <c r="G998" s="1"/>
      <c r="H998" s="3" t="s">
        <v>1443</v>
      </c>
    </row>
    <row r="999" spans="1:8" x14ac:dyDescent="0.25">
      <c r="A999" s="1" t="s">
        <v>3366</v>
      </c>
      <c r="B999" s="1" t="s">
        <v>418</v>
      </c>
      <c r="C999" s="1" t="s">
        <v>3367</v>
      </c>
      <c r="D999" s="1" t="s">
        <v>416</v>
      </c>
      <c r="E999" s="3" t="s">
        <v>3370</v>
      </c>
      <c r="F999" s="2" t="s">
        <v>6168</v>
      </c>
      <c r="G999" s="1"/>
      <c r="H999" s="3" t="s">
        <v>1443</v>
      </c>
    </row>
    <row r="1000" spans="1:8" x14ac:dyDescent="0.25">
      <c r="A1000" s="1" t="s">
        <v>105</v>
      </c>
      <c r="B1000" s="1" t="s">
        <v>418</v>
      </c>
      <c r="C1000" s="1" t="s">
        <v>490</v>
      </c>
      <c r="D1000" s="1" t="s">
        <v>416</v>
      </c>
      <c r="E1000" s="3" t="s">
        <v>3683</v>
      </c>
      <c r="F1000" s="2" t="s">
        <v>6169</v>
      </c>
      <c r="G1000" s="1"/>
      <c r="H1000" s="3" t="s">
        <v>682</v>
      </c>
    </row>
    <row r="1001" spans="1:8" x14ac:dyDescent="0.25">
      <c r="A1001" s="1" t="s">
        <v>105</v>
      </c>
      <c r="B1001" s="1" t="s">
        <v>418</v>
      </c>
      <c r="C1001" s="1" t="s">
        <v>490</v>
      </c>
      <c r="D1001" s="1" t="s">
        <v>416</v>
      </c>
      <c r="E1001" s="3" t="s">
        <v>103</v>
      </c>
      <c r="F1001" s="2" t="s">
        <v>106</v>
      </c>
      <c r="G1001" s="1"/>
      <c r="H1001" s="3" t="s">
        <v>104</v>
      </c>
    </row>
    <row r="1002" spans="1:8" x14ac:dyDescent="0.25">
      <c r="A1002" s="1" t="s">
        <v>105</v>
      </c>
      <c r="B1002" s="1" t="s">
        <v>418</v>
      </c>
      <c r="C1002" s="1" t="s">
        <v>490</v>
      </c>
      <c r="D1002" s="1" t="s">
        <v>416</v>
      </c>
      <c r="E1002" s="3" t="s">
        <v>3679</v>
      </c>
      <c r="F1002" s="2" t="s">
        <v>6170</v>
      </c>
      <c r="G1002" s="1"/>
      <c r="H1002" s="3" t="s">
        <v>1204</v>
      </c>
    </row>
    <row r="1003" spans="1:8" x14ac:dyDescent="0.25">
      <c r="A1003" s="1" t="s">
        <v>105</v>
      </c>
      <c r="B1003" s="1" t="s">
        <v>418</v>
      </c>
      <c r="C1003" s="1" t="s">
        <v>490</v>
      </c>
      <c r="D1003" s="1" t="s">
        <v>416</v>
      </c>
      <c r="E1003" s="3" t="s">
        <v>3681</v>
      </c>
      <c r="F1003" s="2" t="s">
        <v>6171</v>
      </c>
      <c r="G1003" s="1"/>
      <c r="H1003" s="3" t="s">
        <v>1204</v>
      </c>
    </row>
    <row r="1004" spans="1:8" x14ac:dyDescent="0.25">
      <c r="A1004" s="1" t="s">
        <v>22</v>
      </c>
      <c r="B1004" s="1" t="s">
        <v>424</v>
      </c>
      <c r="C1004" s="1" t="s">
        <v>427</v>
      </c>
      <c r="D1004" s="1" t="s">
        <v>428</v>
      </c>
      <c r="E1004" s="3" t="s">
        <v>754</v>
      </c>
      <c r="F1004" s="2" t="s">
        <v>6172</v>
      </c>
      <c r="G1004" s="1" t="s">
        <v>442</v>
      </c>
      <c r="H1004" s="3" t="s">
        <v>756</v>
      </c>
    </row>
    <row r="1005" spans="1:8" x14ac:dyDescent="0.25">
      <c r="A1005" s="1" t="s">
        <v>22</v>
      </c>
      <c r="B1005" s="1" t="s">
        <v>424</v>
      </c>
      <c r="C1005" s="1" t="s">
        <v>427</v>
      </c>
      <c r="D1005" s="1" t="s">
        <v>428</v>
      </c>
      <c r="E1005" s="3" t="s">
        <v>757</v>
      </c>
      <c r="F1005" s="2" t="s">
        <v>6173</v>
      </c>
      <c r="G1005" s="1"/>
      <c r="H1005" s="3" t="s">
        <v>759</v>
      </c>
    </row>
    <row r="1006" spans="1:8" x14ac:dyDescent="0.25">
      <c r="A1006" s="1" t="s">
        <v>22</v>
      </c>
      <c r="B1006" s="1" t="s">
        <v>424</v>
      </c>
      <c r="C1006" s="1" t="s">
        <v>427</v>
      </c>
      <c r="D1006" s="1" t="s">
        <v>428</v>
      </c>
      <c r="E1006" s="3" t="s">
        <v>184</v>
      </c>
      <c r="F1006" s="2" t="s">
        <v>186</v>
      </c>
      <c r="G1006" s="1" t="s">
        <v>413</v>
      </c>
      <c r="H1006" s="3" t="s">
        <v>752</v>
      </c>
    </row>
    <row r="1007" spans="1:8" x14ac:dyDescent="0.25">
      <c r="A1007" s="1" t="s">
        <v>22</v>
      </c>
      <c r="B1007" s="1" t="s">
        <v>424</v>
      </c>
      <c r="C1007" s="1" t="s">
        <v>427</v>
      </c>
      <c r="D1007" s="1" t="s">
        <v>428</v>
      </c>
      <c r="E1007" s="3" t="s">
        <v>378</v>
      </c>
      <c r="F1007" s="2" t="s">
        <v>379</v>
      </c>
      <c r="G1007" s="1" t="s">
        <v>413</v>
      </c>
      <c r="H1007" s="3" t="s">
        <v>752</v>
      </c>
    </row>
    <row r="1008" spans="1:8" ht="30" x14ac:dyDescent="0.25">
      <c r="A1008" s="1" t="s">
        <v>22</v>
      </c>
      <c r="B1008" s="1" t="s">
        <v>424</v>
      </c>
      <c r="C1008" s="1" t="s">
        <v>427</v>
      </c>
      <c r="D1008" s="1" t="s">
        <v>428</v>
      </c>
      <c r="E1008" s="3" t="s">
        <v>355</v>
      </c>
      <c r="F1008" s="2" t="s">
        <v>357</v>
      </c>
      <c r="G1008" s="1"/>
      <c r="H1008" s="3" t="s">
        <v>767</v>
      </c>
    </row>
    <row r="1009" spans="1:8" ht="30" x14ac:dyDescent="0.25">
      <c r="A1009" s="1" t="s">
        <v>22</v>
      </c>
      <c r="B1009" s="1" t="s">
        <v>424</v>
      </c>
      <c r="C1009" s="1" t="s">
        <v>427</v>
      </c>
      <c r="D1009" s="1" t="s">
        <v>428</v>
      </c>
      <c r="E1009" s="3" t="s">
        <v>264</v>
      </c>
      <c r="F1009" s="2" t="s">
        <v>266</v>
      </c>
      <c r="G1009" s="1" t="s">
        <v>476</v>
      </c>
      <c r="H1009" s="3" t="s">
        <v>265</v>
      </c>
    </row>
    <row r="1010" spans="1:8" x14ac:dyDescent="0.25">
      <c r="A1010" s="1" t="s">
        <v>22</v>
      </c>
      <c r="B1010" s="1" t="s">
        <v>424</v>
      </c>
      <c r="C1010" s="1" t="s">
        <v>427</v>
      </c>
      <c r="D1010" s="1" t="s">
        <v>428</v>
      </c>
      <c r="E1010" s="3" t="s">
        <v>760</v>
      </c>
      <c r="F1010" s="2" t="s">
        <v>6174</v>
      </c>
      <c r="G1010" s="1" t="s">
        <v>406</v>
      </c>
      <c r="H1010" s="3" t="s">
        <v>407</v>
      </c>
    </row>
    <row r="1011" spans="1:8" x14ac:dyDescent="0.25">
      <c r="A1011" s="1" t="s">
        <v>22</v>
      </c>
      <c r="B1011" s="1" t="s">
        <v>424</v>
      </c>
      <c r="C1011" s="1" t="s">
        <v>427</v>
      </c>
      <c r="D1011" s="1" t="s">
        <v>428</v>
      </c>
      <c r="E1011" s="3" t="s">
        <v>323</v>
      </c>
      <c r="F1011" s="2" t="s">
        <v>324</v>
      </c>
      <c r="G1011" s="1" t="s">
        <v>413</v>
      </c>
      <c r="H1011" s="3" t="s">
        <v>763</v>
      </c>
    </row>
    <row r="1012" spans="1:8" x14ac:dyDescent="0.25">
      <c r="A1012" s="1" t="s">
        <v>22</v>
      </c>
      <c r="B1012" s="1" t="s">
        <v>424</v>
      </c>
      <c r="C1012" s="1" t="s">
        <v>427</v>
      </c>
      <c r="D1012" s="1" t="s">
        <v>428</v>
      </c>
      <c r="E1012" s="3" t="s">
        <v>373</v>
      </c>
      <c r="F1012" s="2" t="s">
        <v>374</v>
      </c>
      <c r="G1012" s="1" t="s">
        <v>442</v>
      </c>
      <c r="H1012" s="3" t="s">
        <v>763</v>
      </c>
    </row>
    <row r="1013" spans="1:8" ht="30" x14ac:dyDescent="0.25">
      <c r="A1013" s="1" t="s">
        <v>22</v>
      </c>
      <c r="B1013" s="1" t="s">
        <v>424</v>
      </c>
      <c r="C1013" s="1" t="s">
        <v>427</v>
      </c>
      <c r="D1013" s="1" t="s">
        <v>428</v>
      </c>
      <c r="E1013" s="3" t="s">
        <v>12</v>
      </c>
      <c r="F1013" s="2" t="s">
        <v>23</v>
      </c>
      <c r="G1013" s="1" t="s">
        <v>413</v>
      </c>
      <c r="H1013" s="3" t="s">
        <v>21</v>
      </c>
    </row>
    <row r="1014" spans="1:8" x14ac:dyDescent="0.25">
      <c r="A1014" s="1" t="s">
        <v>22</v>
      </c>
      <c r="B1014" s="1" t="s">
        <v>424</v>
      </c>
      <c r="C1014" s="1" t="s">
        <v>427</v>
      </c>
      <c r="D1014" s="1" t="s">
        <v>428</v>
      </c>
      <c r="E1014" s="3" t="s">
        <v>747</v>
      </c>
      <c r="F1014" s="2"/>
      <c r="G1014" s="1"/>
      <c r="H1014" s="3" t="s">
        <v>166</v>
      </c>
    </row>
    <row r="1015" spans="1:8" ht="30" x14ac:dyDescent="0.25">
      <c r="A1015" s="1" t="s">
        <v>22</v>
      </c>
      <c r="B1015" s="1" t="s">
        <v>424</v>
      </c>
      <c r="C1015" s="1" t="s">
        <v>427</v>
      </c>
      <c r="D1015" s="1" t="s">
        <v>428</v>
      </c>
      <c r="E1015" s="3" t="s">
        <v>565</v>
      </c>
      <c r="F1015" s="2" t="s">
        <v>566</v>
      </c>
      <c r="G1015" s="1"/>
      <c r="H1015" s="3" t="s">
        <v>769</v>
      </c>
    </row>
    <row r="1016" spans="1:8" x14ac:dyDescent="0.25">
      <c r="A1016" s="1" t="s">
        <v>22</v>
      </c>
      <c r="B1016" s="1" t="s">
        <v>424</v>
      </c>
      <c r="C1016" s="1" t="s">
        <v>427</v>
      </c>
      <c r="D1016" s="1" t="s">
        <v>428</v>
      </c>
      <c r="E1016" s="3" t="s">
        <v>771</v>
      </c>
      <c r="F1016" s="2" t="s">
        <v>6175</v>
      </c>
      <c r="G1016" s="1"/>
      <c r="H1016" s="3" t="s">
        <v>682</v>
      </c>
    </row>
    <row r="1017" spans="1:8" x14ac:dyDescent="0.25">
      <c r="A1017" s="1" t="s">
        <v>22</v>
      </c>
      <c r="B1017" s="1" t="s">
        <v>424</v>
      </c>
      <c r="C1017" s="1" t="s">
        <v>427</v>
      </c>
      <c r="D1017" s="1" t="s">
        <v>428</v>
      </c>
      <c r="E1017" s="3" t="s">
        <v>773</v>
      </c>
      <c r="F1017" s="2" t="s">
        <v>6176</v>
      </c>
      <c r="G1017" s="1"/>
      <c r="H1017" s="3" t="s">
        <v>682</v>
      </c>
    </row>
    <row r="1018" spans="1:8" ht="30" x14ac:dyDescent="0.25">
      <c r="A1018" s="1" t="s">
        <v>22</v>
      </c>
      <c r="B1018" s="1" t="s">
        <v>424</v>
      </c>
      <c r="C1018" s="1" t="s">
        <v>427</v>
      </c>
      <c r="D1018" s="1" t="s">
        <v>428</v>
      </c>
      <c r="E1018" s="3" t="s">
        <v>749</v>
      </c>
      <c r="F1018" s="2"/>
      <c r="G1018" s="1"/>
      <c r="H1018" s="3" t="s">
        <v>750</v>
      </c>
    </row>
    <row r="1019" spans="1:8" x14ac:dyDescent="0.25">
      <c r="A1019" s="1" t="s">
        <v>142</v>
      </c>
      <c r="B1019" s="1" t="s">
        <v>503</v>
      </c>
      <c r="C1019" s="1" t="s">
        <v>504</v>
      </c>
      <c r="D1019" s="1" t="s">
        <v>428</v>
      </c>
      <c r="E1019" s="3" t="s">
        <v>1208</v>
      </c>
      <c r="F1019" s="2" t="s">
        <v>6177</v>
      </c>
      <c r="G1019" s="1"/>
      <c r="H1019" s="3" t="s">
        <v>1207</v>
      </c>
    </row>
    <row r="1020" spans="1:8" x14ac:dyDescent="0.25">
      <c r="A1020" s="1" t="s">
        <v>142</v>
      </c>
      <c r="B1020" s="1" t="s">
        <v>503</v>
      </c>
      <c r="C1020" s="1" t="s">
        <v>504</v>
      </c>
      <c r="D1020" s="1" t="s">
        <v>428</v>
      </c>
      <c r="E1020" s="3" t="s">
        <v>1205</v>
      </c>
      <c r="F1020" s="2" t="s">
        <v>6178</v>
      </c>
      <c r="G1020" s="1"/>
      <c r="H1020" s="3" t="s">
        <v>1207</v>
      </c>
    </row>
    <row r="1021" spans="1:8" x14ac:dyDescent="0.25">
      <c r="A1021" s="1" t="s">
        <v>142</v>
      </c>
      <c r="B1021" s="1" t="s">
        <v>503</v>
      </c>
      <c r="C1021" s="1" t="s">
        <v>504</v>
      </c>
      <c r="D1021" s="1" t="s">
        <v>428</v>
      </c>
      <c r="E1021" s="3" t="s">
        <v>1210</v>
      </c>
      <c r="F1021" s="2" t="s">
        <v>6179</v>
      </c>
      <c r="G1021" s="1"/>
      <c r="H1021" s="3" t="s">
        <v>1207</v>
      </c>
    </row>
    <row r="1022" spans="1:8" x14ac:dyDescent="0.25">
      <c r="A1022" s="1" t="s">
        <v>142</v>
      </c>
      <c r="B1022" s="1" t="s">
        <v>503</v>
      </c>
      <c r="C1022" s="1" t="s">
        <v>504</v>
      </c>
      <c r="D1022" s="1" t="s">
        <v>428</v>
      </c>
      <c r="E1022" s="3" t="s">
        <v>1212</v>
      </c>
      <c r="F1022" s="2" t="s">
        <v>6180</v>
      </c>
      <c r="G1022" s="1"/>
      <c r="H1022" s="3" t="s">
        <v>1207</v>
      </c>
    </row>
    <row r="1023" spans="1:8" x14ac:dyDescent="0.25">
      <c r="A1023" s="1" t="s">
        <v>142</v>
      </c>
      <c r="B1023" s="1" t="s">
        <v>503</v>
      </c>
      <c r="C1023" s="1" t="s">
        <v>504</v>
      </c>
      <c r="D1023" s="1" t="s">
        <v>428</v>
      </c>
      <c r="E1023" s="3" t="s">
        <v>1214</v>
      </c>
      <c r="F1023" s="2" t="s">
        <v>6181</v>
      </c>
      <c r="G1023" s="1"/>
      <c r="H1023" s="3" t="s">
        <v>1207</v>
      </c>
    </row>
    <row r="1024" spans="1:8" x14ac:dyDescent="0.25">
      <c r="A1024" s="1" t="s">
        <v>142</v>
      </c>
      <c r="B1024" s="1" t="s">
        <v>503</v>
      </c>
      <c r="C1024" s="1" t="s">
        <v>504</v>
      </c>
      <c r="D1024" s="1" t="s">
        <v>428</v>
      </c>
      <c r="E1024" s="3" t="s">
        <v>1224</v>
      </c>
      <c r="F1024" s="2" t="s">
        <v>6182</v>
      </c>
      <c r="G1024" s="1"/>
      <c r="H1024" s="3" t="s">
        <v>1221</v>
      </c>
    </row>
    <row r="1025" spans="1:8" x14ac:dyDescent="0.25">
      <c r="A1025" s="1" t="s">
        <v>142</v>
      </c>
      <c r="B1025" s="1" t="s">
        <v>503</v>
      </c>
      <c r="C1025" s="1" t="s">
        <v>504</v>
      </c>
      <c r="D1025" s="1" t="s">
        <v>428</v>
      </c>
      <c r="E1025" s="3" t="s">
        <v>1219</v>
      </c>
      <c r="F1025" s="2" t="s">
        <v>6183</v>
      </c>
      <c r="G1025" s="1"/>
      <c r="H1025" s="3" t="s">
        <v>1221</v>
      </c>
    </row>
    <row r="1026" spans="1:8" x14ac:dyDescent="0.25">
      <c r="A1026" s="1" t="s">
        <v>142</v>
      </c>
      <c r="B1026" s="1" t="s">
        <v>503</v>
      </c>
      <c r="C1026" s="1" t="s">
        <v>504</v>
      </c>
      <c r="D1026" s="1" t="s">
        <v>428</v>
      </c>
      <c r="E1026" s="3" t="s">
        <v>1222</v>
      </c>
      <c r="F1026" s="2" t="s">
        <v>6184</v>
      </c>
      <c r="G1026" s="1"/>
      <c r="H1026" s="3" t="s">
        <v>1221</v>
      </c>
    </row>
    <row r="1027" spans="1:8" x14ac:dyDescent="0.25">
      <c r="A1027" s="1" t="s">
        <v>142</v>
      </c>
      <c r="B1027" s="1" t="s">
        <v>503</v>
      </c>
      <c r="C1027" s="1" t="s">
        <v>504</v>
      </c>
      <c r="D1027" s="1" t="s">
        <v>428</v>
      </c>
      <c r="E1027" s="3" t="s">
        <v>141</v>
      </c>
      <c r="F1027" s="2" t="s">
        <v>143</v>
      </c>
      <c r="G1027" s="1" t="s">
        <v>406</v>
      </c>
      <c r="H1027" s="3" t="s">
        <v>1233</v>
      </c>
    </row>
    <row r="1028" spans="1:8" x14ac:dyDescent="0.25">
      <c r="A1028" s="1" t="s">
        <v>142</v>
      </c>
      <c r="B1028" s="1" t="s">
        <v>503</v>
      </c>
      <c r="C1028" s="1" t="s">
        <v>504</v>
      </c>
      <c r="D1028" s="1" t="s">
        <v>428</v>
      </c>
      <c r="E1028" s="3" t="s">
        <v>1237</v>
      </c>
      <c r="F1028" s="2" t="s">
        <v>6185</v>
      </c>
      <c r="G1028" s="1" t="s">
        <v>406</v>
      </c>
      <c r="H1028" s="3" t="s">
        <v>1233</v>
      </c>
    </row>
    <row r="1029" spans="1:8" x14ac:dyDescent="0.25">
      <c r="A1029" s="1" t="s">
        <v>142</v>
      </c>
      <c r="B1029" s="1" t="s">
        <v>503</v>
      </c>
      <c r="C1029" s="1" t="s">
        <v>504</v>
      </c>
      <c r="D1029" s="1" t="s">
        <v>428</v>
      </c>
      <c r="E1029" s="3" t="s">
        <v>1235</v>
      </c>
      <c r="F1029" s="2" t="s">
        <v>6186</v>
      </c>
      <c r="G1029" s="1" t="s">
        <v>406</v>
      </c>
      <c r="H1029" s="3" t="s">
        <v>1233</v>
      </c>
    </row>
    <row r="1030" spans="1:8" x14ac:dyDescent="0.25">
      <c r="A1030" s="1" t="s">
        <v>142</v>
      </c>
      <c r="B1030" s="1" t="s">
        <v>503</v>
      </c>
      <c r="C1030" s="1" t="s">
        <v>504</v>
      </c>
      <c r="D1030" s="1" t="s">
        <v>428</v>
      </c>
      <c r="E1030" s="3" t="s">
        <v>1231</v>
      </c>
      <c r="F1030" s="2" t="s">
        <v>6187</v>
      </c>
      <c r="G1030" s="1" t="s">
        <v>406</v>
      </c>
      <c r="H1030" s="3" t="s">
        <v>1233</v>
      </c>
    </row>
    <row r="1031" spans="1:8" x14ac:dyDescent="0.25">
      <c r="A1031" s="1" t="s">
        <v>142</v>
      </c>
      <c r="B1031" s="1" t="s">
        <v>503</v>
      </c>
      <c r="C1031" s="1" t="s">
        <v>504</v>
      </c>
      <c r="D1031" s="1" t="s">
        <v>428</v>
      </c>
      <c r="E1031" s="3" t="s">
        <v>1216</v>
      </c>
      <c r="F1031" s="2" t="s">
        <v>6188</v>
      </c>
      <c r="G1031" s="1"/>
      <c r="H1031" s="3" t="s">
        <v>1218</v>
      </c>
    </row>
    <row r="1032" spans="1:8" ht="30" x14ac:dyDescent="0.25">
      <c r="A1032" s="1" t="s">
        <v>142</v>
      </c>
      <c r="B1032" s="1" t="s">
        <v>503</v>
      </c>
      <c r="C1032" s="1" t="s">
        <v>504</v>
      </c>
      <c r="D1032" s="1" t="s">
        <v>428</v>
      </c>
      <c r="E1032" s="3" t="s">
        <v>1226</v>
      </c>
      <c r="F1032" s="2" t="s">
        <v>6189</v>
      </c>
      <c r="G1032" s="1" t="s">
        <v>643</v>
      </c>
      <c r="H1032" s="3" t="s">
        <v>1228</v>
      </c>
    </row>
    <row r="1033" spans="1:8" ht="30" x14ac:dyDescent="0.25">
      <c r="A1033" s="1" t="s">
        <v>142</v>
      </c>
      <c r="B1033" s="1" t="s">
        <v>503</v>
      </c>
      <c r="C1033" s="1" t="s">
        <v>504</v>
      </c>
      <c r="D1033" s="1" t="s">
        <v>428</v>
      </c>
      <c r="E1033" s="3" t="s">
        <v>1229</v>
      </c>
      <c r="F1033" s="2"/>
      <c r="G1033" s="1"/>
      <c r="H1033" s="3" t="s">
        <v>1228</v>
      </c>
    </row>
    <row r="1034" spans="1:8" x14ac:dyDescent="0.25">
      <c r="A1034" s="1" t="s">
        <v>3630</v>
      </c>
      <c r="B1034" s="1" t="s">
        <v>3631</v>
      </c>
      <c r="C1034" s="1" t="s">
        <v>504</v>
      </c>
      <c r="D1034" s="1" t="s">
        <v>428</v>
      </c>
      <c r="E1034" s="3" t="s">
        <v>3635</v>
      </c>
      <c r="F1034" s="2" t="s">
        <v>6190</v>
      </c>
      <c r="G1034" s="1"/>
      <c r="H1034" s="3" t="s">
        <v>682</v>
      </c>
    </row>
    <row r="1035" spans="1:8" ht="30" x14ac:dyDescent="0.25">
      <c r="A1035" s="1" t="s">
        <v>3630</v>
      </c>
      <c r="B1035" s="1" t="s">
        <v>3631</v>
      </c>
      <c r="C1035" s="1" t="s">
        <v>504</v>
      </c>
      <c r="D1035" s="1" t="s">
        <v>428</v>
      </c>
      <c r="E1035" s="3" t="s">
        <v>3632</v>
      </c>
      <c r="F1035" s="2" t="s">
        <v>6191</v>
      </c>
      <c r="G1035" s="1"/>
      <c r="H1035" s="3" t="s">
        <v>3634</v>
      </c>
    </row>
    <row r="1036" spans="1:8" x14ac:dyDescent="0.25">
      <c r="A1036" s="1" t="s">
        <v>287</v>
      </c>
      <c r="B1036" s="1" t="s">
        <v>511</v>
      </c>
      <c r="C1036" s="1" t="s">
        <v>512</v>
      </c>
      <c r="D1036" s="1" t="s">
        <v>513</v>
      </c>
      <c r="E1036" s="3" t="s">
        <v>3756</v>
      </c>
      <c r="F1036" s="2" t="s">
        <v>6192</v>
      </c>
      <c r="G1036" s="1"/>
      <c r="H1036" s="3" t="s">
        <v>682</v>
      </c>
    </row>
    <row r="1037" spans="1:8" x14ac:dyDescent="0.25">
      <c r="A1037" s="1" t="s">
        <v>287</v>
      </c>
      <c r="B1037" s="1" t="s">
        <v>511</v>
      </c>
      <c r="C1037" s="1" t="s">
        <v>512</v>
      </c>
      <c r="D1037" s="1" t="s">
        <v>513</v>
      </c>
      <c r="E1037" s="3" t="s">
        <v>3755</v>
      </c>
      <c r="F1037" s="2" t="s">
        <v>6193</v>
      </c>
      <c r="G1037" s="1" t="s">
        <v>413</v>
      </c>
      <c r="H1037" s="3" t="s">
        <v>867</v>
      </c>
    </row>
    <row r="1038" spans="1:8" x14ac:dyDescent="0.25">
      <c r="A1038" s="1" t="s">
        <v>287</v>
      </c>
      <c r="B1038" s="1" t="s">
        <v>511</v>
      </c>
      <c r="C1038" s="1" t="s">
        <v>512</v>
      </c>
      <c r="D1038" s="1" t="s">
        <v>513</v>
      </c>
      <c r="E1038" s="3" t="s">
        <v>3754</v>
      </c>
      <c r="F1038" s="2" t="s">
        <v>6194</v>
      </c>
      <c r="G1038" s="1" t="s">
        <v>476</v>
      </c>
      <c r="H1038" s="3" t="s">
        <v>867</v>
      </c>
    </row>
    <row r="1039" spans="1:8" x14ac:dyDescent="0.25">
      <c r="A1039" s="1" t="s">
        <v>287</v>
      </c>
      <c r="B1039" s="1" t="s">
        <v>511</v>
      </c>
      <c r="C1039" s="1" t="s">
        <v>512</v>
      </c>
      <c r="D1039" s="1" t="s">
        <v>513</v>
      </c>
      <c r="E1039" s="3" t="s">
        <v>384</v>
      </c>
      <c r="F1039" s="2" t="s">
        <v>388</v>
      </c>
      <c r="G1039" s="1" t="s">
        <v>476</v>
      </c>
      <c r="H1039" s="3" t="s">
        <v>867</v>
      </c>
    </row>
    <row r="1040" spans="1:8" x14ac:dyDescent="0.25">
      <c r="A1040" s="1" t="s">
        <v>287</v>
      </c>
      <c r="B1040" s="1" t="s">
        <v>511</v>
      </c>
      <c r="C1040" s="1" t="s">
        <v>512</v>
      </c>
      <c r="D1040" s="1" t="s">
        <v>513</v>
      </c>
      <c r="E1040" s="3" t="s">
        <v>506</v>
      </c>
      <c r="F1040" s="2" t="s">
        <v>514</v>
      </c>
      <c r="G1040" s="1" t="s">
        <v>406</v>
      </c>
      <c r="H1040" s="3" t="s">
        <v>286</v>
      </c>
    </row>
    <row r="1041" spans="1:8" x14ac:dyDescent="0.25">
      <c r="A1041" s="1" t="s">
        <v>287</v>
      </c>
      <c r="B1041" s="1" t="s">
        <v>511</v>
      </c>
      <c r="C1041" s="1" t="s">
        <v>512</v>
      </c>
      <c r="D1041" s="1" t="s">
        <v>513</v>
      </c>
      <c r="E1041" s="3" t="s">
        <v>285</v>
      </c>
      <c r="F1041" s="2" t="s">
        <v>288</v>
      </c>
      <c r="G1041" s="1" t="s">
        <v>406</v>
      </c>
      <c r="H1041" s="3" t="s">
        <v>286</v>
      </c>
    </row>
    <row r="1042" spans="1:8" x14ac:dyDescent="0.25">
      <c r="A1042" s="1" t="s">
        <v>287</v>
      </c>
      <c r="B1042" s="1" t="s">
        <v>511</v>
      </c>
      <c r="C1042" s="1" t="s">
        <v>512</v>
      </c>
      <c r="D1042" s="1" t="s">
        <v>513</v>
      </c>
      <c r="E1042" s="3" t="s">
        <v>303</v>
      </c>
      <c r="F1042" s="2" t="s">
        <v>305</v>
      </c>
      <c r="G1042" s="1" t="s">
        <v>406</v>
      </c>
      <c r="H1042" s="3" t="s">
        <v>286</v>
      </c>
    </row>
    <row r="1043" spans="1:8" x14ac:dyDescent="0.25">
      <c r="A1043" s="1" t="s">
        <v>287</v>
      </c>
      <c r="B1043" s="1" t="s">
        <v>511</v>
      </c>
      <c r="C1043" s="1" t="s">
        <v>512</v>
      </c>
      <c r="D1043" s="1" t="s">
        <v>513</v>
      </c>
      <c r="E1043" s="3" t="s">
        <v>3753</v>
      </c>
      <c r="F1043" s="2" t="s">
        <v>6195</v>
      </c>
      <c r="G1043" s="1" t="s">
        <v>442</v>
      </c>
      <c r="H1043" s="3" t="s">
        <v>18</v>
      </c>
    </row>
    <row r="1044" spans="1:8" x14ac:dyDescent="0.25">
      <c r="A1044" s="1" t="s">
        <v>287</v>
      </c>
      <c r="B1044" s="1" t="s">
        <v>511</v>
      </c>
      <c r="C1044" s="1" t="s">
        <v>512</v>
      </c>
      <c r="D1044" s="1" t="s">
        <v>513</v>
      </c>
      <c r="E1044" s="3" t="s">
        <v>362</v>
      </c>
      <c r="F1044" s="2" t="s">
        <v>364</v>
      </c>
      <c r="G1044" s="1"/>
      <c r="H1044" s="3" t="s">
        <v>7</v>
      </c>
    </row>
    <row r="1045" spans="1:8" ht="30" x14ac:dyDescent="0.25">
      <c r="A1045" s="1" t="s">
        <v>1814</v>
      </c>
      <c r="B1045" s="1" t="s">
        <v>1815</v>
      </c>
      <c r="C1045" s="1" t="s">
        <v>1816</v>
      </c>
      <c r="D1045" s="1" t="s">
        <v>684</v>
      </c>
      <c r="E1045" s="3" t="s">
        <v>1197</v>
      </c>
      <c r="F1045" s="2" t="s">
        <v>6196</v>
      </c>
      <c r="G1045" s="1"/>
      <c r="H1045" s="3" t="s">
        <v>1818</v>
      </c>
    </row>
    <row r="1046" spans="1:8" x14ac:dyDescent="0.25">
      <c r="A1046" s="1" t="s">
        <v>694</v>
      </c>
      <c r="B1046" s="1" t="s">
        <v>424</v>
      </c>
      <c r="C1046" s="1" t="s">
        <v>563</v>
      </c>
      <c r="D1046" s="1" t="s">
        <v>484</v>
      </c>
      <c r="E1046" s="3" t="s">
        <v>695</v>
      </c>
      <c r="F1046" s="2" t="s">
        <v>6197</v>
      </c>
      <c r="G1046" s="1"/>
      <c r="H1046" s="3" t="s">
        <v>682</v>
      </c>
    </row>
    <row r="1047" spans="1:8" x14ac:dyDescent="0.25">
      <c r="A1047" s="1" t="s">
        <v>694</v>
      </c>
      <c r="B1047" s="1" t="s">
        <v>424</v>
      </c>
      <c r="C1047" s="1" t="s">
        <v>563</v>
      </c>
      <c r="D1047" s="1" t="s">
        <v>484</v>
      </c>
      <c r="E1047" s="3" t="s">
        <v>697</v>
      </c>
      <c r="F1047" s="2" t="s">
        <v>6198</v>
      </c>
      <c r="G1047" s="1"/>
      <c r="H1047" s="3" t="s">
        <v>682</v>
      </c>
    </row>
    <row r="1048" spans="1:8" ht="30" x14ac:dyDescent="0.25">
      <c r="A1048" s="1" t="s">
        <v>1631</v>
      </c>
      <c r="B1048" s="1" t="s">
        <v>1632</v>
      </c>
      <c r="C1048" s="1" t="s">
        <v>483</v>
      </c>
      <c r="D1048" s="1" t="s">
        <v>484</v>
      </c>
      <c r="E1048" s="3" t="s">
        <v>1638</v>
      </c>
      <c r="F1048" s="2" t="s">
        <v>6199</v>
      </c>
      <c r="G1048" s="1"/>
      <c r="H1048" s="3" t="s">
        <v>1640</v>
      </c>
    </row>
    <row r="1049" spans="1:8" x14ac:dyDescent="0.25">
      <c r="A1049" s="1" t="s">
        <v>1631</v>
      </c>
      <c r="B1049" s="1" t="s">
        <v>1632</v>
      </c>
      <c r="C1049" s="1" t="s">
        <v>483</v>
      </c>
      <c r="D1049" s="1" t="s">
        <v>484</v>
      </c>
      <c r="E1049" s="3" t="s">
        <v>1633</v>
      </c>
      <c r="F1049" s="2" t="s">
        <v>6200</v>
      </c>
      <c r="G1049" s="1"/>
      <c r="H1049" s="3" t="s">
        <v>1635</v>
      </c>
    </row>
    <row r="1050" spans="1:8" x14ac:dyDescent="0.25">
      <c r="A1050" s="1" t="s">
        <v>1631</v>
      </c>
      <c r="B1050" s="1" t="s">
        <v>1632</v>
      </c>
      <c r="C1050" s="1" t="s">
        <v>483</v>
      </c>
      <c r="D1050" s="1" t="s">
        <v>484</v>
      </c>
      <c r="E1050" s="3" t="s">
        <v>1636</v>
      </c>
      <c r="F1050" s="2" t="s">
        <v>6201</v>
      </c>
      <c r="G1050" s="1"/>
      <c r="H1050" s="3" t="s">
        <v>1635</v>
      </c>
    </row>
    <row r="1051" spans="1:8" ht="30" x14ac:dyDescent="0.25">
      <c r="A1051" s="1" t="s">
        <v>190</v>
      </c>
      <c r="B1051" s="1" t="s">
        <v>457</v>
      </c>
      <c r="C1051" s="1" t="s">
        <v>535</v>
      </c>
      <c r="D1051" s="1" t="s">
        <v>484</v>
      </c>
      <c r="E1051" s="3" t="s">
        <v>189</v>
      </c>
      <c r="F1051" s="2" t="s">
        <v>191</v>
      </c>
      <c r="G1051" s="1"/>
      <c r="H1051" s="3" t="s">
        <v>767</v>
      </c>
    </row>
    <row r="1052" spans="1:8" x14ac:dyDescent="0.25">
      <c r="A1052" s="1" t="s">
        <v>190</v>
      </c>
      <c r="B1052" s="1" t="s">
        <v>457</v>
      </c>
      <c r="C1052" s="1" t="s">
        <v>535</v>
      </c>
      <c r="D1052" s="1" t="s">
        <v>484</v>
      </c>
      <c r="E1052" s="3" t="s">
        <v>2315</v>
      </c>
      <c r="F1052" s="2"/>
      <c r="G1052" s="1"/>
      <c r="H1052" s="3" t="s">
        <v>554</v>
      </c>
    </row>
    <row r="1053" spans="1:8" x14ac:dyDescent="0.25">
      <c r="A1053" s="1" t="s">
        <v>190</v>
      </c>
      <c r="B1053" s="1" t="s">
        <v>457</v>
      </c>
      <c r="C1053" s="1" t="s">
        <v>535</v>
      </c>
      <c r="D1053" s="1" t="s">
        <v>484</v>
      </c>
      <c r="E1053" s="3" t="s">
        <v>2317</v>
      </c>
      <c r="F1053" s="2"/>
      <c r="G1053" s="1"/>
      <c r="H1053" s="3" t="s">
        <v>554</v>
      </c>
    </row>
    <row r="1054" spans="1:8" x14ac:dyDescent="0.25">
      <c r="A1054" s="1" t="s">
        <v>2327</v>
      </c>
      <c r="B1054" s="1" t="s">
        <v>446</v>
      </c>
      <c r="C1054" s="1" t="s">
        <v>1826</v>
      </c>
      <c r="D1054" s="1" t="s">
        <v>484</v>
      </c>
      <c r="E1054" s="3" t="s">
        <v>2330</v>
      </c>
      <c r="F1054" s="2" t="s">
        <v>6202</v>
      </c>
      <c r="G1054" s="1"/>
      <c r="H1054" s="3" t="s">
        <v>682</v>
      </c>
    </row>
    <row r="1055" spans="1:8" x14ac:dyDescent="0.25">
      <c r="A1055" s="1" t="s">
        <v>2327</v>
      </c>
      <c r="B1055" s="1" t="s">
        <v>446</v>
      </c>
      <c r="C1055" s="1" t="s">
        <v>1826</v>
      </c>
      <c r="D1055" s="1" t="s">
        <v>484</v>
      </c>
      <c r="E1055" s="3" t="s">
        <v>2328</v>
      </c>
      <c r="F1055" s="2" t="s">
        <v>6203</v>
      </c>
      <c r="G1055" s="1"/>
      <c r="H1055" s="3" t="s">
        <v>584</v>
      </c>
    </row>
    <row r="1056" spans="1:8" x14ac:dyDescent="0.25">
      <c r="A1056" s="1" t="s">
        <v>562</v>
      </c>
      <c r="B1056" s="1" t="s">
        <v>418</v>
      </c>
      <c r="C1056" s="1" t="s">
        <v>563</v>
      </c>
      <c r="D1056" s="1" t="s">
        <v>484</v>
      </c>
      <c r="E1056" s="3" t="s">
        <v>560</v>
      </c>
      <c r="F1056" s="2" t="s">
        <v>564</v>
      </c>
      <c r="G1056" s="1"/>
      <c r="H1056" s="3" t="s">
        <v>63</v>
      </c>
    </row>
    <row r="1057" spans="1:8" x14ac:dyDescent="0.25">
      <c r="A1057" s="1" t="s">
        <v>562</v>
      </c>
      <c r="B1057" s="1" t="s">
        <v>418</v>
      </c>
      <c r="C1057" s="1" t="s">
        <v>563</v>
      </c>
      <c r="D1057" s="1" t="s">
        <v>484</v>
      </c>
      <c r="E1057" s="3" t="s">
        <v>3184</v>
      </c>
      <c r="F1057" s="2" t="s">
        <v>6204</v>
      </c>
      <c r="G1057" s="1"/>
      <c r="H1057" s="3" t="s">
        <v>63</v>
      </c>
    </row>
    <row r="1058" spans="1:8" x14ac:dyDescent="0.25">
      <c r="A1058" s="1" t="s">
        <v>562</v>
      </c>
      <c r="B1058" s="1" t="s">
        <v>418</v>
      </c>
      <c r="C1058" s="1" t="s">
        <v>563</v>
      </c>
      <c r="D1058" s="1" t="s">
        <v>484</v>
      </c>
      <c r="E1058" s="3" t="s">
        <v>3186</v>
      </c>
      <c r="F1058" s="2" t="s">
        <v>6205</v>
      </c>
      <c r="G1058" s="1"/>
      <c r="H1058" s="3" t="s">
        <v>63</v>
      </c>
    </row>
    <row r="1059" spans="1:8" x14ac:dyDescent="0.25">
      <c r="A1059" s="1" t="s">
        <v>92</v>
      </c>
      <c r="B1059" s="1" t="s">
        <v>465</v>
      </c>
      <c r="C1059" s="1" t="s">
        <v>483</v>
      </c>
      <c r="D1059" s="1" t="s">
        <v>484</v>
      </c>
      <c r="E1059" s="3" t="s">
        <v>3764</v>
      </c>
      <c r="F1059" s="2" t="s">
        <v>6206</v>
      </c>
      <c r="G1059" s="1"/>
      <c r="H1059" s="3" t="s">
        <v>7</v>
      </c>
    </row>
    <row r="1060" spans="1:8" x14ac:dyDescent="0.25">
      <c r="A1060" s="1" t="s">
        <v>92</v>
      </c>
      <c r="B1060" s="1" t="s">
        <v>465</v>
      </c>
      <c r="C1060" s="1" t="s">
        <v>483</v>
      </c>
      <c r="D1060" s="1" t="s">
        <v>484</v>
      </c>
      <c r="E1060" s="3" t="s">
        <v>3760</v>
      </c>
      <c r="F1060" s="2" t="s">
        <v>6207</v>
      </c>
      <c r="G1060" s="1" t="s">
        <v>406</v>
      </c>
      <c r="H1060" s="3" t="s">
        <v>3762</v>
      </c>
    </row>
    <row r="1061" spans="1:8" x14ac:dyDescent="0.25">
      <c r="A1061" s="1" t="s">
        <v>92</v>
      </c>
      <c r="B1061" s="1" t="s">
        <v>465</v>
      </c>
      <c r="C1061" s="1" t="s">
        <v>483</v>
      </c>
      <c r="D1061" s="1" t="s">
        <v>484</v>
      </c>
      <c r="E1061" s="3" t="s">
        <v>89</v>
      </c>
      <c r="F1061" s="2" t="s">
        <v>93</v>
      </c>
      <c r="G1061" s="1" t="s">
        <v>406</v>
      </c>
      <c r="H1061" s="3" t="s">
        <v>3762</v>
      </c>
    </row>
    <row r="1062" spans="1:8" x14ac:dyDescent="0.25">
      <c r="A1062" s="1" t="s">
        <v>3050</v>
      </c>
      <c r="B1062" s="1" t="s">
        <v>457</v>
      </c>
      <c r="C1062" s="1" t="s">
        <v>535</v>
      </c>
      <c r="D1062" s="1" t="s">
        <v>3051</v>
      </c>
      <c r="E1062" s="3" t="s">
        <v>3054</v>
      </c>
      <c r="F1062" s="2" t="s">
        <v>6208</v>
      </c>
      <c r="G1062" s="1"/>
      <c r="H1062" s="3" t="s">
        <v>79</v>
      </c>
    </row>
    <row r="1063" spans="1:8" x14ac:dyDescent="0.25">
      <c r="A1063" s="1" t="s">
        <v>3050</v>
      </c>
      <c r="B1063" s="1" t="s">
        <v>457</v>
      </c>
      <c r="C1063" s="1" t="s">
        <v>535</v>
      </c>
      <c r="D1063" s="1" t="s">
        <v>3051</v>
      </c>
      <c r="E1063" s="3" t="s">
        <v>3052</v>
      </c>
      <c r="F1063" s="2" t="s">
        <v>6209</v>
      </c>
      <c r="G1063" s="1"/>
      <c r="H1063" s="3" t="s">
        <v>79</v>
      </c>
    </row>
    <row r="1064" spans="1:8" x14ac:dyDescent="0.25">
      <c r="A1064" s="1" t="s">
        <v>234</v>
      </c>
      <c r="B1064" s="1" t="s">
        <v>531</v>
      </c>
      <c r="C1064" s="1" t="s">
        <v>555</v>
      </c>
      <c r="D1064" s="1" t="s">
        <v>556</v>
      </c>
      <c r="E1064" s="3" t="s">
        <v>1271</v>
      </c>
      <c r="F1064" s="2" t="s">
        <v>6210</v>
      </c>
      <c r="G1064" s="1"/>
      <c r="H1064" s="3" t="s">
        <v>79</v>
      </c>
    </row>
    <row r="1065" spans="1:8" x14ac:dyDescent="0.25">
      <c r="A1065" s="1" t="s">
        <v>234</v>
      </c>
      <c r="B1065" s="1" t="s">
        <v>531</v>
      </c>
      <c r="C1065" s="1" t="s">
        <v>555</v>
      </c>
      <c r="D1065" s="1" t="s">
        <v>556</v>
      </c>
      <c r="E1065" s="3" t="s">
        <v>1273</v>
      </c>
      <c r="F1065" s="2" t="s">
        <v>6211</v>
      </c>
      <c r="G1065" s="1"/>
      <c r="H1065" s="3" t="s">
        <v>79</v>
      </c>
    </row>
    <row r="1066" spans="1:8" x14ac:dyDescent="0.25">
      <c r="A1066" s="1" t="s">
        <v>234</v>
      </c>
      <c r="B1066" s="1" t="s">
        <v>531</v>
      </c>
      <c r="C1066" s="1" t="s">
        <v>555</v>
      </c>
      <c r="D1066" s="1" t="s">
        <v>556</v>
      </c>
      <c r="E1066" s="3" t="s">
        <v>1269</v>
      </c>
      <c r="F1066" s="2" t="s">
        <v>6212</v>
      </c>
      <c r="G1066" s="1"/>
      <c r="H1066" s="3" t="s">
        <v>597</v>
      </c>
    </row>
    <row r="1067" spans="1:8" x14ac:dyDescent="0.25">
      <c r="A1067" s="1" t="s">
        <v>234</v>
      </c>
      <c r="B1067" s="1" t="s">
        <v>531</v>
      </c>
      <c r="C1067" s="1" t="s">
        <v>555</v>
      </c>
      <c r="D1067" s="1" t="s">
        <v>556</v>
      </c>
      <c r="E1067" s="3" t="s">
        <v>369</v>
      </c>
      <c r="F1067" s="2" t="s">
        <v>370</v>
      </c>
      <c r="G1067" s="1"/>
      <c r="H1067" s="3" t="s">
        <v>7</v>
      </c>
    </row>
    <row r="1068" spans="1:8" x14ac:dyDescent="0.25">
      <c r="A1068" s="1" t="s">
        <v>234</v>
      </c>
      <c r="B1068" s="1" t="s">
        <v>531</v>
      </c>
      <c r="C1068" s="1" t="s">
        <v>555</v>
      </c>
      <c r="D1068" s="1" t="s">
        <v>556</v>
      </c>
      <c r="E1068" s="3" t="s">
        <v>233</v>
      </c>
      <c r="F1068" s="2" t="s">
        <v>235</v>
      </c>
      <c r="G1068" s="1" t="s">
        <v>406</v>
      </c>
      <c r="H1068" s="3" t="s">
        <v>1</v>
      </c>
    </row>
    <row r="1069" spans="1:8" x14ac:dyDescent="0.25">
      <c r="A1069" s="1" t="s">
        <v>3364</v>
      </c>
      <c r="B1069" s="1" t="s">
        <v>418</v>
      </c>
      <c r="C1069" s="1" t="s">
        <v>555</v>
      </c>
      <c r="D1069" s="1" t="s">
        <v>556</v>
      </c>
      <c r="E1069" s="3" t="s">
        <v>3365</v>
      </c>
      <c r="F1069" s="2" t="s">
        <v>6213</v>
      </c>
      <c r="G1069" s="1"/>
      <c r="H1069" s="3" t="s">
        <v>79</v>
      </c>
    </row>
    <row r="1070" spans="1:8" ht="30" x14ac:dyDescent="0.25">
      <c r="A1070" s="1" t="s">
        <v>176</v>
      </c>
      <c r="B1070" s="1" t="s">
        <v>511</v>
      </c>
      <c r="C1070" s="1" t="s">
        <v>526</v>
      </c>
      <c r="D1070" s="1" t="s">
        <v>527</v>
      </c>
      <c r="E1070" s="3" t="s">
        <v>745</v>
      </c>
      <c r="F1070" s="2" t="s">
        <v>6214</v>
      </c>
      <c r="G1070" s="1" t="s">
        <v>406</v>
      </c>
      <c r="H1070" s="3" t="s">
        <v>125</v>
      </c>
    </row>
    <row r="1071" spans="1:8" ht="30" x14ac:dyDescent="0.25">
      <c r="A1071" s="1" t="s">
        <v>176</v>
      </c>
      <c r="B1071" s="1" t="s">
        <v>511</v>
      </c>
      <c r="C1071" s="1" t="s">
        <v>526</v>
      </c>
      <c r="D1071" s="1" t="s">
        <v>527</v>
      </c>
      <c r="E1071" s="3" t="s">
        <v>742</v>
      </c>
      <c r="F1071" s="2" t="s">
        <v>6215</v>
      </c>
      <c r="G1071" s="1"/>
      <c r="H1071" s="3" t="s">
        <v>744</v>
      </c>
    </row>
    <row r="1072" spans="1:8" x14ac:dyDescent="0.25">
      <c r="A1072" s="1" t="s">
        <v>176</v>
      </c>
      <c r="B1072" s="1" t="s">
        <v>511</v>
      </c>
      <c r="C1072" s="1" t="s">
        <v>526</v>
      </c>
      <c r="D1072" s="1" t="s">
        <v>527</v>
      </c>
      <c r="E1072" s="3" t="s">
        <v>175</v>
      </c>
      <c r="F1072" s="2" t="s">
        <v>177</v>
      </c>
      <c r="G1072" s="1" t="s">
        <v>406</v>
      </c>
      <c r="H1072" s="3" t="s">
        <v>739</v>
      </c>
    </row>
    <row r="1073" spans="1:8" x14ac:dyDescent="0.25">
      <c r="A1073" s="1" t="s">
        <v>176</v>
      </c>
      <c r="B1073" s="1" t="s">
        <v>511</v>
      </c>
      <c r="C1073" s="1" t="s">
        <v>526</v>
      </c>
      <c r="D1073" s="1" t="s">
        <v>527</v>
      </c>
      <c r="E1073" s="3" t="s">
        <v>740</v>
      </c>
      <c r="F1073" s="2" t="s">
        <v>6216</v>
      </c>
      <c r="G1073" s="1" t="s">
        <v>406</v>
      </c>
      <c r="H1073" s="3" t="s">
        <v>739</v>
      </c>
    </row>
    <row r="1074" spans="1:8" x14ac:dyDescent="0.25">
      <c r="A1074" s="1" t="s">
        <v>946</v>
      </c>
      <c r="B1074" s="1" t="s">
        <v>446</v>
      </c>
      <c r="C1074" s="1" t="s">
        <v>493</v>
      </c>
      <c r="D1074" s="1" t="s">
        <v>527</v>
      </c>
      <c r="E1074" s="3" t="s">
        <v>960</v>
      </c>
      <c r="F1074" s="2" t="s">
        <v>6217</v>
      </c>
      <c r="G1074" s="1"/>
      <c r="H1074" s="3" t="s">
        <v>682</v>
      </c>
    </row>
    <row r="1075" spans="1:8" x14ac:dyDescent="0.25">
      <c r="A1075" s="1" t="s">
        <v>946</v>
      </c>
      <c r="B1075" s="1" t="s">
        <v>446</v>
      </c>
      <c r="C1075" s="1" t="s">
        <v>493</v>
      </c>
      <c r="D1075" s="1" t="s">
        <v>527</v>
      </c>
      <c r="E1075" s="3" t="s">
        <v>962</v>
      </c>
      <c r="F1075" s="2" t="s">
        <v>6218</v>
      </c>
      <c r="G1075" s="1"/>
      <c r="H1075" s="3" t="s">
        <v>682</v>
      </c>
    </row>
    <row r="1076" spans="1:8" x14ac:dyDescent="0.25">
      <c r="A1076" s="1" t="s">
        <v>946</v>
      </c>
      <c r="B1076" s="1" t="s">
        <v>446</v>
      </c>
      <c r="C1076" s="1" t="s">
        <v>493</v>
      </c>
      <c r="D1076" s="1" t="s">
        <v>527</v>
      </c>
      <c r="E1076" s="3" t="s">
        <v>964</v>
      </c>
      <c r="F1076" s="2" t="s">
        <v>6219</v>
      </c>
      <c r="G1076" s="1"/>
      <c r="H1076" s="3" t="s">
        <v>682</v>
      </c>
    </row>
    <row r="1077" spans="1:8" x14ac:dyDescent="0.25">
      <c r="A1077" s="1" t="s">
        <v>946</v>
      </c>
      <c r="B1077" s="1" t="s">
        <v>446</v>
      </c>
      <c r="C1077" s="1" t="s">
        <v>493</v>
      </c>
      <c r="D1077" s="1" t="s">
        <v>527</v>
      </c>
      <c r="E1077" s="3" t="s">
        <v>950</v>
      </c>
      <c r="F1077" s="2" t="s">
        <v>6220</v>
      </c>
      <c r="G1077" s="1"/>
      <c r="H1077" s="3" t="s">
        <v>63</v>
      </c>
    </row>
    <row r="1078" spans="1:8" x14ac:dyDescent="0.25">
      <c r="A1078" s="1" t="s">
        <v>946</v>
      </c>
      <c r="B1078" s="1" t="s">
        <v>446</v>
      </c>
      <c r="C1078" s="1" t="s">
        <v>493</v>
      </c>
      <c r="D1078" s="1" t="s">
        <v>527</v>
      </c>
      <c r="E1078" s="3" t="s">
        <v>947</v>
      </c>
      <c r="F1078" s="2" t="s">
        <v>6221</v>
      </c>
      <c r="G1078" s="1"/>
      <c r="H1078" s="3" t="s">
        <v>949</v>
      </c>
    </row>
    <row r="1079" spans="1:8" ht="30" x14ac:dyDescent="0.25">
      <c r="A1079" s="1" t="s">
        <v>946</v>
      </c>
      <c r="B1079" s="1" t="s">
        <v>446</v>
      </c>
      <c r="C1079" s="1" t="s">
        <v>493</v>
      </c>
      <c r="D1079" s="1" t="s">
        <v>527</v>
      </c>
      <c r="E1079" s="3" t="s">
        <v>956</v>
      </c>
      <c r="F1079" s="2" t="s">
        <v>6222</v>
      </c>
      <c r="G1079" s="1"/>
      <c r="H1079" s="3" t="s">
        <v>955</v>
      </c>
    </row>
    <row r="1080" spans="1:8" ht="30" x14ac:dyDescent="0.25">
      <c r="A1080" s="1" t="s">
        <v>946</v>
      </c>
      <c r="B1080" s="1" t="s">
        <v>446</v>
      </c>
      <c r="C1080" s="1" t="s">
        <v>493</v>
      </c>
      <c r="D1080" s="1" t="s">
        <v>527</v>
      </c>
      <c r="E1080" s="3" t="s">
        <v>953</v>
      </c>
      <c r="F1080" s="2" t="s">
        <v>6223</v>
      </c>
      <c r="G1080" s="1"/>
      <c r="H1080" s="3" t="s">
        <v>955</v>
      </c>
    </row>
    <row r="1081" spans="1:8" ht="30" x14ac:dyDescent="0.25">
      <c r="A1081" s="1" t="s">
        <v>946</v>
      </c>
      <c r="B1081" s="1" t="s">
        <v>446</v>
      </c>
      <c r="C1081" s="1" t="s">
        <v>493</v>
      </c>
      <c r="D1081" s="1" t="s">
        <v>527</v>
      </c>
      <c r="E1081" s="3" t="s">
        <v>958</v>
      </c>
      <c r="F1081" s="2" t="s">
        <v>6224</v>
      </c>
      <c r="G1081" s="1"/>
      <c r="H1081" s="3" t="s">
        <v>955</v>
      </c>
    </row>
    <row r="1082" spans="1:8" x14ac:dyDescent="0.25">
      <c r="A1082" s="1" t="s">
        <v>1684</v>
      </c>
      <c r="B1082" s="1" t="s">
        <v>457</v>
      </c>
      <c r="C1082" s="1" t="s">
        <v>1685</v>
      </c>
      <c r="D1082" s="1" t="s">
        <v>527</v>
      </c>
      <c r="E1082" s="3" t="s">
        <v>1686</v>
      </c>
      <c r="F1082" s="2" t="s">
        <v>6225</v>
      </c>
      <c r="G1082" s="1"/>
      <c r="H1082" s="3" t="s">
        <v>597</v>
      </c>
    </row>
    <row r="1083" spans="1:8" x14ac:dyDescent="0.25">
      <c r="A1083" s="1" t="s">
        <v>1684</v>
      </c>
      <c r="B1083" s="1" t="s">
        <v>457</v>
      </c>
      <c r="C1083" s="1" t="s">
        <v>1685</v>
      </c>
      <c r="D1083" s="1" t="s">
        <v>527</v>
      </c>
      <c r="E1083" s="3" t="s">
        <v>1689</v>
      </c>
      <c r="F1083" s="2" t="s">
        <v>6226</v>
      </c>
      <c r="G1083" s="1"/>
      <c r="H1083" s="3" t="s">
        <v>597</v>
      </c>
    </row>
    <row r="1084" spans="1:8" x14ac:dyDescent="0.25">
      <c r="A1084" s="1" t="s">
        <v>1684</v>
      </c>
      <c r="B1084" s="1" t="s">
        <v>457</v>
      </c>
      <c r="C1084" s="1" t="s">
        <v>1685</v>
      </c>
      <c r="D1084" s="1" t="s">
        <v>527</v>
      </c>
      <c r="E1084" s="3" t="s">
        <v>1688</v>
      </c>
      <c r="F1084" s="2" t="s">
        <v>6227</v>
      </c>
      <c r="G1084" s="1"/>
      <c r="H1084" s="3" t="s">
        <v>597</v>
      </c>
    </row>
    <row r="1085" spans="1:8" x14ac:dyDescent="0.25">
      <c r="A1085" s="1" t="s">
        <v>1684</v>
      </c>
      <c r="B1085" s="1" t="s">
        <v>457</v>
      </c>
      <c r="C1085" s="1" t="s">
        <v>1685</v>
      </c>
      <c r="D1085" s="1" t="s">
        <v>527</v>
      </c>
      <c r="E1085" s="3" t="s">
        <v>1692</v>
      </c>
      <c r="F1085" s="2" t="s">
        <v>6228</v>
      </c>
      <c r="G1085" s="1"/>
      <c r="H1085" s="3" t="s">
        <v>682</v>
      </c>
    </row>
    <row r="1086" spans="1:8" x14ac:dyDescent="0.25">
      <c r="A1086" s="1" t="s">
        <v>1684</v>
      </c>
      <c r="B1086" s="1" t="s">
        <v>457</v>
      </c>
      <c r="C1086" s="1" t="s">
        <v>1685</v>
      </c>
      <c r="D1086" s="1" t="s">
        <v>527</v>
      </c>
      <c r="E1086" s="3" t="s">
        <v>1690</v>
      </c>
      <c r="F1086" s="2" t="s">
        <v>6229</v>
      </c>
      <c r="G1086" s="1"/>
      <c r="H1086" s="3" t="s">
        <v>1691</v>
      </c>
    </row>
    <row r="1087" spans="1:8" x14ac:dyDescent="0.25">
      <c r="A1087" s="1" t="s">
        <v>61</v>
      </c>
      <c r="B1087" s="1" t="s">
        <v>457</v>
      </c>
      <c r="C1087" s="1" t="s">
        <v>543</v>
      </c>
      <c r="D1087" s="1" t="s">
        <v>527</v>
      </c>
      <c r="E1087" s="3" t="s">
        <v>2166</v>
      </c>
      <c r="F1087" s="2" t="s">
        <v>6230</v>
      </c>
      <c r="G1087" s="1" t="s">
        <v>476</v>
      </c>
      <c r="H1087" s="3" t="s">
        <v>597</v>
      </c>
    </row>
    <row r="1088" spans="1:8" x14ac:dyDescent="0.25">
      <c r="A1088" s="1" t="s">
        <v>61</v>
      </c>
      <c r="B1088" s="1" t="s">
        <v>457</v>
      </c>
      <c r="C1088" s="1" t="s">
        <v>543</v>
      </c>
      <c r="D1088" s="1" t="s">
        <v>527</v>
      </c>
      <c r="E1088" s="3" t="s">
        <v>2168</v>
      </c>
      <c r="F1088" s="2" t="s">
        <v>6231</v>
      </c>
      <c r="G1088" s="1"/>
      <c r="H1088" s="3" t="s">
        <v>63</v>
      </c>
    </row>
    <row r="1089" spans="1:8" x14ac:dyDescent="0.25">
      <c r="A1089" s="1" t="s">
        <v>61</v>
      </c>
      <c r="B1089" s="1" t="s">
        <v>457</v>
      </c>
      <c r="C1089" s="1" t="s">
        <v>543</v>
      </c>
      <c r="D1089" s="1" t="s">
        <v>527</v>
      </c>
      <c r="E1089" s="3" t="s">
        <v>2167</v>
      </c>
      <c r="F1089" s="2" t="s">
        <v>6232</v>
      </c>
      <c r="G1089" s="1" t="s">
        <v>406</v>
      </c>
      <c r="H1089" s="3" t="s">
        <v>849</v>
      </c>
    </row>
    <row r="1090" spans="1:8" x14ac:dyDescent="0.25">
      <c r="A1090" s="1" t="s">
        <v>61</v>
      </c>
      <c r="B1090" s="1" t="s">
        <v>457</v>
      </c>
      <c r="C1090" s="1" t="s">
        <v>543</v>
      </c>
      <c r="D1090" s="1" t="s">
        <v>527</v>
      </c>
      <c r="E1090" s="3" t="s">
        <v>2155</v>
      </c>
      <c r="F1090" s="2" t="s">
        <v>6233</v>
      </c>
      <c r="G1090" s="1" t="s">
        <v>406</v>
      </c>
      <c r="H1090" s="3" t="s">
        <v>407</v>
      </c>
    </row>
    <row r="1091" spans="1:8" x14ac:dyDescent="0.25">
      <c r="A1091" s="1" t="s">
        <v>61</v>
      </c>
      <c r="B1091" s="1" t="s">
        <v>457</v>
      </c>
      <c r="C1091" s="1" t="s">
        <v>543</v>
      </c>
      <c r="D1091" s="1" t="s">
        <v>527</v>
      </c>
      <c r="E1091" s="3" t="s">
        <v>2170</v>
      </c>
      <c r="F1091" s="2" t="s">
        <v>6234</v>
      </c>
      <c r="G1091" s="1" t="s">
        <v>413</v>
      </c>
      <c r="H1091" s="3" t="s">
        <v>79</v>
      </c>
    </row>
    <row r="1092" spans="1:8" x14ac:dyDescent="0.25">
      <c r="A1092" s="1" t="s">
        <v>61</v>
      </c>
      <c r="B1092" s="1" t="s">
        <v>457</v>
      </c>
      <c r="C1092" s="1" t="s">
        <v>543</v>
      </c>
      <c r="D1092" s="1" t="s">
        <v>527</v>
      </c>
      <c r="E1092" s="3" t="s">
        <v>2172</v>
      </c>
      <c r="F1092" s="2" t="s">
        <v>6235</v>
      </c>
      <c r="G1092" s="1" t="s">
        <v>413</v>
      </c>
      <c r="H1092" s="3" t="s">
        <v>79</v>
      </c>
    </row>
    <row r="1093" spans="1:8" x14ac:dyDescent="0.25">
      <c r="A1093" s="1" t="s">
        <v>61</v>
      </c>
      <c r="B1093" s="1" t="s">
        <v>457</v>
      </c>
      <c r="C1093" s="1" t="s">
        <v>543</v>
      </c>
      <c r="D1093" s="1" t="s">
        <v>527</v>
      </c>
      <c r="E1093" s="3" t="s">
        <v>2169</v>
      </c>
      <c r="F1093" s="2" t="s">
        <v>6236</v>
      </c>
      <c r="G1093" s="1" t="s">
        <v>413</v>
      </c>
      <c r="H1093" s="3" t="s">
        <v>79</v>
      </c>
    </row>
    <row r="1094" spans="1:8" x14ac:dyDescent="0.25">
      <c r="A1094" s="1" t="s">
        <v>61</v>
      </c>
      <c r="B1094" s="1" t="s">
        <v>457</v>
      </c>
      <c r="C1094" s="1" t="s">
        <v>543</v>
      </c>
      <c r="D1094" s="1" t="s">
        <v>527</v>
      </c>
      <c r="E1094" s="3" t="s">
        <v>2171</v>
      </c>
      <c r="F1094" s="2" t="s">
        <v>6237</v>
      </c>
      <c r="G1094" s="1" t="s">
        <v>413</v>
      </c>
      <c r="H1094" s="3" t="s">
        <v>79</v>
      </c>
    </row>
    <row r="1095" spans="1:8" ht="30" x14ac:dyDescent="0.25">
      <c r="A1095" s="1" t="s">
        <v>2384</v>
      </c>
      <c r="B1095" s="1" t="s">
        <v>2385</v>
      </c>
      <c r="C1095" s="1" t="s">
        <v>1685</v>
      </c>
      <c r="D1095" s="1" t="s">
        <v>527</v>
      </c>
      <c r="E1095" s="3" t="s">
        <v>2386</v>
      </c>
      <c r="F1095" s="2"/>
      <c r="G1095" s="1"/>
      <c r="H1095" s="3" t="s">
        <v>2388</v>
      </c>
    </row>
    <row r="1096" spans="1:8" x14ac:dyDescent="0.25">
      <c r="A1096" s="1" t="s">
        <v>204</v>
      </c>
      <c r="B1096" s="1" t="s">
        <v>542</v>
      </c>
      <c r="C1096" s="1" t="s">
        <v>543</v>
      </c>
      <c r="D1096" s="1" t="s">
        <v>527</v>
      </c>
      <c r="E1096" s="3" t="s">
        <v>2553</v>
      </c>
      <c r="F1096" s="2" t="s">
        <v>6238</v>
      </c>
      <c r="G1096" s="1"/>
      <c r="H1096" s="3" t="s">
        <v>2552</v>
      </c>
    </row>
    <row r="1097" spans="1:8" x14ac:dyDescent="0.25">
      <c r="A1097" s="1" t="s">
        <v>204</v>
      </c>
      <c r="B1097" s="1" t="s">
        <v>542</v>
      </c>
      <c r="C1097" s="1" t="s">
        <v>543</v>
      </c>
      <c r="D1097" s="1" t="s">
        <v>527</v>
      </c>
      <c r="E1097" s="3" t="s">
        <v>2555</v>
      </c>
      <c r="F1097" s="2" t="s">
        <v>6239</v>
      </c>
      <c r="G1097" s="1"/>
      <c r="H1097" s="3" t="s">
        <v>2552</v>
      </c>
    </row>
    <row r="1098" spans="1:8" x14ac:dyDescent="0.25">
      <c r="A1098" s="1" t="s">
        <v>204</v>
      </c>
      <c r="B1098" s="1" t="s">
        <v>542</v>
      </c>
      <c r="C1098" s="1" t="s">
        <v>543</v>
      </c>
      <c r="D1098" s="1" t="s">
        <v>527</v>
      </c>
      <c r="E1098" s="3" t="s">
        <v>2551</v>
      </c>
      <c r="F1098" s="2" t="s">
        <v>6240</v>
      </c>
      <c r="G1098" s="1"/>
      <c r="H1098" s="3" t="s">
        <v>2552</v>
      </c>
    </row>
    <row r="1099" spans="1:8" x14ac:dyDescent="0.25">
      <c r="A1099" s="1" t="s">
        <v>204</v>
      </c>
      <c r="B1099" s="1" t="s">
        <v>542</v>
      </c>
      <c r="C1099" s="1" t="s">
        <v>543</v>
      </c>
      <c r="D1099" s="1" t="s">
        <v>527</v>
      </c>
      <c r="E1099" s="3" t="s">
        <v>2556</v>
      </c>
      <c r="F1099" s="2" t="s">
        <v>6241</v>
      </c>
      <c r="G1099" s="1"/>
      <c r="H1099" s="3" t="s">
        <v>2552</v>
      </c>
    </row>
    <row r="1100" spans="1:8" x14ac:dyDescent="0.25">
      <c r="A1100" s="1" t="s">
        <v>204</v>
      </c>
      <c r="B1100" s="1" t="s">
        <v>542</v>
      </c>
      <c r="C1100" s="1" t="s">
        <v>543</v>
      </c>
      <c r="D1100" s="1" t="s">
        <v>527</v>
      </c>
      <c r="E1100" s="3" t="s">
        <v>2554</v>
      </c>
      <c r="F1100" s="2" t="s">
        <v>6242</v>
      </c>
      <c r="G1100" s="1"/>
      <c r="H1100" s="3" t="s">
        <v>2552</v>
      </c>
    </row>
    <row r="1101" spans="1:8" ht="30" x14ac:dyDescent="0.25">
      <c r="A1101" s="1" t="s">
        <v>204</v>
      </c>
      <c r="B1101" s="1" t="s">
        <v>542</v>
      </c>
      <c r="C1101" s="1" t="s">
        <v>543</v>
      </c>
      <c r="D1101" s="1" t="s">
        <v>527</v>
      </c>
      <c r="E1101" s="3" t="s">
        <v>377</v>
      </c>
      <c r="F1101" s="2"/>
      <c r="G1101" s="1"/>
      <c r="H1101" s="3" t="s">
        <v>2541</v>
      </c>
    </row>
    <row r="1102" spans="1:8" x14ac:dyDescent="0.25">
      <c r="A1102" s="1" t="s">
        <v>204</v>
      </c>
      <c r="B1102" s="1" t="s">
        <v>542</v>
      </c>
      <c r="C1102" s="1" t="s">
        <v>543</v>
      </c>
      <c r="D1102" s="1" t="s">
        <v>527</v>
      </c>
      <c r="E1102" s="3" t="s">
        <v>2546</v>
      </c>
      <c r="F1102" s="2" t="s">
        <v>6243</v>
      </c>
      <c r="G1102" s="1"/>
      <c r="H1102" s="3" t="s">
        <v>2545</v>
      </c>
    </row>
    <row r="1103" spans="1:8" x14ac:dyDescent="0.25">
      <c r="A1103" s="1" t="s">
        <v>204</v>
      </c>
      <c r="B1103" s="1" t="s">
        <v>542</v>
      </c>
      <c r="C1103" s="1" t="s">
        <v>543</v>
      </c>
      <c r="D1103" s="1" t="s">
        <v>527</v>
      </c>
      <c r="E1103" s="3" t="s">
        <v>2544</v>
      </c>
      <c r="F1103" s="2" t="s">
        <v>6244</v>
      </c>
      <c r="G1103" s="1"/>
      <c r="H1103" s="3" t="s">
        <v>2545</v>
      </c>
    </row>
    <row r="1104" spans="1:8" ht="30" x14ac:dyDescent="0.25">
      <c r="A1104" s="1" t="s">
        <v>204</v>
      </c>
      <c r="B1104" s="1" t="s">
        <v>542</v>
      </c>
      <c r="C1104" s="1" t="s">
        <v>543</v>
      </c>
      <c r="D1104" s="1" t="s">
        <v>527</v>
      </c>
      <c r="E1104" s="3" t="s">
        <v>201</v>
      </c>
      <c r="F1104" s="2" t="s">
        <v>205</v>
      </c>
      <c r="G1104" s="1" t="s">
        <v>442</v>
      </c>
      <c r="H1104" s="3" t="s">
        <v>27</v>
      </c>
    </row>
    <row r="1105" spans="1:8" x14ac:dyDescent="0.25">
      <c r="A1105" s="1" t="s">
        <v>204</v>
      </c>
      <c r="B1105" s="1" t="s">
        <v>542</v>
      </c>
      <c r="C1105" s="1" t="s">
        <v>543</v>
      </c>
      <c r="D1105" s="1" t="s">
        <v>527</v>
      </c>
      <c r="E1105" s="3" t="s">
        <v>2547</v>
      </c>
      <c r="F1105" s="2" t="s">
        <v>6245</v>
      </c>
      <c r="G1105" s="1" t="s">
        <v>406</v>
      </c>
      <c r="H1105" s="3" t="s">
        <v>2548</v>
      </c>
    </row>
    <row r="1106" spans="1:8" x14ac:dyDescent="0.25">
      <c r="A1106" s="1" t="s">
        <v>204</v>
      </c>
      <c r="B1106" s="1" t="s">
        <v>542</v>
      </c>
      <c r="C1106" s="1" t="s">
        <v>543</v>
      </c>
      <c r="D1106" s="1" t="s">
        <v>527</v>
      </c>
      <c r="E1106" s="3" t="s">
        <v>206</v>
      </c>
      <c r="F1106" s="2" t="s">
        <v>208</v>
      </c>
      <c r="G1106" s="1" t="s">
        <v>406</v>
      </c>
      <c r="H1106" s="3" t="s">
        <v>2548</v>
      </c>
    </row>
    <row r="1107" spans="1:8" ht="30" x14ac:dyDescent="0.25">
      <c r="A1107" s="1" t="s">
        <v>204</v>
      </c>
      <c r="B1107" s="1" t="s">
        <v>542</v>
      </c>
      <c r="C1107" s="1" t="s">
        <v>543</v>
      </c>
      <c r="D1107" s="1" t="s">
        <v>527</v>
      </c>
      <c r="E1107" s="3" t="s">
        <v>2550</v>
      </c>
      <c r="F1107" s="2" t="s">
        <v>6246</v>
      </c>
      <c r="G1107" s="1" t="s">
        <v>406</v>
      </c>
      <c r="H1107" s="3" t="s">
        <v>2548</v>
      </c>
    </row>
    <row r="1108" spans="1:8" x14ac:dyDescent="0.25">
      <c r="A1108" s="1" t="s">
        <v>204</v>
      </c>
      <c r="B1108" s="1" t="s">
        <v>542</v>
      </c>
      <c r="C1108" s="1" t="s">
        <v>543</v>
      </c>
      <c r="D1108" s="1" t="s">
        <v>527</v>
      </c>
      <c r="E1108" s="3" t="s">
        <v>2549</v>
      </c>
      <c r="F1108" s="2" t="s">
        <v>6247</v>
      </c>
      <c r="G1108" s="1" t="s">
        <v>406</v>
      </c>
      <c r="H1108" s="3" t="s">
        <v>2548</v>
      </c>
    </row>
    <row r="1109" spans="1:8" ht="30" x14ac:dyDescent="0.25">
      <c r="A1109" s="1" t="s">
        <v>204</v>
      </c>
      <c r="B1109" s="1" t="s">
        <v>542</v>
      </c>
      <c r="C1109" s="1" t="s">
        <v>543</v>
      </c>
      <c r="D1109" s="1" t="s">
        <v>527</v>
      </c>
      <c r="E1109" s="3" t="s">
        <v>2557</v>
      </c>
      <c r="F1109" s="2" t="s">
        <v>6248</v>
      </c>
      <c r="G1109" s="1"/>
      <c r="H1109" s="3" t="s">
        <v>2558</v>
      </c>
    </row>
    <row r="1110" spans="1:8" x14ac:dyDescent="0.25">
      <c r="A1110" s="1" t="s">
        <v>204</v>
      </c>
      <c r="B1110" s="1" t="s">
        <v>542</v>
      </c>
      <c r="C1110" s="1" t="s">
        <v>543</v>
      </c>
      <c r="D1110" s="1" t="s">
        <v>527</v>
      </c>
      <c r="E1110" s="3" t="s">
        <v>2542</v>
      </c>
      <c r="F1110" s="2" t="s">
        <v>6249</v>
      </c>
      <c r="G1110" s="1"/>
      <c r="H1110" s="3" t="s">
        <v>2543</v>
      </c>
    </row>
    <row r="1111" spans="1:8" x14ac:dyDescent="0.25">
      <c r="A1111" s="1" t="s">
        <v>2585</v>
      </c>
      <c r="B1111" s="1" t="s">
        <v>557</v>
      </c>
      <c r="C1111" s="1" t="s">
        <v>2586</v>
      </c>
      <c r="D1111" s="1" t="s">
        <v>527</v>
      </c>
      <c r="E1111" s="3" t="s">
        <v>2587</v>
      </c>
      <c r="F1111" s="2" t="s">
        <v>6250</v>
      </c>
      <c r="G1111" s="1"/>
      <c r="H1111" s="3" t="s">
        <v>682</v>
      </c>
    </row>
    <row r="1112" spans="1:8" x14ac:dyDescent="0.25">
      <c r="A1112" s="1" t="s">
        <v>4232</v>
      </c>
      <c r="B1112" s="1" t="s">
        <v>817</v>
      </c>
      <c r="C1112" s="1" t="s">
        <v>1685</v>
      </c>
      <c r="D1112" s="1" t="s">
        <v>527</v>
      </c>
      <c r="E1112" s="3"/>
      <c r="F1112" s="2"/>
      <c r="G1112" s="1"/>
      <c r="H1112" s="3"/>
    </row>
    <row r="1113" spans="1:8" x14ac:dyDescent="0.25">
      <c r="A1113" s="1" t="s">
        <v>4233</v>
      </c>
      <c r="B1113" s="1" t="s">
        <v>817</v>
      </c>
      <c r="C1113" s="1" t="s">
        <v>1685</v>
      </c>
      <c r="D1113" s="1" t="s">
        <v>527</v>
      </c>
      <c r="E1113" s="3"/>
      <c r="F1113" s="2"/>
      <c r="G1113" s="1"/>
      <c r="H1113" s="3"/>
    </row>
    <row r="1114" spans="1:8" x14ac:dyDescent="0.25">
      <c r="A1114" s="1" t="s">
        <v>3733</v>
      </c>
      <c r="B1114" s="1" t="s">
        <v>457</v>
      </c>
      <c r="C1114" s="1" t="s">
        <v>543</v>
      </c>
      <c r="D1114" s="1" t="s">
        <v>527</v>
      </c>
      <c r="E1114" s="3" t="s">
        <v>3743</v>
      </c>
      <c r="F1114" s="2" t="s">
        <v>6251</v>
      </c>
      <c r="G1114" s="1"/>
      <c r="H1114" s="3" t="s">
        <v>3736</v>
      </c>
    </row>
    <row r="1115" spans="1:8" x14ac:dyDescent="0.25">
      <c r="A1115" s="1" t="s">
        <v>3733</v>
      </c>
      <c r="B1115" s="1" t="s">
        <v>457</v>
      </c>
      <c r="C1115" s="1" t="s">
        <v>543</v>
      </c>
      <c r="D1115" s="1" t="s">
        <v>527</v>
      </c>
      <c r="E1115" s="3" t="s">
        <v>3734</v>
      </c>
      <c r="F1115" s="2" t="s">
        <v>6252</v>
      </c>
      <c r="G1115" s="1"/>
      <c r="H1115" s="3" t="s">
        <v>3736</v>
      </c>
    </row>
    <row r="1116" spans="1:8" x14ac:dyDescent="0.25">
      <c r="A1116" s="1" t="s">
        <v>3733</v>
      </c>
      <c r="B1116" s="1" t="s">
        <v>457</v>
      </c>
      <c r="C1116" s="1" t="s">
        <v>543</v>
      </c>
      <c r="D1116" s="1" t="s">
        <v>527</v>
      </c>
      <c r="E1116" s="3" t="s">
        <v>3739</v>
      </c>
      <c r="F1116" s="2" t="s">
        <v>6253</v>
      </c>
      <c r="G1116" s="1"/>
      <c r="H1116" s="3" t="s">
        <v>3736</v>
      </c>
    </row>
    <row r="1117" spans="1:8" x14ac:dyDescent="0.25">
      <c r="A1117" s="1" t="s">
        <v>3733</v>
      </c>
      <c r="B1117" s="1" t="s">
        <v>457</v>
      </c>
      <c r="C1117" s="1" t="s">
        <v>543</v>
      </c>
      <c r="D1117" s="1" t="s">
        <v>527</v>
      </c>
      <c r="E1117" s="3" t="s">
        <v>3737</v>
      </c>
      <c r="F1117" s="2" t="s">
        <v>6254</v>
      </c>
      <c r="G1117" s="1" t="s">
        <v>413</v>
      </c>
      <c r="H1117" s="3" t="s">
        <v>3736</v>
      </c>
    </row>
    <row r="1118" spans="1:8" x14ac:dyDescent="0.25">
      <c r="A1118" s="1" t="s">
        <v>3733</v>
      </c>
      <c r="B1118" s="1" t="s">
        <v>457</v>
      </c>
      <c r="C1118" s="1" t="s">
        <v>543</v>
      </c>
      <c r="D1118" s="1" t="s">
        <v>527</v>
      </c>
      <c r="E1118" s="3" t="s">
        <v>3741</v>
      </c>
      <c r="F1118" s="2" t="s">
        <v>6255</v>
      </c>
      <c r="G1118" s="1" t="s">
        <v>413</v>
      </c>
      <c r="H1118" s="3" t="s">
        <v>3736</v>
      </c>
    </row>
    <row r="1119" spans="1:8" x14ac:dyDescent="0.25">
      <c r="A1119" s="1" t="s">
        <v>259</v>
      </c>
      <c r="B1119" s="1" t="s">
        <v>465</v>
      </c>
      <c r="C1119" s="1" t="s">
        <v>543</v>
      </c>
      <c r="D1119" s="1" t="s">
        <v>527</v>
      </c>
      <c r="E1119" s="3" t="s">
        <v>3915</v>
      </c>
      <c r="F1119" s="2" t="s">
        <v>6256</v>
      </c>
      <c r="G1119" s="1"/>
      <c r="H1119" s="3" t="s">
        <v>3917</v>
      </c>
    </row>
    <row r="1120" spans="1:8" ht="30" x14ac:dyDescent="0.25">
      <c r="A1120" s="1" t="s">
        <v>259</v>
      </c>
      <c r="B1120" s="1" t="s">
        <v>465</v>
      </c>
      <c r="C1120" s="1" t="s">
        <v>543</v>
      </c>
      <c r="D1120" s="1" t="s">
        <v>527</v>
      </c>
      <c r="E1120" s="3" t="s">
        <v>3913</v>
      </c>
      <c r="F1120" s="2" t="s">
        <v>6257</v>
      </c>
      <c r="G1120" s="1"/>
      <c r="H1120" s="3" t="s">
        <v>3152</v>
      </c>
    </row>
    <row r="1121" spans="1:8" x14ac:dyDescent="0.25">
      <c r="A1121" s="1" t="s">
        <v>259</v>
      </c>
      <c r="B1121" s="1" t="s">
        <v>465</v>
      </c>
      <c r="C1121" s="1" t="s">
        <v>543</v>
      </c>
      <c r="D1121" s="1" t="s">
        <v>527</v>
      </c>
      <c r="E1121" s="3" t="s">
        <v>3918</v>
      </c>
      <c r="F1121" s="2" t="s">
        <v>6258</v>
      </c>
      <c r="G1121" s="1"/>
      <c r="H1121" s="3" t="s">
        <v>1813</v>
      </c>
    </row>
    <row r="1122" spans="1:8" ht="30" x14ac:dyDescent="0.25">
      <c r="A1122" s="1" t="s">
        <v>259</v>
      </c>
      <c r="B1122" s="1" t="s">
        <v>465</v>
      </c>
      <c r="C1122" s="1" t="s">
        <v>543</v>
      </c>
      <c r="D1122" s="1" t="s">
        <v>527</v>
      </c>
      <c r="E1122" s="3" t="s">
        <v>3920</v>
      </c>
      <c r="F1122" s="2" t="s">
        <v>6259</v>
      </c>
      <c r="G1122" s="1"/>
      <c r="H1122" s="3" t="s">
        <v>1813</v>
      </c>
    </row>
    <row r="1123" spans="1:8" x14ac:dyDescent="0.25">
      <c r="A1123" s="1" t="s">
        <v>259</v>
      </c>
      <c r="B1123" s="1" t="s">
        <v>465</v>
      </c>
      <c r="C1123" s="1" t="s">
        <v>543</v>
      </c>
      <c r="D1123" s="1" t="s">
        <v>527</v>
      </c>
      <c r="E1123" s="3" t="s">
        <v>249</v>
      </c>
      <c r="F1123" s="2" t="s">
        <v>260</v>
      </c>
      <c r="G1123" s="1"/>
      <c r="H1123" s="3" t="s">
        <v>3923</v>
      </c>
    </row>
    <row r="1124" spans="1:8" x14ac:dyDescent="0.25">
      <c r="A1124" s="1" t="s">
        <v>966</v>
      </c>
      <c r="B1124" s="1" t="s">
        <v>409</v>
      </c>
      <c r="C1124" s="1" t="s">
        <v>967</v>
      </c>
      <c r="D1124" s="1" t="s">
        <v>593</v>
      </c>
      <c r="E1124" s="3" t="s">
        <v>968</v>
      </c>
      <c r="F1124" s="2" t="s">
        <v>6260</v>
      </c>
      <c r="G1124" s="1"/>
      <c r="H1124" s="3" t="s">
        <v>970</v>
      </c>
    </row>
    <row r="1125" spans="1:8" x14ac:dyDescent="0.25">
      <c r="A1125" s="1" t="s">
        <v>966</v>
      </c>
      <c r="B1125" s="1" t="s">
        <v>409</v>
      </c>
      <c r="C1125" s="1" t="s">
        <v>967</v>
      </c>
      <c r="D1125" s="1" t="s">
        <v>593</v>
      </c>
      <c r="E1125" s="3" t="s">
        <v>974</v>
      </c>
      <c r="F1125" s="2" t="s">
        <v>6261</v>
      </c>
      <c r="G1125" s="1"/>
      <c r="H1125" s="3" t="s">
        <v>973</v>
      </c>
    </row>
    <row r="1126" spans="1:8" x14ac:dyDescent="0.25">
      <c r="A1126" s="1" t="s">
        <v>966</v>
      </c>
      <c r="B1126" s="1" t="s">
        <v>409</v>
      </c>
      <c r="C1126" s="1" t="s">
        <v>967</v>
      </c>
      <c r="D1126" s="1" t="s">
        <v>593</v>
      </c>
      <c r="E1126" s="3" t="s">
        <v>978</v>
      </c>
      <c r="F1126" s="2" t="s">
        <v>6262</v>
      </c>
      <c r="G1126" s="1"/>
      <c r="H1126" s="3" t="s">
        <v>973</v>
      </c>
    </row>
    <row r="1127" spans="1:8" x14ac:dyDescent="0.25">
      <c r="A1127" s="1" t="s">
        <v>966</v>
      </c>
      <c r="B1127" s="1" t="s">
        <v>409</v>
      </c>
      <c r="C1127" s="1" t="s">
        <v>967</v>
      </c>
      <c r="D1127" s="1" t="s">
        <v>593</v>
      </c>
      <c r="E1127" s="3" t="s">
        <v>971</v>
      </c>
      <c r="F1127" s="2" t="s">
        <v>6263</v>
      </c>
      <c r="G1127" s="1"/>
      <c r="H1127" s="3" t="s">
        <v>973</v>
      </c>
    </row>
    <row r="1128" spans="1:8" x14ac:dyDescent="0.25">
      <c r="A1128" s="1" t="s">
        <v>966</v>
      </c>
      <c r="B1128" s="1" t="s">
        <v>409</v>
      </c>
      <c r="C1128" s="1" t="s">
        <v>967</v>
      </c>
      <c r="D1128" s="1" t="s">
        <v>593</v>
      </c>
      <c r="E1128" s="3" t="s">
        <v>976</v>
      </c>
      <c r="F1128" s="2" t="s">
        <v>6264</v>
      </c>
      <c r="G1128" s="1"/>
      <c r="H1128" s="3" t="s">
        <v>973</v>
      </c>
    </row>
    <row r="1129" spans="1:8" x14ac:dyDescent="0.25">
      <c r="A1129" s="1" t="s">
        <v>3487</v>
      </c>
      <c r="B1129" s="1" t="s">
        <v>542</v>
      </c>
      <c r="C1129" s="1" t="s">
        <v>967</v>
      </c>
      <c r="D1129" s="1" t="s">
        <v>593</v>
      </c>
      <c r="E1129" s="3" t="s">
        <v>3539</v>
      </c>
      <c r="F1129" s="2" t="s">
        <v>6265</v>
      </c>
      <c r="G1129" s="1"/>
      <c r="H1129" s="3" t="s">
        <v>3536</v>
      </c>
    </row>
    <row r="1130" spans="1:8" x14ac:dyDescent="0.25">
      <c r="A1130" s="1" t="s">
        <v>3487</v>
      </c>
      <c r="B1130" s="1" t="s">
        <v>542</v>
      </c>
      <c r="C1130" s="1" t="s">
        <v>967</v>
      </c>
      <c r="D1130" s="1" t="s">
        <v>593</v>
      </c>
      <c r="E1130" s="3" t="s">
        <v>3537</v>
      </c>
      <c r="F1130" s="2" t="s">
        <v>6266</v>
      </c>
      <c r="G1130" s="1"/>
      <c r="H1130" s="3" t="s">
        <v>3536</v>
      </c>
    </row>
    <row r="1131" spans="1:8" x14ac:dyDescent="0.25">
      <c r="A1131" s="1" t="s">
        <v>3487</v>
      </c>
      <c r="B1131" s="1" t="s">
        <v>542</v>
      </c>
      <c r="C1131" s="1" t="s">
        <v>967</v>
      </c>
      <c r="D1131" s="1" t="s">
        <v>593</v>
      </c>
      <c r="E1131" s="3" t="s">
        <v>3534</v>
      </c>
      <c r="F1131" s="2" t="s">
        <v>6267</v>
      </c>
      <c r="G1131" s="1"/>
      <c r="H1131" s="3" t="s">
        <v>3536</v>
      </c>
    </row>
    <row r="1132" spans="1:8" x14ac:dyDescent="0.25">
      <c r="A1132" s="1" t="s">
        <v>3487</v>
      </c>
      <c r="B1132" s="1" t="s">
        <v>542</v>
      </c>
      <c r="C1132" s="1" t="s">
        <v>967</v>
      </c>
      <c r="D1132" s="1" t="s">
        <v>593</v>
      </c>
      <c r="E1132" s="3" t="s">
        <v>3543</v>
      </c>
      <c r="F1132" s="2" t="s">
        <v>6268</v>
      </c>
      <c r="G1132" s="1"/>
      <c r="H1132" s="3" t="s">
        <v>3536</v>
      </c>
    </row>
    <row r="1133" spans="1:8" x14ac:dyDescent="0.25">
      <c r="A1133" s="1" t="s">
        <v>3487</v>
      </c>
      <c r="B1133" s="1" t="s">
        <v>542</v>
      </c>
      <c r="C1133" s="1" t="s">
        <v>967</v>
      </c>
      <c r="D1133" s="1" t="s">
        <v>593</v>
      </c>
      <c r="E1133" s="3" t="s">
        <v>3541</v>
      </c>
      <c r="F1133" s="2" t="s">
        <v>6269</v>
      </c>
      <c r="G1133" s="1"/>
      <c r="H1133" s="3" t="s">
        <v>3536</v>
      </c>
    </row>
    <row r="1134" spans="1:8" ht="30" x14ac:dyDescent="0.25">
      <c r="A1134" s="1" t="s">
        <v>3487</v>
      </c>
      <c r="B1134" s="1" t="s">
        <v>542</v>
      </c>
      <c r="C1134" s="1" t="s">
        <v>967</v>
      </c>
      <c r="D1134" s="1" t="s">
        <v>593</v>
      </c>
      <c r="E1134" s="3" t="s">
        <v>3495</v>
      </c>
      <c r="F1134" s="2" t="s">
        <v>6270</v>
      </c>
      <c r="G1134" s="1" t="s">
        <v>406</v>
      </c>
      <c r="H1134" s="3" t="s">
        <v>3490</v>
      </c>
    </row>
    <row r="1135" spans="1:8" ht="30" x14ac:dyDescent="0.25">
      <c r="A1135" s="1" t="s">
        <v>3487</v>
      </c>
      <c r="B1135" s="1" t="s">
        <v>542</v>
      </c>
      <c r="C1135" s="1" t="s">
        <v>967</v>
      </c>
      <c r="D1135" s="1" t="s">
        <v>593</v>
      </c>
      <c r="E1135" s="3" t="s">
        <v>3488</v>
      </c>
      <c r="F1135" s="2" t="s">
        <v>6271</v>
      </c>
      <c r="G1135" s="1" t="s">
        <v>406</v>
      </c>
      <c r="H1135" s="3" t="s">
        <v>3490</v>
      </c>
    </row>
    <row r="1136" spans="1:8" ht="30" x14ac:dyDescent="0.25">
      <c r="A1136" s="1" t="s">
        <v>3487</v>
      </c>
      <c r="B1136" s="1" t="s">
        <v>542</v>
      </c>
      <c r="C1136" s="1" t="s">
        <v>967</v>
      </c>
      <c r="D1136" s="1" t="s">
        <v>593</v>
      </c>
      <c r="E1136" s="3" t="s">
        <v>3497</v>
      </c>
      <c r="F1136" s="2" t="s">
        <v>6272</v>
      </c>
      <c r="G1136" s="1"/>
      <c r="H1136" s="3" t="s">
        <v>3490</v>
      </c>
    </row>
    <row r="1137" spans="1:8" ht="30" x14ac:dyDescent="0.25">
      <c r="A1137" s="1" t="s">
        <v>3487</v>
      </c>
      <c r="B1137" s="1" t="s">
        <v>542</v>
      </c>
      <c r="C1137" s="1" t="s">
        <v>967</v>
      </c>
      <c r="D1137" s="1" t="s">
        <v>593</v>
      </c>
      <c r="E1137" s="3" t="s">
        <v>3493</v>
      </c>
      <c r="F1137" s="2" t="s">
        <v>6273</v>
      </c>
      <c r="G1137" s="1"/>
      <c r="H1137" s="3" t="s">
        <v>3490</v>
      </c>
    </row>
    <row r="1138" spans="1:8" ht="30" x14ac:dyDescent="0.25">
      <c r="A1138" s="1" t="s">
        <v>3487</v>
      </c>
      <c r="B1138" s="1" t="s">
        <v>542</v>
      </c>
      <c r="C1138" s="1" t="s">
        <v>967</v>
      </c>
      <c r="D1138" s="1" t="s">
        <v>593</v>
      </c>
      <c r="E1138" s="3" t="s">
        <v>3491</v>
      </c>
      <c r="F1138" s="2" t="s">
        <v>6274</v>
      </c>
      <c r="G1138" s="1" t="s">
        <v>406</v>
      </c>
      <c r="H1138" s="3" t="s">
        <v>3490</v>
      </c>
    </row>
    <row r="1139" spans="1:8" x14ac:dyDescent="0.25">
      <c r="A1139" s="1" t="s">
        <v>3487</v>
      </c>
      <c r="B1139" s="1" t="s">
        <v>542</v>
      </c>
      <c r="C1139" s="1" t="s">
        <v>967</v>
      </c>
      <c r="D1139" s="1" t="s">
        <v>593</v>
      </c>
      <c r="E1139" s="3" t="s">
        <v>3509</v>
      </c>
      <c r="F1139" s="2" t="s">
        <v>6275</v>
      </c>
      <c r="G1139" s="1" t="s">
        <v>406</v>
      </c>
      <c r="H1139" s="3" t="s">
        <v>597</v>
      </c>
    </row>
    <row r="1140" spans="1:8" x14ac:dyDescent="0.25">
      <c r="A1140" s="1" t="s">
        <v>3487</v>
      </c>
      <c r="B1140" s="1" t="s">
        <v>542</v>
      </c>
      <c r="C1140" s="1" t="s">
        <v>967</v>
      </c>
      <c r="D1140" s="1" t="s">
        <v>593</v>
      </c>
      <c r="E1140" s="3" t="s">
        <v>3505</v>
      </c>
      <c r="F1140" s="2" t="s">
        <v>6276</v>
      </c>
      <c r="G1140" s="1" t="s">
        <v>406</v>
      </c>
      <c r="H1140" s="3" t="s">
        <v>2657</v>
      </c>
    </row>
    <row r="1141" spans="1:8" x14ac:dyDescent="0.25">
      <c r="A1141" s="1" t="s">
        <v>3487</v>
      </c>
      <c r="B1141" s="1" t="s">
        <v>542</v>
      </c>
      <c r="C1141" s="1" t="s">
        <v>967</v>
      </c>
      <c r="D1141" s="1" t="s">
        <v>593</v>
      </c>
      <c r="E1141" s="3" t="s">
        <v>3501</v>
      </c>
      <c r="F1141" s="2" t="s">
        <v>6277</v>
      </c>
      <c r="G1141" s="1" t="s">
        <v>406</v>
      </c>
      <c r="H1141" s="3" t="s">
        <v>2657</v>
      </c>
    </row>
    <row r="1142" spans="1:8" x14ac:dyDescent="0.25">
      <c r="A1142" s="1" t="s">
        <v>3487</v>
      </c>
      <c r="B1142" s="1" t="s">
        <v>542</v>
      </c>
      <c r="C1142" s="1" t="s">
        <v>967</v>
      </c>
      <c r="D1142" s="1" t="s">
        <v>593</v>
      </c>
      <c r="E1142" s="3" t="s">
        <v>3499</v>
      </c>
      <c r="F1142" s="2" t="s">
        <v>6278</v>
      </c>
      <c r="G1142" s="1" t="s">
        <v>406</v>
      </c>
      <c r="H1142" s="3" t="s">
        <v>2657</v>
      </c>
    </row>
    <row r="1143" spans="1:8" x14ac:dyDescent="0.25">
      <c r="A1143" s="1" t="s">
        <v>3487</v>
      </c>
      <c r="B1143" s="1" t="s">
        <v>542</v>
      </c>
      <c r="C1143" s="1" t="s">
        <v>967</v>
      </c>
      <c r="D1143" s="1" t="s">
        <v>593</v>
      </c>
      <c r="E1143" s="3" t="s">
        <v>3503</v>
      </c>
      <c r="F1143" s="2" t="s">
        <v>6279</v>
      </c>
      <c r="G1143" s="1" t="s">
        <v>406</v>
      </c>
      <c r="H1143" s="3" t="s">
        <v>2657</v>
      </c>
    </row>
    <row r="1144" spans="1:8" x14ac:dyDescent="0.25">
      <c r="A1144" s="1" t="s">
        <v>3487</v>
      </c>
      <c r="B1144" s="1" t="s">
        <v>542</v>
      </c>
      <c r="C1144" s="1" t="s">
        <v>967</v>
      </c>
      <c r="D1144" s="1" t="s">
        <v>593</v>
      </c>
      <c r="E1144" s="3" t="s">
        <v>3523</v>
      </c>
      <c r="F1144" s="2" t="s">
        <v>6280</v>
      </c>
      <c r="G1144" s="1"/>
      <c r="H1144" s="3" t="s">
        <v>554</v>
      </c>
    </row>
    <row r="1145" spans="1:8" x14ac:dyDescent="0.25">
      <c r="A1145" s="1" t="s">
        <v>3487</v>
      </c>
      <c r="B1145" s="1" t="s">
        <v>542</v>
      </c>
      <c r="C1145" s="1" t="s">
        <v>967</v>
      </c>
      <c r="D1145" s="1" t="s">
        <v>593</v>
      </c>
      <c r="E1145" s="3" t="s">
        <v>3521</v>
      </c>
      <c r="F1145" s="2" t="s">
        <v>6281</v>
      </c>
      <c r="G1145" s="1"/>
      <c r="H1145" s="3" t="s">
        <v>554</v>
      </c>
    </row>
    <row r="1146" spans="1:8" x14ac:dyDescent="0.25">
      <c r="A1146" s="1" t="s">
        <v>3487</v>
      </c>
      <c r="B1146" s="1" t="s">
        <v>542</v>
      </c>
      <c r="C1146" s="1" t="s">
        <v>967</v>
      </c>
      <c r="D1146" s="1" t="s">
        <v>593</v>
      </c>
      <c r="E1146" s="3" t="s">
        <v>3525</v>
      </c>
      <c r="F1146" s="2" t="s">
        <v>6282</v>
      </c>
      <c r="G1146" s="1"/>
      <c r="H1146" s="3" t="s">
        <v>554</v>
      </c>
    </row>
    <row r="1147" spans="1:8" x14ac:dyDescent="0.25">
      <c r="A1147" s="1" t="s">
        <v>3487</v>
      </c>
      <c r="B1147" s="1" t="s">
        <v>542</v>
      </c>
      <c r="C1147" s="1" t="s">
        <v>967</v>
      </c>
      <c r="D1147" s="1" t="s">
        <v>593</v>
      </c>
      <c r="E1147" s="3" t="s">
        <v>3527</v>
      </c>
      <c r="F1147" s="2" t="s">
        <v>6283</v>
      </c>
      <c r="G1147" s="1"/>
      <c r="H1147" s="3" t="s">
        <v>554</v>
      </c>
    </row>
    <row r="1148" spans="1:8" x14ac:dyDescent="0.25">
      <c r="A1148" s="1" t="s">
        <v>3487</v>
      </c>
      <c r="B1148" s="1" t="s">
        <v>542</v>
      </c>
      <c r="C1148" s="1" t="s">
        <v>967</v>
      </c>
      <c r="D1148" s="1" t="s">
        <v>593</v>
      </c>
      <c r="E1148" s="3" t="s">
        <v>3529</v>
      </c>
      <c r="F1148" s="2" t="s">
        <v>6284</v>
      </c>
      <c r="G1148" s="1"/>
      <c r="H1148" s="3" t="s">
        <v>554</v>
      </c>
    </row>
    <row r="1149" spans="1:8" x14ac:dyDescent="0.25">
      <c r="A1149" s="1" t="s">
        <v>3487</v>
      </c>
      <c r="B1149" s="1" t="s">
        <v>542</v>
      </c>
      <c r="C1149" s="1" t="s">
        <v>967</v>
      </c>
      <c r="D1149" s="1" t="s">
        <v>593</v>
      </c>
      <c r="E1149" s="3" t="s">
        <v>3511</v>
      </c>
      <c r="F1149" s="2" t="s">
        <v>6285</v>
      </c>
      <c r="G1149" s="1" t="s">
        <v>3512</v>
      </c>
      <c r="H1149" s="3" t="s">
        <v>849</v>
      </c>
    </row>
    <row r="1150" spans="1:8" x14ac:dyDescent="0.25">
      <c r="A1150" s="1" t="s">
        <v>3487</v>
      </c>
      <c r="B1150" s="1" t="s">
        <v>542</v>
      </c>
      <c r="C1150" s="1" t="s">
        <v>967</v>
      </c>
      <c r="D1150" s="1" t="s">
        <v>593</v>
      </c>
      <c r="E1150" s="3" t="s">
        <v>3513</v>
      </c>
      <c r="F1150" s="2"/>
      <c r="G1150" s="1"/>
      <c r="H1150" s="3" t="s">
        <v>849</v>
      </c>
    </row>
    <row r="1151" spans="1:8" x14ac:dyDescent="0.25">
      <c r="A1151" s="1" t="s">
        <v>3487</v>
      </c>
      <c r="B1151" s="1" t="s">
        <v>542</v>
      </c>
      <c r="C1151" s="1" t="s">
        <v>967</v>
      </c>
      <c r="D1151" s="1" t="s">
        <v>593</v>
      </c>
      <c r="E1151" s="3" t="s">
        <v>3507</v>
      </c>
      <c r="F1151" s="2" t="s">
        <v>6286</v>
      </c>
      <c r="G1151" s="1"/>
      <c r="H1151" s="3" t="s">
        <v>2545</v>
      </c>
    </row>
    <row r="1152" spans="1:8" x14ac:dyDescent="0.25">
      <c r="A1152" s="1" t="s">
        <v>3487</v>
      </c>
      <c r="B1152" s="1" t="s">
        <v>542</v>
      </c>
      <c r="C1152" s="1" t="s">
        <v>967</v>
      </c>
      <c r="D1152" s="1" t="s">
        <v>593</v>
      </c>
      <c r="E1152" s="3" t="s">
        <v>3531</v>
      </c>
      <c r="F1152" s="2" t="s">
        <v>6287</v>
      </c>
      <c r="G1152" s="1"/>
      <c r="H1152" s="3" t="s">
        <v>3533</v>
      </c>
    </row>
    <row r="1153" spans="1:8" x14ac:dyDescent="0.25">
      <c r="A1153" s="1" t="s">
        <v>3487</v>
      </c>
      <c r="B1153" s="1" t="s">
        <v>542</v>
      </c>
      <c r="C1153" s="1" t="s">
        <v>967</v>
      </c>
      <c r="D1153" s="1" t="s">
        <v>593</v>
      </c>
      <c r="E1153" s="3" t="s">
        <v>3519</v>
      </c>
      <c r="F1153" s="2" t="s">
        <v>6288</v>
      </c>
      <c r="G1153" s="1" t="s">
        <v>406</v>
      </c>
      <c r="H1153" s="3" t="s">
        <v>3516</v>
      </c>
    </row>
    <row r="1154" spans="1:8" x14ac:dyDescent="0.25">
      <c r="A1154" s="1" t="s">
        <v>3487</v>
      </c>
      <c r="B1154" s="1" t="s">
        <v>542</v>
      </c>
      <c r="C1154" s="1" t="s">
        <v>967</v>
      </c>
      <c r="D1154" s="1" t="s">
        <v>593</v>
      </c>
      <c r="E1154" s="3" t="s">
        <v>3517</v>
      </c>
      <c r="F1154" s="2" t="s">
        <v>6289</v>
      </c>
      <c r="G1154" s="1" t="s">
        <v>406</v>
      </c>
      <c r="H1154" s="3" t="s">
        <v>3516</v>
      </c>
    </row>
    <row r="1155" spans="1:8" x14ac:dyDescent="0.25">
      <c r="A1155" s="1" t="s">
        <v>3487</v>
      </c>
      <c r="B1155" s="1" t="s">
        <v>542</v>
      </c>
      <c r="C1155" s="1" t="s">
        <v>967</v>
      </c>
      <c r="D1155" s="1" t="s">
        <v>593</v>
      </c>
      <c r="E1155" s="3" t="s">
        <v>3514</v>
      </c>
      <c r="F1155" s="2" t="s">
        <v>6290</v>
      </c>
      <c r="G1155" s="1" t="s">
        <v>406</v>
      </c>
      <c r="H1155" s="3" t="s">
        <v>3516</v>
      </c>
    </row>
    <row r="1156" spans="1:8" x14ac:dyDescent="0.25">
      <c r="A1156" s="1" t="s">
        <v>4252</v>
      </c>
      <c r="B1156" s="1" t="s">
        <v>4253</v>
      </c>
      <c r="C1156" s="1" t="s">
        <v>4254</v>
      </c>
      <c r="D1156" s="1" t="s">
        <v>435</v>
      </c>
      <c r="E1156" s="3"/>
      <c r="F1156" s="2"/>
      <c r="G1156" s="1"/>
      <c r="H1156" s="3"/>
    </row>
    <row r="1157" spans="1:8" x14ac:dyDescent="0.25">
      <c r="A1157" s="1" t="s">
        <v>4236</v>
      </c>
      <c r="B1157" s="1" t="s">
        <v>421</v>
      </c>
      <c r="C1157" s="1" t="s">
        <v>3716</v>
      </c>
      <c r="D1157" s="1" t="s">
        <v>571</v>
      </c>
      <c r="E1157" s="3"/>
      <c r="F1157" s="2"/>
      <c r="G1157" s="1"/>
      <c r="H1157" s="3"/>
    </row>
    <row r="1158" spans="1:8" x14ac:dyDescent="0.25">
      <c r="A1158" s="1" t="s">
        <v>4244</v>
      </c>
      <c r="B1158" s="1" t="s">
        <v>515</v>
      </c>
      <c r="C1158" s="1" t="s">
        <v>4195</v>
      </c>
      <c r="D1158" s="1" t="s">
        <v>571</v>
      </c>
      <c r="E1158" s="3"/>
      <c r="F1158" s="2"/>
      <c r="G1158" s="1"/>
      <c r="H1158" s="3"/>
    </row>
    <row r="1159" spans="1:8" x14ac:dyDescent="0.25">
      <c r="A1159" s="1" t="s">
        <v>4194</v>
      </c>
      <c r="B1159" s="1" t="s">
        <v>3631</v>
      </c>
      <c r="C1159" s="1" t="s">
        <v>4195</v>
      </c>
      <c r="D1159" s="1" t="s">
        <v>571</v>
      </c>
      <c r="E1159" s="3" t="s">
        <v>4196</v>
      </c>
      <c r="F1159" s="2" t="s">
        <v>6291</v>
      </c>
      <c r="G1159" s="1"/>
      <c r="H1159" s="3" t="s">
        <v>4198</v>
      </c>
    </row>
    <row r="1160" spans="1:8" x14ac:dyDescent="0.25">
      <c r="A1160" s="1" t="s">
        <v>4194</v>
      </c>
      <c r="B1160" s="1" t="s">
        <v>3631</v>
      </c>
      <c r="C1160" s="1" t="s">
        <v>4195</v>
      </c>
      <c r="D1160" s="1" t="s">
        <v>571</v>
      </c>
      <c r="E1160" s="3" t="s">
        <v>4199</v>
      </c>
      <c r="F1160" s="2" t="s">
        <v>6292</v>
      </c>
      <c r="G1160" s="1"/>
      <c r="H1160" s="3" t="s">
        <v>4198</v>
      </c>
    </row>
    <row r="1161" spans="1:8" x14ac:dyDescent="0.25">
      <c r="A1161" s="1" t="s">
        <v>4194</v>
      </c>
      <c r="B1161" s="1" t="s">
        <v>3631</v>
      </c>
      <c r="C1161" s="1" t="s">
        <v>4195</v>
      </c>
      <c r="D1161" s="1" t="s">
        <v>571</v>
      </c>
      <c r="E1161" s="3" t="s">
        <v>4201</v>
      </c>
      <c r="F1161" s="2" t="s">
        <v>6293</v>
      </c>
      <c r="G1161" s="1"/>
      <c r="H1161" s="3" t="s">
        <v>4198</v>
      </c>
    </row>
    <row r="1162" spans="1:8" x14ac:dyDescent="0.25">
      <c r="A1162" s="1" t="s">
        <v>4205</v>
      </c>
      <c r="B1162" s="1" t="s">
        <v>542</v>
      </c>
      <c r="C1162" s="1" t="s">
        <v>416</v>
      </c>
      <c r="D1162" s="1" t="s">
        <v>4206</v>
      </c>
      <c r="E1162" s="3"/>
      <c r="F1162" s="2"/>
      <c r="G1162" s="1"/>
      <c r="H1162" s="3"/>
    </row>
    <row r="1163" spans="1:8" x14ac:dyDescent="0.25">
      <c r="A1163" s="1" t="s">
        <v>4250</v>
      </c>
      <c r="B1163" s="1" t="s">
        <v>457</v>
      </c>
      <c r="C1163" s="1" t="s">
        <v>3717</v>
      </c>
      <c r="D1163" s="1" t="s">
        <v>548</v>
      </c>
      <c r="E1163" s="3"/>
      <c r="F1163" s="2"/>
      <c r="G1163" s="1"/>
      <c r="H1163" s="3"/>
    </row>
    <row r="1164" spans="1:8" x14ac:dyDescent="0.25">
      <c r="A1164" s="1" t="s">
        <v>4231</v>
      </c>
      <c r="B1164" s="1" t="s">
        <v>603</v>
      </c>
      <c r="C1164" s="1" t="s">
        <v>4223</v>
      </c>
      <c r="D1164" s="1" t="s">
        <v>2003</v>
      </c>
      <c r="E1164" s="3"/>
      <c r="F1164" s="2"/>
      <c r="G1164" s="1"/>
      <c r="H1164" s="3"/>
    </row>
    <row r="1165" spans="1:8" x14ac:dyDescent="0.25">
      <c r="A1165" s="1" t="s">
        <v>3319</v>
      </c>
      <c r="B1165" s="1" t="s">
        <v>418</v>
      </c>
      <c r="C1165" s="1" t="s">
        <v>505</v>
      </c>
      <c r="D1165" s="1" t="s">
        <v>2936</v>
      </c>
      <c r="E1165" s="3" t="s">
        <v>3320</v>
      </c>
      <c r="F1165" s="2" t="s">
        <v>6294</v>
      </c>
      <c r="G1165" s="1"/>
      <c r="H1165" s="3" t="s">
        <v>79</v>
      </c>
    </row>
    <row r="1166" spans="1:8" ht="30" x14ac:dyDescent="0.25">
      <c r="A1166" s="1" t="s">
        <v>2811</v>
      </c>
      <c r="B1166" s="1" t="s">
        <v>424</v>
      </c>
      <c r="C1166" s="1" t="s">
        <v>2812</v>
      </c>
      <c r="D1166" s="1" t="s">
        <v>893</v>
      </c>
      <c r="E1166" s="3" t="s">
        <v>2813</v>
      </c>
      <c r="F1166" s="2" t="s">
        <v>6295</v>
      </c>
      <c r="G1166" s="1" t="s">
        <v>413</v>
      </c>
      <c r="H1166" s="3" t="s">
        <v>2815</v>
      </c>
    </row>
    <row r="1167" spans="1:8" x14ac:dyDescent="0.25">
      <c r="A1167" s="1" t="s">
        <v>2811</v>
      </c>
      <c r="B1167" s="1" t="s">
        <v>424</v>
      </c>
      <c r="C1167" s="1" t="s">
        <v>2812</v>
      </c>
      <c r="D1167" s="1" t="s">
        <v>893</v>
      </c>
      <c r="E1167" s="3" t="s">
        <v>2816</v>
      </c>
      <c r="F1167" s="2" t="s">
        <v>6296</v>
      </c>
      <c r="G1167" s="1"/>
      <c r="H1167" s="3" t="s">
        <v>554</v>
      </c>
    </row>
    <row r="1168" spans="1:8" x14ac:dyDescent="0.25">
      <c r="A1168" s="1" t="s">
        <v>2811</v>
      </c>
      <c r="B1168" s="1" t="s">
        <v>424</v>
      </c>
      <c r="C1168" s="1" t="s">
        <v>2812</v>
      </c>
      <c r="D1168" s="1" t="s">
        <v>893</v>
      </c>
      <c r="E1168" s="3" t="s">
        <v>2813</v>
      </c>
      <c r="F1168" s="2" t="s">
        <v>6297</v>
      </c>
      <c r="G1168" s="1"/>
      <c r="H1168" s="3" t="s">
        <v>554</v>
      </c>
    </row>
    <row r="1169" spans="1:8" x14ac:dyDescent="0.25">
      <c r="A1169" s="1" t="s">
        <v>2811</v>
      </c>
      <c r="B1169" s="1" t="s">
        <v>424</v>
      </c>
      <c r="C1169" s="1" t="s">
        <v>2812</v>
      </c>
      <c r="D1169" s="1" t="s">
        <v>893</v>
      </c>
      <c r="E1169" s="3" t="s">
        <v>2819</v>
      </c>
      <c r="F1169" s="2" t="s">
        <v>6298</v>
      </c>
      <c r="G1169" s="1"/>
      <c r="H1169" s="3" t="s">
        <v>554</v>
      </c>
    </row>
    <row r="1170" spans="1:8" x14ac:dyDescent="0.25">
      <c r="A1170" s="1" t="s">
        <v>1602</v>
      </c>
      <c r="B1170" s="1" t="s">
        <v>418</v>
      </c>
      <c r="C1170" s="1" t="s">
        <v>1603</v>
      </c>
      <c r="D1170" s="1" t="s">
        <v>1604</v>
      </c>
      <c r="E1170" s="3" t="s">
        <v>1608</v>
      </c>
      <c r="F1170" s="2" t="s">
        <v>6299</v>
      </c>
      <c r="G1170" s="1"/>
      <c r="H1170" s="3" t="s">
        <v>682</v>
      </c>
    </row>
    <row r="1171" spans="1:8" x14ac:dyDescent="0.25">
      <c r="A1171" s="1" t="s">
        <v>1602</v>
      </c>
      <c r="B1171" s="1" t="s">
        <v>418</v>
      </c>
      <c r="C1171" s="1" t="s">
        <v>1603</v>
      </c>
      <c r="D1171" s="1" t="s">
        <v>1604</v>
      </c>
      <c r="E1171" s="3" t="s">
        <v>1605</v>
      </c>
      <c r="F1171" s="2" t="s">
        <v>6300</v>
      </c>
      <c r="G1171" s="1"/>
      <c r="H1171" s="3" t="s">
        <v>1607</v>
      </c>
    </row>
    <row r="1172" spans="1:8" x14ac:dyDescent="0.25">
      <c r="A1172" s="1" t="s">
        <v>2282</v>
      </c>
      <c r="B1172" s="1" t="s">
        <v>557</v>
      </c>
      <c r="C1172" s="1" t="s">
        <v>1603</v>
      </c>
      <c r="D1172" s="1" t="s">
        <v>1604</v>
      </c>
      <c r="E1172" s="3" t="s">
        <v>2293</v>
      </c>
      <c r="F1172" s="2" t="s">
        <v>6301</v>
      </c>
      <c r="G1172" s="1"/>
      <c r="H1172" s="3" t="s">
        <v>682</v>
      </c>
    </row>
    <row r="1173" spans="1:8" x14ac:dyDescent="0.25">
      <c r="A1173" s="1" t="s">
        <v>2282</v>
      </c>
      <c r="B1173" s="1" t="s">
        <v>557</v>
      </c>
      <c r="C1173" s="1" t="s">
        <v>1603</v>
      </c>
      <c r="D1173" s="1" t="s">
        <v>1604</v>
      </c>
      <c r="E1173" s="3" t="s">
        <v>2295</v>
      </c>
      <c r="F1173" s="2" t="s">
        <v>6302</v>
      </c>
      <c r="G1173" s="1"/>
      <c r="H1173" s="3" t="s">
        <v>682</v>
      </c>
    </row>
    <row r="1174" spans="1:8" x14ac:dyDescent="0.25">
      <c r="A1174" s="1" t="s">
        <v>2282</v>
      </c>
      <c r="B1174" s="1" t="s">
        <v>557</v>
      </c>
      <c r="C1174" s="1" t="s">
        <v>1603</v>
      </c>
      <c r="D1174" s="1" t="s">
        <v>1604</v>
      </c>
      <c r="E1174" s="3" t="s">
        <v>2291</v>
      </c>
      <c r="F1174" s="2" t="s">
        <v>6303</v>
      </c>
      <c r="G1174" s="1"/>
      <c r="H1174" s="3" t="s">
        <v>63</v>
      </c>
    </row>
    <row r="1175" spans="1:8" x14ac:dyDescent="0.25">
      <c r="A1175" s="1" t="s">
        <v>2282</v>
      </c>
      <c r="B1175" s="1" t="s">
        <v>557</v>
      </c>
      <c r="C1175" s="1" t="s">
        <v>1603</v>
      </c>
      <c r="D1175" s="1" t="s">
        <v>1604</v>
      </c>
      <c r="E1175" s="3" t="s">
        <v>2286</v>
      </c>
      <c r="F1175" s="2" t="s">
        <v>6304</v>
      </c>
      <c r="G1175" s="1"/>
      <c r="H1175" s="3" t="s">
        <v>2285</v>
      </c>
    </row>
    <row r="1176" spans="1:8" x14ac:dyDescent="0.25">
      <c r="A1176" s="1" t="s">
        <v>2282</v>
      </c>
      <c r="B1176" s="1" t="s">
        <v>557</v>
      </c>
      <c r="C1176" s="1" t="s">
        <v>1603</v>
      </c>
      <c r="D1176" s="1" t="s">
        <v>1604</v>
      </c>
      <c r="E1176" s="3" t="s">
        <v>2283</v>
      </c>
      <c r="F1176" s="2" t="s">
        <v>6305</v>
      </c>
      <c r="G1176" s="1"/>
      <c r="H1176" s="3" t="s">
        <v>2285</v>
      </c>
    </row>
    <row r="1177" spans="1:8" ht="30" x14ac:dyDescent="0.25">
      <c r="A1177" s="1" t="s">
        <v>2282</v>
      </c>
      <c r="B1177" s="1" t="s">
        <v>557</v>
      </c>
      <c r="C1177" s="1" t="s">
        <v>1603</v>
      </c>
      <c r="D1177" s="1" t="s">
        <v>1604</v>
      </c>
      <c r="E1177" s="3" t="s">
        <v>2288</v>
      </c>
      <c r="F1177" s="2" t="s">
        <v>6306</v>
      </c>
      <c r="G1177" s="1" t="s">
        <v>442</v>
      </c>
      <c r="H1177" s="3" t="s">
        <v>2290</v>
      </c>
    </row>
    <row r="1178" spans="1:8" x14ac:dyDescent="0.25">
      <c r="A1178" s="1" t="s">
        <v>278</v>
      </c>
      <c r="B1178" s="1" t="s">
        <v>414</v>
      </c>
      <c r="C1178" s="1" t="s">
        <v>449</v>
      </c>
      <c r="D1178" s="1" t="s">
        <v>521</v>
      </c>
      <c r="E1178" s="3" t="s">
        <v>274</v>
      </c>
      <c r="F1178" s="2" t="s">
        <v>279</v>
      </c>
      <c r="G1178" s="1" t="s">
        <v>406</v>
      </c>
      <c r="H1178" s="3" t="s">
        <v>3272</v>
      </c>
    </row>
    <row r="1179" spans="1:8" ht="30" x14ac:dyDescent="0.25">
      <c r="A1179" s="1" t="s">
        <v>278</v>
      </c>
      <c r="B1179" s="1" t="s">
        <v>414</v>
      </c>
      <c r="C1179" s="1" t="s">
        <v>449</v>
      </c>
      <c r="D1179" s="1" t="s">
        <v>521</v>
      </c>
      <c r="E1179" s="3" t="s">
        <v>3278</v>
      </c>
      <c r="F1179" s="2" t="s">
        <v>6307</v>
      </c>
      <c r="G1179" s="1"/>
      <c r="H1179" s="3" t="s">
        <v>3277</v>
      </c>
    </row>
    <row r="1180" spans="1:8" ht="30" x14ac:dyDescent="0.25">
      <c r="A1180" s="1" t="s">
        <v>278</v>
      </c>
      <c r="B1180" s="1" t="s">
        <v>414</v>
      </c>
      <c r="C1180" s="1" t="s">
        <v>449</v>
      </c>
      <c r="D1180" s="1" t="s">
        <v>521</v>
      </c>
      <c r="E1180" s="3" t="s">
        <v>3280</v>
      </c>
      <c r="F1180" s="2" t="s">
        <v>6308</v>
      </c>
      <c r="G1180" s="1"/>
      <c r="H1180" s="3" t="s">
        <v>3277</v>
      </c>
    </row>
    <row r="1181" spans="1:8" ht="30" x14ac:dyDescent="0.25">
      <c r="A1181" s="1" t="s">
        <v>278</v>
      </c>
      <c r="B1181" s="1" t="s">
        <v>414</v>
      </c>
      <c r="C1181" s="1" t="s">
        <v>449</v>
      </c>
      <c r="D1181" s="1" t="s">
        <v>521</v>
      </c>
      <c r="E1181" s="3" t="s">
        <v>3275</v>
      </c>
      <c r="F1181" s="2" t="s">
        <v>6309</v>
      </c>
      <c r="G1181" s="1"/>
      <c r="H1181" s="3" t="s">
        <v>3277</v>
      </c>
    </row>
    <row r="1182" spans="1:8" ht="30" x14ac:dyDescent="0.25">
      <c r="A1182" s="1" t="s">
        <v>278</v>
      </c>
      <c r="B1182" s="1" t="s">
        <v>414</v>
      </c>
      <c r="C1182" s="1" t="s">
        <v>449</v>
      </c>
      <c r="D1182" s="1" t="s">
        <v>521</v>
      </c>
      <c r="E1182" s="3" t="s">
        <v>3269</v>
      </c>
      <c r="F1182" s="2" t="s">
        <v>6310</v>
      </c>
      <c r="G1182" s="1"/>
      <c r="H1182" s="3" t="s">
        <v>2670</v>
      </c>
    </row>
    <row r="1183" spans="1:8" ht="30" x14ac:dyDescent="0.25">
      <c r="A1183" s="1" t="s">
        <v>278</v>
      </c>
      <c r="B1183" s="1" t="s">
        <v>414</v>
      </c>
      <c r="C1183" s="1" t="s">
        <v>449</v>
      </c>
      <c r="D1183" s="1" t="s">
        <v>521</v>
      </c>
      <c r="E1183" s="3" t="s">
        <v>3267</v>
      </c>
      <c r="F1183" s="2" t="s">
        <v>6311</v>
      </c>
      <c r="G1183" s="1"/>
      <c r="H1183" s="3" t="s">
        <v>2670</v>
      </c>
    </row>
    <row r="1184" spans="1:8" x14ac:dyDescent="0.25">
      <c r="A1184" s="1" t="s">
        <v>278</v>
      </c>
      <c r="B1184" s="1" t="s">
        <v>414</v>
      </c>
      <c r="C1184" s="1" t="s">
        <v>449</v>
      </c>
      <c r="D1184" s="1" t="s">
        <v>521</v>
      </c>
      <c r="E1184" s="3" t="s">
        <v>377</v>
      </c>
      <c r="F1184" s="2"/>
      <c r="G1184" s="1"/>
      <c r="H1184" s="3" t="s">
        <v>3266</v>
      </c>
    </row>
    <row r="1185" spans="1:8" x14ac:dyDescent="0.25">
      <c r="A1185" s="1" t="s">
        <v>278</v>
      </c>
      <c r="B1185" s="1" t="s">
        <v>414</v>
      </c>
      <c r="C1185" s="1" t="s">
        <v>449</v>
      </c>
      <c r="D1185" s="1" t="s">
        <v>521</v>
      </c>
      <c r="E1185" s="3" t="s">
        <v>3273</v>
      </c>
      <c r="F1185" s="2" t="s">
        <v>6312</v>
      </c>
      <c r="G1185" s="1"/>
      <c r="H1185" s="3" t="s">
        <v>658</v>
      </c>
    </row>
    <row r="1186" spans="1:8" x14ac:dyDescent="0.25">
      <c r="A1186" s="1" t="s">
        <v>159</v>
      </c>
      <c r="B1186" s="1" t="s">
        <v>446</v>
      </c>
      <c r="C1186" s="1" t="s">
        <v>449</v>
      </c>
      <c r="D1186" s="1" t="s">
        <v>521</v>
      </c>
      <c r="E1186" s="3" t="s">
        <v>4024</v>
      </c>
      <c r="F1186" s="2" t="s">
        <v>6313</v>
      </c>
      <c r="G1186" s="1"/>
      <c r="H1186" s="3" t="s">
        <v>682</v>
      </c>
    </row>
    <row r="1187" spans="1:8" x14ac:dyDescent="0.25">
      <c r="A1187" s="1" t="s">
        <v>159</v>
      </c>
      <c r="B1187" s="1" t="s">
        <v>446</v>
      </c>
      <c r="C1187" s="1" t="s">
        <v>449</v>
      </c>
      <c r="D1187" s="1" t="s">
        <v>521</v>
      </c>
      <c r="E1187" s="3" t="s">
        <v>359</v>
      </c>
      <c r="F1187" s="2" t="s">
        <v>361</v>
      </c>
      <c r="G1187" s="1" t="s">
        <v>413</v>
      </c>
      <c r="H1187" s="3" t="s">
        <v>4021</v>
      </c>
    </row>
    <row r="1188" spans="1:8" x14ac:dyDescent="0.25">
      <c r="A1188" s="1" t="s">
        <v>159</v>
      </c>
      <c r="B1188" s="1" t="s">
        <v>446</v>
      </c>
      <c r="C1188" s="1" t="s">
        <v>449</v>
      </c>
      <c r="D1188" s="1" t="s">
        <v>521</v>
      </c>
      <c r="E1188" s="3" t="s">
        <v>4022</v>
      </c>
      <c r="F1188" s="2" t="s">
        <v>6314</v>
      </c>
      <c r="G1188" s="1" t="s">
        <v>442</v>
      </c>
      <c r="H1188" s="3" t="s">
        <v>4021</v>
      </c>
    </row>
    <row r="1189" spans="1:8" x14ac:dyDescent="0.25">
      <c r="A1189" s="1" t="s">
        <v>159</v>
      </c>
      <c r="B1189" s="1" t="s">
        <v>446</v>
      </c>
      <c r="C1189" s="1" t="s">
        <v>449</v>
      </c>
      <c r="D1189" s="1" t="s">
        <v>521</v>
      </c>
      <c r="E1189" s="3" t="s">
        <v>223</v>
      </c>
      <c r="F1189" s="2" t="s">
        <v>226</v>
      </c>
      <c r="G1189" s="1"/>
      <c r="H1189" s="3" t="s">
        <v>4019</v>
      </c>
    </row>
    <row r="1190" spans="1:8" x14ac:dyDescent="0.25">
      <c r="A1190" s="1" t="s">
        <v>159</v>
      </c>
      <c r="B1190" s="1" t="s">
        <v>446</v>
      </c>
      <c r="C1190" s="1" t="s">
        <v>449</v>
      </c>
      <c r="D1190" s="1" t="s">
        <v>521</v>
      </c>
      <c r="E1190" s="3" t="s">
        <v>156</v>
      </c>
      <c r="F1190" s="2" t="s">
        <v>160</v>
      </c>
      <c r="G1190" s="1" t="s">
        <v>406</v>
      </c>
      <c r="H1190" s="3" t="s">
        <v>4017</v>
      </c>
    </row>
    <row r="1191" spans="1:8" x14ac:dyDescent="0.25">
      <c r="A1191" s="1" t="s">
        <v>4222</v>
      </c>
      <c r="B1191" s="1" t="s">
        <v>465</v>
      </c>
      <c r="C1191" s="1" t="s">
        <v>4223</v>
      </c>
      <c r="D1191" s="1" t="s">
        <v>2183</v>
      </c>
      <c r="E1191" s="3"/>
      <c r="F1191" s="2"/>
      <c r="G1191" s="1"/>
      <c r="H1191" s="3"/>
    </row>
    <row r="1192" spans="1:8" x14ac:dyDescent="0.25">
      <c r="A1192" s="1" t="s">
        <v>3056</v>
      </c>
      <c r="B1192" s="1" t="s">
        <v>457</v>
      </c>
      <c r="C1192" s="1" t="s">
        <v>3057</v>
      </c>
      <c r="D1192" s="1" t="s">
        <v>2183</v>
      </c>
      <c r="E1192" s="3" t="s">
        <v>3060</v>
      </c>
      <c r="F1192" s="2" t="s">
        <v>6315</v>
      </c>
      <c r="G1192" s="1"/>
      <c r="H1192" s="3" t="s">
        <v>682</v>
      </c>
    </row>
    <row r="1193" spans="1:8" x14ac:dyDescent="0.25">
      <c r="A1193" s="1" t="s">
        <v>3056</v>
      </c>
      <c r="B1193" s="1" t="s">
        <v>457</v>
      </c>
      <c r="C1193" s="1" t="s">
        <v>3057</v>
      </c>
      <c r="D1193" s="1" t="s">
        <v>2183</v>
      </c>
      <c r="E1193" s="3" t="s">
        <v>3059</v>
      </c>
      <c r="F1193" s="2" t="s">
        <v>6316</v>
      </c>
      <c r="G1193" s="1"/>
      <c r="H1193" s="3" t="s">
        <v>1204</v>
      </c>
    </row>
    <row r="1194" spans="1:8" x14ac:dyDescent="0.25">
      <c r="A1194" s="1" t="s">
        <v>3056</v>
      </c>
      <c r="B1194" s="1" t="s">
        <v>457</v>
      </c>
      <c r="C1194" s="1" t="s">
        <v>3057</v>
      </c>
      <c r="D1194" s="1" t="s">
        <v>2183</v>
      </c>
      <c r="E1194" s="3" t="s">
        <v>3058</v>
      </c>
      <c r="F1194" s="2" t="s">
        <v>6317</v>
      </c>
      <c r="G1194" s="1"/>
      <c r="H1194" s="3" t="s">
        <v>1204</v>
      </c>
    </row>
    <row r="1195" spans="1:8" ht="30" x14ac:dyDescent="0.25">
      <c r="A1195" s="1" t="s">
        <v>1060</v>
      </c>
      <c r="B1195" s="1" t="s">
        <v>457</v>
      </c>
      <c r="C1195" s="1" t="s">
        <v>505</v>
      </c>
      <c r="D1195" s="1" t="s">
        <v>451</v>
      </c>
      <c r="E1195" s="3" t="s">
        <v>1061</v>
      </c>
      <c r="F1195" s="2" t="s">
        <v>6318</v>
      </c>
      <c r="G1195" s="1" t="s">
        <v>1062</v>
      </c>
      <c r="H1195" s="3" t="s">
        <v>1064</v>
      </c>
    </row>
    <row r="1196" spans="1:8" x14ac:dyDescent="0.25">
      <c r="A1196" s="1" t="s">
        <v>1097</v>
      </c>
      <c r="B1196" s="1" t="s">
        <v>460</v>
      </c>
      <c r="C1196" s="1" t="s">
        <v>1098</v>
      </c>
      <c r="D1196" s="1" t="s">
        <v>523</v>
      </c>
      <c r="E1196" s="3" t="s">
        <v>1099</v>
      </c>
      <c r="F1196" s="2"/>
      <c r="G1196" s="1"/>
      <c r="H1196" s="3" t="s">
        <v>1101</v>
      </c>
    </row>
    <row r="1197" spans="1:8" x14ac:dyDescent="0.25">
      <c r="A1197" s="1" t="s">
        <v>1097</v>
      </c>
      <c r="B1197" s="1" t="s">
        <v>460</v>
      </c>
      <c r="C1197" s="1" t="s">
        <v>1098</v>
      </c>
      <c r="D1197" s="1" t="s">
        <v>523</v>
      </c>
      <c r="E1197" s="3" t="s">
        <v>1102</v>
      </c>
      <c r="F1197" s="2"/>
      <c r="G1197" s="1"/>
      <c r="H1197" s="3" t="s">
        <v>1101</v>
      </c>
    </row>
    <row r="1198" spans="1:8" x14ac:dyDescent="0.25">
      <c r="A1198" s="1" t="s">
        <v>1755</v>
      </c>
      <c r="B1198" s="1" t="s">
        <v>446</v>
      </c>
      <c r="C1198" s="1" t="s">
        <v>428</v>
      </c>
      <c r="D1198" s="1" t="s">
        <v>523</v>
      </c>
      <c r="E1198" s="3" t="s">
        <v>1758</v>
      </c>
      <c r="F1198" s="2" t="s">
        <v>6319</v>
      </c>
      <c r="G1198" s="1"/>
      <c r="H1198" s="3" t="s">
        <v>682</v>
      </c>
    </row>
    <row r="1199" spans="1:8" x14ac:dyDescent="0.25">
      <c r="A1199" s="1" t="s">
        <v>1755</v>
      </c>
      <c r="B1199" s="1" t="s">
        <v>446</v>
      </c>
      <c r="C1199" s="1" t="s">
        <v>428</v>
      </c>
      <c r="D1199" s="1" t="s">
        <v>523</v>
      </c>
      <c r="E1199" s="3" t="s">
        <v>1757</v>
      </c>
      <c r="F1199" s="2" t="s">
        <v>6320</v>
      </c>
      <c r="G1199" s="1"/>
      <c r="H1199" s="3" t="s">
        <v>1204</v>
      </c>
    </row>
    <row r="1200" spans="1:8" x14ac:dyDescent="0.25">
      <c r="A1200" s="1" t="s">
        <v>1755</v>
      </c>
      <c r="B1200" s="1" t="s">
        <v>446</v>
      </c>
      <c r="C1200" s="1" t="s">
        <v>428</v>
      </c>
      <c r="D1200" s="1" t="s">
        <v>523</v>
      </c>
      <c r="E1200" s="3" t="s">
        <v>1756</v>
      </c>
      <c r="F1200" s="2" t="s">
        <v>6321</v>
      </c>
      <c r="G1200" s="1"/>
      <c r="H1200" s="3" t="s">
        <v>1204</v>
      </c>
    </row>
    <row r="1201" spans="1:8" ht="30" x14ac:dyDescent="0.25">
      <c r="A1201" s="1" t="s">
        <v>167</v>
      </c>
      <c r="B1201" s="1" t="s">
        <v>522</v>
      </c>
      <c r="C1201" s="1" t="s">
        <v>513</v>
      </c>
      <c r="D1201" s="1" t="s">
        <v>523</v>
      </c>
      <c r="E1201" s="3" t="s">
        <v>165</v>
      </c>
      <c r="F1201" s="2"/>
      <c r="G1201" s="1"/>
      <c r="H1201" s="3" t="s">
        <v>2062</v>
      </c>
    </row>
    <row r="1202" spans="1:8" ht="30" x14ac:dyDescent="0.25">
      <c r="A1202" s="1" t="s">
        <v>167</v>
      </c>
      <c r="B1202" s="1" t="s">
        <v>522</v>
      </c>
      <c r="C1202" s="1" t="s">
        <v>513</v>
      </c>
      <c r="D1202" s="1" t="s">
        <v>523</v>
      </c>
      <c r="E1202" s="3" t="s">
        <v>2069</v>
      </c>
      <c r="F1202" s="2" t="s">
        <v>6322</v>
      </c>
      <c r="G1202" s="1"/>
      <c r="H1202" s="3" t="s">
        <v>2068</v>
      </c>
    </row>
    <row r="1203" spans="1:8" ht="30" x14ac:dyDescent="0.25">
      <c r="A1203" s="1" t="s">
        <v>167</v>
      </c>
      <c r="B1203" s="1" t="s">
        <v>522</v>
      </c>
      <c r="C1203" s="1" t="s">
        <v>513</v>
      </c>
      <c r="D1203" s="1" t="s">
        <v>523</v>
      </c>
      <c r="E1203" s="3" t="s">
        <v>2066</v>
      </c>
      <c r="F1203" s="2" t="s">
        <v>6323</v>
      </c>
      <c r="G1203" s="1"/>
      <c r="H1203" s="3" t="s">
        <v>2068</v>
      </c>
    </row>
    <row r="1204" spans="1:8" ht="30" x14ac:dyDescent="0.25">
      <c r="A1204" s="1" t="s">
        <v>167</v>
      </c>
      <c r="B1204" s="1" t="s">
        <v>522</v>
      </c>
      <c r="C1204" s="1" t="s">
        <v>513</v>
      </c>
      <c r="D1204" s="1" t="s">
        <v>523</v>
      </c>
      <c r="E1204" s="3" t="s">
        <v>2063</v>
      </c>
      <c r="F1204" s="2" t="s">
        <v>6324</v>
      </c>
      <c r="G1204" s="1" t="s">
        <v>442</v>
      </c>
      <c r="H1204" s="3" t="s">
        <v>2065</v>
      </c>
    </row>
    <row r="1205" spans="1:8" x14ac:dyDescent="0.25">
      <c r="A1205" s="1" t="s">
        <v>683</v>
      </c>
      <c r="B1205" s="1" t="s">
        <v>424</v>
      </c>
      <c r="C1205" s="1" t="s">
        <v>684</v>
      </c>
      <c r="D1205" s="1" t="s">
        <v>599</v>
      </c>
      <c r="E1205" s="3" t="s">
        <v>692</v>
      </c>
      <c r="F1205" s="2" t="s">
        <v>6325</v>
      </c>
      <c r="G1205" s="1"/>
      <c r="H1205" s="3" t="s">
        <v>682</v>
      </c>
    </row>
    <row r="1206" spans="1:8" x14ac:dyDescent="0.25">
      <c r="A1206" s="1" t="s">
        <v>683</v>
      </c>
      <c r="B1206" s="1" t="s">
        <v>424</v>
      </c>
      <c r="C1206" s="1" t="s">
        <v>684</v>
      </c>
      <c r="D1206" s="1" t="s">
        <v>599</v>
      </c>
      <c r="E1206" s="3" t="s">
        <v>690</v>
      </c>
      <c r="F1206" s="2" t="s">
        <v>6326</v>
      </c>
      <c r="G1206" s="1"/>
      <c r="H1206" s="3" t="s">
        <v>63</v>
      </c>
    </row>
    <row r="1207" spans="1:8" ht="30" x14ac:dyDescent="0.25">
      <c r="A1207" s="1" t="s">
        <v>683</v>
      </c>
      <c r="B1207" s="1" t="s">
        <v>424</v>
      </c>
      <c r="C1207" s="1" t="s">
        <v>684</v>
      </c>
      <c r="D1207" s="1" t="s">
        <v>599</v>
      </c>
      <c r="E1207" s="3" t="s">
        <v>685</v>
      </c>
      <c r="F1207" s="2" t="s">
        <v>6327</v>
      </c>
      <c r="G1207" s="1" t="s">
        <v>413</v>
      </c>
      <c r="H1207" s="3" t="s">
        <v>687</v>
      </c>
    </row>
    <row r="1208" spans="1:8" ht="30" x14ac:dyDescent="0.25">
      <c r="A1208" s="1" t="s">
        <v>683</v>
      </c>
      <c r="B1208" s="1" t="s">
        <v>424</v>
      </c>
      <c r="C1208" s="1" t="s">
        <v>684</v>
      </c>
      <c r="D1208" s="1" t="s">
        <v>599</v>
      </c>
      <c r="E1208" s="3" t="s">
        <v>688</v>
      </c>
      <c r="F1208" s="2" t="s">
        <v>6328</v>
      </c>
      <c r="G1208" s="1" t="s">
        <v>442</v>
      </c>
      <c r="H1208" s="3" t="s">
        <v>687</v>
      </c>
    </row>
    <row r="1209" spans="1:8" ht="30" x14ac:dyDescent="0.25">
      <c r="A1209" s="1" t="s">
        <v>2342</v>
      </c>
      <c r="B1209" s="1" t="s">
        <v>409</v>
      </c>
      <c r="C1209" s="1" t="s">
        <v>684</v>
      </c>
      <c r="D1209" s="1" t="s">
        <v>599</v>
      </c>
      <c r="E1209" s="3" t="s">
        <v>2350</v>
      </c>
      <c r="F1209" s="2" t="s">
        <v>6329</v>
      </c>
      <c r="G1209" s="1"/>
      <c r="H1209" s="3" t="s">
        <v>2352</v>
      </c>
    </row>
    <row r="1210" spans="1:8" x14ac:dyDescent="0.25">
      <c r="A1210" s="1" t="s">
        <v>2342</v>
      </c>
      <c r="B1210" s="1" t="s">
        <v>409</v>
      </c>
      <c r="C1210" s="1" t="s">
        <v>684</v>
      </c>
      <c r="D1210" s="1" t="s">
        <v>599</v>
      </c>
      <c r="E1210" s="3" t="s">
        <v>2348</v>
      </c>
      <c r="F1210" s="2" t="s">
        <v>6330</v>
      </c>
      <c r="G1210" s="1"/>
      <c r="H1210" s="3" t="s">
        <v>2345</v>
      </c>
    </row>
    <row r="1211" spans="1:8" x14ac:dyDescent="0.25">
      <c r="A1211" s="1" t="s">
        <v>2342</v>
      </c>
      <c r="B1211" s="1" t="s">
        <v>409</v>
      </c>
      <c r="C1211" s="1" t="s">
        <v>684</v>
      </c>
      <c r="D1211" s="1" t="s">
        <v>599</v>
      </c>
      <c r="E1211" s="3" t="s">
        <v>2346</v>
      </c>
      <c r="F1211" s="2" t="s">
        <v>6331</v>
      </c>
      <c r="G1211" s="1"/>
      <c r="H1211" s="3" t="s">
        <v>2345</v>
      </c>
    </row>
    <row r="1212" spans="1:8" x14ac:dyDescent="0.25">
      <c r="A1212" s="1" t="s">
        <v>2342</v>
      </c>
      <c r="B1212" s="1" t="s">
        <v>409</v>
      </c>
      <c r="C1212" s="1" t="s">
        <v>684</v>
      </c>
      <c r="D1212" s="1" t="s">
        <v>599</v>
      </c>
      <c r="E1212" s="3" t="s">
        <v>2343</v>
      </c>
      <c r="F1212" s="2" t="s">
        <v>6332</v>
      </c>
      <c r="G1212" s="1"/>
      <c r="H1212" s="3" t="s">
        <v>2345</v>
      </c>
    </row>
    <row r="1213" spans="1:8" x14ac:dyDescent="0.25">
      <c r="A1213" s="1" t="s">
        <v>2342</v>
      </c>
      <c r="B1213" s="1" t="s">
        <v>409</v>
      </c>
      <c r="C1213" s="1" t="s">
        <v>684</v>
      </c>
      <c r="D1213" s="1" t="s">
        <v>599</v>
      </c>
      <c r="E1213" s="3" t="s">
        <v>2353</v>
      </c>
      <c r="F1213" s="2" t="s">
        <v>6333</v>
      </c>
      <c r="G1213" s="1" t="s">
        <v>413</v>
      </c>
      <c r="H1213" s="3" t="s">
        <v>2355</v>
      </c>
    </row>
    <row r="1214" spans="1:8" x14ac:dyDescent="0.25">
      <c r="A1214" s="1" t="s">
        <v>3757</v>
      </c>
      <c r="B1214" s="1" t="s">
        <v>418</v>
      </c>
      <c r="C1214" s="1" t="s">
        <v>684</v>
      </c>
      <c r="D1214" s="1" t="s">
        <v>599</v>
      </c>
      <c r="E1214" s="3" t="s">
        <v>3758</v>
      </c>
      <c r="F1214" s="2" t="s">
        <v>6334</v>
      </c>
      <c r="G1214" s="1"/>
      <c r="H1214" s="3" t="s">
        <v>63</v>
      </c>
    </row>
    <row r="1215" spans="1:8" x14ac:dyDescent="0.25">
      <c r="A1215" s="1" t="s">
        <v>3757</v>
      </c>
      <c r="B1215" s="1" t="s">
        <v>418</v>
      </c>
      <c r="C1215" s="1" t="s">
        <v>684</v>
      </c>
      <c r="D1215" s="1" t="s">
        <v>599</v>
      </c>
      <c r="E1215" s="3" t="s">
        <v>3759</v>
      </c>
      <c r="F1215" s="2" t="s">
        <v>6335</v>
      </c>
      <c r="G1215" s="1"/>
      <c r="H1215" s="3" t="s">
        <v>63</v>
      </c>
    </row>
    <row r="1216" spans="1:8" x14ac:dyDescent="0.25">
      <c r="A1216" s="1" t="s">
        <v>4203</v>
      </c>
      <c r="B1216" s="1" t="s">
        <v>457</v>
      </c>
      <c r="C1216" s="1" t="s">
        <v>1831</v>
      </c>
      <c r="D1216" s="1" t="s">
        <v>475</v>
      </c>
      <c r="E1216" s="3"/>
      <c r="F1216" s="2"/>
      <c r="G1216" s="1"/>
      <c r="H1216" s="3"/>
    </row>
    <row r="1217" spans="1:8" ht="30" x14ac:dyDescent="0.25">
      <c r="A1217" s="1" t="s">
        <v>1830</v>
      </c>
      <c r="B1217" s="1" t="s">
        <v>424</v>
      </c>
      <c r="C1217" s="1" t="s">
        <v>1831</v>
      </c>
      <c r="D1217" s="1" t="s">
        <v>475</v>
      </c>
      <c r="E1217" s="3" t="s">
        <v>1832</v>
      </c>
      <c r="F1217" s="2" t="s">
        <v>6336</v>
      </c>
      <c r="G1217" s="1"/>
      <c r="H1217" s="3" t="s">
        <v>1834</v>
      </c>
    </row>
    <row r="1218" spans="1:8" ht="30" x14ac:dyDescent="0.25">
      <c r="A1218" s="1" t="s">
        <v>1830</v>
      </c>
      <c r="B1218" s="1" t="s">
        <v>424</v>
      </c>
      <c r="C1218" s="1" t="s">
        <v>1831</v>
      </c>
      <c r="D1218" s="1" t="s">
        <v>475</v>
      </c>
      <c r="E1218" s="3" t="s">
        <v>1835</v>
      </c>
      <c r="F1218" s="2" t="s">
        <v>6337</v>
      </c>
      <c r="G1218" s="1"/>
      <c r="H1218" s="3" t="s">
        <v>1834</v>
      </c>
    </row>
    <row r="1219" spans="1:8" ht="30" x14ac:dyDescent="0.25">
      <c r="A1219" s="1" t="s">
        <v>1830</v>
      </c>
      <c r="B1219" s="1" t="s">
        <v>424</v>
      </c>
      <c r="C1219" s="1" t="s">
        <v>1831</v>
      </c>
      <c r="D1219" s="1" t="s">
        <v>475</v>
      </c>
      <c r="E1219" s="3" t="s">
        <v>1837</v>
      </c>
      <c r="F1219" s="2" t="s">
        <v>6338</v>
      </c>
      <c r="G1219" s="1"/>
      <c r="H1219" s="3" t="s">
        <v>1834</v>
      </c>
    </row>
    <row r="1220" spans="1:8" x14ac:dyDescent="0.25">
      <c r="A1220" s="1" t="s">
        <v>1830</v>
      </c>
      <c r="B1220" s="1" t="s">
        <v>424</v>
      </c>
      <c r="C1220" s="1" t="s">
        <v>1831</v>
      </c>
      <c r="D1220" s="1" t="s">
        <v>475</v>
      </c>
      <c r="E1220" s="3" t="s">
        <v>1839</v>
      </c>
      <c r="F1220" s="2" t="s">
        <v>6339</v>
      </c>
      <c r="G1220" s="1"/>
      <c r="H1220" s="3" t="s">
        <v>682</v>
      </c>
    </row>
    <row r="1221" spans="1:8" x14ac:dyDescent="0.25">
      <c r="A1221" s="1" t="s">
        <v>71</v>
      </c>
      <c r="B1221" s="1" t="s">
        <v>424</v>
      </c>
      <c r="C1221" s="1" t="s">
        <v>474</v>
      </c>
      <c r="D1221" s="1" t="s">
        <v>475</v>
      </c>
      <c r="E1221" s="3" t="s">
        <v>2894</v>
      </c>
      <c r="F1221" s="2" t="s">
        <v>6340</v>
      </c>
      <c r="G1221" s="1" t="s">
        <v>406</v>
      </c>
      <c r="H1221" s="3" t="s">
        <v>63</v>
      </c>
    </row>
    <row r="1222" spans="1:8" ht="30" x14ac:dyDescent="0.25">
      <c r="A1222" s="1" t="s">
        <v>71</v>
      </c>
      <c r="B1222" s="1" t="s">
        <v>424</v>
      </c>
      <c r="C1222" s="1" t="s">
        <v>474</v>
      </c>
      <c r="D1222" s="1" t="s">
        <v>475</v>
      </c>
      <c r="E1222" s="3" t="s">
        <v>69</v>
      </c>
      <c r="F1222" s="2" t="s">
        <v>72</v>
      </c>
      <c r="G1222" s="1" t="s">
        <v>442</v>
      </c>
      <c r="H1222" s="3" t="s">
        <v>2890</v>
      </c>
    </row>
    <row r="1223" spans="1:8" ht="30" x14ac:dyDescent="0.25">
      <c r="A1223" s="1" t="s">
        <v>71</v>
      </c>
      <c r="B1223" s="1" t="s">
        <v>424</v>
      </c>
      <c r="C1223" s="1" t="s">
        <v>474</v>
      </c>
      <c r="D1223" s="1" t="s">
        <v>475</v>
      </c>
      <c r="E1223" s="3" t="s">
        <v>152</v>
      </c>
      <c r="F1223" s="2" t="s">
        <v>153</v>
      </c>
      <c r="G1223" s="1" t="s">
        <v>442</v>
      </c>
      <c r="H1223" s="3" t="s">
        <v>2890</v>
      </c>
    </row>
    <row r="1224" spans="1:8" ht="30" x14ac:dyDescent="0.25">
      <c r="A1224" s="1" t="s">
        <v>71</v>
      </c>
      <c r="B1224" s="1" t="s">
        <v>424</v>
      </c>
      <c r="C1224" s="1" t="s">
        <v>474</v>
      </c>
      <c r="D1224" s="1" t="s">
        <v>475</v>
      </c>
      <c r="E1224" s="3" t="s">
        <v>2888</v>
      </c>
      <c r="F1224" s="2" t="s">
        <v>6341</v>
      </c>
      <c r="G1224" s="1" t="s">
        <v>442</v>
      </c>
      <c r="H1224" s="3" t="s">
        <v>2890</v>
      </c>
    </row>
    <row r="1225" spans="1:8" ht="30" x14ac:dyDescent="0.25">
      <c r="A1225" s="1" t="s">
        <v>71</v>
      </c>
      <c r="B1225" s="1" t="s">
        <v>424</v>
      </c>
      <c r="C1225" s="1" t="s">
        <v>474</v>
      </c>
      <c r="D1225" s="1" t="s">
        <v>475</v>
      </c>
      <c r="E1225" s="3" t="s">
        <v>274</v>
      </c>
      <c r="F1225" s="2" t="s">
        <v>275</v>
      </c>
      <c r="G1225" s="1" t="s">
        <v>413</v>
      </c>
      <c r="H1225" s="3" t="s">
        <v>2890</v>
      </c>
    </row>
    <row r="1226" spans="1:8" x14ac:dyDescent="0.25">
      <c r="A1226" s="1" t="s">
        <v>71</v>
      </c>
      <c r="B1226" s="1" t="s">
        <v>424</v>
      </c>
      <c r="C1226" s="1" t="s">
        <v>474</v>
      </c>
      <c r="D1226" s="1" t="s">
        <v>475</v>
      </c>
      <c r="E1226" s="3" t="s">
        <v>230</v>
      </c>
      <c r="F1226" s="2" t="s">
        <v>232</v>
      </c>
      <c r="G1226" s="1"/>
      <c r="H1226" s="3" t="s">
        <v>2897</v>
      </c>
    </row>
    <row r="1227" spans="1:8" x14ac:dyDescent="0.25">
      <c r="A1227" s="1" t="s">
        <v>71</v>
      </c>
      <c r="B1227" s="1" t="s">
        <v>424</v>
      </c>
      <c r="C1227" s="1" t="s">
        <v>474</v>
      </c>
      <c r="D1227" s="1" t="s">
        <v>475</v>
      </c>
      <c r="E1227" s="3" t="s">
        <v>2898</v>
      </c>
      <c r="F1227" s="2" t="s">
        <v>6342</v>
      </c>
      <c r="G1227" s="1"/>
      <c r="H1227" s="3" t="s">
        <v>2900</v>
      </c>
    </row>
    <row r="1228" spans="1:8" x14ac:dyDescent="0.25">
      <c r="A1228" s="1" t="s">
        <v>2939</v>
      </c>
      <c r="B1228" s="1" t="s">
        <v>418</v>
      </c>
      <c r="C1228" s="1" t="s">
        <v>474</v>
      </c>
      <c r="D1228" s="1" t="s">
        <v>475</v>
      </c>
      <c r="E1228" s="3" t="s">
        <v>2948</v>
      </c>
      <c r="F1228" s="2" t="s">
        <v>6343</v>
      </c>
      <c r="G1228" s="1"/>
      <c r="H1228" s="3" t="s">
        <v>2950</v>
      </c>
    </row>
    <row r="1229" spans="1:8" x14ac:dyDescent="0.25">
      <c r="A1229" s="1" t="s">
        <v>2939</v>
      </c>
      <c r="B1229" s="1" t="s">
        <v>418</v>
      </c>
      <c r="C1229" s="1" t="s">
        <v>474</v>
      </c>
      <c r="D1229" s="1" t="s">
        <v>475</v>
      </c>
      <c r="E1229" s="3" t="s">
        <v>2944</v>
      </c>
      <c r="F1229" s="2" t="s">
        <v>6344</v>
      </c>
      <c r="G1229" s="1"/>
      <c r="H1229" s="3" t="s">
        <v>1280</v>
      </c>
    </row>
    <row r="1230" spans="1:8" x14ac:dyDescent="0.25">
      <c r="A1230" s="1" t="s">
        <v>2939</v>
      </c>
      <c r="B1230" s="1" t="s">
        <v>418</v>
      </c>
      <c r="C1230" s="1" t="s">
        <v>474</v>
      </c>
      <c r="D1230" s="1" t="s">
        <v>475</v>
      </c>
      <c r="E1230" s="3" t="s">
        <v>2940</v>
      </c>
      <c r="F1230" s="2" t="s">
        <v>6345</v>
      </c>
      <c r="G1230" s="1"/>
      <c r="H1230" s="3" t="s">
        <v>1280</v>
      </c>
    </row>
    <row r="1231" spans="1:8" x14ac:dyDescent="0.25">
      <c r="A1231" s="1" t="s">
        <v>2939</v>
      </c>
      <c r="B1231" s="1" t="s">
        <v>418</v>
      </c>
      <c r="C1231" s="1" t="s">
        <v>474</v>
      </c>
      <c r="D1231" s="1" t="s">
        <v>475</v>
      </c>
      <c r="E1231" s="3" t="s">
        <v>2942</v>
      </c>
      <c r="F1231" s="2" t="s">
        <v>6346</v>
      </c>
      <c r="G1231" s="1"/>
      <c r="H1231" s="3" t="s">
        <v>1280</v>
      </c>
    </row>
    <row r="1232" spans="1:8" x14ac:dyDescent="0.25">
      <c r="A1232" s="1" t="s">
        <v>2939</v>
      </c>
      <c r="B1232" s="1" t="s">
        <v>418</v>
      </c>
      <c r="C1232" s="1" t="s">
        <v>474</v>
      </c>
      <c r="D1232" s="1" t="s">
        <v>475</v>
      </c>
      <c r="E1232" s="3" t="s">
        <v>2961</v>
      </c>
      <c r="F1232" s="2" t="s">
        <v>6347</v>
      </c>
      <c r="G1232" s="1"/>
      <c r="H1232" s="3" t="s">
        <v>2958</v>
      </c>
    </row>
    <row r="1233" spans="1:8" x14ac:dyDescent="0.25">
      <c r="A1233" s="1" t="s">
        <v>2939</v>
      </c>
      <c r="B1233" s="1" t="s">
        <v>418</v>
      </c>
      <c r="C1233" s="1" t="s">
        <v>474</v>
      </c>
      <c r="D1233" s="1" t="s">
        <v>475</v>
      </c>
      <c r="E1233" s="3" t="s">
        <v>2959</v>
      </c>
      <c r="F1233" s="2" t="s">
        <v>6348</v>
      </c>
      <c r="G1233" s="1"/>
      <c r="H1233" s="3" t="s">
        <v>2958</v>
      </c>
    </row>
    <row r="1234" spans="1:8" x14ac:dyDescent="0.25">
      <c r="A1234" s="1" t="s">
        <v>2939</v>
      </c>
      <c r="B1234" s="1" t="s">
        <v>418</v>
      </c>
      <c r="C1234" s="1" t="s">
        <v>474</v>
      </c>
      <c r="D1234" s="1" t="s">
        <v>475</v>
      </c>
      <c r="E1234" s="3" t="s">
        <v>128</v>
      </c>
      <c r="F1234" s="2" t="s">
        <v>6349</v>
      </c>
      <c r="G1234" s="1"/>
      <c r="H1234" s="3" t="s">
        <v>2958</v>
      </c>
    </row>
    <row r="1235" spans="1:8" x14ac:dyDescent="0.25">
      <c r="A1235" s="1" t="s">
        <v>2939</v>
      </c>
      <c r="B1235" s="1" t="s">
        <v>418</v>
      </c>
      <c r="C1235" s="1" t="s">
        <v>474</v>
      </c>
      <c r="D1235" s="1" t="s">
        <v>475</v>
      </c>
      <c r="E1235" s="3" t="s">
        <v>2964</v>
      </c>
      <c r="F1235" s="2" t="s">
        <v>6350</v>
      </c>
      <c r="G1235" s="1"/>
      <c r="H1235" s="3" t="s">
        <v>2958</v>
      </c>
    </row>
    <row r="1236" spans="1:8" x14ac:dyDescent="0.25">
      <c r="A1236" s="1" t="s">
        <v>2939</v>
      </c>
      <c r="B1236" s="1" t="s">
        <v>418</v>
      </c>
      <c r="C1236" s="1" t="s">
        <v>474</v>
      </c>
      <c r="D1236" s="1" t="s">
        <v>475</v>
      </c>
      <c r="E1236" s="3" t="s">
        <v>2956</v>
      </c>
      <c r="F1236" s="2" t="s">
        <v>6351</v>
      </c>
      <c r="G1236" s="1"/>
      <c r="H1236" s="3" t="s">
        <v>2958</v>
      </c>
    </row>
    <row r="1237" spans="1:8" x14ac:dyDescent="0.25">
      <c r="A1237" s="1" t="s">
        <v>2939</v>
      </c>
      <c r="B1237" s="1" t="s">
        <v>418</v>
      </c>
      <c r="C1237" s="1" t="s">
        <v>474</v>
      </c>
      <c r="D1237" s="1" t="s">
        <v>475</v>
      </c>
      <c r="E1237" s="3" t="s">
        <v>2966</v>
      </c>
      <c r="F1237" s="2" t="s">
        <v>6352</v>
      </c>
      <c r="G1237" s="1" t="s">
        <v>413</v>
      </c>
      <c r="H1237" s="3" t="s">
        <v>161</v>
      </c>
    </row>
    <row r="1238" spans="1:8" x14ac:dyDescent="0.25">
      <c r="A1238" s="1" t="s">
        <v>2939</v>
      </c>
      <c r="B1238" s="1" t="s">
        <v>418</v>
      </c>
      <c r="C1238" s="1" t="s">
        <v>474</v>
      </c>
      <c r="D1238" s="1" t="s">
        <v>475</v>
      </c>
      <c r="E1238" s="3" t="s">
        <v>2946</v>
      </c>
      <c r="F1238" s="2" t="s">
        <v>6353</v>
      </c>
      <c r="G1238" s="1" t="s">
        <v>406</v>
      </c>
      <c r="H1238" s="3" t="s">
        <v>407</v>
      </c>
    </row>
    <row r="1239" spans="1:8" x14ac:dyDescent="0.25">
      <c r="A1239" s="1" t="s">
        <v>2939</v>
      </c>
      <c r="B1239" s="1" t="s">
        <v>418</v>
      </c>
      <c r="C1239" s="1" t="s">
        <v>474</v>
      </c>
      <c r="D1239" s="1" t="s">
        <v>475</v>
      </c>
      <c r="E1239" s="3" t="s">
        <v>2951</v>
      </c>
      <c r="F1239" s="2" t="s">
        <v>6354</v>
      </c>
      <c r="G1239" s="1"/>
      <c r="H1239" s="3" t="s">
        <v>60</v>
      </c>
    </row>
    <row r="1240" spans="1:8" x14ac:dyDescent="0.25">
      <c r="A1240" s="1" t="s">
        <v>2939</v>
      </c>
      <c r="B1240" s="1" t="s">
        <v>418</v>
      </c>
      <c r="C1240" s="1" t="s">
        <v>474</v>
      </c>
      <c r="D1240" s="1" t="s">
        <v>475</v>
      </c>
      <c r="E1240" s="3" t="s">
        <v>2953</v>
      </c>
      <c r="F1240" s="2" t="s">
        <v>6355</v>
      </c>
      <c r="G1240" s="1" t="s">
        <v>2954</v>
      </c>
      <c r="H1240" s="3" t="s">
        <v>584</v>
      </c>
    </row>
    <row r="1241" spans="1:8" x14ac:dyDescent="0.25">
      <c r="A1241" s="1" t="s">
        <v>2939</v>
      </c>
      <c r="B1241" s="1" t="s">
        <v>418</v>
      </c>
      <c r="C1241" s="1" t="s">
        <v>474</v>
      </c>
      <c r="D1241" s="1" t="s">
        <v>475</v>
      </c>
      <c r="E1241" s="3" t="s">
        <v>2955</v>
      </c>
      <c r="F1241" s="2"/>
      <c r="G1241" s="1"/>
      <c r="H1241" s="3" t="s">
        <v>584</v>
      </c>
    </row>
    <row r="1242" spans="1:8" ht="30" x14ac:dyDescent="0.25">
      <c r="A1242" s="1" t="s">
        <v>2939</v>
      </c>
      <c r="B1242" s="1" t="s">
        <v>418</v>
      </c>
      <c r="C1242" s="1" t="s">
        <v>474</v>
      </c>
      <c r="D1242" s="1" t="s">
        <v>475</v>
      </c>
      <c r="E1242" s="3" t="s">
        <v>2968</v>
      </c>
      <c r="F1242" s="2" t="s">
        <v>6356</v>
      </c>
      <c r="G1242" s="1"/>
      <c r="H1242" s="3" t="s">
        <v>7</v>
      </c>
    </row>
    <row r="1243" spans="1:8" x14ac:dyDescent="0.25">
      <c r="A1243" s="1" t="s">
        <v>3383</v>
      </c>
      <c r="B1243" s="1" t="s">
        <v>480</v>
      </c>
      <c r="C1243" s="1" t="s">
        <v>3051</v>
      </c>
      <c r="D1243" s="1" t="s">
        <v>475</v>
      </c>
      <c r="E1243" s="3" t="s">
        <v>3384</v>
      </c>
      <c r="F1243" s="2" t="s">
        <v>6357</v>
      </c>
      <c r="G1243" s="1"/>
      <c r="H1243" s="3" t="s">
        <v>2467</v>
      </c>
    </row>
    <row r="1244" spans="1:8" x14ac:dyDescent="0.25">
      <c r="A1244" s="1" t="s">
        <v>28</v>
      </c>
      <c r="B1244" s="1" t="s">
        <v>431</v>
      </c>
      <c r="C1244" s="1" t="s">
        <v>440</v>
      </c>
      <c r="D1244" s="1" t="s">
        <v>441</v>
      </c>
      <c r="E1244" s="3" t="s">
        <v>1665</v>
      </c>
      <c r="F1244" s="2" t="s">
        <v>6358</v>
      </c>
      <c r="G1244" s="1"/>
      <c r="H1244" s="3" t="s">
        <v>1506</v>
      </c>
    </row>
    <row r="1245" spans="1:8" x14ac:dyDescent="0.25">
      <c r="A1245" s="1" t="s">
        <v>28</v>
      </c>
      <c r="B1245" s="1" t="s">
        <v>431</v>
      </c>
      <c r="C1245" s="1" t="s">
        <v>440</v>
      </c>
      <c r="D1245" s="1" t="s">
        <v>441</v>
      </c>
      <c r="E1245" s="3" t="s">
        <v>1667</v>
      </c>
      <c r="F1245" s="2" t="s">
        <v>6359</v>
      </c>
      <c r="G1245" s="1"/>
      <c r="H1245" s="3" t="s">
        <v>1189</v>
      </c>
    </row>
    <row r="1246" spans="1:8" x14ac:dyDescent="0.25">
      <c r="A1246" s="1" t="s">
        <v>28</v>
      </c>
      <c r="B1246" s="1" t="s">
        <v>431</v>
      </c>
      <c r="C1246" s="1" t="s">
        <v>440</v>
      </c>
      <c r="D1246" s="1" t="s">
        <v>441</v>
      </c>
      <c r="E1246" s="3" t="s">
        <v>26</v>
      </c>
      <c r="F1246" s="2" t="s">
        <v>29</v>
      </c>
      <c r="G1246" s="1" t="s">
        <v>442</v>
      </c>
      <c r="H1246" s="3" t="s">
        <v>1664</v>
      </c>
    </row>
    <row r="1247" spans="1:8" x14ac:dyDescent="0.25">
      <c r="A1247" s="1" t="s">
        <v>2935</v>
      </c>
      <c r="B1247" s="1" t="s">
        <v>418</v>
      </c>
      <c r="C1247" s="1" t="s">
        <v>2936</v>
      </c>
      <c r="D1247" s="1" t="s">
        <v>441</v>
      </c>
      <c r="E1247" s="3" t="s">
        <v>2937</v>
      </c>
      <c r="F1247" s="2" t="s">
        <v>6360</v>
      </c>
      <c r="G1247" s="1"/>
      <c r="H1247" s="3" t="s">
        <v>1583</v>
      </c>
    </row>
    <row r="1248" spans="1:8" x14ac:dyDescent="0.25">
      <c r="A1248" s="1" t="s">
        <v>211</v>
      </c>
      <c r="B1248" s="1" t="s">
        <v>446</v>
      </c>
      <c r="C1248" s="1" t="s">
        <v>435</v>
      </c>
      <c r="D1248" s="1" t="s">
        <v>544</v>
      </c>
      <c r="E1248" s="3" t="s">
        <v>989</v>
      </c>
      <c r="F1248" s="2" t="s">
        <v>6361</v>
      </c>
      <c r="G1248" s="1" t="s">
        <v>413</v>
      </c>
      <c r="H1248" s="3" t="s">
        <v>991</v>
      </c>
    </row>
    <row r="1249" spans="1:8" x14ac:dyDescent="0.25">
      <c r="A1249" s="1" t="s">
        <v>211</v>
      </c>
      <c r="B1249" s="1" t="s">
        <v>446</v>
      </c>
      <c r="C1249" s="1" t="s">
        <v>435</v>
      </c>
      <c r="D1249" s="1" t="s">
        <v>544</v>
      </c>
      <c r="E1249" s="3" t="s">
        <v>987</v>
      </c>
      <c r="F1249" s="2" t="s">
        <v>6362</v>
      </c>
      <c r="G1249" s="1"/>
      <c r="H1249" s="3" t="s">
        <v>986</v>
      </c>
    </row>
    <row r="1250" spans="1:8" x14ac:dyDescent="0.25">
      <c r="A1250" s="1" t="s">
        <v>211</v>
      </c>
      <c r="B1250" s="1" t="s">
        <v>446</v>
      </c>
      <c r="C1250" s="1" t="s">
        <v>435</v>
      </c>
      <c r="D1250" s="1" t="s">
        <v>544</v>
      </c>
      <c r="E1250" s="3" t="s">
        <v>984</v>
      </c>
      <c r="F1250" s="2" t="s">
        <v>6363</v>
      </c>
      <c r="G1250" s="1"/>
      <c r="H1250" s="3" t="s">
        <v>986</v>
      </c>
    </row>
    <row r="1251" spans="1:8" ht="30" x14ac:dyDescent="0.25">
      <c r="A1251" s="1" t="s">
        <v>211</v>
      </c>
      <c r="B1251" s="1" t="s">
        <v>446</v>
      </c>
      <c r="C1251" s="1" t="s">
        <v>435</v>
      </c>
      <c r="D1251" s="1" t="s">
        <v>544</v>
      </c>
      <c r="E1251" s="3" t="s">
        <v>210</v>
      </c>
      <c r="F1251" s="2" t="s">
        <v>212</v>
      </c>
      <c r="G1251" s="1"/>
      <c r="H1251" s="3" t="s">
        <v>993</v>
      </c>
    </row>
    <row r="1252" spans="1:8" x14ac:dyDescent="0.25">
      <c r="A1252" s="1" t="s">
        <v>246</v>
      </c>
      <c r="B1252" s="1" t="s">
        <v>557</v>
      </c>
      <c r="C1252" s="1" t="s">
        <v>435</v>
      </c>
      <c r="D1252" s="1" t="s">
        <v>544</v>
      </c>
      <c r="E1252" s="3" t="s">
        <v>3238</v>
      </c>
      <c r="F1252" s="2" t="s">
        <v>6364</v>
      </c>
      <c r="G1252" s="1"/>
      <c r="H1252" s="3" t="s">
        <v>682</v>
      </c>
    </row>
    <row r="1253" spans="1:8" ht="30" x14ac:dyDescent="0.25">
      <c r="A1253" s="1" t="s">
        <v>246</v>
      </c>
      <c r="B1253" s="1" t="s">
        <v>557</v>
      </c>
      <c r="C1253" s="1" t="s">
        <v>435</v>
      </c>
      <c r="D1253" s="1" t="s">
        <v>544</v>
      </c>
      <c r="E1253" s="3" t="s">
        <v>3235</v>
      </c>
      <c r="F1253" s="2" t="s">
        <v>6365</v>
      </c>
      <c r="G1253" s="1"/>
      <c r="H1253" s="3" t="s">
        <v>852</v>
      </c>
    </row>
    <row r="1254" spans="1:8" ht="30" x14ac:dyDescent="0.25">
      <c r="A1254" s="1" t="s">
        <v>246</v>
      </c>
      <c r="B1254" s="1" t="s">
        <v>557</v>
      </c>
      <c r="C1254" s="1" t="s">
        <v>435</v>
      </c>
      <c r="D1254" s="1" t="s">
        <v>544</v>
      </c>
      <c r="E1254" s="3" t="s">
        <v>3237</v>
      </c>
      <c r="F1254" s="2" t="s">
        <v>6366</v>
      </c>
      <c r="G1254" s="1"/>
      <c r="H1254" s="3" t="s">
        <v>852</v>
      </c>
    </row>
    <row r="1255" spans="1:8" ht="30" x14ac:dyDescent="0.25">
      <c r="A1255" s="1" t="s">
        <v>246</v>
      </c>
      <c r="B1255" s="1" t="s">
        <v>557</v>
      </c>
      <c r="C1255" s="1" t="s">
        <v>435</v>
      </c>
      <c r="D1255" s="1" t="s">
        <v>544</v>
      </c>
      <c r="E1255" s="3" t="s">
        <v>3236</v>
      </c>
      <c r="F1255" s="2" t="s">
        <v>6367</v>
      </c>
      <c r="G1255" s="1"/>
      <c r="H1255" s="3" t="s">
        <v>852</v>
      </c>
    </row>
    <row r="1256" spans="1:8" x14ac:dyDescent="0.25">
      <c r="A1256" s="1" t="s">
        <v>246</v>
      </c>
      <c r="B1256" s="1" t="s">
        <v>557</v>
      </c>
      <c r="C1256" s="1" t="s">
        <v>435</v>
      </c>
      <c r="D1256" s="1" t="s">
        <v>544</v>
      </c>
      <c r="E1256" s="3" t="s">
        <v>243</v>
      </c>
      <c r="F1256" s="2" t="s">
        <v>248</v>
      </c>
      <c r="G1256" s="1"/>
      <c r="H1256" s="3" t="s">
        <v>15</v>
      </c>
    </row>
    <row r="1257" spans="1:8" x14ac:dyDescent="0.25">
      <c r="A1257" s="1" t="s">
        <v>246</v>
      </c>
      <c r="B1257" s="1" t="s">
        <v>557</v>
      </c>
      <c r="C1257" s="1" t="s">
        <v>435</v>
      </c>
      <c r="D1257" s="1" t="s">
        <v>544</v>
      </c>
      <c r="E1257" s="3" t="s">
        <v>323</v>
      </c>
      <c r="F1257" s="2" t="s">
        <v>326</v>
      </c>
      <c r="G1257" s="1" t="s">
        <v>413</v>
      </c>
      <c r="H1257" s="3" t="s">
        <v>15</v>
      </c>
    </row>
    <row r="1258" spans="1:8" x14ac:dyDescent="0.25">
      <c r="A1258" s="1" t="s">
        <v>246</v>
      </c>
      <c r="B1258" s="1" t="s">
        <v>557</v>
      </c>
      <c r="C1258" s="1" t="s">
        <v>435</v>
      </c>
      <c r="D1258" s="1" t="s">
        <v>544</v>
      </c>
      <c r="E1258" s="3" t="s">
        <v>3233</v>
      </c>
      <c r="F1258" s="2" t="s">
        <v>6368</v>
      </c>
      <c r="G1258" s="1"/>
      <c r="H1258" s="3" t="s">
        <v>63</v>
      </c>
    </row>
    <row r="1259" spans="1:8" ht="30" x14ac:dyDescent="0.25">
      <c r="A1259" s="1" t="s">
        <v>316</v>
      </c>
      <c r="B1259" s="1" t="s">
        <v>592</v>
      </c>
      <c r="C1259" s="1" t="s">
        <v>593</v>
      </c>
      <c r="D1259" s="1" t="s">
        <v>544</v>
      </c>
      <c r="E1259" s="3" t="s">
        <v>313</v>
      </c>
      <c r="F1259" s="2" t="s">
        <v>317</v>
      </c>
      <c r="G1259" s="1"/>
      <c r="H1259" s="3" t="s">
        <v>1640</v>
      </c>
    </row>
    <row r="1260" spans="1:8" x14ac:dyDescent="0.25">
      <c r="A1260" s="1" t="s">
        <v>4299</v>
      </c>
      <c r="B1260" s="1" t="s">
        <v>511</v>
      </c>
      <c r="C1260" s="1" t="s">
        <v>3469</v>
      </c>
      <c r="D1260" s="1" t="s">
        <v>436</v>
      </c>
      <c r="E1260" s="3"/>
      <c r="F1260" s="2"/>
      <c r="G1260" s="1"/>
      <c r="H1260" s="3"/>
    </row>
    <row r="1261" spans="1:8" x14ac:dyDescent="0.25">
      <c r="A1261" s="1" t="s">
        <v>1065</v>
      </c>
      <c r="B1261" s="1" t="s">
        <v>418</v>
      </c>
      <c r="C1261" s="1" t="s">
        <v>537</v>
      </c>
      <c r="D1261" s="1" t="s">
        <v>436</v>
      </c>
      <c r="E1261" s="3" t="s">
        <v>1072</v>
      </c>
      <c r="F1261" s="2" t="s">
        <v>6369</v>
      </c>
      <c r="G1261" s="1"/>
      <c r="H1261" s="3" t="s">
        <v>885</v>
      </c>
    </row>
    <row r="1262" spans="1:8" x14ac:dyDescent="0.25">
      <c r="A1262" s="1" t="s">
        <v>1065</v>
      </c>
      <c r="B1262" s="1" t="s">
        <v>418</v>
      </c>
      <c r="C1262" s="1" t="s">
        <v>537</v>
      </c>
      <c r="D1262" s="1" t="s">
        <v>436</v>
      </c>
      <c r="E1262" s="3" t="s">
        <v>1070</v>
      </c>
      <c r="F1262" s="2" t="s">
        <v>6370</v>
      </c>
      <c r="G1262" s="1"/>
      <c r="H1262" s="3" t="s">
        <v>885</v>
      </c>
    </row>
    <row r="1263" spans="1:8" x14ac:dyDescent="0.25">
      <c r="A1263" s="1" t="s">
        <v>1065</v>
      </c>
      <c r="B1263" s="1" t="s">
        <v>418</v>
      </c>
      <c r="C1263" s="1" t="s">
        <v>537</v>
      </c>
      <c r="D1263" s="1" t="s">
        <v>436</v>
      </c>
      <c r="E1263" s="3" t="s">
        <v>1068</v>
      </c>
      <c r="F1263" s="2" t="s">
        <v>6371</v>
      </c>
      <c r="G1263" s="1"/>
      <c r="H1263" s="3" t="s">
        <v>885</v>
      </c>
    </row>
    <row r="1264" spans="1:8" x14ac:dyDescent="0.25">
      <c r="A1264" s="1" t="s">
        <v>1065</v>
      </c>
      <c r="B1264" s="1" t="s">
        <v>418</v>
      </c>
      <c r="C1264" s="1" t="s">
        <v>537</v>
      </c>
      <c r="D1264" s="1" t="s">
        <v>436</v>
      </c>
      <c r="E1264" s="3" t="s">
        <v>1066</v>
      </c>
      <c r="F1264" s="2" t="s">
        <v>6372</v>
      </c>
      <c r="G1264" s="1"/>
      <c r="H1264" s="3" t="s">
        <v>885</v>
      </c>
    </row>
    <row r="1265" spans="1:8" x14ac:dyDescent="0.25">
      <c r="A1265" s="1" t="s">
        <v>1065</v>
      </c>
      <c r="B1265" s="1" t="s">
        <v>418</v>
      </c>
      <c r="C1265" s="1" t="s">
        <v>537</v>
      </c>
      <c r="D1265" s="1" t="s">
        <v>436</v>
      </c>
      <c r="E1265" s="3" t="s">
        <v>1074</v>
      </c>
      <c r="F1265" s="2" t="s">
        <v>6373</v>
      </c>
      <c r="G1265" s="1"/>
      <c r="H1265" s="3" t="s">
        <v>7</v>
      </c>
    </row>
    <row r="1266" spans="1:8" x14ac:dyDescent="0.25">
      <c r="A1266" s="1" t="s">
        <v>559</v>
      </c>
      <c r="B1266" s="1" t="s">
        <v>437</v>
      </c>
      <c r="C1266" s="1" t="s">
        <v>556</v>
      </c>
      <c r="D1266" s="1" t="s">
        <v>436</v>
      </c>
      <c r="E1266" s="3" t="s">
        <v>1759</v>
      </c>
      <c r="F1266" s="2" t="s">
        <v>6374</v>
      </c>
      <c r="G1266" s="1" t="s">
        <v>1760</v>
      </c>
      <c r="H1266" s="3" t="s">
        <v>561</v>
      </c>
    </row>
    <row r="1267" spans="1:8" x14ac:dyDescent="0.25">
      <c r="A1267" s="1" t="s">
        <v>559</v>
      </c>
      <c r="B1267" s="1" t="s">
        <v>437</v>
      </c>
      <c r="C1267" s="1" t="s">
        <v>556</v>
      </c>
      <c r="D1267" s="1" t="s">
        <v>436</v>
      </c>
      <c r="E1267" s="3" t="s">
        <v>560</v>
      </c>
      <c r="F1267" s="2"/>
      <c r="G1267" s="1"/>
      <c r="H1267" s="3" t="s">
        <v>561</v>
      </c>
    </row>
    <row r="1268" spans="1:8" x14ac:dyDescent="0.25">
      <c r="A1268" s="1" t="s">
        <v>559</v>
      </c>
      <c r="B1268" s="1" t="s">
        <v>437</v>
      </c>
      <c r="C1268" s="1" t="s">
        <v>556</v>
      </c>
      <c r="D1268" s="1" t="s">
        <v>436</v>
      </c>
      <c r="E1268" s="3" t="s">
        <v>1763</v>
      </c>
      <c r="F1268" s="2"/>
      <c r="G1268" s="1"/>
      <c r="H1268" s="3" t="s">
        <v>561</v>
      </c>
    </row>
    <row r="1269" spans="1:8" ht="30" x14ac:dyDescent="0.25">
      <c r="A1269" s="1" t="s">
        <v>2332</v>
      </c>
      <c r="B1269" s="1" t="s">
        <v>542</v>
      </c>
      <c r="C1269" s="1" t="s">
        <v>2333</v>
      </c>
      <c r="D1269" s="1" t="s">
        <v>436</v>
      </c>
      <c r="E1269" s="3" t="s">
        <v>2340</v>
      </c>
      <c r="F1269" s="2" t="s">
        <v>6375</v>
      </c>
      <c r="G1269" s="1"/>
      <c r="H1269" s="3" t="s">
        <v>782</v>
      </c>
    </row>
    <row r="1270" spans="1:8" ht="30" x14ac:dyDescent="0.25">
      <c r="A1270" s="1" t="s">
        <v>2332</v>
      </c>
      <c r="B1270" s="1" t="s">
        <v>542</v>
      </c>
      <c r="C1270" s="1" t="s">
        <v>2333</v>
      </c>
      <c r="D1270" s="1" t="s">
        <v>436</v>
      </c>
      <c r="E1270" s="3" t="s">
        <v>2334</v>
      </c>
      <c r="F1270" s="2" t="s">
        <v>6376</v>
      </c>
      <c r="G1270" s="1"/>
      <c r="H1270" s="3" t="s">
        <v>782</v>
      </c>
    </row>
    <row r="1271" spans="1:8" ht="30" x14ac:dyDescent="0.25">
      <c r="A1271" s="1" t="s">
        <v>2332</v>
      </c>
      <c r="B1271" s="1" t="s">
        <v>542</v>
      </c>
      <c r="C1271" s="1" t="s">
        <v>2333</v>
      </c>
      <c r="D1271" s="1" t="s">
        <v>436</v>
      </c>
      <c r="E1271" s="3" t="s">
        <v>2336</v>
      </c>
      <c r="F1271" s="2" t="s">
        <v>6377</v>
      </c>
      <c r="G1271" s="1"/>
      <c r="H1271" s="3" t="s">
        <v>782</v>
      </c>
    </row>
    <row r="1272" spans="1:8" ht="30" x14ac:dyDescent="0.25">
      <c r="A1272" s="1" t="s">
        <v>2332</v>
      </c>
      <c r="B1272" s="1" t="s">
        <v>542</v>
      </c>
      <c r="C1272" s="1" t="s">
        <v>2333</v>
      </c>
      <c r="D1272" s="1" t="s">
        <v>436</v>
      </c>
      <c r="E1272" s="3" t="s">
        <v>2338</v>
      </c>
      <c r="F1272" s="2" t="s">
        <v>6378</v>
      </c>
      <c r="G1272" s="1"/>
      <c r="H1272" s="3" t="s">
        <v>782</v>
      </c>
    </row>
    <row r="1273" spans="1:8" x14ac:dyDescent="0.25">
      <c r="A1273" s="1" t="s">
        <v>2610</v>
      </c>
      <c r="B1273" s="1" t="s">
        <v>409</v>
      </c>
      <c r="C1273" s="1" t="s">
        <v>608</v>
      </c>
      <c r="D1273" s="1" t="s">
        <v>436</v>
      </c>
      <c r="E1273" s="3"/>
      <c r="F1273" s="2"/>
      <c r="G1273" s="1"/>
      <c r="H1273" s="3"/>
    </row>
    <row r="1274" spans="1:8" x14ac:dyDescent="0.25">
      <c r="A1274" s="1" t="s">
        <v>19</v>
      </c>
      <c r="B1274" s="1" t="s">
        <v>434</v>
      </c>
      <c r="C1274" s="1" t="s">
        <v>435</v>
      </c>
      <c r="D1274" s="1" t="s">
        <v>436</v>
      </c>
      <c r="E1274" s="3" t="s">
        <v>2646</v>
      </c>
      <c r="F1274" s="2" t="s">
        <v>6379</v>
      </c>
      <c r="G1274" s="1"/>
      <c r="H1274" s="3" t="s">
        <v>63</v>
      </c>
    </row>
    <row r="1275" spans="1:8" x14ac:dyDescent="0.25">
      <c r="A1275" s="1" t="s">
        <v>19</v>
      </c>
      <c r="B1275" s="1" t="s">
        <v>434</v>
      </c>
      <c r="C1275" s="1" t="s">
        <v>435</v>
      </c>
      <c r="D1275" s="1" t="s">
        <v>436</v>
      </c>
      <c r="E1275" s="3" t="s">
        <v>2637</v>
      </c>
      <c r="F1275" s="2" t="s">
        <v>6380</v>
      </c>
      <c r="G1275" s="1" t="s">
        <v>413</v>
      </c>
      <c r="H1275" s="3" t="s">
        <v>2639</v>
      </c>
    </row>
    <row r="1276" spans="1:8" x14ac:dyDescent="0.25">
      <c r="A1276" s="1" t="s">
        <v>19</v>
      </c>
      <c r="B1276" s="1" t="s">
        <v>434</v>
      </c>
      <c r="C1276" s="1" t="s">
        <v>435</v>
      </c>
      <c r="D1276" s="1" t="s">
        <v>436</v>
      </c>
      <c r="E1276" s="3" t="s">
        <v>2642</v>
      </c>
      <c r="F1276" s="2" t="s">
        <v>6381</v>
      </c>
      <c r="G1276" s="1" t="s">
        <v>2643</v>
      </c>
      <c r="H1276" s="3" t="s">
        <v>2645</v>
      </c>
    </row>
    <row r="1277" spans="1:8" ht="30" x14ac:dyDescent="0.25">
      <c r="A1277" s="1" t="s">
        <v>19</v>
      </c>
      <c r="B1277" s="1" t="s">
        <v>434</v>
      </c>
      <c r="C1277" s="1" t="s">
        <v>435</v>
      </c>
      <c r="D1277" s="1" t="s">
        <v>436</v>
      </c>
      <c r="E1277" s="3" t="s">
        <v>12</v>
      </c>
      <c r="F1277" s="2" t="s">
        <v>20</v>
      </c>
      <c r="G1277" s="1" t="s">
        <v>413</v>
      </c>
      <c r="H1277" s="3" t="s">
        <v>2641</v>
      </c>
    </row>
    <row r="1278" spans="1:8" ht="30" x14ac:dyDescent="0.25">
      <c r="A1278" s="1" t="s">
        <v>19</v>
      </c>
      <c r="B1278" s="1" t="s">
        <v>434</v>
      </c>
      <c r="C1278" s="1" t="s">
        <v>435</v>
      </c>
      <c r="D1278" s="1" t="s">
        <v>436</v>
      </c>
      <c r="E1278" s="3" t="s">
        <v>2652</v>
      </c>
      <c r="F1278" s="2" t="s">
        <v>6382</v>
      </c>
      <c r="G1278" s="1"/>
      <c r="H1278" s="3" t="s">
        <v>2649</v>
      </c>
    </row>
    <row r="1279" spans="1:8" ht="30" x14ac:dyDescent="0.25">
      <c r="A1279" s="1" t="s">
        <v>19</v>
      </c>
      <c r="B1279" s="1" t="s">
        <v>434</v>
      </c>
      <c r="C1279" s="1" t="s">
        <v>435</v>
      </c>
      <c r="D1279" s="1" t="s">
        <v>436</v>
      </c>
      <c r="E1279" s="3" t="s">
        <v>2650</v>
      </c>
      <c r="F1279" s="2" t="s">
        <v>6383</v>
      </c>
      <c r="G1279" s="1"/>
      <c r="H1279" s="3" t="s">
        <v>2649</v>
      </c>
    </row>
    <row r="1280" spans="1:8" ht="30" x14ac:dyDescent="0.25">
      <c r="A1280" s="1" t="s">
        <v>19</v>
      </c>
      <c r="B1280" s="1" t="s">
        <v>434</v>
      </c>
      <c r="C1280" s="1" t="s">
        <v>435</v>
      </c>
      <c r="D1280" s="1" t="s">
        <v>436</v>
      </c>
      <c r="E1280" s="3" t="s">
        <v>2647</v>
      </c>
      <c r="F1280" s="2" t="s">
        <v>6384</v>
      </c>
      <c r="G1280" s="1"/>
      <c r="H1280" s="3" t="s">
        <v>2649</v>
      </c>
    </row>
    <row r="1281" spans="1:8" x14ac:dyDescent="0.25">
      <c r="A1281" s="1" t="s">
        <v>3104</v>
      </c>
      <c r="B1281" s="1" t="s">
        <v>424</v>
      </c>
      <c r="C1281" s="1" t="s">
        <v>537</v>
      </c>
      <c r="D1281" s="1" t="s">
        <v>436</v>
      </c>
      <c r="E1281" s="3" t="s">
        <v>3107</v>
      </c>
      <c r="F1281" s="2" t="s">
        <v>6385</v>
      </c>
      <c r="G1281" s="1"/>
      <c r="H1281" s="3" t="s">
        <v>682</v>
      </c>
    </row>
    <row r="1282" spans="1:8" x14ac:dyDescent="0.25">
      <c r="A1282" s="1" t="s">
        <v>3104</v>
      </c>
      <c r="B1282" s="1" t="s">
        <v>424</v>
      </c>
      <c r="C1282" s="1" t="s">
        <v>537</v>
      </c>
      <c r="D1282" s="1" t="s">
        <v>436</v>
      </c>
      <c r="E1282" s="3" t="s">
        <v>3111</v>
      </c>
      <c r="F1282" s="2" t="s">
        <v>6386</v>
      </c>
      <c r="G1282" s="1"/>
      <c r="H1282" s="3" t="s">
        <v>682</v>
      </c>
    </row>
    <row r="1283" spans="1:8" x14ac:dyDescent="0.25">
      <c r="A1283" s="1" t="s">
        <v>3104</v>
      </c>
      <c r="B1283" s="1" t="s">
        <v>424</v>
      </c>
      <c r="C1283" s="1" t="s">
        <v>537</v>
      </c>
      <c r="D1283" s="1" t="s">
        <v>436</v>
      </c>
      <c r="E1283" s="3" t="s">
        <v>3109</v>
      </c>
      <c r="F1283" s="2" t="s">
        <v>6387</v>
      </c>
      <c r="G1283" s="1"/>
      <c r="H1283" s="3" t="s">
        <v>682</v>
      </c>
    </row>
    <row r="1284" spans="1:8" x14ac:dyDescent="0.25">
      <c r="A1284" s="1" t="s">
        <v>3104</v>
      </c>
      <c r="B1284" s="1" t="s">
        <v>424</v>
      </c>
      <c r="C1284" s="1" t="s">
        <v>537</v>
      </c>
      <c r="D1284" s="1" t="s">
        <v>436</v>
      </c>
      <c r="E1284" s="3" t="s">
        <v>3105</v>
      </c>
      <c r="F1284" s="2"/>
      <c r="G1284" s="1"/>
      <c r="H1284" s="3" t="s">
        <v>60</v>
      </c>
    </row>
    <row r="1285" spans="1:8" x14ac:dyDescent="0.25">
      <c r="A1285" s="1" t="s">
        <v>3292</v>
      </c>
      <c r="B1285" s="1" t="s">
        <v>409</v>
      </c>
      <c r="C1285" s="1" t="s">
        <v>571</v>
      </c>
      <c r="D1285" s="1" t="s">
        <v>436</v>
      </c>
      <c r="E1285" s="3" t="s">
        <v>3304</v>
      </c>
      <c r="F1285" s="2" t="s">
        <v>6388</v>
      </c>
      <c r="G1285" s="1"/>
      <c r="H1285" s="3" t="s">
        <v>3305</v>
      </c>
    </row>
    <row r="1286" spans="1:8" x14ac:dyDescent="0.25">
      <c r="A1286" s="1" t="s">
        <v>3292</v>
      </c>
      <c r="B1286" s="1" t="s">
        <v>409</v>
      </c>
      <c r="C1286" s="1" t="s">
        <v>571</v>
      </c>
      <c r="D1286" s="1" t="s">
        <v>436</v>
      </c>
      <c r="E1286" s="3" t="s">
        <v>3300</v>
      </c>
      <c r="F1286" s="2" t="s">
        <v>6389</v>
      </c>
      <c r="G1286" s="1"/>
      <c r="H1286" s="3" t="s">
        <v>3295</v>
      </c>
    </row>
    <row r="1287" spans="1:8" x14ac:dyDescent="0.25">
      <c r="A1287" s="1" t="s">
        <v>3292</v>
      </c>
      <c r="B1287" s="1" t="s">
        <v>409</v>
      </c>
      <c r="C1287" s="1" t="s">
        <v>571</v>
      </c>
      <c r="D1287" s="1" t="s">
        <v>436</v>
      </c>
      <c r="E1287" s="3" t="s">
        <v>3302</v>
      </c>
      <c r="F1287" s="2" t="s">
        <v>6389</v>
      </c>
      <c r="G1287" s="1"/>
      <c r="H1287" s="3" t="s">
        <v>3295</v>
      </c>
    </row>
    <row r="1288" spans="1:8" x14ac:dyDescent="0.25">
      <c r="A1288" s="1" t="s">
        <v>3292</v>
      </c>
      <c r="B1288" s="1" t="s">
        <v>409</v>
      </c>
      <c r="C1288" s="1" t="s">
        <v>571</v>
      </c>
      <c r="D1288" s="1" t="s">
        <v>436</v>
      </c>
      <c r="E1288" s="3" t="s">
        <v>3296</v>
      </c>
      <c r="F1288" s="2" t="s">
        <v>6390</v>
      </c>
      <c r="G1288" s="1"/>
      <c r="H1288" s="3" t="s">
        <v>3295</v>
      </c>
    </row>
    <row r="1289" spans="1:8" x14ac:dyDescent="0.25">
      <c r="A1289" s="1" t="s">
        <v>3292</v>
      </c>
      <c r="B1289" s="1" t="s">
        <v>409</v>
      </c>
      <c r="C1289" s="1" t="s">
        <v>571</v>
      </c>
      <c r="D1289" s="1" t="s">
        <v>436</v>
      </c>
      <c r="E1289" s="3" t="s">
        <v>3298</v>
      </c>
      <c r="F1289" s="2" t="s">
        <v>6391</v>
      </c>
      <c r="G1289" s="1"/>
      <c r="H1289" s="3" t="s">
        <v>3295</v>
      </c>
    </row>
    <row r="1290" spans="1:8" x14ac:dyDescent="0.25">
      <c r="A1290" s="1" t="s">
        <v>3292</v>
      </c>
      <c r="B1290" s="1" t="s">
        <v>409</v>
      </c>
      <c r="C1290" s="1" t="s">
        <v>571</v>
      </c>
      <c r="D1290" s="1" t="s">
        <v>436</v>
      </c>
      <c r="E1290" s="3" t="s">
        <v>3293</v>
      </c>
      <c r="F1290" s="2" t="s">
        <v>6392</v>
      </c>
      <c r="G1290" s="1"/>
      <c r="H1290" s="3" t="s">
        <v>3295</v>
      </c>
    </row>
    <row r="1291" spans="1:8" x14ac:dyDescent="0.25">
      <c r="A1291" s="1" t="s">
        <v>371</v>
      </c>
      <c r="B1291" s="1" t="s">
        <v>545</v>
      </c>
      <c r="C1291" s="1" t="s">
        <v>608</v>
      </c>
      <c r="D1291" s="1" t="s">
        <v>436</v>
      </c>
      <c r="E1291" s="3" t="s">
        <v>3823</v>
      </c>
      <c r="F1291" s="2" t="s">
        <v>6393</v>
      </c>
      <c r="G1291" s="1"/>
      <c r="H1291" s="3" t="s">
        <v>682</v>
      </c>
    </row>
    <row r="1292" spans="1:8" ht="30" x14ac:dyDescent="0.25">
      <c r="A1292" s="1" t="s">
        <v>371</v>
      </c>
      <c r="B1292" s="1" t="s">
        <v>545</v>
      </c>
      <c r="C1292" s="1" t="s">
        <v>608</v>
      </c>
      <c r="D1292" s="1" t="s">
        <v>436</v>
      </c>
      <c r="E1292" s="3" t="s">
        <v>3820</v>
      </c>
      <c r="F1292" s="2" t="s">
        <v>6394</v>
      </c>
      <c r="G1292" s="1"/>
      <c r="H1292" s="3" t="s">
        <v>1204</v>
      </c>
    </row>
    <row r="1293" spans="1:8" x14ac:dyDescent="0.25">
      <c r="A1293" s="1" t="s">
        <v>371</v>
      </c>
      <c r="B1293" s="1" t="s">
        <v>545</v>
      </c>
      <c r="C1293" s="1" t="s">
        <v>608</v>
      </c>
      <c r="D1293" s="1" t="s">
        <v>436</v>
      </c>
      <c r="E1293" s="3" t="s">
        <v>369</v>
      </c>
      <c r="F1293" s="2" t="s">
        <v>372</v>
      </c>
      <c r="G1293" s="1"/>
      <c r="H1293" s="3" t="s">
        <v>7</v>
      </c>
    </row>
    <row r="1294" spans="1:8" ht="30" x14ac:dyDescent="0.25">
      <c r="A1294" s="1" t="s">
        <v>193</v>
      </c>
      <c r="B1294" s="1" t="s">
        <v>536</v>
      </c>
      <c r="C1294" s="1" t="s">
        <v>537</v>
      </c>
      <c r="D1294" s="1" t="s">
        <v>436</v>
      </c>
      <c r="E1294" s="3" t="s">
        <v>189</v>
      </c>
      <c r="F1294" s="2" t="s">
        <v>194</v>
      </c>
      <c r="G1294" s="1" t="s">
        <v>538</v>
      </c>
      <c r="H1294" s="3" t="s">
        <v>4080</v>
      </c>
    </row>
    <row r="1295" spans="1:8" x14ac:dyDescent="0.25">
      <c r="A1295" s="1" t="s">
        <v>193</v>
      </c>
      <c r="B1295" s="1" t="s">
        <v>536</v>
      </c>
      <c r="C1295" s="1" t="s">
        <v>537</v>
      </c>
      <c r="D1295" s="1" t="s">
        <v>436</v>
      </c>
      <c r="E1295" s="3" t="s">
        <v>4077</v>
      </c>
      <c r="F1295" s="2" t="s">
        <v>6395</v>
      </c>
      <c r="G1295" s="1"/>
      <c r="H1295" s="3" t="s">
        <v>2584</v>
      </c>
    </row>
    <row r="1296" spans="1:8" x14ac:dyDescent="0.25">
      <c r="A1296" s="1" t="s">
        <v>193</v>
      </c>
      <c r="B1296" s="1" t="s">
        <v>536</v>
      </c>
      <c r="C1296" s="1" t="s">
        <v>537</v>
      </c>
      <c r="D1296" s="1" t="s">
        <v>436</v>
      </c>
      <c r="E1296" s="3" t="s">
        <v>4072</v>
      </c>
      <c r="F1296" s="2" t="s">
        <v>6396</v>
      </c>
      <c r="G1296" s="1"/>
      <c r="H1296" s="3" t="s">
        <v>4074</v>
      </c>
    </row>
    <row r="1297" spans="1:8" x14ac:dyDescent="0.25">
      <c r="A1297" s="1" t="s">
        <v>193</v>
      </c>
      <c r="B1297" s="1" t="s">
        <v>536</v>
      </c>
      <c r="C1297" s="1" t="s">
        <v>537</v>
      </c>
      <c r="D1297" s="1" t="s">
        <v>436</v>
      </c>
      <c r="E1297" s="3" t="s">
        <v>350</v>
      </c>
      <c r="F1297" s="2" t="s">
        <v>351</v>
      </c>
      <c r="G1297" s="1"/>
      <c r="H1297" s="3" t="s">
        <v>4076</v>
      </c>
    </row>
    <row r="1298" spans="1:8" x14ac:dyDescent="0.25">
      <c r="A1298" s="1" t="s">
        <v>4180</v>
      </c>
      <c r="B1298" s="1" t="s">
        <v>457</v>
      </c>
      <c r="C1298" s="1" t="s">
        <v>2333</v>
      </c>
      <c r="D1298" s="1" t="s">
        <v>436</v>
      </c>
      <c r="E1298" s="3" t="s">
        <v>4183</v>
      </c>
      <c r="F1298" s="2" t="s">
        <v>6397</v>
      </c>
      <c r="G1298" s="1"/>
      <c r="H1298" s="3" t="s">
        <v>885</v>
      </c>
    </row>
    <row r="1299" spans="1:8" x14ac:dyDescent="0.25">
      <c r="A1299" s="1" t="s">
        <v>4180</v>
      </c>
      <c r="B1299" s="1" t="s">
        <v>457</v>
      </c>
      <c r="C1299" s="1" t="s">
        <v>2333</v>
      </c>
      <c r="D1299" s="1" t="s">
        <v>436</v>
      </c>
      <c r="E1299" s="3" t="s">
        <v>4181</v>
      </c>
      <c r="F1299" s="2" t="s">
        <v>6398</v>
      </c>
      <c r="G1299" s="1"/>
      <c r="H1299" s="3" t="s">
        <v>885</v>
      </c>
    </row>
    <row r="1300" spans="1:8" x14ac:dyDescent="0.25">
      <c r="A1300" s="1" t="s">
        <v>1715</v>
      </c>
      <c r="B1300" s="1" t="s">
        <v>542</v>
      </c>
      <c r="C1300" s="1" t="s">
        <v>1716</v>
      </c>
      <c r="D1300" s="1" t="s">
        <v>1717</v>
      </c>
      <c r="E1300" s="3" t="s">
        <v>1729</v>
      </c>
      <c r="F1300" s="2" t="s">
        <v>6399</v>
      </c>
      <c r="G1300" s="1"/>
      <c r="H1300" s="3" t="s">
        <v>682</v>
      </c>
    </row>
    <row r="1301" spans="1:8" x14ac:dyDescent="0.25">
      <c r="A1301" s="1" t="s">
        <v>1715</v>
      </c>
      <c r="B1301" s="1" t="s">
        <v>542</v>
      </c>
      <c r="C1301" s="1" t="s">
        <v>1716</v>
      </c>
      <c r="D1301" s="1" t="s">
        <v>1717</v>
      </c>
      <c r="E1301" s="3" t="s">
        <v>1727</v>
      </c>
      <c r="F1301" s="2" t="s">
        <v>6400</v>
      </c>
      <c r="G1301" s="1"/>
      <c r="H1301" s="3" t="s">
        <v>682</v>
      </c>
    </row>
    <row r="1302" spans="1:8" x14ac:dyDescent="0.25">
      <c r="A1302" s="1" t="s">
        <v>1715</v>
      </c>
      <c r="B1302" s="1" t="s">
        <v>542</v>
      </c>
      <c r="C1302" s="1" t="s">
        <v>1716</v>
      </c>
      <c r="D1302" s="1" t="s">
        <v>1717</v>
      </c>
      <c r="E1302" s="3" t="s">
        <v>1725</v>
      </c>
      <c r="F1302" s="2" t="s">
        <v>6401</v>
      </c>
      <c r="G1302" s="1"/>
      <c r="H1302" s="3" t="s">
        <v>682</v>
      </c>
    </row>
    <row r="1303" spans="1:8" x14ac:dyDescent="0.25">
      <c r="A1303" s="1" t="s">
        <v>1715</v>
      </c>
      <c r="B1303" s="1" t="s">
        <v>542</v>
      </c>
      <c r="C1303" s="1" t="s">
        <v>1716</v>
      </c>
      <c r="D1303" s="1" t="s">
        <v>1717</v>
      </c>
      <c r="E1303" s="3" t="s">
        <v>1721</v>
      </c>
      <c r="F1303" s="2" t="s">
        <v>6402</v>
      </c>
      <c r="G1303" s="1"/>
      <c r="H1303" s="3" t="s">
        <v>1720</v>
      </c>
    </row>
    <row r="1304" spans="1:8" x14ac:dyDescent="0.25">
      <c r="A1304" s="1" t="s">
        <v>1715</v>
      </c>
      <c r="B1304" s="1" t="s">
        <v>542</v>
      </c>
      <c r="C1304" s="1" t="s">
        <v>1716</v>
      </c>
      <c r="D1304" s="1" t="s">
        <v>1717</v>
      </c>
      <c r="E1304" s="3" t="s">
        <v>1723</v>
      </c>
      <c r="F1304" s="2" t="s">
        <v>6403</v>
      </c>
      <c r="G1304" s="1"/>
      <c r="H1304" s="3" t="s">
        <v>1720</v>
      </c>
    </row>
    <row r="1305" spans="1:8" x14ac:dyDescent="0.25">
      <c r="A1305" s="1" t="s">
        <v>1715</v>
      </c>
      <c r="B1305" s="1" t="s">
        <v>542</v>
      </c>
      <c r="C1305" s="1" t="s">
        <v>1716</v>
      </c>
      <c r="D1305" s="1" t="s">
        <v>1717</v>
      </c>
      <c r="E1305" s="3" t="s">
        <v>1718</v>
      </c>
      <c r="F1305" s="2" t="s">
        <v>6404</v>
      </c>
      <c r="G1305" s="1"/>
      <c r="H1305" s="3" t="s">
        <v>1720</v>
      </c>
    </row>
    <row r="1306" spans="1:8" x14ac:dyDescent="0.25">
      <c r="A1306" s="1" t="s">
        <v>1819</v>
      </c>
      <c r="B1306" s="1" t="s">
        <v>446</v>
      </c>
      <c r="C1306" s="1" t="s">
        <v>1716</v>
      </c>
      <c r="D1306" s="1" t="s">
        <v>1717</v>
      </c>
      <c r="E1306" s="3" t="s">
        <v>1820</v>
      </c>
      <c r="F1306" s="2" t="s">
        <v>6405</v>
      </c>
      <c r="G1306" s="1"/>
      <c r="H1306" s="3" t="s">
        <v>1617</v>
      </c>
    </row>
    <row r="1307" spans="1:8" x14ac:dyDescent="0.25">
      <c r="A1307" s="1" t="s">
        <v>1819</v>
      </c>
      <c r="B1307" s="1" t="s">
        <v>446</v>
      </c>
      <c r="C1307" s="1" t="s">
        <v>1716</v>
      </c>
      <c r="D1307" s="1" t="s">
        <v>1717</v>
      </c>
      <c r="E1307" s="3" t="s">
        <v>1822</v>
      </c>
      <c r="F1307" s="2" t="s">
        <v>6406</v>
      </c>
      <c r="G1307" s="1"/>
      <c r="H1307" s="3" t="s">
        <v>1617</v>
      </c>
    </row>
    <row r="1308" spans="1:8" x14ac:dyDescent="0.25">
      <c r="A1308" s="1" t="s">
        <v>2097</v>
      </c>
      <c r="B1308" s="1" t="s">
        <v>457</v>
      </c>
      <c r="C1308" s="1" t="s">
        <v>1716</v>
      </c>
      <c r="D1308" s="1" t="s">
        <v>1717</v>
      </c>
      <c r="E1308" s="3" t="s">
        <v>2104</v>
      </c>
      <c r="F1308" s="2" t="s">
        <v>6407</v>
      </c>
      <c r="G1308" s="1"/>
      <c r="H1308" s="3" t="s">
        <v>1617</v>
      </c>
    </row>
    <row r="1309" spans="1:8" x14ac:dyDescent="0.25">
      <c r="A1309" s="1" t="s">
        <v>2097</v>
      </c>
      <c r="B1309" s="1" t="s">
        <v>457</v>
      </c>
      <c r="C1309" s="1" t="s">
        <v>1716</v>
      </c>
      <c r="D1309" s="1" t="s">
        <v>1717</v>
      </c>
      <c r="E1309" s="3" t="s">
        <v>2102</v>
      </c>
      <c r="F1309" s="2" t="s">
        <v>6408</v>
      </c>
      <c r="G1309" s="1"/>
      <c r="H1309" s="3" t="s">
        <v>1617</v>
      </c>
    </row>
    <row r="1310" spans="1:8" x14ac:dyDescent="0.25">
      <c r="A1310" s="1" t="s">
        <v>2097</v>
      </c>
      <c r="B1310" s="1" t="s">
        <v>457</v>
      </c>
      <c r="C1310" s="1" t="s">
        <v>1716</v>
      </c>
      <c r="D1310" s="1" t="s">
        <v>1717</v>
      </c>
      <c r="E1310" s="3" t="s">
        <v>2106</v>
      </c>
      <c r="F1310" s="2" t="s">
        <v>6409</v>
      </c>
      <c r="G1310" s="1"/>
      <c r="H1310" s="3" t="s">
        <v>1617</v>
      </c>
    </row>
    <row r="1311" spans="1:8" x14ac:dyDescent="0.25">
      <c r="A1311" s="1" t="s">
        <v>2097</v>
      </c>
      <c r="B1311" s="1" t="s">
        <v>457</v>
      </c>
      <c r="C1311" s="1" t="s">
        <v>1716</v>
      </c>
      <c r="D1311" s="1" t="s">
        <v>1717</v>
      </c>
      <c r="E1311" s="3" t="s">
        <v>2098</v>
      </c>
      <c r="F1311" s="2" t="s">
        <v>6410</v>
      </c>
      <c r="G1311" s="1"/>
      <c r="H1311" s="3" t="s">
        <v>1617</v>
      </c>
    </row>
    <row r="1312" spans="1:8" x14ac:dyDescent="0.25">
      <c r="A1312" s="1" t="s">
        <v>2097</v>
      </c>
      <c r="B1312" s="1" t="s">
        <v>457</v>
      </c>
      <c r="C1312" s="1" t="s">
        <v>1716</v>
      </c>
      <c r="D1312" s="1" t="s">
        <v>1717</v>
      </c>
      <c r="E1312" s="3" t="s">
        <v>2100</v>
      </c>
      <c r="F1312" s="2" t="s">
        <v>6411</v>
      </c>
      <c r="G1312" s="1"/>
      <c r="H1312" s="3" t="s">
        <v>1617</v>
      </c>
    </row>
    <row r="1313" spans="1:8" x14ac:dyDescent="0.25">
      <c r="A1313" s="1" t="s">
        <v>2097</v>
      </c>
      <c r="B1313" s="1" t="s">
        <v>457</v>
      </c>
      <c r="C1313" s="1" t="s">
        <v>1716</v>
      </c>
      <c r="D1313" s="1" t="s">
        <v>1717</v>
      </c>
      <c r="E1313" s="3" t="s">
        <v>2112</v>
      </c>
      <c r="F1313" s="2" t="s">
        <v>6412</v>
      </c>
      <c r="G1313" s="1"/>
      <c r="H1313" s="3" t="s">
        <v>2114</v>
      </c>
    </row>
    <row r="1314" spans="1:8" x14ac:dyDescent="0.25">
      <c r="A1314" s="1" t="s">
        <v>2097</v>
      </c>
      <c r="B1314" s="1" t="s">
        <v>457</v>
      </c>
      <c r="C1314" s="1" t="s">
        <v>1716</v>
      </c>
      <c r="D1314" s="1" t="s">
        <v>1717</v>
      </c>
      <c r="E1314" s="3" t="s">
        <v>2115</v>
      </c>
      <c r="F1314" s="2" t="s">
        <v>6412</v>
      </c>
      <c r="G1314" s="1"/>
      <c r="H1314" s="3" t="s">
        <v>2114</v>
      </c>
    </row>
    <row r="1315" spans="1:8" x14ac:dyDescent="0.25">
      <c r="A1315" s="1" t="s">
        <v>2097</v>
      </c>
      <c r="B1315" s="1" t="s">
        <v>457</v>
      </c>
      <c r="C1315" s="1" t="s">
        <v>1716</v>
      </c>
      <c r="D1315" s="1" t="s">
        <v>1717</v>
      </c>
      <c r="E1315" s="3" t="s">
        <v>2119</v>
      </c>
      <c r="F1315" s="2" t="s">
        <v>5420</v>
      </c>
      <c r="G1315" s="1"/>
      <c r="H1315" s="3" t="s">
        <v>2114</v>
      </c>
    </row>
    <row r="1316" spans="1:8" x14ac:dyDescent="0.25">
      <c r="A1316" s="1" t="s">
        <v>2097</v>
      </c>
      <c r="B1316" s="1" t="s">
        <v>457</v>
      </c>
      <c r="C1316" s="1" t="s">
        <v>1716</v>
      </c>
      <c r="D1316" s="1" t="s">
        <v>1717</v>
      </c>
      <c r="E1316" s="3" t="s">
        <v>2117</v>
      </c>
      <c r="F1316" s="2" t="s">
        <v>6412</v>
      </c>
      <c r="G1316" s="1"/>
      <c r="H1316" s="3" t="s">
        <v>2114</v>
      </c>
    </row>
    <row r="1317" spans="1:8" x14ac:dyDescent="0.25">
      <c r="A1317" s="1" t="s">
        <v>2097</v>
      </c>
      <c r="B1317" s="1" t="s">
        <v>457</v>
      </c>
      <c r="C1317" s="1" t="s">
        <v>1716</v>
      </c>
      <c r="D1317" s="1" t="s">
        <v>1717</v>
      </c>
      <c r="E1317" s="3" t="s">
        <v>2108</v>
      </c>
      <c r="F1317" s="2" t="s">
        <v>6413</v>
      </c>
      <c r="G1317" s="1"/>
      <c r="H1317" s="3" t="s">
        <v>597</v>
      </c>
    </row>
    <row r="1318" spans="1:8" ht="30" x14ac:dyDescent="0.25">
      <c r="A1318" s="1" t="s">
        <v>2097</v>
      </c>
      <c r="B1318" s="1" t="s">
        <v>457</v>
      </c>
      <c r="C1318" s="1" t="s">
        <v>1716</v>
      </c>
      <c r="D1318" s="1" t="s">
        <v>1717</v>
      </c>
      <c r="E1318" s="3" t="s">
        <v>2121</v>
      </c>
      <c r="F1318" s="2" t="s">
        <v>6414</v>
      </c>
      <c r="G1318" s="1"/>
      <c r="H1318" s="3" t="s">
        <v>2123</v>
      </c>
    </row>
    <row r="1319" spans="1:8" x14ac:dyDescent="0.25">
      <c r="A1319" s="1" t="s">
        <v>2097</v>
      </c>
      <c r="B1319" s="1" t="s">
        <v>457</v>
      </c>
      <c r="C1319" s="1" t="s">
        <v>1716</v>
      </c>
      <c r="D1319" s="1" t="s">
        <v>1717</v>
      </c>
      <c r="E1319" s="3" t="s">
        <v>2110</v>
      </c>
      <c r="F1319" s="2" t="s">
        <v>6415</v>
      </c>
      <c r="G1319" s="1"/>
      <c r="H1319" s="3" t="s">
        <v>48</v>
      </c>
    </row>
    <row r="1320" spans="1:8" x14ac:dyDescent="0.25">
      <c r="A1320" s="1" t="s">
        <v>3465</v>
      </c>
      <c r="B1320" s="1" t="s">
        <v>446</v>
      </c>
      <c r="C1320" s="1" t="s">
        <v>1716</v>
      </c>
      <c r="D1320" s="1" t="s">
        <v>1717</v>
      </c>
      <c r="E1320" s="3" t="s">
        <v>3466</v>
      </c>
      <c r="F1320" s="2" t="s">
        <v>6416</v>
      </c>
      <c r="G1320" s="1"/>
      <c r="H1320" s="3" t="s">
        <v>877</v>
      </c>
    </row>
    <row r="1321" spans="1:8" x14ac:dyDescent="0.25">
      <c r="A1321" s="1" t="s">
        <v>2783</v>
      </c>
      <c r="B1321" s="1" t="s">
        <v>457</v>
      </c>
      <c r="C1321" s="1" t="s">
        <v>2784</v>
      </c>
      <c r="D1321" s="1" t="s">
        <v>2785</v>
      </c>
      <c r="E1321" s="3" t="s">
        <v>2786</v>
      </c>
      <c r="F1321" s="2" t="s">
        <v>6417</v>
      </c>
      <c r="G1321" s="1"/>
      <c r="H1321" s="3" t="s">
        <v>597</v>
      </c>
    </row>
    <row r="1322" spans="1:8" ht="30" x14ac:dyDescent="0.25">
      <c r="A1322" s="1" t="s">
        <v>816</v>
      </c>
      <c r="B1322" s="1" t="s">
        <v>817</v>
      </c>
      <c r="C1322" s="1" t="s">
        <v>556</v>
      </c>
      <c r="D1322" s="1" t="s">
        <v>464</v>
      </c>
      <c r="E1322" s="3" t="s">
        <v>821</v>
      </c>
      <c r="F1322" s="2" t="s">
        <v>6418</v>
      </c>
      <c r="G1322" s="1" t="s">
        <v>813</v>
      </c>
      <c r="H1322" s="3" t="s">
        <v>823</v>
      </c>
    </row>
    <row r="1323" spans="1:8" x14ac:dyDescent="0.25">
      <c r="A1323" s="1" t="s">
        <v>816</v>
      </c>
      <c r="B1323" s="1" t="s">
        <v>817</v>
      </c>
      <c r="C1323" s="1" t="s">
        <v>556</v>
      </c>
      <c r="D1323" s="1" t="s">
        <v>464</v>
      </c>
      <c r="E1323" s="3" t="s">
        <v>818</v>
      </c>
      <c r="F1323" s="2" t="s">
        <v>6419</v>
      </c>
      <c r="G1323" s="1" t="s">
        <v>813</v>
      </c>
      <c r="H1323" s="3" t="s">
        <v>820</v>
      </c>
    </row>
    <row r="1324" spans="1:8" x14ac:dyDescent="0.25">
      <c r="A1324" s="1" t="s">
        <v>216</v>
      </c>
      <c r="B1324" s="1" t="s">
        <v>545</v>
      </c>
      <c r="C1324" s="1" t="s">
        <v>546</v>
      </c>
      <c r="D1324" s="1" t="s">
        <v>464</v>
      </c>
      <c r="E1324" s="3" t="s">
        <v>214</v>
      </c>
      <c r="F1324" s="2" t="s">
        <v>217</v>
      </c>
      <c r="G1324" s="1" t="s">
        <v>413</v>
      </c>
      <c r="H1324" s="3" t="s">
        <v>1612</v>
      </c>
    </row>
    <row r="1325" spans="1:8" x14ac:dyDescent="0.25">
      <c r="A1325" s="1" t="s">
        <v>216</v>
      </c>
      <c r="B1325" s="1" t="s">
        <v>545</v>
      </c>
      <c r="C1325" s="1" t="s">
        <v>546</v>
      </c>
      <c r="D1325" s="1" t="s">
        <v>464</v>
      </c>
      <c r="E1325" s="3" t="s">
        <v>1610</v>
      </c>
      <c r="F1325" s="2" t="s">
        <v>6420</v>
      </c>
      <c r="G1325" s="1" t="s">
        <v>442</v>
      </c>
      <c r="H1325" s="3" t="s">
        <v>1612</v>
      </c>
    </row>
    <row r="1326" spans="1:8" ht="30" x14ac:dyDescent="0.25">
      <c r="A1326" s="1" t="s">
        <v>3188</v>
      </c>
      <c r="B1326" s="1" t="s">
        <v>409</v>
      </c>
      <c r="C1326" s="1" t="s">
        <v>463</v>
      </c>
      <c r="D1326" s="1" t="s">
        <v>464</v>
      </c>
      <c r="E1326" s="3" t="s">
        <v>3200</v>
      </c>
      <c r="F1326" s="2" t="s">
        <v>6421</v>
      </c>
      <c r="G1326" s="1"/>
      <c r="H1326" s="3" t="s">
        <v>3202</v>
      </c>
    </row>
    <row r="1327" spans="1:8" ht="30" x14ac:dyDescent="0.25">
      <c r="A1327" s="1" t="s">
        <v>3188</v>
      </c>
      <c r="B1327" s="1" t="s">
        <v>409</v>
      </c>
      <c r="C1327" s="1" t="s">
        <v>463</v>
      </c>
      <c r="D1327" s="1" t="s">
        <v>464</v>
      </c>
      <c r="E1327" s="3" t="s">
        <v>3192</v>
      </c>
      <c r="F1327" s="2" t="s">
        <v>6422</v>
      </c>
      <c r="G1327" s="1"/>
      <c r="H1327" s="3" t="s">
        <v>3191</v>
      </c>
    </row>
    <row r="1328" spans="1:8" ht="30" x14ac:dyDescent="0.25">
      <c r="A1328" s="1" t="s">
        <v>3188</v>
      </c>
      <c r="B1328" s="1" t="s">
        <v>409</v>
      </c>
      <c r="C1328" s="1" t="s">
        <v>463</v>
      </c>
      <c r="D1328" s="1" t="s">
        <v>464</v>
      </c>
      <c r="E1328" s="3" t="s">
        <v>3194</v>
      </c>
      <c r="F1328" s="2" t="s">
        <v>6423</v>
      </c>
      <c r="G1328" s="1"/>
      <c r="H1328" s="3" t="s">
        <v>3191</v>
      </c>
    </row>
    <row r="1329" spans="1:8" ht="30" x14ac:dyDescent="0.25">
      <c r="A1329" s="1" t="s">
        <v>3188</v>
      </c>
      <c r="B1329" s="1" t="s">
        <v>409</v>
      </c>
      <c r="C1329" s="1" t="s">
        <v>463</v>
      </c>
      <c r="D1329" s="1" t="s">
        <v>464</v>
      </c>
      <c r="E1329" s="3" t="s">
        <v>3198</v>
      </c>
      <c r="F1329" s="2" t="s">
        <v>6424</v>
      </c>
      <c r="G1329" s="1"/>
      <c r="H1329" s="3" t="s">
        <v>3191</v>
      </c>
    </row>
    <row r="1330" spans="1:8" ht="30" x14ac:dyDescent="0.25">
      <c r="A1330" s="1" t="s">
        <v>3188</v>
      </c>
      <c r="B1330" s="1" t="s">
        <v>409</v>
      </c>
      <c r="C1330" s="1" t="s">
        <v>463</v>
      </c>
      <c r="D1330" s="1" t="s">
        <v>464</v>
      </c>
      <c r="E1330" s="3" t="s">
        <v>3189</v>
      </c>
      <c r="F1330" s="2" t="s">
        <v>6425</v>
      </c>
      <c r="G1330" s="1"/>
      <c r="H1330" s="3" t="s">
        <v>3191</v>
      </c>
    </row>
    <row r="1331" spans="1:8" ht="30" x14ac:dyDescent="0.25">
      <c r="A1331" s="1" t="s">
        <v>3188</v>
      </c>
      <c r="B1331" s="1" t="s">
        <v>409</v>
      </c>
      <c r="C1331" s="1" t="s">
        <v>463</v>
      </c>
      <c r="D1331" s="1" t="s">
        <v>464</v>
      </c>
      <c r="E1331" s="3" t="s">
        <v>3196</v>
      </c>
      <c r="F1331" s="2" t="s">
        <v>6426</v>
      </c>
      <c r="G1331" s="1"/>
      <c r="H1331" s="3" t="s">
        <v>3191</v>
      </c>
    </row>
    <row r="1332" spans="1:8" x14ac:dyDescent="0.25">
      <c r="A1332" s="1" t="s">
        <v>3254</v>
      </c>
      <c r="B1332" s="1" t="s">
        <v>557</v>
      </c>
      <c r="C1332" s="1" t="s">
        <v>571</v>
      </c>
      <c r="D1332" s="1" t="s">
        <v>464</v>
      </c>
      <c r="E1332" s="3" t="s">
        <v>3257</v>
      </c>
      <c r="F1332" s="2" t="s">
        <v>6427</v>
      </c>
      <c r="G1332" s="1"/>
      <c r="H1332" s="3" t="s">
        <v>63</v>
      </c>
    </row>
    <row r="1333" spans="1:8" x14ac:dyDescent="0.25">
      <c r="A1333" s="1" t="s">
        <v>3254</v>
      </c>
      <c r="B1333" s="1" t="s">
        <v>557</v>
      </c>
      <c r="C1333" s="1" t="s">
        <v>571</v>
      </c>
      <c r="D1333" s="1" t="s">
        <v>464</v>
      </c>
      <c r="E1333" s="3" t="s">
        <v>3255</v>
      </c>
      <c r="F1333" s="2" t="s">
        <v>6428</v>
      </c>
      <c r="G1333" s="1"/>
      <c r="H1333" s="3" t="s">
        <v>63</v>
      </c>
    </row>
    <row r="1334" spans="1:8" x14ac:dyDescent="0.25">
      <c r="A1334" s="1" t="s">
        <v>3254</v>
      </c>
      <c r="B1334" s="1" t="s">
        <v>557</v>
      </c>
      <c r="C1334" s="1" t="s">
        <v>571</v>
      </c>
      <c r="D1334" s="1" t="s">
        <v>464</v>
      </c>
      <c r="E1334" s="3" t="s">
        <v>3263</v>
      </c>
      <c r="F1334" s="2" t="s">
        <v>6429</v>
      </c>
      <c r="G1334" s="1" t="s">
        <v>442</v>
      </c>
      <c r="H1334" s="3" t="s">
        <v>1204</v>
      </c>
    </row>
    <row r="1335" spans="1:8" x14ac:dyDescent="0.25">
      <c r="A1335" s="1" t="s">
        <v>3254</v>
      </c>
      <c r="B1335" s="1" t="s">
        <v>557</v>
      </c>
      <c r="C1335" s="1" t="s">
        <v>571</v>
      </c>
      <c r="D1335" s="1" t="s">
        <v>464</v>
      </c>
      <c r="E1335" s="3" t="s">
        <v>3261</v>
      </c>
      <c r="F1335" s="2" t="s">
        <v>6430</v>
      </c>
      <c r="G1335" s="1" t="s">
        <v>413</v>
      </c>
      <c r="H1335" s="3" t="s">
        <v>1204</v>
      </c>
    </row>
    <row r="1336" spans="1:8" x14ac:dyDescent="0.25">
      <c r="A1336" s="1" t="s">
        <v>3254</v>
      </c>
      <c r="B1336" s="1" t="s">
        <v>557</v>
      </c>
      <c r="C1336" s="1" t="s">
        <v>571</v>
      </c>
      <c r="D1336" s="1" t="s">
        <v>464</v>
      </c>
      <c r="E1336" s="3" t="s">
        <v>3259</v>
      </c>
      <c r="F1336" s="2" t="s">
        <v>6431</v>
      </c>
      <c r="G1336" s="1" t="s">
        <v>442</v>
      </c>
      <c r="H1336" s="3" t="s">
        <v>1204</v>
      </c>
    </row>
    <row r="1337" spans="1:8" x14ac:dyDescent="0.25">
      <c r="A1337" s="1" t="s">
        <v>42</v>
      </c>
      <c r="B1337" s="1" t="s">
        <v>457</v>
      </c>
      <c r="C1337" s="1" t="s">
        <v>463</v>
      </c>
      <c r="D1337" s="1" t="s">
        <v>464</v>
      </c>
      <c r="E1337" s="3" t="s">
        <v>3308</v>
      </c>
      <c r="F1337" s="2" t="s">
        <v>6432</v>
      </c>
      <c r="G1337" s="1"/>
      <c r="H1337" s="3" t="s">
        <v>63</v>
      </c>
    </row>
    <row r="1338" spans="1:8" x14ac:dyDescent="0.25">
      <c r="A1338" s="1" t="s">
        <v>42</v>
      </c>
      <c r="B1338" s="1" t="s">
        <v>457</v>
      </c>
      <c r="C1338" s="1" t="s">
        <v>463</v>
      </c>
      <c r="D1338" s="1" t="s">
        <v>464</v>
      </c>
      <c r="E1338" s="3" t="s">
        <v>39</v>
      </c>
      <c r="F1338" s="2" t="s">
        <v>43</v>
      </c>
      <c r="G1338" s="1"/>
      <c r="H1338" s="3" t="s">
        <v>1</v>
      </c>
    </row>
    <row r="1339" spans="1:8" x14ac:dyDescent="0.25">
      <c r="A1339" s="1" t="s">
        <v>42</v>
      </c>
      <c r="B1339" s="1" t="s">
        <v>457</v>
      </c>
      <c r="C1339" s="1" t="s">
        <v>463</v>
      </c>
      <c r="D1339" s="1" t="s">
        <v>464</v>
      </c>
      <c r="E1339" s="3" t="s">
        <v>303</v>
      </c>
      <c r="F1339" s="2" t="s">
        <v>304</v>
      </c>
      <c r="G1339" s="1" t="s">
        <v>413</v>
      </c>
      <c r="H1339" s="3" t="s">
        <v>1</v>
      </c>
    </row>
    <row r="1340" spans="1:8" x14ac:dyDescent="0.25">
      <c r="A1340" s="1" t="s">
        <v>42</v>
      </c>
      <c r="B1340" s="1" t="s">
        <v>457</v>
      </c>
      <c r="C1340" s="1" t="s">
        <v>463</v>
      </c>
      <c r="D1340" s="1" t="s">
        <v>464</v>
      </c>
      <c r="E1340" s="3" t="s">
        <v>3312</v>
      </c>
      <c r="F1340" s="2" t="s">
        <v>6433</v>
      </c>
      <c r="G1340" s="1"/>
      <c r="H1340" s="3" t="s">
        <v>1204</v>
      </c>
    </row>
    <row r="1341" spans="1:8" x14ac:dyDescent="0.25">
      <c r="A1341" s="1" t="s">
        <v>42</v>
      </c>
      <c r="B1341" s="1" t="s">
        <v>457</v>
      </c>
      <c r="C1341" s="1" t="s">
        <v>463</v>
      </c>
      <c r="D1341" s="1" t="s">
        <v>464</v>
      </c>
      <c r="E1341" s="3" t="s">
        <v>3314</v>
      </c>
      <c r="F1341" s="2" t="s">
        <v>6434</v>
      </c>
      <c r="G1341" s="1"/>
      <c r="H1341" s="3" t="s">
        <v>1204</v>
      </c>
    </row>
    <row r="1342" spans="1:8" x14ac:dyDescent="0.25">
      <c r="A1342" s="1" t="s">
        <v>42</v>
      </c>
      <c r="B1342" s="1" t="s">
        <v>457</v>
      </c>
      <c r="C1342" s="1" t="s">
        <v>463</v>
      </c>
      <c r="D1342" s="1" t="s">
        <v>464</v>
      </c>
      <c r="E1342" s="3" t="s">
        <v>3310</v>
      </c>
      <c r="F1342" s="2" t="s">
        <v>6435</v>
      </c>
      <c r="G1342" s="1"/>
      <c r="H1342" s="3" t="s">
        <v>1204</v>
      </c>
    </row>
    <row r="1343" spans="1:8" x14ac:dyDescent="0.25">
      <c r="A1343" s="1" t="s">
        <v>42</v>
      </c>
      <c r="B1343" s="1" t="s">
        <v>457</v>
      </c>
      <c r="C1343" s="1" t="s">
        <v>463</v>
      </c>
      <c r="D1343" s="1" t="s">
        <v>464</v>
      </c>
      <c r="E1343" s="3" t="s">
        <v>3316</v>
      </c>
      <c r="F1343" s="2" t="s">
        <v>6436</v>
      </c>
      <c r="G1343" s="1"/>
      <c r="H1343" s="3" t="s">
        <v>1204</v>
      </c>
    </row>
    <row r="1344" spans="1:8" ht="30" x14ac:dyDescent="0.25">
      <c r="A1344" s="1" t="s">
        <v>42</v>
      </c>
      <c r="B1344" s="1" t="s">
        <v>457</v>
      </c>
      <c r="C1344" s="1" t="s">
        <v>463</v>
      </c>
      <c r="D1344" s="1" t="s">
        <v>464</v>
      </c>
      <c r="E1344" s="3" t="s">
        <v>227</v>
      </c>
      <c r="F1344" s="2" t="s">
        <v>229</v>
      </c>
      <c r="G1344" s="1"/>
      <c r="H1344" s="3" t="s">
        <v>7</v>
      </c>
    </row>
    <row r="1345" spans="1:8" x14ac:dyDescent="0.25">
      <c r="A1345" s="1" t="s">
        <v>252</v>
      </c>
      <c r="B1345" s="1" t="s">
        <v>570</v>
      </c>
      <c r="C1345" s="1" t="s">
        <v>571</v>
      </c>
      <c r="D1345" s="1" t="s">
        <v>464</v>
      </c>
      <c r="E1345" s="3" t="s">
        <v>3348</v>
      </c>
      <c r="F1345" s="2" t="s">
        <v>6437</v>
      </c>
      <c r="G1345" s="1"/>
      <c r="H1345" s="3" t="s">
        <v>3350</v>
      </c>
    </row>
    <row r="1346" spans="1:8" x14ac:dyDescent="0.25">
      <c r="A1346" s="1" t="s">
        <v>252</v>
      </c>
      <c r="B1346" s="1" t="s">
        <v>570</v>
      </c>
      <c r="C1346" s="1" t="s">
        <v>571</v>
      </c>
      <c r="D1346" s="1" t="s">
        <v>464</v>
      </c>
      <c r="E1346" s="3" t="s">
        <v>3342</v>
      </c>
      <c r="F1346" s="2" t="s">
        <v>6438</v>
      </c>
      <c r="G1346" s="1"/>
      <c r="H1346" s="3" t="s">
        <v>3344</v>
      </c>
    </row>
    <row r="1347" spans="1:8" ht="30" x14ac:dyDescent="0.25">
      <c r="A1347" s="1" t="s">
        <v>252</v>
      </c>
      <c r="B1347" s="1" t="s">
        <v>570</v>
      </c>
      <c r="C1347" s="1" t="s">
        <v>571</v>
      </c>
      <c r="D1347" s="1" t="s">
        <v>464</v>
      </c>
      <c r="E1347" s="3" t="s">
        <v>3345</v>
      </c>
      <c r="F1347" s="2" t="s">
        <v>6439</v>
      </c>
      <c r="G1347" s="1" t="s">
        <v>406</v>
      </c>
      <c r="H1347" s="3" t="s">
        <v>3347</v>
      </c>
    </row>
    <row r="1348" spans="1:8" x14ac:dyDescent="0.25">
      <c r="A1348" s="1" t="s">
        <v>252</v>
      </c>
      <c r="B1348" s="1" t="s">
        <v>570</v>
      </c>
      <c r="C1348" s="1" t="s">
        <v>571</v>
      </c>
      <c r="D1348" s="1" t="s">
        <v>464</v>
      </c>
      <c r="E1348" s="3" t="s">
        <v>249</v>
      </c>
      <c r="F1348" s="2" t="s">
        <v>253</v>
      </c>
      <c r="G1348" s="1" t="s">
        <v>442</v>
      </c>
      <c r="H1348" s="3" t="s">
        <v>250</v>
      </c>
    </row>
    <row r="1349" spans="1:8" x14ac:dyDescent="0.25">
      <c r="A1349" s="1" t="s">
        <v>3468</v>
      </c>
      <c r="B1349" s="1" t="s">
        <v>418</v>
      </c>
      <c r="C1349" s="1" t="s">
        <v>3469</v>
      </c>
      <c r="D1349" s="1" t="s">
        <v>3470</v>
      </c>
      <c r="E1349" s="3" t="s">
        <v>3471</v>
      </c>
      <c r="F1349" s="2" t="s">
        <v>6440</v>
      </c>
      <c r="G1349" s="1"/>
      <c r="H1349" s="3" t="s">
        <v>1280</v>
      </c>
    </row>
    <row r="1350" spans="1:8" x14ac:dyDescent="0.25">
      <c r="A1350" s="1" t="s">
        <v>3468</v>
      </c>
      <c r="B1350" s="1" t="s">
        <v>418</v>
      </c>
      <c r="C1350" s="1" t="s">
        <v>3469</v>
      </c>
      <c r="D1350" s="1" t="s">
        <v>3470</v>
      </c>
      <c r="E1350" s="3" t="s">
        <v>3475</v>
      </c>
      <c r="F1350" s="2" t="s">
        <v>6441</v>
      </c>
      <c r="G1350" s="1"/>
      <c r="H1350" s="3" t="s">
        <v>1280</v>
      </c>
    </row>
    <row r="1351" spans="1:8" x14ac:dyDescent="0.25">
      <c r="A1351" s="1" t="s">
        <v>3468</v>
      </c>
      <c r="B1351" s="1" t="s">
        <v>418</v>
      </c>
      <c r="C1351" s="1" t="s">
        <v>3469</v>
      </c>
      <c r="D1351" s="1" t="s">
        <v>3470</v>
      </c>
      <c r="E1351" s="3" t="s">
        <v>3473</v>
      </c>
      <c r="F1351" s="2" t="s">
        <v>6442</v>
      </c>
      <c r="G1351" s="1"/>
      <c r="H1351" s="3" t="s">
        <v>1280</v>
      </c>
    </row>
    <row r="1352" spans="1:8" x14ac:dyDescent="0.25">
      <c r="A1352" s="1" t="s">
        <v>3468</v>
      </c>
      <c r="B1352" s="1" t="s">
        <v>418</v>
      </c>
      <c r="C1352" s="1" t="s">
        <v>3469</v>
      </c>
      <c r="D1352" s="1" t="s">
        <v>3470</v>
      </c>
      <c r="E1352" s="3" t="s">
        <v>3479</v>
      </c>
      <c r="F1352" s="2" t="s">
        <v>6443</v>
      </c>
      <c r="G1352" s="1"/>
      <c r="H1352" s="3" t="s">
        <v>554</v>
      </c>
    </row>
    <row r="1353" spans="1:8" x14ac:dyDescent="0.25">
      <c r="A1353" s="1" t="s">
        <v>3468</v>
      </c>
      <c r="B1353" s="1" t="s">
        <v>418</v>
      </c>
      <c r="C1353" s="1" t="s">
        <v>3469</v>
      </c>
      <c r="D1353" s="1" t="s">
        <v>3470</v>
      </c>
      <c r="E1353" s="3" t="s">
        <v>3477</v>
      </c>
      <c r="F1353" s="2" t="s">
        <v>6444</v>
      </c>
      <c r="G1353" s="1"/>
      <c r="H1353" s="3" t="s">
        <v>554</v>
      </c>
    </row>
    <row r="1354" spans="1:8" x14ac:dyDescent="0.25">
      <c r="A1354" s="1" t="s">
        <v>3468</v>
      </c>
      <c r="B1354" s="1" t="s">
        <v>418</v>
      </c>
      <c r="C1354" s="1" t="s">
        <v>3469</v>
      </c>
      <c r="D1354" s="1" t="s">
        <v>3470</v>
      </c>
      <c r="E1354" s="3" t="s">
        <v>3481</v>
      </c>
      <c r="F1354" s="2" t="s">
        <v>6445</v>
      </c>
      <c r="G1354" s="1"/>
      <c r="H1354" s="3" t="s">
        <v>554</v>
      </c>
    </row>
    <row r="1355" spans="1:8" x14ac:dyDescent="0.25">
      <c r="A1355" s="1" t="s">
        <v>547</v>
      </c>
      <c r="B1355" s="1" t="s">
        <v>418</v>
      </c>
      <c r="C1355" s="1" t="s">
        <v>548</v>
      </c>
      <c r="D1355" s="1" t="s">
        <v>549</v>
      </c>
      <c r="E1355" s="3" t="s">
        <v>924</v>
      </c>
      <c r="F1355" s="2" t="s">
        <v>6446</v>
      </c>
      <c r="G1355" s="1"/>
      <c r="H1355" s="3" t="s">
        <v>63</v>
      </c>
    </row>
    <row r="1356" spans="1:8" x14ac:dyDescent="0.25">
      <c r="A1356" s="1" t="s">
        <v>547</v>
      </c>
      <c r="B1356" s="1" t="s">
        <v>418</v>
      </c>
      <c r="C1356" s="1" t="s">
        <v>548</v>
      </c>
      <c r="D1356" s="1" t="s">
        <v>549</v>
      </c>
      <c r="E1356" s="3" t="s">
        <v>550</v>
      </c>
      <c r="F1356" s="2" t="s">
        <v>551</v>
      </c>
      <c r="G1356" s="1"/>
      <c r="H1356" s="3" t="s">
        <v>63</v>
      </c>
    </row>
    <row r="1357" spans="1:8" x14ac:dyDescent="0.25">
      <c r="A1357" s="1" t="s">
        <v>547</v>
      </c>
      <c r="B1357" s="1" t="s">
        <v>418</v>
      </c>
      <c r="C1357" s="1" t="s">
        <v>548</v>
      </c>
      <c r="D1357" s="1" t="s">
        <v>549</v>
      </c>
      <c r="E1357" s="3" t="s">
        <v>922</v>
      </c>
      <c r="F1357" s="2" t="s">
        <v>6447</v>
      </c>
      <c r="G1357" s="1"/>
      <c r="H1357" s="3" t="s">
        <v>63</v>
      </c>
    </row>
    <row r="1358" spans="1:8" x14ac:dyDescent="0.25">
      <c r="A1358" s="1" t="s">
        <v>547</v>
      </c>
      <c r="B1358" s="1" t="s">
        <v>418</v>
      </c>
      <c r="C1358" s="1" t="s">
        <v>548</v>
      </c>
      <c r="D1358" s="1" t="s">
        <v>549</v>
      </c>
      <c r="E1358" s="3" t="s">
        <v>920</v>
      </c>
      <c r="F1358" s="2" t="s">
        <v>6448</v>
      </c>
      <c r="G1358" s="1"/>
      <c r="H1358" s="3" t="s">
        <v>584</v>
      </c>
    </row>
    <row r="1359" spans="1:8" x14ac:dyDescent="0.25">
      <c r="A1359" s="1" t="s">
        <v>2002</v>
      </c>
      <c r="B1359" s="1" t="s">
        <v>418</v>
      </c>
      <c r="C1359" s="1" t="s">
        <v>2003</v>
      </c>
      <c r="D1359" s="1" t="s">
        <v>2004</v>
      </c>
      <c r="E1359" s="3" t="s">
        <v>2030</v>
      </c>
      <c r="F1359" s="2" t="s">
        <v>6449</v>
      </c>
      <c r="G1359" s="1"/>
      <c r="H1359" s="3" t="s">
        <v>192</v>
      </c>
    </row>
    <row r="1360" spans="1:8" x14ac:dyDescent="0.25">
      <c r="A1360" s="1" t="s">
        <v>2002</v>
      </c>
      <c r="B1360" s="1" t="s">
        <v>418</v>
      </c>
      <c r="C1360" s="1" t="s">
        <v>2003</v>
      </c>
      <c r="D1360" s="1" t="s">
        <v>2004</v>
      </c>
      <c r="E1360" s="3" t="s">
        <v>2016</v>
      </c>
      <c r="F1360" s="2" t="s">
        <v>6450</v>
      </c>
      <c r="G1360" s="1" t="s">
        <v>442</v>
      </c>
      <c r="H1360" s="3" t="s">
        <v>2018</v>
      </c>
    </row>
    <row r="1361" spans="1:8" x14ac:dyDescent="0.25">
      <c r="A1361" s="1" t="s">
        <v>2002</v>
      </c>
      <c r="B1361" s="1" t="s">
        <v>418</v>
      </c>
      <c r="C1361" s="1" t="s">
        <v>2003</v>
      </c>
      <c r="D1361" s="1" t="s">
        <v>2004</v>
      </c>
      <c r="E1361" s="3" t="s">
        <v>2009</v>
      </c>
      <c r="F1361" s="2" t="s">
        <v>6451</v>
      </c>
      <c r="G1361" s="1" t="s">
        <v>476</v>
      </c>
      <c r="H1361" s="3" t="s">
        <v>1280</v>
      </c>
    </row>
    <row r="1362" spans="1:8" x14ac:dyDescent="0.25">
      <c r="A1362" s="1" t="s">
        <v>2002</v>
      </c>
      <c r="B1362" s="1" t="s">
        <v>418</v>
      </c>
      <c r="C1362" s="1" t="s">
        <v>2003</v>
      </c>
      <c r="D1362" s="1" t="s">
        <v>2004</v>
      </c>
      <c r="E1362" s="3" t="s">
        <v>2005</v>
      </c>
      <c r="F1362" s="2" t="s">
        <v>6452</v>
      </c>
      <c r="G1362" s="1" t="s">
        <v>406</v>
      </c>
      <c r="H1362" s="3" t="s">
        <v>1196</v>
      </c>
    </row>
    <row r="1363" spans="1:8" x14ac:dyDescent="0.25">
      <c r="A1363" s="1" t="s">
        <v>2002</v>
      </c>
      <c r="B1363" s="1" t="s">
        <v>418</v>
      </c>
      <c r="C1363" s="1" t="s">
        <v>2003</v>
      </c>
      <c r="D1363" s="1" t="s">
        <v>2004</v>
      </c>
      <c r="E1363" s="3" t="s">
        <v>2007</v>
      </c>
      <c r="F1363" s="2" t="s">
        <v>6453</v>
      </c>
      <c r="G1363" s="1" t="s">
        <v>406</v>
      </c>
      <c r="H1363" s="3" t="s">
        <v>1196</v>
      </c>
    </row>
    <row r="1364" spans="1:8" x14ac:dyDescent="0.25">
      <c r="A1364" s="1" t="s">
        <v>2002</v>
      </c>
      <c r="B1364" s="1" t="s">
        <v>418</v>
      </c>
      <c r="C1364" s="1" t="s">
        <v>2003</v>
      </c>
      <c r="D1364" s="1" t="s">
        <v>2004</v>
      </c>
      <c r="E1364" s="3" t="s">
        <v>2011</v>
      </c>
      <c r="F1364" s="2" t="s">
        <v>6454</v>
      </c>
      <c r="G1364" s="1"/>
      <c r="H1364" s="3" t="s">
        <v>60</v>
      </c>
    </row>
    <row r="1365" spans="1:8" x14ac:dyDescent="0.25">
      <c r="A1365" s="1" t="s">
        <v>2002</v>
      </c>
      <c r="B1365" s="1" t="s">
        <v>418</v>
      </c>
      <c r="C1365" s="1" t="s">
        <v>2003</v>
      </c>
      <c r="D1365" s="1" t="s">
        <v>2004</v>
      </c>
      <c r="E1365" s="3" t="s">
        <v>2029</v>
      </c>
      <c r="F1365" s="2" t="s">
        <v>6455</v>
      </c>
      <c r="G1365" s="1"/>
      <c r="H1365" s="3" t="s">
        <v>682</v>
      </c>
    </row>
    <row r="1366" spans="1:8" x14ac:dyDescent="0.25">
      <c r="A1366" s="1" t="s">
        <v>2002</v>
      </c>
      <c r="B1366" s="1" t="s">
        <v>418</v>
      </c>
      <c r="C1366" s="1" t="s">
        <v>2003</v>
      </c>
      <c r="D1366" s="1" t="s">
        <v>2004</v>
      </c>
      <c r="E1366" s="3" t="s">
        <v>2027</v>
      </c>
      <c r="F1366" s="2" t="s">
        <v>6456</v>
      </c>
      <c r="G1366" s="1"/>
      <c r="H1366" s="3" t="s">
        <v>682</v>
      </c>
    </row>
    <row r="1367" spans="1:8" x14ac:dyDescent="0.25">
      <c r="A1367" s="1" t="s">
        <v>2002</v>
      </c>
      <c r="B1367" s="1" t="s">
        <v>418</v>
      </c>
      <c r="C1367" s="1" t="s">
        <v>2003</v>
      </c>
      <c r="D1367" s="1" t="s">
        <v>2004</v>
      </c>
      <c r="E1367" s="3" t="s">
        <v>2013</v>
      </c>
      <c r="F1367" s="2" t="s">
        <v>6457</v>
      </c>
      <c r="G1367" s="1"/>
      <c r="H1367" s="3" t="s">
        <v>2015</v>
      </c>
    </row>
    <row r="1368" spans="1:8" ht="30" x14ac:dyDescent="0.25">
      <c r="A1368" s="1" t="s">
        <v>2002</v>
      </c>
      <c r="B1368" s="1" t="s">
        <v>418</v>
      </c>
      <c r="C1368" s="1" t="s">
        <v>2003</v>
      </c>
      <c r="D1368" s="1" t="s">
        <v>2004</v>
      </c>
      <c r="E1368" s="3" t="s">
        <v>2023</v>
      </c>
      <c r="F1368" s="2" t="s">
        <v>6458</v>
      </c>
      <c r="G1368" s="1"/>
      <c r="H1368" s="3" t="s">
        <v>852</v>
      </c>
    </row>
    <row r="1369" spans="1:8" ht="30" x14ac:dyDescent="0.25">
      <c r="A1369" s="1" t="s">
        <v>2002</v>
      </c>
      <c r="B1369" s="1" t="s">
        <v>418</v>
      </c>
      <c r="C1369" s="1" t="s">
        <v>2003</v>
      </c>
      <c r="D1369" s="1" t="s">
        <v>2004</v>
      </c>
      <c r="E1369" s="3" t="s">
        <v>2021</v>
      </c>
      <c r="F1369" s="2" t="s">
        <v>6459</v>
      </c>
      <c r="G1369" s="1"/>
      <c r="H1369" s="3" t="s">
        <v>852</v>
      </c>
    </row>
    <row r="1370" spans="1:8" ht="30" x14ac:dyDescent="0.25">
      <c r="A1370" s="1" t="s">
        <v>2002</v>
      </c>
      <c r="B1370" s="1" t="s">
        <v>418</v>
      </c>
      <c r="C1370" s="1" t="s">
        <v>2003</v>
      </c>
      <c r="D1370" s="1" t="s">
        <v>2004</v>
      </c>
      <c r="E1370" s="3" t="s">
        <v>2019</v>
      </c>
      <c r="F1370" s="2" t="s">
        <v>6460</v>
      </c>
      <c r="G1370" s="1"/>
      <c r="H1370" s="3" t="s">
        <v>852</v>
      </c>
    </row>
    <row r="1371" spans="1:8" ht="30" x14ac:dyDescent="0.25">
      <c r="A1371" s="1" t="s">
        <v>2002</v>
      </c>
      <c r="B1371" s="1" t="s">
        <v>418</v>
      </c>
      <c r="C1371" s="1" t="s">
        <v>2003</v>
      </c>
      <c r="D1371" s="1" t="s">
        <v>2004</v>
      </c>
      <c r="E1371" s="3" t="s">
        <v>2025</v>
      </c>
      <c r="F1371" s="2" t="s">
        <v>6461</v>
      </c>
      <c r="G1371" s="1"/>
      <c r="H1371" s="3" t="s">
        <v>852</v>
      </c>
    </row>
    <row r="1372" spans="1:8" x14ac:dyDescent="0.25">
      <c r="A1372" s="1" t="s">
        <v>2521</v>
      </c>
      <c r="B1372" s="1" t="s">
        <v>418</v>
      </c>
      <c r="C1372" s="1" t="s">
        <v>2003</v>
      </c>
      <c r="D1372" s="1" t="s">
        <v>2004</v>
      </c>
      <c r="E1372" s="3" t="s">
        <v>2522</v>
      </c>
      <c r="F1372" s="2" t="s">
        <v>6462</v>
      </c>
      <c r="G1372" s="1"/>
      <c r="H1372" s="3" t="s">
        <v>554</v>
      </c>
    </row>
    <row r="1373" spans="1:8" x14ac:dyDescent="0.25">
      <c r="A1373" s="1" t="s">
        <v>2521</v>
      </c>
      <c r="B1373" s="1" t="s">
        <v>418</v>
      </c>
      <c r="C1373" s="1" t="s">
        <v>2003</v>
      </c>
      <c r="D1373" s="1" t="s">
        <v>2004</v>
      </c>
      <c r="E1373" s="3" t="s">
        <v>2524</v>
      </c>
      <c r="F1373" s="2" t="s">
        <v>6463</v>
      </c>
      <c r="G1373" s="1"/>
      <c r="H1373" s="3" t="s">
        <v>554</v>
      </c>
    </row>
    <row r="1374" spans="1:8" x14ac:dyDescent="0.25">
      <c r="A1374" s="1" t="s">
        <v>4225</v>
      </c>
      <c r="B1374" s="1" t="s">
        <v>545</v>
      </c>
      <c r="C1374" s="1" t="s">
        <v>527</v>
      </c>
      <c r="D1374" s="1" t="s">
        <v>3975</v>
      </c>
      <c r="E1374" s="3"/>
      <c r="F1374" s="2"/>
      <c r="G1374" s="1"/>
      <c r="H1374" s="3"/>
    </row>
    <row r="1375" spans="1:8" x14ac:dyDescent="0.25">
      <c r="A1375" s="1" t="s">
        <v>3974</v>
      </c>
      <c r="B1375" s="1" t="s">
        <v>817</v>
      </c>
      <c r="C1375" s="1" t="s">
        <v>2936</v>
      </c>
      <c r="D1375" s="1" t="s">
        <v>3975</v>
      </c>
      <c r="E1375" s="3" t="s">
        <v>3984</v>
      </c>
      <c r="F1375" s="2" t="s">
        <v>6464</v>
      </c>
      <c r="G1375" s="1"/>
      <c r="H1375" s="3" t="s">
        <v>3981</v>
      </c>
    </row>
    <row r="1376" spans="1:8" x14ac:dyDescent="0.25">
      <c r="A1376" s="1" t="s">
        <v>3974</v>
      </c>
      <c r="B1376" s="1" t="s">
        <v>817</v>
      </c>
      <c r="C1376" s="1" t="s">
        <v>2936</v>
      </c>
      <c r="D1376" s="1" t="s">
        <v>3975</v>
      </c>
      <c r="E1376" s="3" t="s">
        <v>3982</v>
      </c>
      <c r="F1376" s="2" t="s">
        <v>6465</v>
      </c>
      <c r="G1376" s="1"/>
      <c r="H1376" s="3" t="s">
        <v>3981</v>
      </c>
    </row>
    <row r="1377" spans="1:8" x14ac:dyDescent="0.25">
      <c r="A1377" s="1" t="s">
        <v>3974</v>
      </c>
      <c r="B1377" s="1" t="s">
        <v>817</v>
      </c>
      <c r="C1377" s="1" t="s">
        <v>2936</v>
      </c>
      <c r="D1377" s="1" t="s">
        <v>3975</v>
      </c>
      <c r="E1377" s="3" t="s">
        <v>3979</v>
      </c>
      <c r="F1377" s="2" t="s">
        <v>6466</v>
      </c>
      <c r="G1377" s="1"/>
      <c r="H1377" s="3" t="s">
        <v>3981</v>
      </c>
    </row>
    <row r="1378" spans="1:8" x14ac:dyDescent="0.25">
      <c r="A1378" s="1" t="s">
        <v>3974</v>
      </c>
      <c r="B1378" s="1" t="s">
        <v>817</v>
      </c>
      <c r="C1378" s="1" t="s">
        <v>2936</v>
      </c>
      <c r="D1378" s="1" t="s">
        <v>3975</v>
      </c>
      <c r="E1378" s="3" t="s">
        <v>3976</v>
      </c>
      <c r="F1378" s="2" t="s">
        <v>6467</v>
      </c>
      <c r="G1378" s="1" t="s">
        <v>406</v>
      </c>
      <c r="H1378" s="3" t="s">
        <v>3978</v>
      </c>
    </row>
    <row r="1379" spans="1:8" ht="30" x14ac:dyDescent="0.25">
      <c r="A1379" s="1" t="s">
        <v>3974</v>
      </c>
      <c r="B1379" s="1" t="s">
        <v>817</v>
      </c>
      <c r="C1379" s="1" t="s">
        <v>2936</v>
      </c>
      <c r="D1379" s="1" t="s">
        <v>3975</v>
      </c>
      <c r="E1379" s="3" t="s">
        <v>3986</v>
      </c>
      <c r="F1379" s="2" t="s">
        <v>6468</v>
      </c>
      <c r="G1379" s="1"/>
      <c r="H1379" s="3" t="s">
        <v>3988</v>
      </c>
    </row>
    <row r="1380" spans="1:8" x14ac:dyDescent="0.25">
      <c r="A1380" s="1" t="s">
        <v>2039</v>
      </c>
      <c r="B1380" s="1" t="s">
        <v>424</v>
      </c>
      <c r="C1380" s="1" t="s">
        <v>893</v>
      </c>
      <c r="D1380" s="1" t="s">
        <v>2040</v>
      </c>
      <c r="E1380" s="3" t="s">
        <v>2041</v>
      </c>
      <c r="F1380" s="2" t="s">
        <v>6469</v>
      </c>
      <c r="G1380" s="1"/>
      <c r="H1380" s="3" t="s">
        <v>407</v>
      </c>
    </row>
    <row r="1381" spans="1:8" x14ac:dyDescent="0.25">
      <c r="A1381" s="1" t="s">
        <v>2039</v>
      </c>
      <c r="B1381" s="1" t="s">
        <v>424</v>
      </c>
      <c r="C1381" s="1" t="s">
        <v>893</v>
      </c>
      <c r="D1381" s="1" t="s">
        <v>2040</v>
      </c>
      <c r="E1381" s="3" t="s">
        <v>2046</v>
      </c>
      <c r="F1381" s="2" t="s">
        <v>6470</v>
      </c>
      <c r="G1381" s="1"/>
      <c r="H1381" s="3" t="s">
        <v>2045</v>
      </c>
    </row>
    <row r="1382" spans="1:8" x14ac:dyDescent="0.25">
      <c r="A1382" s="1" t="s">
        <v>2039</v>
      </c>
      <c r="B1382" s="1" t="s">
        <v>424</v>
      </c>
      <c r="C1382" s="1" t="s">
        <v>893</v>
      </c>
      <c r="D1382" s="1" t="s">
        <v>2040</v>
      </c>
      <c r="E1382" s="3" t="s">
        <v>2052</v>
      </c>
      <c r="F1382" s="2" t="s">
        <v>6471</v>
      </c>
      <c r="G1382" s="1"/>
      <c r="H1382" s="3" t="s">
        <v>2045</v>
      </c>
    </row>
    <row r="1383" spans="1:8" x14ac:dyDescent="0.25">
      <c r="A1383" s="1" t="s">
        <v>2039</v>
      </c>
      <c r="B1383" s="1" t="s">
        <v>424</v>
      </c>
      <c r="C1383" s="1" t="s">
        <v>893</v>
      </c>
      <c r="D1383" s="1" t="s">
        <v>2040</v>
      </c>
      <c r="E1383" s="3" t="s">
        <v>2043</v>
      </c>
      <c r="F1383" s="2" t="s">
        <v>6472</v>
      </c>
      <c r="G1383" s="1"/>
      <c r="H1383" s="3" t="s">
        <v>2045</v>
      </c>
    </row>
    <row r="1384" spans="1:8" x14ac:dyDescent="0.25">
      <c r="A1384" s="1" t="s">
        <v>2039</v>
      </c>
      <c r="B1384" s="1" t="s">
        <v>424</v>
      </c>
      <c r="C1384" s="1" t="s">
        <v>893</v>
      </c>
      <c r="D1384" s="1" t="s">
        <v>2040</v>
      </c>
      <c r="E1384" s="3" t="s">
        <v>2048</v>
      </c>
      <c r="F1384" s="2" t="s">
        <v>6473</v>
      </c>
      <c r="G1384" s="1"/>
      <c r="H1384" s="3" t="s">
        <v>2045</v>
      </c>
    </row>
    <row r="1385" spans="1:8" x14ac:dyDescent="0.25">
      <c r="A1385" s="1" t="s">
        <v>2039</v>
      </c>
      <c r="B1385" s="1" t="s">
        <v>424</v>
      </c>
      <c r="C1385" s="1" t="s">
        <v>893</v>
      </c>
      <c r="D1385" s="1" t="s">
        <v>2040</v>
      </c>
      <c r="E1385" s="3" t="s">
        <v>2050</v>
      </c>
      <c r="F1385" s="2" t="s">
        <v>6474</v>
      </c>
      <c r="G1385" s="1"/>
      <c r="H1385" s="3" t="s">
        <v>2045</v>
      </c>
    </row>
    <row r="1386" spans="1:8" x14ac:dyDescent="0.25">
      <c r="A1386" s="1" t="s">
        <v>4026</v>
      </c>
      <c r="B1386" s="1" t="s">
        <v>536</v>
      </c>
      <c r="C1386" s="1" t="s">
        <v>893</v>
      </c>
      <c r="D1386" s="1" t="s">
        <v>2040</v>
      </c>
      <c r="E1386" s="3" t="s">
        <v>4027</v>
      </c>
      <c r="F1386" s="2" t="s">
        <v>6475</v>
      </c>
      <c r="G1386" s="1"/>
      <c r="H1386" s="3" t="s">
        <v>584</v>
      </c>
    </row>
    <row r="1387" spans="1:8" x14ac:dyDescent="0.25">
      <c r="A1387" s="1" t="s">
        <v>892</v>
      </c>
      <c r="B1387" s="1" t="s">
        <v>457</v>
      </c>
      <c r="C1387" s="1" t="s">
        <v>893</v>
      </c>
      <c r="D1387" s="1" t="s">
        <v>776</v>
      </c>
      <c r="E1387" s="3" t="s">
        <v>901</v>
      </c>
      <c r="F1387" s="2" t="s">
        <v>6476</v>
      </c>
      <c r="G1387" s="1"/>
      <c r="H1387" s="3" t="s">
        <v>898</v>
      </c>
    </row>
    <row r="1388" spans="1:8" x14ac:dyDescent="0.25">
      <c r="A1388" s="1" t="s">
        <v>892</v>
      </c>
      <c r="B1388" s="1" t="s">
        <v>457</v>
      </c>
      <c r="C1388" s="1" t="s">
        <v>893</v>
      </c>
      <c r="D1388" s="1" t="s">
        <v>776</v>
      </c>
      <c r="E1388" s="3" t="s">
        <v>896</v>
      </c>
      <c r="F1388" s="2" t="s">
        <v>6477</v>
      </c>
      <c r="G1388" s="1"/>
      <c r="H1388" s="3" t="s">
        <v>898</v>
      </c>
    </row>
    <row r="1389" spans="1:8" x14ac:dyDescent="0.25">
      <c r="A1389" s="1" t="s">
        <v>892</v>
      </c>
      <c r="B1389" s="1" t="s">
        <v>457</v>
      </c>
      <c r="C1389" s="1" t="s">
        <v>893</v>
      </c>
      <c r="D1389" s="1" t="s">
        <v>776</v>
      </c>
      <c r="E1389" s="3" t="s">
        <v>903</v>
      </c>
      <c r="F1389" s="2" t="s">
        <v>6478</v>
      </c>
      <c r="G1389" s="1"/>
      <c r="H1389" s="3" t="s">
        <v>898</v>
      </c>
    </row>
    <row r="1390" spans="1:8" x14ac:dyDescent="0.25">
      <c r="A1390" s="1" t="s">
        <v>892</v>
      </c>
      <c r="B1390" s="1" t="s">
        <v>457</v>
      </c>
      <c r="C1390" s="1" t="s">
        <v>893</v>
      </c>
      <c r="D1390" s="1" t="s">
        <v>776</v>
      </c>
      <c r="E1390" s="3" t="s">
        <v>899</v>
      </c>
      <c r="F1390" s="2" t="s">
        <v>6479</v>
      </c>
      <c r="G1390" s="1"/>
      <c r="H1390" s="3" t="s">
        <v>898</v>
      </c>
    </row>
    <row r="1391" spans="1:8" x14ac:dyDescent="0.25">
      <c r="A1391" s="1" t="s">
        <v>892</v>
      </c>
      <c r="B1391" s="1" t="s">
        <v>457</v>
      </c>
      <c r="C1391" s="1" t="s">
        <v>893</v>
      </c>
      <c r="D1391" s="1" t="s">
        <v>776</v>
      </c>
      <c r="E1391" s="3" t="s">
        <v>894</v>
      </c>
      <c r="F1391" s="2" t="s">
        <v>6480</v>
      </c>
      <c r="G1391" s="1"/>
      <c r="H1391" s="3" t="s">
        <v>63</v>
      </c>
    </row>
    <row r="1392" spans="1:8" ht="45" x14ac:dyDescent="0.25">
      <c r="A1392" s="1" t="s">
        <v>2071</v>
      </c>
      <c r="B1392" s="1" t="s">
        <v>460</v>
      </c>
      <c r="C1392" s="1" t="s">
        <v>435</v>
      </c>
      <c r="D1392" s="1" t="s">
        <v>776</v>
      </c>
      <c r="E1392" s="3" t="s">
        <v>2077</v>
      </c>
      <c r="F1392" s="2" t="s">
        <v>6481</v>
      </c>
      <c r="G1392" s="1" t="s">
        <v>1760</v>
      </c>
      <c r="H1392" s="3" t="s">
        <v>2079</v>
      </c>
    </row>
    <row r="1393" spans="1:8" ht="45" x14ac:dyDescent="0.25">
      <c r="A1393" s="1" t="s">
        <v>2071</v>
      </c>
      <c r="B1393" s="1" t="s">
        <v>460</v>
      </c>
      <c r="C1393" s="1" t="s">
        <v>435</v>
      </c>
      <c r="D1393" s="1" t="s">
        <v>776</v>
      </c>
      <c r="E1393" s="3" t="s">
        <v>2080</v>
      </c>
      <c r="F1393" s="2"/>
      <c r="G1393" s="1"/>
      <c r="H1393" s="3" t="s">
        <v>2079</v>
      </c>
    </row>
    <row r="1394" spans="1:8" ht="45" x14ac:dyDescent="0.25">
      <c r="A1394" s="1" t="s">
        <v>2071</v>
      </c>
      <c r="B1394" s="1" t="s">
        <v>460</v>
      </c>
      <c r="C1394" s="1" t="s">
        <v>435</v>
      </c>
      <c r="D1394" s="1" t="s">
        <v>776</v>
      </c>
      <c r="E1394" s="3" t="s">
        <v>2082</v>
      </c>
      <c r="F1394" s="2"/>
      <c r="G1394" s="1"/>
      <c r="H1394" s="3" t="s">
        <v>2079</v>
      </c>
    </row>
    <row r="1395" spans="1:8" ht="45" x14ac:dyDescent="0.25">
      <c r="A1395" s="1" t="s">
        <v>2071</v>
      </c>
      <c r="B1395" s="1" t="s">
        <v>460</v>
      </c>
      <c r="C1395" s="1" t="s">
        <v>435</v>
      </c>
      <c r="D1395" s="1" t="s">
        <v>776</v>
      </c>
      <c r="E1395" s="3" t="s">
        <v>2084</v>
      </c>
      <c r="F1395" s="2"/>
      <c r="G1395" s="1"/>
      <c r="H1395" s="3" t="s">
        <v>2079</v>
      </c>
    </row>
    <row r="1396" spans="1:8" ht="30" x14ac:dyDescent="0.25">
      <c r="A1396" s="1" t="s">
        <v>2071</v>
      </c>
      <c r="B1396" s="1" t="s">
        <v>460</v>
      </c>
      <c r="C1396" s="1" t="s">
        <v>435</v>
      </c>
      <c r="D1396" s="1" t="s">
        <v>776</v>
      </c>
      <c r="E1396" s="3" t="s">
        <v>2072</v>
      </c>
      <c r="F1396" s="2" t="s">
        <v>6482</v>
      </c>
      <c r="G1396" s="1" t="s">
        <v>813</v>
      </c>
      <c r="H1396" s="3" t="s">
        <v>2074</v>
      </c>
    </row>
    <row r="1397" spans="1:8" ht="30" x14ac:dyDescent="0.25">
      <c r="A1397" s="1" t="s">
        <v>2071</v>
      </c>
      <c r="B1397" s="1" t="s">
        <v>460</v>
      </c>
      <c r="C1397" s="1" t="s">
        <v>435</v>
      </c>
      <c r="D1397" s="1" t="s">
        <v>776</v>
      </c>
      <c r="E1397" s="3" t="s">
        <v>2075</v>
      </c>
      <c r="F1397" s="2" t="s">
        <v>6483</v>
      </c>
      <c r="G1397" s="1" t="s">
        <v>813</v>
      </c>
      <c r="H1397" s="3" t="s">
        <v>2074</v>
      </c>
    </row>
    <row r="1398" spans="1:8" ht="30" x14ac:dyDescent="0.25">
      <c r="A1398" s="1" t="s">
        <v>2209</v>
      </c>
      <c r="B1398" s="1" t="s">
        <v>511</v>
      </c>
      <c r="C1398" s="1" t="s">
        <v>810</v>
      </c>
      <c r="D1398" s="1" t="s">
        <v>776</v>
      </c>
      <c r="E1398" s="3" t="s">
        <v>2210</v>
      </c>
      <c r="F1398" s="2" t="s">
        <v>6484</v>
      </c>
      <c r="G1398" s="1" t="s">
        <v>813</v>
      </c>
      <c r="H1398" s="3" t="s">
        <v>2212</v>
      </c>
    </row>
    <row r="1399" spans="1:8" x14ac:dyDescent="0.25">
      <c r="A1399" s="1" t="s">
        <v>4229</v>
      </c>
      <c r="B1399" s="1" t="s">
        <v>1632</v>
      </c>
      <c r="C1399" s="1" t="s">
        <v>4230</v>
      </c>
      <c r="D1399" s="1" t="s">
        <v>776</v>
      </c>
      <c r="E1399" s="3"/>
      <c r="F1399" s="2"/>
      <c r="G1399" s="1"/>
      <c r="H1399" s="3"/>
    </row>
    <row r="1400" spans="1:8" x14ac:dyDescent="0.25">
      <c r="A1400" s="1" t="s">
        <v>2859</v>
      </c>
      <c r="B1400" s="1" t="s">
        <v>446</v>
      </c>
      <c r="C1400" s="1" t="s">
        <v>810</v>
      </c>
      <c r="D1400" s="1" t="s">
        <v>776</v>
      </c>
      <c r="E1400" s="3" t="s">
        <v>2865</v>
      </c>
      <c r="F1400" s="2" t="s">
        <v>6485</v>
      </c>
      <c r="G1400" s="1"/>
      <c r="H1400" s="3" t="s">
        <v>63</v>
      </c>
    </row>
    <row r="1401" spans="1:8" x14ac:dyDescent="0.25">
      <c r="A1401" s="1" t="s">
        <v>2859</v>
      </c>
      <c r="B1401" s="1" t="s">
        <v>446</v>
      </c>
      <c r="C1401" s="1" t="s">
        <v>810</v>
      </c>
      <c r="D1401" s="1" t="s">
        <v>776</v>
      </c>
      <c r="E1401" s="3" t="s">
        <v>2872</v>
      </c>
      <c r="F1401" s="2" t="s">
        <v>6486</v>
      </c>
      <c r="G1401" s="1"/>
      <c r="H1401" s="3" t="s">
        <v>554</v>
      </c>
    </row>
    <row r="1402" spans="1:8" x14ac:dyDescent="0.25">
      <c r="A1402" s="1" t="s">
        <v>2859</v>
      </c>
      <c r="B1402" s="1" t="s">
        <v>446</v>
      </c>
      <c r="C1402" s="1" t="s">
        <v>810</v>
      </c>
      <c r="D1402" s="1" t="s">
        <v>776</v>
      </c>
      <c r="E1402" s="3" t="s">
        <v>2874</v>
      </c>
      <c r="F1402" s="2" t="s">
        <v>6487</v>
      </c>
      <c r="G1402" s="1"/>
      <c r="H1402" s="3" t="s">
        <v>554</v>
      </c>
    </row>
    <row r="1403" spans="1:8" x14ac:dyDescent="0.25">
      <c r="A1403" s="1" t="s">
        <v>2859</v>
      </c>
      <c r="B1403" s="1" t="s">
        <v>446</v>
      </c>
      <c r="C1403" s="1" t="s">
        <v>810</v>
      </c>
      <c r="D1403" s="1" t="s">
        <v>776</v>
      </c>
      <c r="E1403" s="3" t="s">
        <v>2860</v>
      </c>
      <c r="F1403" s="2" t="s">
        <v>6488</v>
      </c>
      <c r="G1403" s="1" t="s">
        <v>1651</v>
      </c>
      <c r="H1403" s="3" t="s">
        <v>2862</v>
      </c>
    </row>
    <row r="1404" spans="1:8" x14ac:dyDescent="0.25">
      <c r="A1404" s="1" t="s">
        <v>2859</v>
      </c>
      <c r="B1404" s="1" t="s">
        <v>446</v>
      </c>
      <c r="C1404" s="1" t="s">
        <v>810</v>
      </c>
      <c r="D1404" s="1" t="s">
        <v>776</v>
      </c>
      <c r="E1404" s="3" t="s">
        <v>2863</v>
      </c>
      <c r="F1404" s="2" t="s">
        <v>6489</v>
      </c>
      <c r="G1404" s="1"/>
      <c r="H1404" s="3" t="s">
        <v>2862</v>
      </c>
    </row>
    <row r="1405" spans="1:8" x14ac:dyDescent="0.25">
      <c r="A1405" s="1" t="s">
        <v>2859</v>
      </c>
      <c r="B1405" s="1" t="s">
        <v>446</v>
      </c>
      <c r="C1405" s="1" t="s">
        <v>810</v>
      </c>
      <c r="D1405" s="1" t="s">
        <v>776</v>
      </c>
      <c r="E1405" s="3" t="s">
        <v>2870</v>
      </c>
      <c r="F1405" s="2" t="s">
        <v>6490</v>
      </c>
      <c r="G1405" s="1"/>
      <c r="H1405" s="3" t="s">
        <v>2869</v>
      </c>
    </row>
    <row r="1406" spans="1:8" x14ac:dyDescent="0.25">
      <c r="A1406" s="1" t="s">
        <v>2859</v>
      </c>
      <c r="B1406" s="1" t="s">
        <v>446</v>
      </c>
      <c r="C1406" s="1" t="s">
        <v>810</v>
      </c>
      <c r="D1406" s="1" t="s">
        <v>776</v>
      </c>
      <c r="E1406" s="3" t="s">
        <v>2867</v>
      </c>
      <c r="F1406" s="2" t="s">
        <v>6491</v>
      </c>
      <c r="G1406" s="1"/>
      <c r="H1406" s="3" t="s">
        <v>2869</v>
      </c>
    </row>
    <row r="1407" spans="1:8" x14ac:dyDescent="0.25">
      <c r="A1407" s="1" t="s">
        <v>4239</v>
      </c>
      <c r="B1407" s="1" t="s">
        <v>545</v>
      </c>
      <c r="C1407" s="1" t="s">
        <v>1716</v>
      </c>
      <c r="D1407" s="1" t="s">
        <v>776</v>
      </c>
      <c r="E1407" s="3"/>
      <c r="F1407" s="2"/>
      <c r="G1407" s="1"/>
      <c r="H1407" s="3"/>
    </row>
    <row r="1408" spans="1:8" x14ac:dyDescent="0.25">
      <c r="A1408" s="1" t="s">
        <v>705</v>
      </c>
      <c r="B1408" s="1" t="s">
        <v>418</v>
      </c>
      <c r="C1408" s="1" t="s">
        <v>706</v>
      </c>
      <c r="D1408" s="1" t="s">
        <v>707</v>
      </c>
      <c r="E1408" s="3" t="s">
        <v>710</v>
      </c>
      <c r="F1408" s="2" t="s">
        <v>6492</v>
      </c>
      <c r="G1408" s="1"/>
      <c r="H1408" s="3" t="s">
        <v>192</v>
      </c>
    </row>
    <row r="1409" spans="1:8" x14ac:dyDescent="0.25">
      <c r="A1409" s="1" t="s">
        <v>705</v>
      </c>
      <c r="B1409" s="1" t="s">
        <v>418</v>
      </c>
      <c r="C1409" s="1" t="s">
        <v>706</v>
      </c>
      <c r="D1409" s="1" t="s">
        <v>707</v>
      </c>
      <c r="E1409" s="3" t="s">
        <v>708</v>
      </c>
      <c r="F1409" s="2" t="s">
        <v>6493</v>
      </c>
      <c r="G1409" s="1"/>
      <c r="H1409" s="3" t="s">
        <v>192</v>
      </c>
    </row>
    <row r="1410" spans="1:8" ht="30" x14ac:dyDescent="0.25">
      <c r="A1410" s="1" t="s">
        <v>1995</v>
      </c>
      <c r="B1410" s="1" t="s">
        <v>545</v>
      </c>
      <c r="C1410" s="1" t="s">
        <v>706</v>
      </c>
      <c r="D1410" s="1" t="s">
        <v>707</v>
      </c>
      <c r="E1410" s="3" t="s">
        <v>1999</v>
      </c>
      <c r="F1410" s="2" t="s">
        <v>6494</v>
      </c>
      <c r="G1410" s="1"/>
      <c r="H1410" s="3" t="s">
        <v>2001</v>
      </c>
    </row>
    <row r="1411" spans="1:8" x14ac:dyDescent="0.25">
      <c r="A1411" s="1" t="s">
        <v>1995</v>
      </c>
      <c r="B1411" s="1" t="s">
        <v>545</v>
      </c>
      <c r="C1411" s="1" t="s">
        <v>706</v>
      </c>
      <c r="D1411" s="1" t="s">
        <v>707</v>
      </c>
      <c r="E1411" s="3" t="s">
        <v>1996</v>
      </c>
      <c r="F1411" s="2" t="s">
        <v>6495</v>
      </c>
      <c r="G1411" s="1"/>
      <c r="H1411" s="3" t="s">
        <v>1998</v>
      </c>
    </row>
    <row r="1412" spans="1:8" x14ac:dyDescent="0.25">
      <c r="A1412" s="1" t="s">
        <v>3416</v>
      </c>
      <c r="B1412" s="1" t="s">
        <v>424</v>
      </c>
      <c r="C1412" s="1" t="s">
        <v>706</v>
      </c>
      <c r="D1412" s="1" t="s">
        <v>707</v>
      </c>
      <c r="E1412" s="3" t="s">
        <v>3417</v>
      </c>
      <c r="F1412" s="2" t="s">
        <v>6496</v>
      </c>
      <c r="G1412" s="1" t="s">
        <v>643</v>
      </c>
      <c r="H1412" s="3" t="s">
        <v>63</v>
      </c>
    </row>
    <row r="1413" spans="1:8" x14ac:dyDescent="0.25">
      <c r="A1413" s="1" t="s">
        <v>3416</v>
      </c>
      <c r="B1413" s="1" t="s">
        <v>424</v>
      </c>
      <c r="C1413" s="1" t="s">
        <v>706</v>
      </c>
      <c r="D1413" s="1" t="s">
        <v>707</v>
      </c>
      <c r="E1413" s="3" t="s">
        <v>3419</v>
      </c>
      <c r="F1413" s="2"/>
      <c r="G1413" s="1"/>
      <c r="H1413" s="3" t="s">
        <v>63</v>
      </c>
    </row>
    <row r="1414" spans="1:8" x14ac:dyDescent="0.25">
      <c r="A1414" s="1" t="s">
        <v>3416</v>
      </c>
      <c r="B1414" s="1" t="s">
        <v>424</v>
      </c>
      <c r="C1414" s="1" t="s">
        <v>706</v>
      </c>
      <c r="D1414" s="1" t="s">
        <v>707</v>
      </c>
      <c r="E1414" s="3" t="s">
        <v>3421</v>
      </c>
      <c r="F1414" s="2"/>
      <c r="G1414" s="1"/>
      <c r="H1414" s="3" t="s">
        <v>63</v>
      </c>
    </row>
    <row r="1415" spans="1:8" x14ac:dyDescent="0.25">
      <c r="A1415" s="1" t="s">
        <v>3416</v>
      </c>
      <c r="B1415" s="1" t="s">
        <v>424</v>
      </c>
      <c r="C1415" s="1" t="s">
        <v>706</v>
      </c>
      <c r="D1415" s="1" t="s">
        <v>707</v>
      </c>
      <c r="E1415" s="3" t="s">
        <v>3423</v>
      </c>
      <c r="F1415" s="2"/>
      <c r="G1415" s="1"/>
      <c r="H1415" s="3" t="s">
        <v>63</v>
      </c>
    </row>
    <row r="1416" spans="1:8" x14ac:dyDescent="0.25">
      <c r="A1416" s="1" t="s">
        <v>4248</v>
      </c>
      <c r="B1416" s="1" t="s">
        <v>4249</v>
      </c>
      <c r="C1416" s="1" t="s">
        <v>706</v>
      </c>
      <c r="D1416" s="1" t="s">
        <v>707</v>
      </c>
      <c r="E1416" s="3"/>
      <c r="F1416" s="2"/>
      <c r="G1416" s="1"/>
      <c r="H1416" s="3"/>
    </row>
    <row r="1417" spans="1:8" ht="30" x14ac:dyDescent="0.25">
      <c r="A1417" s="1" t="s">
        <v>809</v>
      </c>
      <c r="B1417" s="1" t="s">
        <v>409</v>
      </c>
      <c r="C1417" s="1" t="s">
        <v>810</v>
      </c>
      <c r="D1417" s="1" t="s">
        <v>811</v>
      </c>
      <c r="E1417" s="3" t="s">
        <v>812</v>
      </c>
      <c r="F1417" s="2" t="s">
        <v>6497</v>
      </c>
      <c r="G1417" s="1" t="s">
        <v>813</v>
      </c>
      <c r="H1417" s="3" t="s">
        <v>815</v>
      </c>
    </row>
    <row r="1418" spans="1:8" x14ac:dyDescent="0.25">
      <c r="A1418" s="1" t="s">
        <v>4217</v>
      </c>
      <c r="B1418" s="1" t="s">
        <v>446</v>
      </c>
      <c r="C1418" s="1" t="s">
        <v>4218</v>
      </c>
      <c r="D1418" s="1" t="s">
        <v>3283</v>
      </c>
      <c r="E1418" s="3"/>
      <c r="F1418" s="2"/>
      <c r="G1418" s="1"/>
      <c r="H1418" s="3"/>
    </row>
    <row r="1419" spans="1:8" x14ac:dyDescent="0.25">
      <c r="A1419" s="1" t="s">
        <v>3281</v>
      </c>
      <c r="B1419" s="1" t="s">
        <v>1008</v>
      </c>
      <c r="C1419" s="1" t="s">
        <v>3282</v>
      </c>
      <c r="D1419" s="1" t="s">
        <v>3283</v>
      </c>
      <c r="E1419" s="3" t="s">
        <v>3284</v>
      </c>
      <c r="F1419" s="2" t="s">
        <v>6498</v>
      </c>
      <c r="G1419" s="1"/>
      <c r="H1419" s="3" t="s">
        <v>2410</v>
      </c>
    </row>
    <row r="1420" spans="1:8" x14ac:dyDescent="0.25">
      <c r="A1420" s="1" t="s">
        <v>3281</v>
      </c>
      <c r="B1420" s="1" t="s">
        <v>1008</v>
      </c>
      <c r="C1420" s="1" t="s">
        <v>3282</v>
      </c>
      <c r="D1420" s="1" t="s">
        <v>3283</v>
      </c>
      <c r="E1420" s="3" t="s">
        <v>3286</v>
      </c>
      <c r="F1420" s="2" t="s">
        <v>6499</v>
      </c>
      <c r="G1420" s="1"/>
      <c r="H1420" s="3" t="s">
        <v>682</v>
      </c>
    </row>
    <row r="1421" spans="1:8" x14ac:dyDescent="0.25">
      <c r="A1421" s="1" t="s">
        <v>3281</v>
      </c>
      <c r="B1421" s="1" t="s">
        <v>1008</v>
      </c>
      <c r="C1421" s="1" t="s">
        <v>3282</v>
      </c>
      <c r="D1421" s="1" t="s">
        <v>3283</v>
      </c>
      <c r="E1421" s="3" t="s">
        <v>3290</v>
      </c>
      <c r="F1421" s="2" t="s">
        <v>6500</v>
      </c>
      <c r="G1421" s="1"/>
      <c r="H1421" s="3" t="s">
        <v>682</v>
      </c>
    </row>
    <row r="1422" spans="1:8" x14ac:dyDescent="0.25">
      <c r="A1422" s="1" t="s">
        <v>3281</v>
      </c>
      <c r="B1422" s="1" t="s">
        <v>1008</v>
      </c>
      <c r="C1422" s="1" t="s">
        <v>3282</v>
      </c>
      <c r="D1422" s="1" t="s">
        <v>3283</v>
      </c>
      <c r="E1422" s="3" t="s">
        <v>3288</v>
      </c>
      <c r="F1422" s="2" t="s">
        <v>6501</v>
      </c>
      <c r="G1422" s="1"/>
      <c r="H1422" s="3" t="s">
        <v>682</v>
      </c>
    </row>
    <row r="1423" spans="1:8" x14ac:dyDescent="0.25">
      <c r="A1423" s="1" t="s">
        <v>1239</v>
      </c>
      <c r="B1423" s="1" t="s">
        <v>1008</v>
      </c>
      <c r="C1423" s="1" t="s">
        <v>1240</v>
      </c>
      <c r="D1423" s="1" t="s">
        <v>1241</v>
      </c>
      <c r="E1423" s="3" t="s">
        <v>1258</v>
      </c>
      <c r="F1423" s="2" t="s">
        <v>6502</v>
      </c>
      <c r="G1423" s="1"/>
      <c r="H1423" s="3" t="s">
        <v>877</v>
      </c>
    </row>
    <row r="1424" spans="1:8" x14ac:dyDescent="0.25">
      <c r="A1424" s="1" t="s">
        <v>1239</v>
      </c>
      <c r="B1424" s="1" t="s">
        <v>1008</v>
      </c>
      <c r="C1424" s="1" t="s">
        <v>1240</v>
      </c>
      <c r="D1424" s="1" t="s">
        <v>1241</v>
      </c>
      <c r="E1424" s="3" t="s">
        <v>1264</v>
      </c>
      <c r="F1424" s="2" t="s">
        <v>6503</v>
      </c>
      <c r="G1424" s="1"/>
      <c r="H1424" s="3" t="s">
        <v>877</v>
      </c>
    </row>
    <row r="1425" spans="1:8" x14ac:dyDescent="0.25">
      <c r="A1425" s="1" t="s">
        <v>1239</v>
      </c>
      <c r="B1425" s="1" t="s">
        <v>1008</v>
      </c>
      <c r="C1425" s="1" t="s">
        <v>1240</v>
      </c>
      <c r="D1425" s="1" t="s">
        <v>1241</v>
      </c>
      <c r="E1425" s="3" t="s">
        <v>1262</v>
      </c>
      <c r="F1425" s="2" t="s">
        <v>6504</v>
      </c>
      <c r="G1425" s="1"/>
      <c r="H1425" s="3" t="s">
        <v>877</v>
      </c>
    </row>
    <row r="1426" spans="1:8" x14ac:dyDescent="0.25">
      <c r="A1426" s="1" t="s">
        <v>1239</v>
      </c>
      <c r="B1426" s="1" t="s">
        <v>1008</v>
      </c>
      <c r="C1426" s="1" t="s">
        <v>1240</v>
      </c>
      <c r="D1426" s="1" t="s">
        <v>1241</v>
      </c>
      <c r="E1426" s="3" t="s">
        <v>1260</v>
      </c>
      <c r="F1426" s="2" t="s">
        <v>6505</v>
      </c>
      <c r="G1426" s="1"/>
      <c r="H1426" s="3" t="s">
        <v>877</v>
      </c>
    </row>
    <row r="1427" spans="1:8" x14ac:dyDescent="0.25">
      <c r="A1427" s="1" t="s">
        <v>1239</v>
      </c>
      <c r="B1427" s="1" t="s">
        <v>1008</v>
      </c>
      <c r="C1427" s="1" t="s">
        <v>1240</v>
      </c>
      <c r="D1427" s="1" t="s">
        <v>1241</v>
      </c>
      <c r="E1427" s="3" t="s">
        <v>1266</v>
      </c>
      <c r="F1427" s="2" t="s">
        <v>6506</v>
      </c>
      <c r="G1427" s="1"/>
      <c r="H1427" s="3" t="s">
        <v>877</v>
      </c>
    </row>
    <row r="1428" spans="1:8" x14ac:dyDescent="0.25">
      <c r="A1428" s="1" t="s">
        <v>1239</v>
      </c>
      <c r="B1428" s="1" t="s">
        <v>1008</v>
      </c>
      <c r="C1428" s="1" t="s">
        <v>1240</v>
      </c>
      <c r="D1428" s="1" t="s">
        <v>1241</v>
      </c>
      <c r="E1428" s="3" t="s">
        <v>1255</v>
      </c>
      <c r="F1428" s="2" t="s">
        <v>6507</v>
      </c>
      <c r="G1428" s="1" t="s">
        <v>442</v>
      </c>
      <c r="H1428" s="3" t="s">
        <v>1257</v>
      </c>
    </row>
    <row r="1429" spans="1:8" x14ac:dyDescent="0.25">
      <c r="A1429" s="1" t="s">
        <v>1239</v>
      </c>
      <c r="B1429" s="1" t="s">
        <v>1008</v>
      </c>
      <c r="C1429" s="1" t="s">
        <v>1240</v>
      </c>
      <c r="D1429" s="1" t="s">
        <v>1241</v>
      </c>
      <c r="E1429" s="3" t="s">
        <v>1251</v>
      </c>
      <c r="F1429" s="2" t="s">
        <v>6503</v>
      </c>
      <c r="G1429" s="1" t="s">
        <v>406</v>
      </c>
      <c r="H1429" s="3" t="s">
        <v>1246</v>
      </c>
    </row>
    <row r="1430" spans="1:8" x14ac:dyDescent="0.25">
      <c r="A1430" s="1" t="s">
        <v>1239</v>
      </c>
      <c r="B1430" s="1" t="s">
        <v>1008</v>
      </c>
      <c r="C1430" s="1" t="s">
        <v>1240</v>
      </c>
      <c r="D1430" s="1" t="s">
        <v>1241</v>
      </c>
      <c r="E1430" s="3" t="s">
        <v>1249</v>
      </c>
      <c r="F1430" s="2" t="s">
        <v>6508</v>
      </c>
      <c r="G1430" s="1" t="s">
        <v>406</v>
      </c>
      <c r="H1430" s="3" t="s">
        <v>1246</v>
      </c>
    </row>
    <row r="1431" spans="1:8" x14ac:dyDescent="0.25">
      <c r="A1431" s="1" t="s">
        <v>1239</v>
      </c>
      <c r="B1431" s="1" t="s">
        <v>1008</v>
      </c>
      <c r="C1431" s="1" t="s">
        <v>1240</v>
      </c>
      <c r="D1431" s="1" t="s">
        <v>1241</v>
      </c>
      <c r="E1431" s="3" t="s">
        <v>1244</v>
      </c>
      <c r="F1431" s="2" t="s">
        <v>6509</v>
      </c>
      <c r="G1431" s="1" t="s">
        <v>406</v>
      </c>
      <c r="H1431" s="3" t="s">
        <v>1246</v>
      </c>
    </row>
    <row r="1432" spans="1:8" x14ac:dyDescent="0.25">
      <c r="A1432" s="1" t="s">
        <v>1239</v>
      </c>
      <c r="B1432" s="1" t="s">
        <v>1008</v>
      </c>
      <c r="C1432" s="1" t="s">
        <v>1240</v>
      </c>
      <c r="D1432" s="1" t="s">
        <v>1241</v>
      </c>
      <c r="E1432" s="3" t="s">
        <v>1247</v>
      </c>
      <c r="F1432" s="2" t="s">
        <v>6510</v>
      </c>
      <c r="G1432" s="1" t="s">
        <v>406</v>
      </c>
      <c r="H1432" s="3" t="s">
        <v>1246</v>
      </c>
    </row>
    <row r="1433" spans="1:8" x14ac:dyDescent="0.25">
      <c r="A1433" s="1" t="s">
        <v>1239</v>
      </c>
      <c r="B1433" s="1" t="s">
        <v>1008</v>
      </c>
      <c r="C1433" s="1" t="s">
        <v>1240</v>
      </c>
      <c r="D1433" s="1" t="s">
        <v>1241</v>
      </c>
      <c r="E1433" s="3" t="s">
        <v>1253</v>
      </c>
      <c r="F1433" s="2" t="s">
        <v>6511</v>
      </c>
      <c r="G1433" s="1" t="s">
        <v>406</v>
      </c>
      <c r="H1433" s="3" t="s">
        <v>1246</v>
      </c>
    </row>
    <row r="1434" spans="1:8" x14ac:dyDescent="0.25">
      <c r="A1434" s="1" t="s">
        <v>1239</v>
      </c>
      <c r="B1434" s="1" t="s">
        <v>1008</v>
      </c>
      <c r="C1434" s="1" t="s">
        <v>1240</v>
      </c>
      <c r="D1434" s="1" t="s">
        <v>1241</v>
      </c>
      <c r="E1434" s="3" t="s">
        <v>1242</v>
      </c>
      <c r="F1434" s="2" t="s">
        <v>6512</v>
      </c>
      <c r="G1434" s="1"/>
      <c r="H1434" s="3" t="s">
        <v>60</v>
      </c>
    </row>
    <row r="1435" spans="1:8" x14ac:dyDescent="0.25">
      <c r="A1435" s="1" t="s">
        <v>4209</v>
      </c>
      <c r="B1435" s="1" t="s">
        <v>437</v>
      </c>
      <c r="C1435" s="1" t="s">
        <v>2805</v>
      </c>
      <c r="D1435" s="1" t="s">
        <v>1241</v>
      </c>
      <c r="E1435" s="3"/>
      <c r="F1435" s="2"/>
      <c r="G1435" s="1"/>
      <c r="H1435" s="3"/>
    </row>
    <row r="1436" spans="1:8" x14ac:dyDescent="0.25">
      <c r="A1436" s="1" t="s">
        <v>3061</v>
      </c>
      <c r="B1436" s="1" t="s">
        <v>418</v>
      </c>
      <c r="C1436" s="1" t="s">
        <v>1240</v>
      </c>
      <c r="D1436" s="1" t="s">
        <v>1241</v>
      </c>
      <c r="E1436" s="3" t="s">
        <v>3066</v>
      </c>
      <c r="F1436" s="2" t="s">
        <v>6513</v>
      </c>
      <c r="G1436" s="1"/>
      <c r="H1436" s="3" t="s">
        <v>682</v>
      </c>
    </row>
    <row r="1437" spans="1:8" x14ac:dyDescent="0.25">
      <c r="A1437" s="1" t="s">
        <v>3061</v>
      </c>
      <c r="B1437" s="1" t="s">
        <v>418</v>
      </c>
      <c r="C1437" s="1" t="s">
        <v>1240</v>
      </c>
      <c r="D1437" s="1" t="s">
        <v>1241</v>
      </c>
      <c r="E1437" s="3" t="s">
        <v>3062</v>
      </c>
      <c r="F1437" s="2" t="s">
        <v>6514</v>
      </c>
      <c r="G1437" s="1"/>
      <c r="H1437" s="3" t="s">
        <v>63</v>
      </c>
    </row>
    <row r="1438" spans="1:8" x14ac:dyDescent="0.25">
      <c r="A1438" s="1" t="s">
        <v>3061</v>
      </c>
      <c r="B1438" s="1" t="s">
        <v>418</v>
      </c>
      <c r="C1438" s="1" t="s">
        <v>1240</v>
      </c>
      <c r="D1438" s="1" t="s">
        <v>1241</v>
      </c>
      <c r="E1438" s="3" t="s">
        <v>3064</v>
      </c>
      <c r="F1438" s="2" t="s">
        <v>6515</v>
      </c>
      <c r="G1438" s="1" t="s">
        <v>406</v>
      </c>
      <c r="H1438" s="3" t="s">
        <v>63</v>
      </c>
    </row>
    <row r="1439" spans="1:8" ht="30" x14ac:dyDescent="0.25">
      <c r="A1439" s="1" t="s">
        <v>2182</v>
      </c>
      <c r="B1439" s="1" t="s">
        <v>1008</v>
      </c>
      <c r="C1439" s="1" t="s">
        <v>2183</v>
      </c>
      <c r="D1439" s="1" t="s">
        <v>1124</v>
      </c>
      <c r="E1439" s="3" t="s">
        <v>2186</v>
      </c>
      <c r="F1439" s="2" t="s">
        <v>6516</v>
      </c>
      <c r="G1439" s="1"/>
      <c r="H1439" s="3" t="s">
        <v>2188</v>
      </c>
    </row>
    <row r="1440" spans="1:8" ht="30" x14ac:dyDescent="0.25">
      <c r="A1440" s="1" t="s">
        <v>2182</v>
      </c>
      <c r="B1440" s="1" t="s">
        <v>1008</v>
      </c>
      <c r="C1440" s="1" t="s">
        <v>2183</v>
      </c>
      <c r="D1440" s="1" t="s">
        <v>1124</v>
      </c>
      <c r="E1440" s="3" t="s">
        <v>2193</v>
      </c>
      <c r="F1440" s="2" t="s">
        <v>6517</v>
      </c>
      <c r="G1440" s="1"/>
      <c r="H1440" s="3" t="s">
        <v>2188</v>
      </c>
    </row>
    <row r="1441" spans="1:8" ht="30" x14ac:dyDescent="0.25">
      <c r="A1441" s="1" t="s">
        <v>2182</v>
      </c>
      <c r="B1441" s="1" t="s">
        <v>1008</v>
      </c>
      <c r="C1441" s="1" t="s">
        <v>2183</v>
      </c>
      <c r="D1441" s="1" t="s">
        <v>1124</v>
      </c>
      <c r="E1441" s="3" t="s">
        <v>2191</v>
      </c>
      <c r="F1441" s="2" t="s">
        <v>6518</v>
      </c>
      <c r="G1441" s="1"/>
      <c r="H1441" s="3" t="s">
        <v>2188</v>
      </c>
    </row>
    <row r="1442" spans="1:8" ht="30" x14ac:dyDescent="0.25">
      <c r="A1442" s="1" t="s">
        <v>2182</v>
      </c>
      <c r="B1442" s="1" t="s">
        <v>1008</v>
      </c>
      <c r="C1442" s="1" t="s">
        <v>2183</v>
      </c>
      <c r="D1442" s="1" t="s">
        <v>1124</v>
      </c>
      <c r="E1442" s="3" t="s">
        <v>2189</v>
      </c>
      <c r="F1442" s="2" t="s">
        <v>6519</v>
      </c>
      <c r="G1442" s="1"/>
      <c r="H1442" s="3" t="s">
        <v>2188</v>
      </c>
    </row>
    <row r="1443" spans="1:8" x14ac:dyDescent="0.25">
      <c r="A1443" s="1" t="s">
        <v>2182</v>
      </c>
      <c r="B1443" s="1" t="s">
        <v>1008</v>
      </c>
      <c r="C1443" s="1" t="s">
        <v>2183</v>
      </c>
      <c r="D1443" s="1" t="s">
        <v>1124</v>
      </c>
      <c r="E1443" s="3" t="s">
        <v>2184</v>
      </c>
      <c r="F1443" s="2" t="s">
        <v>6520</v>
      </c>
      <c r="G1443" s="1"/>
      <c r="H1443" s="3" t="s">
        <v>1583</v>
      </c>
    </row>
    <row r="1444" spans="1:8" x14ac:dyDescent="0.25">
      <c r="A1444" s="1" t="s">
        <v>2407</v>
      </c>
      <c r="B1444" s="1" t="s">
        <v>457</v>
      </c>
      <c r="C1444" s="1" t="s">
        <v>2183</v>
      </c>
      <c r="D1444" s="1" t="s">
        <v>1124</v>
      </c>
      <c r="E1444" s="3" t="s">
        <v>2411</v>
      </c>
      <c r="F1444" s="2" t="s">
        <v>6521</v>
      </c>
      <c r="G1444" s="1"/>
      <c r="H1444" s="3" t="s">
        <v>877</v>
      </c>
    </row>
    <row r="1445" spans="1:8" x14ac:dyDescent="0.25">
      <c r="A1445" s="1" t="s">
        <v>2407</v>
      </c>
      <c r="B1445" s="1" t="s">
        <v>457</v>
      </c>
      <c r="C1445" s="1" t="s">
        <v>2183</v>
      </c>
      <c r="D1445" s="1" t="s">
        <v>1124</v>
      </c>
      <c r="E1445" s="3" t="s">
        <v>2408</v>
      </c>
      <c r="F1445" s="2" t="s">
        <v>6522</v>
      </c>
      <c r="G1445" s="1" t="s">
        <v>413</v>
      </c>
      <c r="H1445" s="3" t="s">
        <v>2410</v>
      </c>
    </row>
    <row r="1446" spans="1:8" x14ac:dyDescent="0.25">
      <c r="A1446" s="1" t="s">
        <v>66</v>
      </c>
      <c r="B1446" s="1" t="s">
        <v>446</v>
      </c>
      <c r="C1446" s="1" t="s">
        <v>470</v>
      </c>
      <c r="D1446" s="1" t="s">
        <v>471</v>
      </c>
      <c r="E1446" s="3" t="s">
        <v>868</v>
      </c>
      <c r="F1446" s="2" t="s">
        <v>6523</v>
      </c>
      <c r="G1446" s="1"/>
      <c r="H1446" s="3" t="s">
        <v>682</v>
      </c>
    </row>
    <row r="1447" spans="1:8" ht="30" x14ac:dyDescent="0.25">
      <c r="A1447" s="1" t="s">
        <v>66</v>
      </c>
      <c r="B1447" s="1" t="s">
        <v>446</v>
      </c>
      <c r="C1447" s="1" t="s">
        <v>470</v>
      </c>
      <c r="D1447" s="1" t="s">
        <v>471</v>
      </c>
      <c r="E1447" s="3" t="s">
        <v>65</v>
      </c>
      <c r="F1447" s="2" t="s">
        <v>67</v>
      </c>
      <c r="G1447" s="1" t="s">
        <v>406</v>
      </c>
      <c r="H1447" s="3" t="s">
        <v>843</v>
      </c>
    </row>
    <row r="1448" spans="1:8" x14ac:dyDescent="0.25">
      <c r="A1448" s="1" t="s">
        <v>66</v>
      </c>
      <c r="B1448" s="1" t="s">
        <v>446</v>
      </c>
      <c r="C1448" s="1" t="s">
        <v>470</v>
      </c>
      <c r="D1448" s="1" t="s">
        <v>471</v>
      </c>
      <c r="E1448" s="3" t="s">
        <v>847</v>
      </c>
      <c r="F1448" s="2" t="s">
        <v>6524</v>
      </c>
      <c r="G1448" s="1"/>
      <c r="H1448" s="3" t="s">
        <v>849</v>
      </c>
    </row>
    <row r="1449" spans="1:8" x14ac:dyDescent="0.25">
      <c r="A1449" s="1" t="s">
        <v>66</v>
      </c>
      <c r="B1449" s="1" t="s">
        <v>446</v>
      </c>
      <c r="C1449" s="1" t="s">
        <v>470</v>
      </c>
      <c r="D1449" s="1" t="s">
        <v>471</v>
      </c>
      <c r="E1449" s="3" t="s">
        <v>863</v>
      </c>
      <c r="F1449" s="2" t="s">
        <v>6525</v>
      </c>
      <c r="G1449" s="1"/>
      <c r="H1449" s="3" t="s">
        <v>7</v>
      </c>
    </row>
    <row r="1450" spans="1:8" x14ac:dyDescent="0.25">
      <c r="A1450" s="1" t="s">
        <v>66</v>
      </c>
      <c r="B1450" s="1" t="s">
        <v>446</v>
      </c>
      <c r="C1450" s="1" t="s">
        <v>470</v>
      </c>
      <c r="D1450" s="1" t="s">
        <v>471</v>
      </c>
      <c r="E1450" s="3" t="s">
        <v>861</v>
      </c>
      <c r="F1450" s="2" t="s">
        <v>6526</v>
      </c>
      <c r="G1450" s="1"/>
      <c r="H1450" s="3" t="s">
        <v>7</v>
      </c>
    </row>
    <row r="1451" spans="1:8" ht="30" x14ac:dyDescent="0.25">
      <c r="A1451" s="1" t="s">
        <v>66</v>
      </c>
      <c r="B1451" s="1" t="s">
        <v>446</v>
      </c>
      <c r="C1451" s="1" t="s">
        <v>470</v>
      </c>
      <c r="D1451" s="1" t="s">
        <v>471</v>
      </c>
      <c r="E1451" s="3" t="s">
        <v>855</v>
      </c>
      <c r="F1451" s="2" t="s">
        <v>6527</v>
      </c>
      <c r="G1451" s="1"/>
      <c r="H1451" s="3" t="s">
        <v>852</v>
      </c>
    </row>
    <row r="1452" spans="1:8" ht="30" x14ac:dyDescent="0.25">
      <c r="A1452" s="1" t="s">
        <v>66</v>
      </c>
      <c r="B1452" s="1" t="s">
        <v>446</v>
      </c>
      <c r="C1452" s="1" t="s">
        <v>470</v>
      </c>
      <c r="D1452" s="1" t="s">
        <v>471</v>
      </c>
      <c r="E1452" s="3" t="s">
        <v>859</v>
      </c>
      <c r="F1452" s="2" t="s">
        <v>6528</v>
      </c>
      <c r="G1452" s="1"/>
      <c r="H1452" s="3" t="s">
        <v>852</v>
      </c>
    </row>
    <row r="1453" spans="1:8" ht="30" x14ac:dyDescent="0.25">
      <c r="A1453" s="1" t="s">
        <v>66</v>
      </c>
      <c r="B1453" s="1" t="s">
        <v>446</v>
      </c>
      <c r="C1453" s="1" t="s">
        <v>470</v>
      </c>
      <c r="D1453" s="1" t="s">
        <v>471</v>
      </c>
      <c r="E1453" s="3" t="s">
        <v>857</v>
      </c>
      <c r="F1453" s="2" t="s">
        <v>6529</v>
      </c>
      <c r="G1453" s="1"/>
      <c r="H1453" s="3" t="s">
        <v>852</v>
      </c>
    </row>
    <row r="1454" spans="1:8" ht="30" x14ac:dyDescent="0.25">
      <c r="A1454" s="1" t="s">
        <v>66</v>
      </c>
      <c r="B1454" s="1" t="s">
        <v>446</v>
      </c>
      <c r="C1454" s="1" t="s">
        <v>470</v>
      </c>
      <c r="D1454" s="1" t="s">
        <v>471</v>
      </c>
      <c r="E1454" s="3" t="s">
        <v>850</v>
      </c>
      <c r="F1454" s="2" t="s">
        <v>6530</v>
      </c>
      <c r="G1454" s="1"/>
      <c r="H1454" s="3" t="s">
        <v>852</v>
      </c>
    </row>
    <row r="1455" spans="1:8" ht="30" x14ac:dyDescent="0.25">
      <c r="A1455" s="1" t="s">
        <v>66</v>
      </c>
      <c r="B1455" s="1" t="s">
        <v>446</v>
      </c>
      <c r="C1455" s="1" t="s">
        <v>470</v>
      </c>
      <c r="D1455" s="1" t="s">
        <v>471</v>
      </c>
      <c r="E1455" s="3" t="s">
        <v>853</v>
      </c>
      <c r="F1455" s="2" t="s">
        <v>6531</v>
      </c>
      <c r="G1455" s="1"/>
      <c r="H1455" s="3" t="s">
        <v>852</v>
      </c>
    </row>
    <row r="1456" spans="1:8" ht="30" x14ac:dyDescent="0.25">
      <c r="A1456" s="1" t="s">
        <v>66</v>
      </c>
      <c r="B1456" s="1" t="s">
        <v>446</v>
      </c>
      <c r="C1456" s="1" t="s">
        <v>470</v>
      </c>
      <c r="D1456" s="1" t="s">
        <v>471</v>
      </c>
      <c r="E1456" s="3" t="s">
        <v>195</v>
      </c>
      <c r="F1456" s="2" t="s">
        <v>200</v>
      </c>
      <c r="G1456" s="1"/>
      <c r="H1456" s="3" t="s">
        <v>199</v>
      </c>
    </row>
    <row r="1457" spans="1:8" x14ac:dyDescent="0.25">
      <c r="A1457" s="1" t="s">
        <v>66</v>
      </c>
      <c r="B1457" s="1" t="s">
        <v>446</v>
      </c>
      <c r="C1457" s="1" t="s">
        <v>470</v>
      </c>
      <c r="D1457" s="1" t="s">
        <v>471</v>
      </c>
      <c r="E1457" s="3" t="s">
        <v>384</v>
      </c>
      <c r="F1457" s="2" t="s">
        <v>387</v>
      </c>
      <c r="G1457" s="1" t="s">
        <v>476</v>
      </c>
      <c r="H1457" s="3" t="s">
        <v>867</v>
      </c>
    </row>
    <row r="1458" spans="1:8" x14ac:dyDescent="0.25">
      <c r="A1458" s="1" t="s">
        <v>66</v>
      </c>
      <c r="B1458" s="1" t="s">
        <v>446</v>
      </c>
      <c r="C1458" s="1" t="s">
        <v>470</v>
      </c>
      <c r="D1458" s="1" t="s">
        <v>471</v>
      </c>
      <c r="E1458" s="3" t="s">
        <v>839</v>
      </c>
      <c r="F1458" s="2" t="s">
        <v>6532</v>
      </c>
      <c r="G1458" s="1" t="s">
        <v>413</v>
      </c>
      <c r="H1458" s="3" t="s">
        <v>841</v>
      </c>
    </row>
    <row r="1459" spans="1:8" ht="30" x14ac:dyDescent="0.25">
      <c r="A1459" s="1" t="s">
        <v>66</v>
      </c>
      <c r="B1459" s="1" t="s">
        <v>446</v>
      </c>
      <c r="C1459" s="1" t="s">
        <v>470</v>
      </c>
      <c r="D1459" s="1" t="s">
        <v>471</v>
      </c>
      <c r="E1459" s="3" t="s">
        <v>844</v>
      </c>
      <c r="F1459" s="2" t="s">
        <v>6533</v>
      </c>
      <c r="G1459" s="1"/>
      <c r="H1459" s="3" t="s">
        <v>846</v>
      </c>
    </row>
    <row r="1460" spans="1:8" x14ac:dyDescent="0.25">
      <c r="A1460" s="1" t="s">
        <v>107</v>
      </c>
      <c r="B1460" s="1" t="s">
        <v>418</v>
      </c>
      <c r="C1460" s="1" t="s">
        <v>489</v>
      </c>
      <c r="D1460" s="1" t="s">
        <v>471</v>
      </c>
      <c r="E1460" s="3" t="s">
        <v>1329</v>
      </c>
      <c r="F1460" s="2" t="s">
        <v>6534</v>
      </c>
      <c r="G1460" s="1"/>
      <c r="H1460" s="3" t="s">
        <v>1331</v>
      </c>
    </row>
    <row r="1461" spans="1:8" x14ac:dyDescent="0.25">
      <c r="A1461" s="1" t="s">
        <v>107</v>
      </c>
      <c r="B1461" s="1" t="s">
        <v>418</v>
      </c>
      <c r="C1461" s="1" t="s">
        <v>489</v>
      </c>
      <c r="D1461" s="1" t="s">
        <v>471</v>
      </c>
      <c r="E1461" s="3" t="s">
        <v>1326</v>
      </c>
      <c r="F1461" s="2" t="s">
        <v>6535</v>
      </c>
      <c r="G1461" s="1"/>
      <c r="H1461" s="3" t="s">
        <v>1328</v>
      </c>
    </row>
    <row r="1462" spans="1:8" x14ac:dyDescent="0.25">
      <c r="A1462" s="1" t="s">
        <v>107</v>
      </c>
      <c r="B1462" s="1" t="s">
        <v>418</v>
      </c>
      <c r="C1462" s="1" t="s">
        <v>489</v>
      </c>
      <c r="D1462" s="1" t="s">
        <v>471</v>
      </c>
      <c r="E1462" s="3" t="s">
        <v>1332</v>
      </c>
      <c r="F1462" s="2" t="s">
        <v>6536</v>
      </c>
      <c r="G1462" s="1"/>
      <c r="H1462" s="3" t="s">
        <v>849</v>
      </c>
    </row>
    <row r="1463" spans="1:8" ht="30" x14ac:dyDescent="0.25">
      <c r="A1463" s="1" t="s">
        <v>107</v>
      </c>
      <c r="B1463" s="1" t="s">
        <v>418</v>
      </c>
      <c r="C1463" s="1" t="s">
        <v>489</v>
      </c>
      <c r="D1463" s="1" t="s">
        <v>471</v>
      </c>
      <c r="E1463" s="3" t="s">
        <v>1323</v>
      </c>
      <c r="F1463" s="2" t="s">
        <v>6537</v>
      </c>
      <c r="G1463" s="1" t="s">
        <v>406</v>
      </c>
      <c r="H1463" s="3" t="s">
        <v>333</v>
      </c>
    </row>
    <row r="1464" spans="1:8" ht="30" x14ac:dyDescent="0.25">
      <c r="A1464" s="1" t="s">
        <v>107</v>
      </c>
      <c r="B1464" s="1" t="s">
        <v>418</v>
      </c>
      <c r="C1464" s="1" t="s">
        <v>489</v>
      </c>
      <c r="D1464" s="1" t="s">
        <v>471</v>
      </c>
      <c r="E1464" s="3" t="s">
        <v>332</v>
      </c>
      <c r="F1464" s="2" t="s">
        <v>334</v>
      </c>
      <c r="G1464" s="1" t="s">
        <v>406</v>
      </c>
      <c r="H1464" s="3" t="s">
        <v>333</v>
      </c>
    </row>
    <row r="1465" spans="1:8" x14ac:dyDescent="0.25">
      <c r="A1465" s="1" t="s">
        <v>107</v>
      </c>
      <c r="B1465" s="1" t="s">
        <v>418</v>
      </c>
      <c r="C1465" s="1" t="s">
        <v>489</v>
      </c>
      <c r="D1465" s="1" t="s">
        <v>471</v>
      </c>
      <c r="E1465" s="3" t="s">
        <v>206</v>
      </c>
      <c r="F1465" s="2" t="s">
        <v>209</v>
      </c>
      <c r="G1465" s="1" t="s">
        <v>413</v>
      </c>
      <c r="H1465" s="3" t="s">
        <v>79</v>
      </c>
    </row>
    <row r="1466" spans="1:8" x14ac:dyDescent="0.25">
      <c r="A1466" s="1" t="s">
        <v>107</v>
      </c>
      <c r="B1466" s="1" t="s">
        <v>418</v>
      </c>
      <c r="C1466" s="1" t="s">
        <v>489</v>
      </c>
      <c r="D1466" s="1" t="s">
        <v>471</v>
      </c>
      <c r="E1466" s="3" t="s">
        <v>1334</v>
      </c>
      <c r="F1466" s="2" t="s">
        <v>6538</v>
      </c>
      <c r="G1466" s="1" t="s">
        <v>442</v>
      </c>
      <c r="H1466" s="3" t="s">
        <v>79</v>
      </c>
    </row>
    <row r="1467" spans="1:8" x14ac:dyDescent="0.25">
      <c r="A1467" s="1" t="s">
        <v>107</v>
      </c>
      <c r="B1467" s="1" t="s">
        <v>418</v>
      </c>
      <c r="C1467" s="1" t="s">
        <v>489</v>
      </c>
      <c r="D1467" s="1" t="s">
        <v>471</v>
      </c>
      <c r="E1467" s="3" t="s">
        <v>103</v>
      </c>
      <c r="F1467" s="2" t="s">
        <v>108</v>
      </c>
      <c r="G1467" s="1"/>
      <c r="H1467" s="3" t="s">
        <v>7</v>
      </c>
    </row>
    <row r="1468" spans="1:8" x14ac:dyDescent="0.25">
      <c r="A1468" s="1" t="s">
        <v>107</v>
      </c>
      <c r="B1468" s="1" t="s">
        <v>418</v>
      </c>
      <c r="C1468" s="1" t="s">
        <v>489</v>
      </c>
      <c r="D1468" s="1" t="s">
        <v>471</v>
      </c>
      <c r="E1468" s="3" t="s">
        <v>111</v>
      </c>
      <c r="F1468" s="2" t="s">
        <v>112</v>
      </c>
      <c r="G1468" s="1"/>
      <c r="H1468" s="3" t="s">
        <v>7</v>
      </c>
    </row>
    <row r="1469" spans="1:8" x14ac:dyDescent="0.25">
      <c r="A1469" s="1" t="s">
        <v>2804</v>
      </c>
      <c r="B1469" s="1" t="s">
        <v>457</v>
      </c>
      <c r="C1469" s="1" t="s">
        <v>2805</v>
      </c>
      <c r="D1469" s="1" t="s">
        <v>471</v>
      </c>
      <c r="E1469" s="3" t="s">
        <v>2809</v>
      </c>
      <c r="F1469" s="2" t="s">
        <v>6539</v>
      </c>
      <c r="G1469" s="1"/>
      <c r="H1469" s="3" t="s">
        <v>63</v>
      </c>
    </row>
    <row r="1470" spans="1:8" x14ac:dyDescent="0.25">
      <c r="A1470" s="1" t="s">
        <v>2804</v>
      </c>
      <c r="B1470" s="1" t="s">
        <v>457</v>
      </c>
      <c r="C1470" s="1" t="s">
        <v>2805</v>
      </c>
      <c r="D1470" s="1" t="s">
        <v>471</v>
      </c>
      <c r="E1470" s="3" t="s">
        <v>2806</v>
      </c>
      <c r="F1470" s="2" t="s">
        <v>6540</v>
      </c>
      <c r="G1470" s="1"/>
      <c r="H1470" s="3" t="s">
        <v>2808</v>
      </c>
    </row>
    <row r="1471" spans="1:8" x14ac:dyDescent="0.25">
      <c r="A1471" s="1" t="s">
        <v>2917</v>
      </c>
      <c r="B1471" s="1" t="s">
        <v>446</v>
      </c>
      <c r="C1471" s="1" t="s">
        <v>451</v>
      </c>
      <c r="D1471" s="1" t="s">
        <v>471</v>
      </c>
      <c r="E1471" s="3" t="s">
        <v>2932</v>
      </c>
      <c r="F1471" s="2" t="s">
        <v>6541</v>
      </c>
      <c r="G1471" s="1"/>
      <c r="H1471" s="3" t="s">
        <v>2934</v>
      </c>
    </row>
    <row r="1472" spans="1:8" x14ac:dyDescent="0.25">
      <c r="A1472" s="1" t="s">
        <v>2917</v>
      </c>
      <c r="B1472" s="1" t="s">
        <v>446</v>
      </c>
      <c r="C1472" s="1" t="s">
        <v>451</v>
      </c>
      <c r="D1472" s="1" t="s">
        <v>471</v>
      </c>
      <c r="E1472" s="3" t="s">
        <v>2928</v>
      </c>
      <c r="F1472" s="2" t="s">
        <v>6542</v>
      </c>
      <c r="G1472" s="1"/>
      <c r="H1472" s="3" t="s">
        <v>554</v>
      </c>
    </row>
    <row r="1473" spans="1:8" x14ac:dyDescent="0.25">
      <c r="A1473" s="1" t="s">
        <v>2917</v>
      </c>
      <c r="B1473" s="1" t="s">
        <v>446</v>
      </c>
      <c r="C1473" s="1" t="s">
        <v>451</v>
      </c>
      <c r="D1473" s="1" t="s">
        <v>471</v>
      </c>
      <c r="E1473" s="3" t="s">
        <v>2922</v>
      </c>
      <c r="F1473" s="2" t="s">
        <v>6543</v>
      </c>
      <c r="G1473" s="1"/>
      <c r="H1473" s="3" t="s">
        <v>554</v>
      </c>
    </row>
    <row r="1474" spans="1:8" x14ac:dyDescent="0.25">
      <c r="A1474" s="1" t="s">
        <v>2917</v>
      </c>
      <c r="B1474" s="1" t="s">
        <v>446</v>
      </c>
      <c r="C1474" s="1" t="s">
        <v>451</v>
      </c>
      <c r="D1474" s="1" t="s">
        <v>471</v>
      </c>
      <c r="E1474" s="3" t="s">
        <v>2930</v>
      </c>
      <c r="F1474" s="2" t="s">
        <v>6544</v>
      </c>
      <c r="G1474" s="1"/>
      <c r="H1474" s="3" t="s">
        <v>554</v>
      </c>
    </row>
    <row r="1475" spans="1:8" x14ac:dyDescent="0.25">
      <c r="A1475" s="1" t="s">
        <v>2917</v>
      </c>
      <c r="B1475" s="1" t="s">
        <v>446</v>
      </c>
      <c r="C1475" s="1" t="s">
        <v>451</v>
      </c>
      <c r="D1475" s="1" t="s">
        <v>471</v>
      </c>
      <c r="E1475" s="3" t="s">
        <v>2924</v>
      </c>
      <c r="F1475" s="2" t="s">
        <v>6545</v>
      </c>
      <c r="G1475" s="1"/>
      <c r="H1475" s="3" t="s">
        <v>554</v>
      </c>
    </row>
    <row r="1476" spans="1:8" x14ac:dyDescent="0.25">
      <c r="A1476" s="1" t="s">
        <v>2917</v>
      </c>
      <c r="B1476" s="1" t="s">
        <v>446</v>
      </c>
      <c r="C1476" s="1" t="s">
        <v>451</v>
      </c>
      <c r="D1476" s="1" t="s">
        <v>471</v>
      </c>
      <c r="E1476" s="3" t="s">
        <v>2920</v>
      </c>
      <c r="F1476" s="2" t="s">
        <v>6546</v>
      </c>
      <c r="G1476" s="1"/>
      <c r="H1476" s="3" t="s">
        <v>554</v>
      </c>
    </row>
    <row r="1477" spans="1:8" x14ac:dyDescent="0.25">
      <c r="A1477" s="1" t="s">
        <v>2917</v>
      </c>
      <c r="B1477" s="1" t="s">
        <v>446</v>
      </c>
      <c r="C1477" s="1" t="s">
        <v>451</v>
      </c>
      <c r="D1477" s="1" t="s">
        <v>471</v>
      </c>
      <c r="E1477" s="3" t="s">
        <v>2926</v>
      </c>
      <c r="F1477" s="2" t="s">
        <v>6547</v>
      </c>
      <c r="G1477" s="1"/>
      <c r="H1477" s="3" t="s">
        <v>554</v>
      </c>
    </row>
    <row r="1478" spans="1:8" x14ac:dyDescent="0.25">
      <c r="A1478" s="1" t="s">
        <v>2917</v>
      </c>
      <c r="B1478" s="1" t="s">
        <v>446</v>
      </c>
      <c r="C1478" s="1" t="s">
        <v>451</v>
      </c>
      <c r="D1478" s="1" t="s">
        <v>471</v>
      </c>
      <c r="E1478" s="3" t="s">
        <v>2918</v>
      </c>
      <c r="F1478" s="2" t="s">
        <v>6548</v>
      </c>
      <c r="G1478" s="1"/>
      <c r="H1478" s="3" t="s">
        <v>554</v>
      </c>
    </row>
    <row r="1479" spans="1:8" x14ac:dyDescent="0.25">
      <c r="A1479" s="1" t="s">
        <v>4243</v>
      </c>
      <c r="B1479" s="1" t="s">
        <v>437</v>
      </c>
      <c r="C1479" s="1" t="s">
        <v>470</v>
      </c>
      <c r="D1479" s="1" t="s">
        <v>471</v>
      </c>
      <c r="E1479" s="3"/>
      <c r="F1479" s="2"/>
      <c r="G1479" s="1"/>
      <c r="H1479" s="3"/>
    </row>
    <row r="1480" spans="1:8" ht="30" x14ac:dyDescent="0.25">
      <c r="A1480" s="1" t="s">
        <v>49</v>
      </c>
      <c r="B1480" s="1" t="s">
        <v>450</v>
      </c>
      <c r="C1480" s="1" t="s">
        <v>451</v>
      </c>
      <c r="D1480" s="1" t="s">
        <v>452</v>
      </c>
      <c r="E1480" s="3" t="s">
        <v>118</v>
      </c>
      <c r="F1480" s="2" t="s">
        <v>122</v>
      </c>
      <c r="G1480" s="1"/>
      <c r="H1480" s="3" t="s">
        <v>983</v>
      </c>
    </row>
    <row r="1481" spans="1:8" x14ac:dyDescent="0.25">
      <c r="A1481" s="1" t="s">
        <v>49</v>
      </c>
      <c r="B1481" s="1" t="s">
        <v>450</v>
      </c>
      <c r="C1481" s="1" t="s">
        <v>451</v>
      </c>
      <c r="D1481" s="1" t="s">
        <v>452</v>
      </c>
      <c r="E1481" s="3" t="s">
        <v>39</v>
      </c>
      <c r="F1481" s="2" t="s">
        <v>50</v>
      </c>
      <c r="G1481" s="1" t="s">
        <v>406</v>
      </c>
      <c r="H1481" s="3" t="s">
        <v>981</v>
      </c>
    </row>
    <row r="1482" spans="1:8" x14ac:dyDescent="0.25">
      <c r="A1482" s="1" t="s">
        <v>328</v>
      </c>
      <c r="B1482" s="1" t="s">
        <v>465</v>
      </c>
      <c r="C1482" s="1" t="s">
        <v>451</v>
      </c>
      <c r="D1482" s="1" t="s">
        <v>452</v>
      </c>
      <c r="E1482" s="3" t="s">
        <v>327</v>
      </c>
      <c r="F1482" s="2" t="s">
        <v>329</v>
      </c>
      <c r="G1482" s="1" t="s">
        <v>406</v>
      </c>
      <c r="H1482" s="3" t="s">
        <v>1166</v>
      </c>
    </row>
    <row r="1483" spans="1:8" ht="30" x14ac:dyDescent="0.25">
      <c r="A1483" s="1" t="s">
        <v>328</v>
      </c>
      <c r="B1483" s="1" t="s">
        <v>465</v>
      </c>
      <c r="C1483" s="1" t="s">
        <v>451</v>
      </c>
      <c r="D1483" s="1" t="s">
        <v>452</v>
      </c>
      <c r="E1483" s="3" t="s">
        <v>1170</v>
      </c>
      <c r="F1483" s="2" t="s">
        <v>6549</v>
      </c>
      <c r="G1483" s="1"/>
      <c r="H1483" s="3" t="s">
        <v>1169</v>
      </c>
    </row>
    <row r="1484" spans="1:8" ht="30" x14ac:dyDescent="0.25">
      <c r="A1484" s="1" t="s">
        <v>328</v>
      </c>
      <c r="B1484" s="1" t="s">
        <v>465</v>
      </c>
      <c r="C1484" s="1" t="s">
        <v>451</v>
      </c>
      <c r="D1484" s="1" t="s">
        <v>452</v>
      </c>
      <c r="E1484" s="3" t="s">
        <v>1167</v>
      </c>
      <c r="F1484" s="2" t="s">
        <v>6550</v>
      </c>
      <c r="G1484" s="1"/>
      <c r="H1484" s="3" t="s">
        <v>1169</v>
      </c>
    </row>
    <row r="1485" spans="1:8" ht="30" x14ac:dyDescent="0.25">
      <c r="A1485" s="1" t="s">
        <v>328</v>
      </c>
      <c r="B1485" s="1" t="s">
        <v>465</v>
      </c>
      <c r="C1485" s="1" t="s">
        <v>451</v>
      </c>
      <c r="D1485" s="1" t="s">
        <v>452</v>
      </c>
      <c r="E1485" s="3" t="s">
        <v>1172</v>
      </c>
      <c r="F1485" s="2" t="s">
        <v>6551</v>
      </c>
      <c r="G1485" s="1"/>
      <c r="H1485" s="3" t="s">
        <v>1169</v>
      </c>
    </row>
    <row r="1486" spans="1:8" x14ac:dyDescent="0.25">
      <c r="A1486" s="1" t="s">
        <v>2221</v>
      </c>
      <c r="B1486" s="1" t="s">
        <v>424</v>
      </c>
      <c r="C1486" s="1" t="s">
        <v>451</v>
      </c>
      <c r="D1486" s="1" t="s">
        <v>452</v>
      </c>
      <c r="E1486" s="3" t="s">
        <v>2222</v>
      </c>
      <c r="F1486" s="2" t="s">
        <v>6552</v>
      </c>
      <c r="G1486" s="1"/>
      <c r="H1486" s="3" t="s">
        <v>682</v>
      </c>
    </row>
    <row r="1487" spans="1:8" x14ac:dyDescent="0.25">
      <c r="A1487" s="1" t="s">
        <v>2221</v>
      </c>
      <c r="B1487" s="1" t="s">
        <v>424</v>
      </c>
      <c r="C1487" s="1" t="s">
        <v>451</v>
      </c>
      <c r="D1487" s="1" t="s">
        <v>452</v>
      </c>
      <c r="E1487" s="3" t="s">
        <v>2223</v>
      </c>
      <c r="F1487" s="2" t="s">
        <v>6553</v>
      </c>
      <c r="G1487" s="1"/>
      <c r="H1487" s="3" t="s">
        <v>682</v>
      </c>
    </row>
    <row r="1488" spans="1:8" x14ac:dyDescent="0.25">
      <c r="A1488" s="1" t="s">
        <v>3124</v>
      </c>
      <c r="B1488" s="1" t="s">
        <v>424</v>
      </c>
      <c r="C1488" s="1" t="s">
        <v>451</v>
      </c>
      <c r="D1488" s="1" t="s">
        <v>452</v>
      </c>
      <c r="E1488" s="3" t="s">
        <v>3125</v>
      </c>
      <c r="F1488" s="2" t="s">
        <v>6554</v>
      </c>
      <c r="G1488" s="1"/>
      <c r="H1488" s="3" t="s">
        <v>682</v>
      </c>
    </row>
    <row r="1489" spans="1:8" x14ac:dyDescent="0.25">
      <c r="A1489" s="1" t="s">
        <v>3124</v>
      </c>
      <c r="B1489" s="1" t="s">
        <v>424</v>
      </c>
      <c r="C1489" s="1" t="s">
        <v>451</v>
      </c>
      <c r="D1489" s="1" t="s">
        <v>452</v>
      </c>
      <c r="E1489" s="3" t="s">
        <v>3127</v>
      </c>
      <c r="F1489" s="2" t="s">
        <v>6555</v>
      </c>
      <c r="G1489" s="1"/>
      <c r="H1489" s="3" t="s">
        <v>682</v>
      </c>
    </row>
    <row r="1490" spans="1:8" x14ac:dyDescent="0.25">
      <c r="A1490" s="1" t="s">
        <v>3124</v>
      </c>
      <c r="B1490" s="1" t="s">
        <v>424</v>
      </c>
      <c r="C1490" s="1" t="s">
        <v>451</v>
      </c>
      <c r="D1490" s="1" t="s">
        <v>452</v>
      </c>
      <c r="E1490" s="3" t="s">
        <v>3129</v>
      </c>
      <c r="F1490" s="2" t="s">
        <v>6556</v>
      </c>
      <c r="G1490" s="1"/>
      <c r="H1490" s="3" t="s">
        <v>682</v>
      </c>
    </row>
    <row r="1491" spans="1:8" x14ac:dyDescent="0.25">
      <c r="A1491" s="1" t="s">
        <v>3766</v>
      </c>
      <c r="B1491" s="1" t="s">
        <v>503</v>
      </c>
      <c r="C1491" s="1" t="s">
        <v>451</v>
      </c>
      <c r="D1491" s="1" t="s">
        <v>452</v>
      </c>
      <c r="E1491" s="3" t="s">
        <v>3767</v>
      </c>
      <c r="F1491" s="2" t="s">
        <v>6557</v>
      </c>
      <c r="G1491" s="1" t="s">
        <v>813</v>
      </c>
      <c r="H1491" s="3" t="s">
        <v>3769</v>
      </c>
    </row>
    <row r="1492" spans="1:8" x14ac:dyDescent="0.25">
      <c r="A1492" s="1" t="s">
        <v>3766</v>
      </c>
      <c r="B1492" s="1" t="s">
        <v>503</v>
      </c>
      <c r="C1492" s="1" t="s">
        <v>451</v>
      </c>
      <c r="D1492" s="1" t="s">
        <v>452</v>
      </c>
      <c r="E1492" s="3" t="s">
        <v>3770</v>
      </c>
      <c r="F1492" s="2"/>
      <c r="G1492" s="1"/>
      <c r="H1492" s="3" t="s">
        <v>3769</v>
      </c>
    </row>
    <row r="1493" spans="1:8" x14ac:dyDescent="0.25">
      <c r="A1493" s="1" t="s">
        <v>339</v>
      </c>
      <c r="B1493" s="1" t="s">
        <v>446</v>
      </c>
      <c r="C1493" s="1" t="s">
        <v>599</v>
      </c>
      <c r="D1493" s="1" t="s">
        <v>600</v>
      </c>
      <c r="E1493" s="3" t="s">
        <v>2758</v>
      </c>
      <c r="F1493" s="2" t="s">
        <v>6558</v>
      </c>
      <c r="G1493" s="1"/>
      <c r="H1493" s="3" t="s">
        <v>682</v>
      </c>
    </row>
    <row r="1494" spans="1:8" x14ac:dyDescent="0.25">
      <c r="A1494" s="1" t="s">
        <v>339</v>
      </c>
      <c r="B1494" s="1" t="s">
        <v>446</v>
      </c>
      <c r="C1494" s="1" t="s">
        <v>599</v>
      </c>
      <c r="D1494" s="1" t="s">
        <v>600</v>
      </c>
      <c r="E1494" s="3" t="s">
        <v>2760</v>
      </c>
      <c r="F1494" s="2" t="s">
        <v>6559</v>
      </c>
      <c r="G1494" s="1"/>
      <c r="H1494" s="3" t="s">
        <v>682</v>
      </c>
    </row>
    <row r="1495" spans="1:8" x14ac:dyDescent="0.25">
      <c r="A1495" s="1" t="s">
        <v>339</v>
      </c>
      <c r="B1495" s="1" t="s">
        <v>446</v>
      </c>
      <c r="C1495" s="1" t="s">
        <v>599</v>
      </c>
      <c r="D1495" s="1" t="s">
        <v>600</v>
      </c>
      <c r="E1495" s="3" t="s">
        <v>2756</v>
      </c>
      <c r="F1495" s="2" t="s">
        <v>6560</v>
      </c>
      <c r="G1495" s="1"/>
      <c r="H1495" s="3" t="s">
        <v>682</v>
      </c>
    </row>
    <row r="1496" spans="1:8" x14ac:dyDescent="0.25">
      <c r="A1496" s="1" t="s">
        <v>339</v>
      </c>
      <c r="B1496" s="1" t="s">
        <v>446</v>
      </c>
      <c r="C1496" s="1" t="s">
        <v>599</v>
      </c>
      <c r="D1496" s="1" t="s">
        <v>600</v>
      </c>
      <c r="E1496" s="3" t="s">
        <v>2752</v>
      </c>
      <c r="F1496" s="2" t="s">
        <v>6561</v>
      </c>
      <c r="G1496" s="1"/>
      <c r="H1496" s="3" t="s">
        <v>682</v>
      </c>
    </row>
    <row r="1497" spans="1:8" x14ac:dyDescent="0.25">
      <c r="A1497" s="1" t="s">
        <v>339</v>
      </c>
      <c r="B1497" s="1" t="s">
        <v>446</v>
      </c>
      <c r="C1497" s="1" t="s">
        <v>599</v>
      </c>
      <c r="D1497" s="1" t="s">
        <v>600</v>
      </c>
      <c r="E1497" s="3" t="s">
        <v>2754</v>
      </c>
      <c r="F1497" s="2" t="s">
        <v>6562</v>
      </c>
      <c r="G1497" s="1"/>
      <c r="H1497" s="3" t="s">
        <v>682</v>
      </c>
    </row>
    <row r="1498" spans="1:8" x14ac:dyDescent="0.25">
      <c r="A1498" s="1" t="s">
        <v>339</v>
      </c>
      <c r="B1498" s="1" t="s">
        <v>446</v>
      </c>
      <c r="C1498" s="1" t="s">
        <v>599</v>
      </c>
      <c r="D1498" s="1" t="s">
        <v>600</v>
      </c>
      <c r="E1498" s="3" t="s">
        <v>2747</v>
      </c>
      <c r="F1498" s="2" t="s">
        <v>6563</v>
      </c>
      <c r="G1498" s="1" t="s">
        <v>442</v>
      </c>
      <c r="H1498" s="3" t="s">
        <v>338</v>
      </c>
    </row>
    <row r="1499" spans="1:8" ht="30" x14ac:dyDescent="0.25">
      <c r="A1499" s="1" t="s">
        <v>339</v>
      </c>
      <c r="B1499" s="1" t="s">
        <v>446</v>
      </c>
      <c r="C1499" s="1" t="s">
        <v>599</v>
      </c>
      <c r="D1499" s="1" t="s">
        <v>600</v>
      </c>
      <c r="E1499" s="3" t="s">
        <v>332</v>
      </c>
      <c r="F1499" s="2" t="s">
        <v>340</v>
      </c>
      <c r="G1499" s="1" t="s">
        <v>442</v>
      </c>
      <c r="H1499" s="3" t="s">
        <v>338</v>
      </c>
    </row>
    <row r="1500" spans="1:8" ht="30" x14ac:dyDescent="0.25">
      <c r="A1500" s="1" t="s">
        <v>339</v>
      </c>
      <c r="B1500" s="1" t="s">
        <v>446</v>
      </c>
      <c r="C1500" s="1" t="s">
        <v>599</v>
      </c>
      <c r="D1500" s="1" t="s">
        <v>600</v>
      </c>
      <c r="E1500" s="3" t="s">
        <v>2749</v>
      </c>
      <c r="F1500" s="2" t="s">
        <v>6564</v>
      </c>
      <c r="G1500" s="1"/>
      <c r="H1500" s="3" t="s">
        <v>2751</v>
      </c>
    </row>
    <row r="1501" spans="1:8" x14ac:dyDescent="0.25">
      <c r="A1501" s="1" t="s">
        <v>3379</v>
      </c>
      <c r="B1501" s="1" t="s">
        <v>424</v>
      </c>
      <c r="C1501" s="1" t="s">
        <v>3380</v>
      </c>
      <c r="D1501" s="1" t="s">
        <v>600</v>
      </c>
      <c r="E1501" s="3" t="s">
        <v>3381</v>
      </c>
      <c r="F1501" s="2" t="s">
        <v>6565</v>
      </c>
      <c r="G1501" s="1"/>
      <c r="H1501" s="3" t="s">
        <v>877</v>
      </c>
    </row>
    <row r="1502" spans="1:8" x14ac:dyDescent="0.25">
      <c r="A1502" s="1" t="s">
        <v>4240</v>
      </c>
      <c r="B1502" s="1" t="s">
        <v>496</v>
      </c>
      <c r="C1502" s="1" t="s">
        <v>3380</v>
      </c>
      <c r="D1502" s="1" t="s">
        <v>600</v>
      </c>
      <c r="E1502" s="3"/>
      <c r="F1502" s="2"/>
      <c r="G1502" s="1"/>
      <c r="H1502" s="3"/>
    </row>
    <row r="1503" spans="1:8" x14ac:dyDescent="0.25">
      <c r="A1503" s="1" t="s">
        <v>4251</v>
      </c>
      <c r="B1503" s="1" t="s">
        <v>446</v>
      </c>
      <c r="C1503" s="1" t="s">
        <v>810</v>
      </c>
      <c r="D1503" s="1" t="s">
        <v>600</v>
      </c>
      <c r="E1503" s="3"/>
      <c r="F1503" s="2"/>
      <c r="G1503" s="1"/>
      <c r="H1503" s="3"/>
    </row>
    <row r="1504" spans="1:8" x14ac:dyDescent="0.25">
      <c r="A1504" s="1" t="s">
        <v>2</v>
      </c>
      <c r="B1504" s="1" t="s">
        <v>414</v>
      </c>
      <c r="C1504" s="1" t="s">
        <v>4220</v>
      </c>
      <c r="D1504" s="1" t="s">
        <v>4221</v>
      </c>
      <c r="E1504" s="3"/>
      <c r="F1504" s="2"/>
      <c r="G1504" s="1"/>
      <c r="H1504" s="3"/>
    </row>
    <row r="1505" spans="1:8" x14ac:dyDescent="0.25">
      <c r="A1505" s="1" t="s">
        <v>4219</v>
      </c>
      <c r="B1505" s="1" t="s">
        <v>446</v>
      </c>
      <c r="C1505" s="1" t="s">
        <v>4220</v>
      </c>
      <c r="D1505" s="1" t="s">
        <v>4221</v>
      </c>
      <c r="E1505" s="3"/>
      <c r="F1505" s="2"/>
      <c r="G1505" s="1"/>
      <c r="H1505" s="3"/>
    </row>
    <row r="1506" spans="1:8" x14ac:dyDescent="0.25">
      <c r="A1506" s="1" t="s">
        <v>4219</v>
      </c>
      <c r="B1506" s="1" t="s">
        <v>446</v>
      </c>
      <c r="C1506" s="1" t="s">
        <v>4220</v>
      </c>
      <c r="D1506" s="1" t="s">
        <v>4221</v>
      </c>
      <c r="E1506" s="1"/>
      <c r="F1506" s="2"/>
      <c r="G1506" s="1"/>
      <c r="H1506" s="1"/>
    </row>
    <row r="1507" spans="1:8" x14ac:dyDescent="0.25">
      <c r="A1507" s="1" t="s">
        <v>3809</v>
      </c>
      <c r="B1507" s="1" t="s">
        <v>424</v>
      </c>
      <c r="C1507" s="1" t="s">
        <v>3810</v>
      </c>
      <c r="D1507" s="1" t="s">
        <v>3811</v>
      </c>
      <c r="E1507" s="1" t="s">
        <v>3812</v>
      </c>
      <c r="F1507" s="2" t="s">
        <v>6566</v>
      </c>
      <c r="G1507" s="1"/>
      <c r="H1507" s="1" t="s">
        <v>687</v>
      </c>
    </row>
    <row r="1508" spans="1:8" x14ac:dyDescent="0.25">
      <c r="A1508" s="1" t="s">
        <v>3809</v>
      </c>
      <c r="B1508" s="1" t="s">
        <v>424</v>
      </c>
      <c r="C1508" s="1" t="s">
        <v>3810</v>
      </c>
      <c r="D1508" s="1" t="s">
        <v>3811</v>
      </c>
      <c r="E1508" s="1" t="s">
        <v>3814</v>
      </c>
      <c r="F1508" s="2" t="s">
        <v>6567</v>
      </c>
      <c r="G1508" s="1"/>
      <c r="H1508" s="1" t="s">
        <v>1455</v>
      </c>
    </row>
    <row r="1509" spans="1:8" x14ac:dyDescent="0.25">
      <c r="A1509" s="1" t="s">
        <v>3809</v>
      </c>
      <c r="B1509" s="1" t="s">
        <v>424</v>
      </c>
      <c r="C1509" s="1" t="s">
        <v>3810</v>
      </c>
      <c r="D1509" s="1" t="s">
        <v>3811</v>
      </c>
      <c r="E1509" s="1" t="s">
        <v>3818</v>
      </c>
      <c r="F1509" s="2" t="s">
        <v>6568</v>
      </c>
      <c r="G1509" s="1"/>
      <c r="H1509" s="1" t="s">
        <v>682</v>
      </c>
    </row>
    <row r="1510" spans="1:8" x14ac:dyDescent="0.25">
      <c r="A1510" s="1" t="s">
        <v>3809</v>
      </c>
      <c r="B1510" s="1" t="s">
        <v>424</v>
      </c>
      <c r="C1510" s="1" t="s">
        <v>3810</v>
      </c>
      <c r="D1510" s="1" t="s">
        <v>3811</v>
      </c>
      <c r="E1510" s="1" t="s">
        <v>3816</v>
      </c>
      <c r="F1510" s="2" t="s">
        <v>6569</v>
      </c>
      <c r="G1510" s="1"/>
      <c r="H1510" s="1" t="s">
        <v>682</v>
      </c>
    </row>
    <row r="1511" spans="1:8" x14ac:dyDescent="0.25">
      <c r="A1511" s="1" t="s">
        <v>927</v>
      </c>
      <c r="B1511" s="1" t="s">
        <v>503</v>
      </c>
      <c r="C1511" s="1" t="s">
        <v>928</v>
      </c>
      <c r="D1511" s="1" t="s">
        <v>929</v>
      </c>
      <c r="E1511" s="1" t="s">
        <v>939</v>
      </c>
      <c r="F1511" s="2" t="s">
        <v>6570</v>
      </c>
      <c r="G1511" s="1" t="s">
        <v>406</v>
      </c>
      <c r="H1511" s="1" t="s">
        <v>932</v>
      </c>
    </row>
    <row r="1512" spans="1:8" x14ac:dyDescent="0.25">
      <c r="A1512" s="1" t="s">
        <v>927</v>
      </c>
      <c r="B1512" s="1" t="s">
        <v>503</v>
      </c>
      <c r="C1512" s="1" t="s">
        <v>928</v>
      </c>
      <c r="D1512" s="1" t="s">
        <v>929</v>
      </c>
      <c r="E1512" s="1" t="s">
        <v>930</v>
      </c>
      <c r="F1512" s="2" t="s">
        <v>6571</v>
      </c>
      <c r="G1512" s="1"/>
      <c r="H1512" s="1" t="s">
        <v>932</v>
      </c>
    </row>
    <row r="1513" spans="1:8" x14ac:dyDescent="0.25">
      <c r="A1513" s="1" t="s">
        <v>927</v>
      </c>
      <c r="B1513" s="1" t="s">
        <v>503</v>
      </c>
      <c r="C1513" s="1" t="s">
        <v>928</v>
      </c>
      <c r="D1513" s="1" t="s">
        <v>929</v>
      </c>
      <c r="E1513" s="1" t="s">
        <v>937</v>
      </c>
      <c r="F1513" s="2" t="s">
        <v>6572</v>
      </c>
      <c r="G1513" s="1" t="s">
        <v>406</v>
      </c>
      <c r="H1513" s="1" t="s">
        <v>932</v>
      </c>
    </row>
    <row r="1514" spans="1:8" x14ac:dyDescent="0.25">
      <c r="A1514" s="1" t="s">
        <v>927</v>
      </c>
      <c r="B1514" s="1" t="s">
        <v>503</v>
      </c>
      <c r="C1514" s="1" t="s">
        <v>928</v>
      </c>
      <c r="D1514" s="1" t="s">
        <v>929</v>
      </c>
      <c r="E1514" s="1" t="s">
        <v>935</v>
      </c>
      <c r="F1514" s="2" t="s">
        <v>6573</v>
      </c>
      <c r="G1514" s="1" t="s">
        <v>406</v>
      </c>
      <c r="H1514" s="1" t="s">
        <v>932</v>
      </c>
    </row>
    <row r="1515" spans="1:8" x14ac:dyDescent="0.25">
      <c r="A1515" s="1" t="s">
        <v>927</v>
      </c>
      <c r="B1515" s="1" t="s">
        <v>503</v>
      </c>
      <c r="C1515" s="1" t="s">
        <v>928</v>
      </c>
      <c r="D1515" s="1" t="s">
        <v>929</v>
      </c>
      <c r="E1515" s="1" t="s">
        <v>933</v>
      </c>
      <c r="F1515" s="2" t="s">
        <v>6574</v>
      </c>
      <c r="G1515" s="1" t="s">
        <v>406</v>
      </c>
      <c r="H1515" s="1" t="s">
        <v>932</v>
      </c>
    </row>
    <row r="1516" spans="1:8" x14ac:dyDescent="0.25">
      <c r="A1516" s="1" t="s">
        <v>927</v>
      </c>
      <c r="B1516" s="1" t="s">
        <v>503</v>
      </c>
      <c r="C1516" s="1" t="s">
        <v>928</v>
      </c>
      <c r="D1516" s="1" t="s">
        <v>929</v>
      </c>
      <c r="E1516" s="1" t="s">
        <v>944</v>
      </c>
      <c r="F1516" s="2" t="s">
        <v>6575</v>
      </c>
      <c r="G1516" s="1"/>
      <c r="H1516" s="1" t="s">
        <v>943</v>
      </c>
    </row>
    <row r="1517" spans="1:8" x14ac:dyDescent="0.25">
      <c r="A1517" s="1" t="s">
        <v>927</v>
      </c>
      <c r="B1517" s="1" t="s">
        <v>503</v>
      </c>
      <c r="C1517" s="1" t="s">
        <v>928</v>
      </c>
      <c r="D1517" s="1" t="s">
        <v>929</v>
      </c>
      <c r="E1517" s="1" t="s">
        <v>941</v>
      </c>
      <c r="F1517" s="2" t="s">
        <v>6576</v>
      </c>
      <c r="G1517" s="1"/>
      <c r="H1517" s="1" t="s">
        <v>943</v>
      </c>
    </row>
    <row r="1518" spans="1:8" x14ac:dyDescent="0.25">
      <c r="A1518" s="1" t="s">
        <v>1379</v>
      </c>
      <c r="B1518" s="1" t="s">
        <v>1380</v>
      </c>
      <c r="C1518" s="1" t="s">
        <v>1381</v>
      </c>
      <c r="D1518" s="1" t="s">
        <v>929</v>
      </c>
      <c r="E1518" s="1" t="s">
        <v>1385</v>
      </c>
      <c r="F1518" s="2" t="s">
        <v>6577</v>
      </c>
      <c r="G1518" s="1"/>
      <c r="H1518" s="1" t="s">
        <v>1384</v>
      </c>
    </row>
    <row r="1519" spans="1:8" x14ac:dyDescent="0.25">
      <c r="A1519" s="1" t="s">
        <v>1379</v>
      </c>
      <c r="B1519" s="1" t="s">
        <v>1380</v>
      </c>
      <c r="C1519" s="1" t="s">
        <v>1381</v>
      </c>
      <c r="D1519" s="1" t="s">
        <v>929</v>
      </c>
      <c r="E1519" s="1" t="s">
        <v>1382</v>
      </c>
      <c r="F1519" s="2" t="s">
        <v>6578</v>
      </c>
      <c r="G1519" s="1"/>
      <c r="H1519" s="1" t="s">
        <v>1384</v>
      </c>
    </row>
    <row r="1520" spans="1:8" x14ac:dyDescent="0.25">
      <c r="A1520" s="1" t="s">
        <v>1614</v>
      </c>
      <c r="B1520" s="1" t="s">
        <v>1008</v>
      </c>
      <c r="C1520" s="1" t="s">
        <v>928</v>
      </c>
      <c r="D1520" s="1" t="s">
        <v>929</v>
      </c>
      <c r="E1520" s="1" t="s">
        <v>1615</v>
      </c>
      <c r="F1520" s="2" t="s">
        <v>6579</v>
      </c>
      <c r="G1520" s="1"/>
      <c r="H1520" s="1" t="s">
        <v>1617</v>
      </c>
    </row>
    <row r="1521" spans="1:8" x14ac:dyDescent="0.25">
      <c r="A1521" s="1" t="s">
        <v>1614</v>
      </c>
      <c r="B1521" s="1" t="s">
        <v>1008</v>
      </c>
      <c r="C1521" s="1" t="s">
        <v>928</v>
      </c>
      <c r="D1521" s="1" t="s">
        <v>929</v>
      </c>
      <c r="E1521" s="1" t="s">
        <v>1618</v>
      </c>
      <c r="F1521" s="2" t="s">
        <v>6580</v>
      </c>
      <c r="G1521" s="1"/>
      <c r="H1521" s="1" t="s">
        <v>63</v>
      </c>
    </row>
    <row r="1522" spans="1:8" x14ac:dyDescent="0.25">
      <c r="A1522" s="1" t="s">
        <v>4255</v>
      </c>
      <c r="B1522" s="1" t="s">
        <v>418</v>
      </c>
      <c r="C1522" s="1" t="s">
        <v>1381</v>
      </c>
      <c r="D1522" s="1" t="s">
        <v>929</v>
      </c>
      <c r="E1522" s="1"/>
      <c r="F1522" s="2"/>
      <c r="G1522" s="1"/>
      <c r="H1522" s="1"/>
    </row>
    <row r="1523" spans="1:8" x14ac:dyDescent="0.25">
      <c r="A1523" s="1" t="s">
        <v>3029</v>
      </c>
      <c r="B1523" s="1" t="s">
        <v>418</v>
      </c>
      <c r="C1523" s="1" t="s">
        <v>928</v>
      </c>
      <c r="D1523" s="1" t="s">
        <v>929</v>
      </c>
      <c r="E1523" s="1" t="s">
        <v>3030</v>
      </c>
      <c r="F1523" s="2" t="s">
        <v>6581</v>
      </c>
      <c r="G1523" s="1"/>
      <c r="H1523" s="1" t="s">
        <v>3032</v>
      </c>
    </row>
    <row r="1524" spans="1:8" x14ac:dyDescent="0.25">
      <c r="A1524" s="1" t="s">
        <v>3029</v>
      </c>
      <c r="B1524" s="1" t="s">
        <v>418</v>
      </c>
      <c r="C1524" s="1" t="s">
        <v>928</v>
      </c>
      <c r="D1524" s="1" t="s">
        <v>929</v>
      </c>
      <c r="E1524" s="1" t="s">
        <v>3033</v>
      </c>
      <c r="F1524" s="2" t="s">
        <v>6582</v>
      </c>
      <c r="G1524" s="1"/>
      <c r="H1524" s="1" t="s">
        <v>3032</v>
      </c>
    </row>
    <row r="1525" spans="1:8" x14ac:dyDescent="0.25">
      <c r="A1525" s="1" t="s">
        <v>3029</v>
      </c>
      <c r="B1525" s="1" t="s">
        <v>418</v>
      </c>
      <c r="C1525" s="1" t="s">
        <v>928</v>
      </c>
      <c r="D1525" s="1" t="s">
        <v>929</v>
      </c>
      <c r="E1525" s="1" t="s">
        <v>3035</v>
      </c>
      <c r="F1525" s="2" t="s">
        <v>6583</v>
      </c>
      <c r="G1525" s="1"/>
      <c r="H1525" s="1" t="s">
        <v>3037</v>
      </c>
    </row>
    <row r="1526" spans="1:8" x14ac:dyDescent="0.25">
      <c r="A1526" s="1" t="s">
        <v>3029</v>
      </c>
      <c r="B1526" s="1" t="s">
        <v>418</v>
      </c>
      <c r="C1526" s="1" t="s">
        <v>928</v>
      </c>
      <c r="D1526" s="1" t="s">
        <v>929</v>
      </c>
      <c r="E1526" s="1" t="s">
        <v>3038</v>
      </c>
      <c r="F1526" s="2" t="s">
        <v>6584</v>
      </c>
      <c r="G1526" s="1"/>
      <c r="H1526" s="1" t="s">
        <v>3037</v>
      </c>
    </row>
    <row r="1527" spans="1:8" x14ac:dyDescent="0.25">
      <c r="A1527" s="1" t="s">
        <v>3029</v>
      </c>
      <c r="B1527" s="1" t="s">
        <v>418</v>
      </c>
      <c r="C1527" s="1" t="s">
        <v>928</v>
      </c>
      <c r="D1527" s="1" t="s">
        <v>929</v>
      </c>
      <c r="E1527" s="1" t="s">
        <v>3040</v>
      </c>
      <c r="F1527" s="2" t="s">
        <v>6585</v>
      </c>
      <c r="G1527" s="1"/>
      <c r="H1527" s="1" t="s">
        <v>3037</v>
      </c>
    </row>
    <row r="1528" spans="1:8" x14ac:dyDescent="0.25">
      <c r="A1528" s="1" t="s">
        <v>3029</v>
      </c>
      <c r="B1528" s="1" t="s">
        <v>418</v>
      </c>
      <c r="C1528" s="1" t="s">
        <v>928</v>
      </c>
      <c r="D1528" s="1" t="s">
        <v>929</v>
      </c>
      <c r="E1528" s="1" t="s">
        <v>3042</v>
      </c>
      <c r="F1528" s="2" t="s">
        <v>6586</v>
      </c>
      <c r="G1528" s="1"/>
      <c r="H1528" s="1" t="s">
        <v>597</v>
      </c>
    </row>
    <row r="1529" spans="1:8" x14ac:dyDescent="0.25">
      <c r="A1529" s="1" t="s">
        <v>3029</v>
      </c>
      <c r="B1529" s="1" t="s">
        <v>418</v>
      </c>
      <c r="C1529" s="1" t="s">
        <v>928</v>
      </c>
      <c r="D1529" s="1" t="s">
        <v>929</v>
      </c>
      <c r="E1529" s="1" t="s">
        <v>3044</v>
      </c>
      <c r="F1529" s="2" t="s">
        <v>6587</v>
      </c>
      <c r="G1529" s="1"/>
      <c r="H1529" s="1" t="s">
        <v>877</v>
      </c>
    </row>
    <row r="1530" spans="1:8" x14ac:dyDescent="0.25">
      <c r="A1530" s="1" t="s">
        <v>3029</v>
      </c>
      <c r="B1530" s="1" t="s">
        <v>418</v>
      </c>
      <c r="C1530" s="1" t="s">
        <v>928</v>
      </c>
      <c r="D1530" s="1" t="s">
        <v>929</v>
      </c>
      <c r="E1530" s="1" t="s">
        <v>3046</v>
      </c>
      <c r="F1530" s="2" t="s">
        <v>6588</v>
      </c>
      <c r="G1530" s="1"/>
      <c r="H1530" s="1" t="s">
        <v>877</v>
      </c>
    </row>
    <row r="1531" spans="1:8" x14ac:dyDescent="0.25">
      <c r="A1531" s="1" t="s">
        <v>3029</v>
      </c>
      <c r="B1531" s="1" t="s">
        <v>418</v>
      </c>
      <c r="C1531" s="1" t="s">
        <v>928</v>
      </c>
      <c r="D1531" s="1" t="s">
        <v>929</v>
      </c>
      <c r="E1531" s="1" t="s">
        <v>3048</v>
      </c>
      <c r="F1531" s="2" t="s">
        <v>6589</v>
      </c>
      <c r="G1531" s="1"/>
      <c r="H1531" s="1" t="s">
        <v>877</v>
      </c>
    </row>
    <row r="1532" spans="1:8" x14ac:dyDescent="0.25">
      <c r="A1532" s="1" t="s">
        <v>4256</v>
      </c>
      <c r="B1532" s="1" t="s">
        <v>609</v>
      </c>
      <c r="C1532" s="1" t="s">
        <v>3282</v>
      </c>
      <c r="D1532" s="1" t="s">
        <v>929</v>
      </c>
      <c r="E1532" s="1"/>
      <c r="F1532" s="2"/>
      <c r="G1532" s="1"/>
      <c r="H1532" s="1"/>
    </row>
    <row r="1533" spans="1:8" x14ac:dyDescent="0.25">
      <c r="A1533" s="1" t="s">
        <v>4095</v>
      </c>
      <c r="B1533" s="1" t="s">
        <v>542</v>
      </c>
      <c r="C1533" s="1" t="s">
        <v>1381</v>
      </c>
      <c r="D1533" s="1" t="s">
        <v>929</v>
      </c>
      <c r="E1533" s="1" t="s">
        <v>4096</v>
      </c>
      <c r="F1533" s="2" t="s">
        <v>6590</v>
      </c>
      <c r="G1533" s="1"/>
      <c r="H1533" s="1" t="s">
        <v>4098</v>
      </c>
    </row>
    <row r="1534" spans="1:8" x14ac:dyDescent="0.25">
      <c r="A1534" s="1" t="s">
        <v>4095</v>
      </c>
      <c r="B1534" s="1" t="s">
        <v>542</v>
      </c>
      <c r="C1534" s="1" t="s">
        <v>1381</v>
      </c>
      <c r="D1534" s="1" t="s">
        <v>929</v>
      </c>
      <c r="E1534" s="1" t="s">
        <v>4099</v>
      </c>
      <c r="F1534" s="2" t="s">
        <v>6591</v>
      </c>
      <c r="G1534" s="1"/>
      <c r="H1534" s="1" t="s">
        <v>597</v>
      </c>
    </row>
    <row r="1535" spans="1:8" x14ac:dyDescent="0.25">
      <c r="A1535" s="1" t="s">
        <v>4095</v>
      </c>
      <c r="B1535" s="1" t="s">
        <v>542</v>
      </c>
      <c r="C1535" s="1" t="s">
        <v>1381</v>
      </c>
      <c r="D1535" s="1" t="s">
        <v>929</v>
      </c>
      <c r="E1535" s="1" t="s">
        <v>4103</v>
      </c>
      <c r="F1535" s="2" t="s">
        <v>6592</v>
      </c>
      <c r="G1535" s="1"/>
      <c r="H1535" s="1" t="s">
        <v>682</v>
      </c>
    </row>
    <row r="1536" spans="1:8" x14ac:dyDescent="0.25">
      <c r="A1536" s="1" t="s">
        <v>4095</v>
      </c>
      <c r="B1536" s="1" t="s">
        <v>542</v>
      </c>
      <c r="C1536" s="1" t="s">
        <v>1381</v>
      </c>
      <c r="D1536" s="1" t="s">
        <v>929</v>
      </c>
      <c r="E1536" s="1" t="s">
        <v>4101</v>
      </c>
      <c r="F1536" s="2" t="s">
        <v>6593</v>
      </c>
      <c r="G1536" s="1"/>
      <c r="H1536" s="1" t="s">
        <v>682</v>
      </c>
    </row>
    <row r="1537" spans="1:8" x14ac:dyDescent="0.25">
      <c r="A1537" s="1" t="s">
        <v>4095</v>
      </c>
      <c r="B1537" s="1" t="s">
        <v>542</v>
      </c>
      <c r="C1537" s="1" t="s">
        <v>1381</v>
      </c>
      <c r="D1537" s="1" t="s">
        <v>929</v>
      </c>
      <c r="E1537" s="1" t="s">
        <v>4105</v>
      </c>
      <c r="F1537" s="2" t="s">
        <v>6594</v>
      </c>
      <c r="G1537" s="1"/>
      <c r="H1537" s="1" t="s">
        <v>682</v>
      </c>
    </row>
    <row r="1538" spans="1:8" x14ac:dyDescent="0.25">
      <c r="A1538" s="1" t="s">
        <v>2376</v>
      </c>
      <c r="B1538" s="1" t="s">
        <v>418</v>
      </c>
      <c r="C1538" s="1" t="s">
        <v>2377</v>
      </c>
      <c r="D1538" s="1" t="s">
        <v>2378</v>
      </c>
      <c r="E1538" s="1" t="s">
        <v>2381</v>
      </c>
      <c r="F1538" s="2" t="s">
        <v>6595</v>
      </c>
      <c r="G1538" s="1"/>
      <c r="H1538" s="1" t="s">
        <v>885</v>
      </c>
    </row>
    <row r="1539" spans="1:8" x14ac:dyDescent="0.25">
      <c r="A1539" s="1" t="s">
        <v>2376</v>
      </c>
      <c r="B1539" s="1" t="s">
        <v>418</v>
      </c>
      <c r="C1539" s="1" t="s">
        <v>2377</v>
      </c>
      <c r="D1539" s="1" t="s">
        <v>2378</v>
      </c>
      <c r="E1539" s="1" t="s">
        <v>2382</v>
      </c>
      <c r="F1539" s="2" t="s">
        <v>6596</v>
      </c>
      <c r="G1539" s="1"/>
      <c r="H1539" s="1" t="s">
        <v>885</v>
      </c>
    </row>
    <row r="1540" spans="1:8" x14ac:dyDescent="0.25">
      <c r="A1540" s="1" t="s">
        <v>2376</v>
      </c>
      <c r="B1540" s="1" t="s">
        <v>418</v>
      </c>
      <c r="C1540" s="1" t="s">
        <v>2377</v>
      </c>
      <c r="D1540" s="1" t="s">
        <v>2378</v>
      </c>
      <c r="E1540" s="1" t="s">
        <v>2380</v>
      </c>
      <c r="F1540" s="2" t="s">
        <v>6597</v>
      </c>
      <c r="G1540" s="1"/>
      <c r="H1540" s="1" t="s">
        <v>885</v>
      </c>
    </row>
    <row r="1541" spans="1:8" x14ac:dyDescent="0.25">
      <c r="A1541" s="1" t="s">
        <v>2376</v>
      </c>
      <c r="B1541" s="1" t="s">
        <v>418</v>
      </c>
      <c r="C1541" s="1" t="s">
        <v>2377</v>
      </c>
      <c r="D1541" s="1" t="s">
        <v>2378</v>
      </c>
      <c r="E1541" s="1" t="s">
        <v>2379</v>
      </c>
      <c r="F1541" s="2" t="s">
        <v>6598</v>
      </c>
      <c r="G1541" s="1"/>
      <c r="H1541" s="1" t="s">
        <v>885</v>
      </c>
    </row>
    <row r="1542" spans="1:8" x14ac:dyDescent="0.25">
      <c r="A1542" s="1" t="s">
        <v>2376</v>
      </c>
      <c r="B1542" s="1" t="s">
        <v>418</v>
      </c>
      <c r="C1542" s="1" t="s">
        <v>2377</v>
      </c>
      <c r="D1542" s="1" t="s">
        <v>2378</v>
      </c>
      <c r="E1542" s="1" t="s">
        <v>2383</v>
      </c>
      <c r="F1542" s="2" t="s">
        <v>6599</v>
      </c>
      <c r="G1542" s="1" t="s">
        <v>406</v>
      </c>
      <c r="H1542" s="1" t="s">
        <v>63</v>
      </c>
    </row>
    <row r="1543" spans="1:8" x14ac:dyDescent="0.25">
      <c r="A1543" s="1" t="s">
        <v>1007</v>
      </c>
      <c r="B1543" s="1" t="s">
        <v>1008</v>
      </c>
      <c r="C1543" s="1" t="s">
        <v>1009</v>
      </c>
      <c r="D1543" s="1" t="s">
        <v>1010</v>
      </c>
      <c r="E1543" s="1" t="s">
        <v>1011</v>
      </c>
      <c r="F1543" s="2" t="s">
        <v>6600</v>
      </c>
      <c r="G1543" s="1"/>
      <c r="H1543" s="1" t="s">
        <v>597</v>
      </c>
    </row>
    <row r="1544" spans="1:8" x14ac:dyDescent="0.25">
      <c r="A1544" s="1" t="s">
        <v>1007</v>
      </c>
      <c r="B1544" s="1" t="s">
        <v>1008</v>
      </c>
      <c r="C1544" s="1" t="s">
        <v>1009</v>
      </c>
      <c r="D1544" s="1" t="s">
        <v>1010</v>
      </c>
      <c r="E1544" s="1" t="s">
        <v>1013</v>
      </c>
      <c r="F1544" s="2" t="s">
        <v>6601</v>
      </c>
      <c r="G1544" s="1"/>
      <c r="H1544" s="1" t="s">
        <v>1015</v>
      </c>
    </row>
    <row r="1545" spans="1:8" x14ac:dyDescent="0.25">
      <c r="A1545" s="1" t="s">
        <v>1007</v>
      </c>
      <c r="B1545" s="1" t="s">
        <v>1008</v>
      </c>
      <c r="C1545" s="1" t="s">
        <v>1009</v>
      </c>
      <c r="D1545" s="1" t="s">
        <v>1010</v>
      </c>
      <c r="E1545" s="1" t="s">
        <v>1016</v>
      </c>
      <c r="F1545" s="2" t="s">
        <v>6602</v>
      </c>
      <c r="G1545" s="1" t="s">
        <v>406</v>
      </c>
      <c r="H1545" s="1" t="s">
        <v>63</v>
      </c>
    </row>
    <row r="1546" spans="1:8" x14ac:dyDescent="0.25">
      <c r="A1546" s="1" t="s">
        <v>1989</v>
      </c>
      <c r="B1546" s="1" t="s">
        <v>465</v>
      </c>
      <c r="C1546" s="1" t="s">
        <v>441</v>
      </c>
      <c r="D1546" s="1" t="s">
        <v>1990</v>
      </c>
      <c r="E1546" s="1" t="s">
        <v>1991</v>
      </c>
      <c r="F1546" s="2" t="s">
        <v>6499</v>
      </c>
      <c r="G1546" s="1"/>
      <c r="H1546" s="1" t="s">
        <v>79</v>
      </c>
    </row>
    <row r="1547" spans="1:8" x14ac:dyDescent="0.25">
      <c r="A1547" s="1" t="s">
        <v>1989</v>
      </c>
      <c r="B1547" s="1" t="s">
        <v>465</v>
      </c>
      <c r="C1547" s="1" t="s">
        <v>441</v>
      </c>
      <c r="D1547" s="1" t="s">
        <v>1990</v>
      </c>
      <c r="E1547" s="1" t="s">
        <v>1993</v>
      </c>
      <c r="F1547" s="2" t="s">
        <v>6603</v>
      </c>
      <c r="G1547" s="1"/>
      <c r="H1547" s="1" t="s">
        <v>7</v>
      </c>
    </row>
    <row r="1548" spans="1:8" x14ac:dyDescent="0.25">
      <c r="A1548" s="1" t="s">
        <v>4257</v>
      </c>
      <c r="B1548" s="1" t="s">
        <v>542</v>
      </c>
      <c r="C1548" s="1" t="s">
        <v>4258</v>
      </c>
      <c r="D1548" s="1" t="s">
        <v>4259</v>
      </c>
      <c r="E1548" s="1"/>
      <c r="F1548" s="2"/>
      <c r="G1548" s="1"/>
      <c r="H1548" s="1"/>
    </row>
    <row r="1549" spans="1:8" x14ac:dyDescent="0.25">
      <c r="A1549" s="1" t="s">
        <v>3708</v>
      </c>
      <c r="B1549" s="1" t="s">
        <v>418</v>
      </c>
      <c r="C1549" s="1" t="s">
        <v>544</v>
      </c>
      <c r="D1549" s="1" t="s">
        <v>3709</v>
      </c>
      <c r="E1549" s="1" t="s">
        <v>3710</v>
      </c>
      <c r="F1549" s="2" t="s">
        <v>6604</v>
      </c>
      <c r="G1549" s="1"/>
      <c r="H1549" s="1" t="s">
        <v>1280</v>
      </c>
    </row>
    <row r="1550" spans="1:8" x14ac:dyDescent="0.25">
      <c r="A1550" s="1" t="s">
        <v>3708</v>
      </c>
      <c r="B1550" s="1" t="s">
        <v>418</v>
      </c>
      <c r="C1550" s="1" t="s">
        <v>544</v>
      </c>
      <c r="D1550" s="1" t="s">
        <v>3709</v>
      </c>
      <c r="E1550" s="1" t="s">
        <v>280</v>
      </c>
      <c r="F1550" s="2" t="s">
        <v>6605</v>
      </c>
      <c r="G1550" s="1" t="s">
        <v>406</v>
      </c>
      <c r="H1550" s="1" t="s">
        <v>56</v>
      </c>
    </row>
    <row r="1551" spans="1:8" x14ac:dyDescent="0.25">
      <c r="A1551" s="1" t="s">
        <v>3708</v>
      </c>
      <c r="B1551" s="1" t="s">
        <v>418</v>
      </c>
      <c r="C1551" s="1" t="s">
        <v>544</v>
      </c>
      <c r="D1551" s="1" t="s">
        <v>3709</v>
      </c>
      <c r="E1551" s="1" t="s">
        <v>3713</v>
      </c>
      <c r="F1551" s="2" t="s">
        <v>6606</v>
      </c>
      <c r="G1551" s="1"/>
      <c r="H1551" s="1" t="s">
        <v>682</v>
      </c>
    </row>
    <row r="1552" spans="1:8" x14ac:dyDescent="0.25">
      <c r="A1552" s="1" t="s">
        <v>3013</v>
      </c>
      <c r="B1552" s="1" t="s">
        <v>409</v>
      </c>
      <c r="C1552" s="1" t="s">
        <v>544</v>
      </c>
      <c r="D1552" s="1" t="s">
        <v>3014</v>
      </c>
      <c r="E1552" s="1" t="s">
        <v>3015</v>
      </c>
      <c r="F1552" s="2" t="s">
        <v>6607</v>
      </c>
      <c r="G1552" s="1"/>
      <c r="H1552" s="1" t="s">
        <v>2869</v>
      </c>
    </row>
    <row r="1553" spans="1:8" x14ac:dyDescent="0.25">
      <c r="A1553" s="1" t="s">
        <v>3013</v>
      </c>
      <c r="B1553" s="1" t="s">
        <v>409</v>
      </c>
      <c r="C1553" s="1" t="s">
        <v>544</v>
      </c>
      <c r="D1553" s="1" t="s">
        <v>3014</v>
      </c>
      <c r="E1553" s="1" t="s">
        <v>3016</v>
      </c>
      <c r="F1553" s="2" t="s">
        <v>6608</v>
      </c>
      <c r="G1553" s="1"/>
      <c r="H1553" s="1" t="s">
        <v>3017</v>
      </c>
    </row>
    <row r="1554" spans="1:8" x14ac:dyDescent="0.25">
      <c r="A1554" s="1" t="s">
        <v>2399</v>
      </c>
      <c r="B1554" s="1" t="s">
        <v>399</v>
      </c>
      <c r="C1554" s="1" t="s">
        <v>1717</v>
      </c>
      <c r="D1554" s="1" t="s">
        <v>2400</v>
      </c>
      <c r="E1554" s="1" t="s">
        <v>2403</v>
      </c>
      <c r="F1554" s="2" t="s">
        <v>6609</v>
      </c>
      <c r="G1554" s="1"/>
      <c r="H1554" s="1" t="s">
        <v>1975</v>
      </c>
    </row>
    <row r="1555" spans="1:8" x14ac:dyDescent="0.25">
      <c r="A1555" s="1" t="s">
        <v>2399</v>
      </c>
      <c r="B1555" s="1" t="s">
        <v>399</v>
      </c>
      <c r="C1555" s="1" t="s">
        <v>1717</v>
      </c>
      <c r="D1555" s="1" t="s">
        <v>2400</v>
      </c>
      <c r="E1555" s="1" t="s">
        <v>2401</v>
      </c>
      <c r="F1555" s="2" t="s">
        <v>6610</v>
      </c>
      <c r="G1555" s="1"/>
      <c r="H1555" s="1" t="s">
        <v>1975</v>
      </c>
    </row>
    <row r="1556" spans="1:8" x14ac:dyDescent="0.25">
      <c r="A1556" s="1" t="s">
        <v>2399</v>
      </c>
      <c r="B1556" s="1" t="s">
        <v>399</v>
      </c>
      <c r="C1556" s="1" t="s">
        <v>1717</v>
      </c>
      <c r="D1556" s="1" t="s">
        <v>2400</v>
      </c>
      <c r="E1556" s="1" t="s">
        <v>2405</v>
      </c>
      <c r="F1556" s="2" t="s">
        <v>6611</v>
      </c>
      <c r="G1556" s="1"/>
      <c r="H1556" s="1" t="s">
        <v>915</v>
      </c>
    </row>
    <row r="1557" spans="1:8" x14ac:dyDescent="0.25">
      <c r="A1557" s="1" t="s">
        <v>4260</v>
      </c>
      <c r="B1557" s="1" t="s">
        <v>4138</v>
      </c>
      <c r="C1557" s="1" t="s">
        <v>1717</v>
      </c>
      <c r="D1557" s="1" t="s">
        <v>2400</v>
      </c>
      <c r="E1557" s="1"/>
      <c r="F1557" s="2"/>
      <c r="G1557" s="1"/>
      <c r="H1557" s="1"/>
    </row>
    <row r="1558" spans="1:8" x14ac:dyDescent="0.25">
      <c r="A1558" s="1" t="s">
        <v>3961</v>
      </c>
      <c r="B1558" s="1" t="s">
        <v>1815</v>
      </c>
      <c r="C1558" s="1" t="s">
        <v>1717</v>
      </c>
      <c r="D1558" s="1" t="s">
        <v>2400</v>
      </c>
      <c r="E1558" s="1" t="s">
        <v>3962</v>
      </c>
      <c r="F1558" s="2" t="s">
        <v>6612</v>
      </c>
      <c r="G1558" s="1"/>
      <c r="H1558" s="1" t="s">
        <v>3964</v>
      </c>
    </row>
    <row r="1559" spans="1:8" x14ac:dyDescent="0.25">
      <c r="A1559" s="1" t="s">
        <v>3961</v>
      </c>
      <c r="B1559" s="1" t="s">
        <v>1815</v>
      </c>
      <c r="C1559" s="1" t="s">
        <v>1717</v>
      </c>
      <c r="D1559" s="1" t="s">
        <v>2400</v>
      </c>
      <c r="E1559" s="1" t="s">
        <v>3965</v>
      </c>
      <c r="F1559" s="2" t="s">
        <v>6613</v>
      </c>
      <c r="G1559" s="1"/>
      <c r="H1559" s="1" t="s">
        <v>3964</v>
      </c>
    </row>
    <row r="1560" spans="1:8" x14ac:dyDescent="0.25">
      <c r="A1560" s="1" t="s">
        <v>3961</v>
      </c>
      <c r="B1560" s="1" t="s">
        <v>1815</v>
      </c>
      <c r="C1560" s="1" t="s">
        <v>1717</v>
      </c>
      <c r="D1560" s="1" t="s">
        <v>2400</v>
      </c>
      <c r="E1560" s="1" t="s">
        <v>3969</v>
      </c>
      <c r="F1560" s="2" t="s">
        <v>6614</v>
      </c>
      <c r="G1560" s="1"/>
      <c r="H1560" s="1" t="s">
        <v>645</v>
      </c>
    </row>
    <row r="1561" spans="1:8" x14ac:dyDescent="0.25">
      <c r="A1561" s="1" t="s">
        <v>3961</v>
      </c>
      <c r="B1561" s="1" t="s">
        <v>1815</v>
      </c>
      <c r="C1561" s="1" t="s">
        <v>1717</v>
      </c>
      <c r="D1561" s="1" t="s">
        <v>2400</v>
      </c>
      <c r="E1561" s="1" t="s">
        <v>3967</v>
      </c>
      <c r="F1561" s="2" t="s">
        <v>6615</v>
      </c>
      <c r="G1561" s="1"/>
      <c r="H1561" s="1" t="s">
        <v>645</v>
      </c>
    </row>
    <row r="1562" spans="1:8" x14ac:dyDescent="0.25">
      <c r="A1562" s="1" t="s">
        <v>3971</v>
      </c>
      <c r="B1562" s="1" t="s">
        <v>418</v>
      </c>
      <c r="C1562" s="1" t="s">
        <v>2785</v>
      </c>
      <c r="D1562" s="1" t="s">
        <v>2400</v>
      </c>
      <c r="E1562" s="1" t="s">
        <v>3972</v>
      </c>
      <c r="F1562" s="2" t="s">
        <v>6616</v>
      </c>
      <c r="G1562" s="1"/>
      <c r="H1562" s="1" t="s">
        <v>877</v>
      </c>
    </row>
    <row r="1563" spans="1:8" x14ac:dyDescent="0.25">
      <c r="A1563" s="1" t="s">
        <v>1034</v>
      </c>
      <c r="B1563" s="1" t="s">
        <v>557</v>
      </c>
      <c r="C1563" s="1" t="s">
        <v>464</v>
      </c>
      <c r="D1563" s="1" t="s">
        <v>1035</v>
      </c>
      <c r="E1563" s="1" t="s">
        <v>1039</v>
      </c>
      <c r="F1563" s="2" t="s">
        <v>6617</v>
      </c>
      <c r="G1563" s="1" t="s">
        <v>406</v>
      </c>
      <c r="H1563" s="1" t="s">
        <v>1038</v>
      </c>
    </row>
    <row r="1564" spans="1:8" x14ac:dyDescent="0.25">
      <c r="A1564" s="1" t="s">
        <v>1034</v>
      </c>
      <c r="B1564" s="1" t="s">
        <v>557</v>
      </c>
      <c r="C1564" s="1" t="s">
        <v>464</v>
      </c>
      <c r="D1564" s="1" t="s">
        <v>1035</v>
      </c>
      <c r="E1564" s="1" t="s">
        <v>1036</v>
      </c>
      <c r="F1564" s="2" t="s">
        <v>6618</v>
      </c>
      <c r="G1564" s="1" t="s">
        <v>406</v>
      </c>
      <c r="H1564" s="1" t="s">
        <v>1038</v>
      </c>
    </row>
    <row r="1565" spans="1:8" x14ac:dyDescent="0.25">
      <c r="A1565" s="1" t="s">
        <v>1034</v>
      </c>
      <c r="B1565" s="1" t="s">
        <v>557</v>
      </c>
      <c r="C1565" s="1" t="s">
        <v>464</v>
      </c>
      <c r="D1565" s="1" t="s">
        <v>1035</v>
      </c>
      <c r="E1565" s="1" t="s">
        <v>1041</v>
      </c>
      <c r="F1565" s="2" t="s">
        <v>6619</v>
      </c>
      <c r="G1565" s="1" t="s">
        <v>406</v>
      </c>
      <c r="H1565" s="1" t="s">
        <v>1038</v>
      </c>
    </row>
    <row r="1566" spans="1:8" x14ac:dyDescent="0.25">
      <c r="A1566" s="1" t="s">
        <v>1034</v>
      </c>
      <c r="B1566" s="1" t="s">
        <v>557</v>
      </c>
      <c r="C1566" s="1" t="s">
        <v>464</v>
      </c>
      <c r="D1566" s="1" t="s">
        <v>1035</v>
      </c>
      <c r="E1566" s="1" t="s">
        <v>1046</v>
      </c>
      <c r="F1566" s="2" t="s">
        <v>6620</v>
      </c>
      <c r="G1566" s="1"/>
      <c r="H1566" s="1" t="s">
        <v>1045</v>
      </c>
    </row>
    <row r="1567" spans="1:8" x14ac:dyDescent="0.25">
      <c r="A1567" s="1" t="s">
        <v>1034</v>
      </c>
      <c r="B1567" s="1" t="s">
        <v>557</v>
      </c>
      <c r="C1567" s="1" t="s">
        <v>464</v>
      </c>
      <c r="D1567" s="1" t="s">
        <v>1035</v>
      </c>
      <c r="E1567" s="1" t="s">
        <v>1048</v>
      </c>
      <c r="F1567" s="2" t="s">
        <v>6621</v>
      </c>
      <c r="G1567" s="1"/>
      <c r="H1567" s="1" t="s">
        <v>1045</v>
      </c>
    </row>
    <row r="1568" spans="1:8" x14ac:dyDescent="0.25">
      <c r="A1568" s="1" t="s">
        <v>1034</v>
      </c>
      <c r="B1568" s="1" t="s">
        <v>557</v>
      </c>
      <c r="C1568" s="1" t="s">
        <v>464</v>
      </c>
      <c r="D1568" s="1" t="s">
        <v>1035</v>
      </c>
      <c r="E1568" s="1" t="s">
        <v>1050</v>
      </c>
      <c r="F1568" s="2" t="s">
        <v>6622</v>
      </c>
      <c r="G1568" s="1"/>
      <c r="H1568" s="1" t="s">
        <v>1045</v>
      </c>
    </row>
    <row r="1569" spans="1:8" x14ac:dyDescent="0.25">
      <c r="A1569" s="1" t="s">
        <v>1034</v>
      </c>
      <c r="B1569" s="1" t="s">
        <v>557</v>
      </c>
      <c r="C1569" s="1" t="s">
        <v>464</v>
      </c>
      <c r="D1569" s="1" t="s">
        <v>1035</v>
      </c>
      <c r="E1569" s="1" t="s">
        <v>1043</v>
      </c>
      <c r="F1569" s="2" t="s">
        <v>6623</v>
      </c>
      <c r="G1569" s="1"/>
      <c r="H1569" s="1" t="s">
        <v>1045</v>
      </c>
    </row>
    <row r="1570" spans="1:8" x14ac:dyDescent="0.25">
      <c r="A1570" s="1" t="s">
        <v>1034</v>
      </c>
      <c r="B1570" s="1" t="s">
        <v>557</v>
      </c>
      <c r="C1570" s="1" t="s">
        <v>464</v>
      </c>
      <c r="D1570" s="1" t="s">
        <v>1035</v>
      </c>
      <c r="E1570" s="1" t="s">
        <v>1052</v>
      </c>
      <c r="F1570" s="2" t="s">
        <v>6624</v>
      </c>
      <c r="G1570" s="1"/>
      <c r="H1570" s="1" t="s">
        <v>63</v>
      </c>
    </row>
    <row r="1571" spans="1:8" x14ac:dyDescent="0.25">
      <c r="A1571" s="1" t="s">
        <v>4261</v>
      </c>
      <c r="B1571" s="1" t="s">
        <v>443</v>
      </c>
      <c r="C1571" s="1" t="s">
        <v>475</v>
      </c>
      <c r="D1571" s="1" t="s">
        <v>1035</v>
      </c>
      <c r="E1571" s="1"/>
      <c r="F1571" s="2"/>
      <c r="G1571" s="1"/>
      <c r="H1571" s="1"/>
    </row>
    <row r="1572" spans="1:8" x14ac:dyDescent="0.25">
      <c r="A1572" s="1" t="s">
        <v>4262</v>
      </c>
      <c r="B1572" s="1" t="s">
        <v>437</v>
      </c>
      <c r="C1572" s="1" t="s">
        <v>928</v>
      </c>
      <c r="D1572" s="1" t="s">
        <v>1035</v>
      </c>
      <c r="E1572" s="1"/>
      <c r="F1572" s="2"/>
      <c r="G1572" s="1"/>
      <c r="H1572" s="1"/>
    </row>
    <row r="1573" spans="1:8" x14ac:dyDescent="0.25">
      <c r="A1573" s="1" t="s">
        <v>4263</v>
      </c>
      <c r="B1573" s="1" t="s">
        <v>437</v>
      </c>
      <c r="C1573" s="1" t="s">
        <v>3470</v>
      </c>
      <c r="D1573" s="1" t="s">
        <v>4150</v>
      </c>
      <c r="E1573" s="1"/>
      <c r="F1573" s="2"/>
      <c r="G1573" s="1"/>
      <c r="H1573" s="1"/>
    </row>
    <row r="1574" spans="1:8" x14ac:dyDescent="0.25">
      <c r="A1574" s="1" t="s">
        <v>4149</v>
      </c>
      <c r="B1574" s="1" t="s">
        <v>446</v>
      </c>
      <c r="C1574" s="1" t="s">
        <v>871</v>
      </c>
      <c r="D1574" s="1" t="s">
        <v>4150</v>
      </c>
      <c r="E1574" s="1" t="s">
        <v>4154</v>
      </c>
      <c r="F1574" s="2" t="s">
        <v>6625</v>
      </c>
      <c r="G1574" s="1" t="s">
        <v>406</v>
      </c>
      <c r="H1574" s="1" t="s">
        <v>4153</v>
      </c>
    </row>
    <row r="1575" spans="1:8" x14ac:dyDescent="0.25">
      <c r="A1575" s="1" t="s">
        <v>4149</v>
      </c>
      <c r="B1575" s="1" t="s">
        <v>446</v>
      </c>
      <c r="C1575" s="1" t="s">
        <v>871</v>
      </c>
      <c r="D1575" s="1" t="s">
        <v>4150</v>
      </c>
      <c r="E1575" s="1" t="s">
        <v>4151</v>
      </c>
      <c r="F1575" s="2" t="s">
        <v>6626</v>
      </c>
      <c r="G1575" s="1" t="s">
        <v>406</v>
      </c>
      <c r="H1575" s="1" t="s">
        <v>4153</v>
      </c>
    </row>
    <row r="1576" spans="1:8" x14ac:dyDescent="0.25">
      <c r="A1576" s="1" t="s">
        <v>4149</v>
      </c>
      <c r="B1576" s="1" t="s">
        <v>446</v>
      </c>
      <c r="C1576" s="1" t="s">
        <v>871</v>
      </c>
      <c r="D1576" s="1" t="s">
        <v>4150</v>
      </c>
      <c r="E1576" s="1" t="s">
        <v>4160</v>
      </c>
      <c r="F1576" s="2" t="s">
        <v>6627</v>
      </c>
      <c r="G1576" s="1"/>
      <c r="H1576" s="1" t="s">
        <v>2174</v>
      </c>
    </row>
    <row r="1577" spans="1:8" x14ac:dyDescent="0.25">
      <c r="A1577" s="1" t="s">
        <v>4149</v>
      </c>
      <c r="B1577" s="1" t="s">
        <v>446</v>
      </c>
      <c r="C1577" s="1" t="s">
        <v>871</v>
      </c>
      <c r="D1577" s="1" t="s">
        <v>4150</v>
      </c>
      <c r="E1577" s="1" t="s">
        <v>4158</v>
      </c>
      <c r="F1577" s="2" t="s">
        <v>6628</v>
      </c>
      <c r="G1577" s="1"/>
      <c r="H1577" s="1" t="s">
        <v>2174</v>
      </c>
    </row>
    <row r="1578" spans="1:8" x14ac:dyDescent="0.25">
      <c r="A1578" s="1" t="s">
        <v>4149</v>
      </c>
      <c r="B1578" s="1" t="s">
        <v>446</v>
      </c>
      <c r="C1578" s="1" t="s">
        <v>871</v>
      </c>
      <c r="D1578" s="1" t="s">
        <v>4150</v>
      </c>
      <c r="E1578" s="1" t="s">
        <v>4156</v>
      </c>
      <c r="F1578" s="2" t="s">
        <v>6629</v>
      </c>
      <c r="G1578" s="1"/>
      <c r="H1578" s="1" t="s">
        <v>2174</v>
      </c>
    </row>
    <row r="1579" spans="1:8" x14ac:dyDescent="0.25">
      <c r="A1579" s="1" t="s">
        <v>4264</v>
      </c>
      <c r="B1579" s="1" t="s">
        <v>460</v>
      </c>
      <c r="C1579" s="1" t="s">
        <v>4265</v>
      </c>
      <c r="D1579" s="1" t="s">
        <v>4266</v>
      </c>
      <c r="E1579" s="1"/>
      <c r="F1579" s="2"/>
      <c r="G1579" s="1"/>
      <c r="H1579" s="1"/>
    </row>
    <row r="1580" spans="1:8" x14ac:dyDescent="0.25">
      <c r="A1580" s="1" t="s">
        <v>2593</v>
      </c>
      <c r="B1580" s="1" t="s">
        <v>457</v>
      </c>
      <c r="C1580" s="1" t="s">
        <v>2040</v>
      </c>
      <c r="D1580" s="1" t="s">
        <v>2594</v>
      </c>
      <c r="E1580" s="1" t="s">
        <v>2598</v>
      </c>
      <c r="F1580" s="2" t="s">
        <v>6630</v>
      </c>
      <c r="G1580" s="1" t="s">
        <v>406</v>
      </c>
      <c r="H1580" s="1" t="s">
        <v>2597</v>
      </c>
    </row>
    <row r="1581" spans="1:8" x14ac:dyDescent="0.25">
      <c r="A1581" s="1" t="s">
        <v>2593</v>
      </c>
      <c r="B1581" s="1" t="s">
        <v>457</v>
      </c>
      <c r="C1581" s="1" t="s">
        <v>2040</v>
      </c>
      <c r="D1581" s="1" t="s">
        <v>2594</v>
      </c>
      <c r="E1581" s="1" t="s">
        <v>2595</v>
      </c>
      <c r="F1581" s="2" t="s">
        <v>6631</v>
      </c>
      <c r="G1581" s="1" t="s">
        <v>406</v>
      </c>
      <c r="H1581" s="1" t="s">
        <v>2597</v>
      </c>
    </row>
    <row r="1582" spans="1:8" x14ac:dyDescent="0.25">
      <c r="A1582" s="1" t="s">
        <v>2593</v>
      </c>
      <c r="B1582" s="1" t="s">
        <v>457</v>
      </c>
      <c r="C1582" s="1" t="s">
        <v>2040</v>
      </c>
      <c r="D1582" s="1" t="s">
        <v>2594</v>
      </c>
      <c r="E1582" s="1" t="s">
        <v>2600</v>
      </c>
      <c r="F1582" s="2" t="s">
        <v>6632</v>
      </c>
      <c r="G1582" s="1" t="s">
        <v>406</v>
      </c>
      <c r="H1582" s="1" t="s">
        <v>27</v>
      </c>
    </row>
    <row r="1583" spans="1:8" x14ac:dyDescent="0.25">
      <c r="A1583" s="1" t="s">
        <v>2593</v>
      </c>
      <c r="B1583" s="1" t="s">
        <v>457</v>
      </c>
      <c r="C1583" s="1" t="s">
        <v>2040</v>
      </c>
      <c r="D1583" s="1" t="s">
        <v>2594</v>
      </c>
      <c r="E1583" s="1" t="s">
        <v>2602</v>
      </c>
      <c r="F1583" s="2" t="s">
        <v>6633</v>
      </c>
      <c r="G1583" s="1"/>
      <c r="H1583" s="1" t="s">
        <v>1169</v>
      </c>
    </row>
    <row r="1584" spans="1:8" x14ac:dyDescent="0.25">
      <c r="A1584" s="1" t="s">
        <v>2593</v>
      </c>
      <c r="B1584" s="1" t="s">
        <v>457</v>
      </c>
      <c r="C1584" s="1" t="s">
        <v>2040</v>
      </c>
      <c r="D1584" s="1" t="s">
        <v>2594</v>
      </c>
      <c r="E1584" s="1" t="s">
        <v>2604</v>
      </c>
      <c r="F1584" s="2" t="s">
        <v>6634</v>
      </c>
      <c r="G1584" s="1"/>
      <c r="H1584" s="1" t="s">
        <v>1169</v>
      </c>
    </row>
    <row r="1585" spans="1:8" x14ac:dyDescent="0.25">
      <c r="A1585" s="1" t="s">
        <v>2593</v>
      </c>
      <c r="B1585" s="1" t="s">
        <v>457</v>
      </c>
      <c r="C1585" s="1" t="s">
        <v>2040</v>
      </c>
      <c r="D1585" s="1" t="s">
        <v>2594</v>
      </c>
      <c r="E1585" s="1" t="s">
        <v>2606</v>
      </c>
      <c r="F1585" s="2" t="s">
        <v>6635</v>
      </c>
      <c r="G1585" s="1"/>
      <c r="H1585" s="1" t="s">
        <v>1169</v>
      </c>
    </row>
    <row r="1586" spans="1:8" x14ac:dyDescent="0.25">
      <c r="A1586" s="1" t="s">
        <v>2593</v>
      </c>
      <c r="B1586" s="1" t="s">
        <v>457</v>
      </c>
      <c r="C1586" s="1" t="s">
        <v>2040</v>
      </c>
      <c r="D1586" s="1" t="s">
        <v>2594</v>
      </c>
      <c r="E1586" s="1" t="s">
        <v>2608</v>
      </c>
      <c r="F1586" s="2" t="s">
        <v>6636</v>
      </c>
      <c r="G1586" s="1"/>
      <c r="H1586" s="1" t="s">
        <v>1169</v>
      </c>
    </row>
    <row r="1587" spans="1:8" x14ac:dyDescent="0.25">
      <c r="A1587" s="1" t="s">
        <v>4267</v>
      </c>
      <c r="B1587" s="1" t="s">
        <v>531</v>
      </c>
      <c r="C1587" s="1" t="s">
        <v>544</v>
      </c>
      <c r="D1587" s="1" t="s">
        <v>2594</v>
      </c>
      <c r="E1587" s="1"/>
      <c r="F1587" s="2"/>
      <c r="G1587" s="1"/>
      <c r="H1587" s="1"/>
    </row>
    <row r="1588" spans="1:8" x14ac:dyDescent="0.25">
      <c r="A1588" s="1" t="s">
        <v>775</v>
      </c>
      <c r="B1588" s="1" t="s">
        <v>424</v>
      </c>
      <c r="C1588" s="1" t="s">
        <v>776</v>
      </c>
      <c r="D1588" s="1" t="s">
        <v>777</v>
      </c>
      <c r="E1588" s="1" t="s">
        <v>778</v>
      </c>
      <c r="F1588" s="2" t="s">
        <v>6637</v>
      </c>
      <c r="G1588" s="1"/>
      <c r="H1588" s="1" t="s">
        <v>63</v>
      </c>
    </row>
    <row r="1589" spans="1:8" x14ac:dyDescent="0.25">
      <c r="A1589" s="1" t="s">
        <v>775</v>
      </c>
      <c r="B1589" s="1" t="s">
        <v>424</v>
      </c>
      <c r="C1589" s="1" t="s">
        <v>776</v>
      </c>
      <c r="D1589" s="1" t="s">
        <v>777</v>
      </c>
      <c r="E1589" s="1" t="s">
        <v>789</v>
      </c>
      <c r="F1589" s="2" t="s">
        <v>6638</v>
      </c>
      <c r="G1589" s="1"/>
      <c r="H1589" s="1" t="s">
        <v>782</v>
      </c>
    </row>
    <row r="1590" spans="1:8" x14ac:dyDescent="0.25">
      <c r="A1590" s="1" t="s">
        <v>775</v>
      </c>
      <c r="B1590" s="1" t="s">
        <v>424</v>
      </c>
      <c r="C1590" s="1" t="s">
        <v>776</v>
      </c>
      <c r="D1590" s="1" t="s">
        <v>777</v>
      </c>
      <c r="E1590" s="1" t="s">
        <v>783</v>
      </c>
      <c r="F1590" s="2" t="s">
        <v>6639</v>
      </c>
      <c r="G1590" s="1"/>
      <c r="H1590" s="1" t="s">
        <v>782</v>
      </c>
    </row>
    <row r="1591" spans="1:8" x14ac:dyDescent="0.25">
      <c r="A1591" s="1" t="s">
        <v>775</v>
      </c>
      <c r="B1591" s="1" t="s">
        <v>424</v>
      </c>
      <c r="C1591" s="1" t="s">
        <v>776</v>
      </c>
      <c r="D1591" s="1" t="s">
        <v>777</v>
      </c>
      <c r="E1591" s="1" t="s">
        <v>785</v>
      </c>
      <c r="F1591" s="2" t="s">
        <v>6640</v>
      </c>
      <c r="G1591" s="1"/>
      <c r="H1591" s="1" t="s">
        <v>782</v>
      </c>
    </row>
    <row r="1592" spans="1:8" x14ac:dyDescent="0.25">
      <c r="A1592" s="1" t="s">
        <v>775</v>
      </c>
      <c r="B1592" s="1" t="s">
        <v>424</v>
      </c>
      <c r="C1592" s="1" t="s">
        <v>776</v>
      </c>
      <c r="D1592" s="1" t="s">
        <v>777</v>
      </c>
      <c r="E1592" s="1" t="s">
        <v>780</v>
      </c>
      <c r="F1592" s="2" t="s">
        <v>6641</v>
      </c>
      <c r="G1592" s="1"/>
      <c r="H1592" s="1" t="s">
        <v>782</v>
      </c>
    </row>
    <row r="1593" spans="1:8" x14ac:dyDescent="0.25">
      <c r="A1593" s="1" t="s">
        <v>775</v>
      </c>
      <c r="B1593" s="1" t="s">
        <v>424</v>
      </c>
      <c r="C1593" s="1" t="s">
        <v>776</v>
      </c>
      <c r="D1593" s="1" t="s">
        <v>777</v>
      </c>
      <c r="E1593" s="1" t="s">
        <v>787</v>
      </c>
      <c r="F1593" s="2" t="s">
        <v>6642</v>
      </c>
      <c r="G1593" s="1"/>
      <c r="H1593" s="1" t="s">
        <v>782</v>
      </c>
    </row>
    <row r="1594" spans="1:8" x14ac:dyDescent="0.25">
      <c r="A1594" s="1" t="s">
        <v>4268</v>
      </c>
      <c r="B1594" s="1" t="s">
        <v>817</v>
      </c>
      <c r="C1594" s="1" t="s">
        <v>2004</v>
      </c>
      <c r="D1594" s="1" t="s">
        <v>777</v>
      </c>
      <c r="E1594" s="1"/>
      <c r="F1594" s="2"/>
      <c r="G1594" s="1"/>
      <c r="H1594" s="1"/>
    </row>
    <row r="1595" spans="1:8" x14ac:dyDescent="0.25">
      <c r="A1595" s="1" t="s">
        <v>870</v>
      </c>
      <c r="B1595" s="1" t="s">
        <v>457</v>
      </c>
      <c r="C1595" s="1" t="s">
        <v>871</v>
      </c>
      <c r="D1595" s="1" t="s">
        <v>872</v>
      </c>
      <c r="E1595" s="1" t="s">
        <v>873</v>
      </c>
      <c r="F1595" s="2" t="s">
        <v>6643</v>
      </c>
      <c r="G1595" s="1" t="s">
        <v>406</v>
      </c>
      <c r="H1595" s="1" t="s">
        <v>63</v>
      </c>
    </row>
    <row r="1596" spans="1:8" x14ac:dyDescent="0.25">
      <c r="A1596" s="1" t="s">
        <v>870</v>
      </c>
      <c r="B1596" s="1" t="s">
        <v>457</v>
      </c>
      <c r="C1596" s="1" t="s">
        <v>871</v>
      </c>
      <c r="D1596" s="1" t="s">
        <v>872</v>
      </c>
      <c r="E1596" s="1" t="s">
        <v>875</v>
      </c>
      <c r="F1596" s="2" t="s">
        <v>6644</v>
      </c>
      <c r="G1596" s="1"/>
      <c r="H1596" s="1" t="s">
        <v>877</v>
      </c>
    </row>
    <row r="1597" spans="1:8" x14ac:dyDescent="0.25">
      <c r="A1597" s="1" t="s">
        <v>870</v>
      </c>
      <c r="B1597" s="1" t="s">
        <v>457</v>
      </c>
      <c r="C1597" s="1" t="s">
        <v>871</v>
      </c>
      <c r="D1597" s="1" t="s">
        <v>872</v>
      </c>
      <c r="E1597" s="1" t="s">
        <v>878</v>
      </c>
      <c r="F1597" s="2" t="s">
        <v>6645</v>
      </c>
      <c r="G1597" s="1"/>
      <c r="H1597" s="1" t="s">
        <v>877</v>
      </c>
    </row>
    <row r="1598" spans="1:8" x14ac:dyDescent="0.25">
      <c r="A1598" s="1" t="s">
        <v>1192</v>
      </c>
      <c r="B1598" s="1" t="s">
        <v>418</v>
      </c>
      <c r="C1598" s="1" t="s">
        <v>1193</v>
      </c>
      <c r="D1598" s="1" t="s">
        <v>872</v>
      </c>
      <c r="E1598" s="1" t="s">
        <v>1194</v>
      </c>
      <c r="F1598" s="2" t="s">
        <v>6646</v>
      </c>
      <c r="G1598" s="1" t="s">
        <v>413</v>
      </c>
      <c r="H1598" s="1" t="s">
        <v>1196</v>
      </c>
    </row>
    <row r="1599" spans="1:8" x14ac:dyDescent="0.25">
      <c r="A1599" s="1" t="s">
        <v>1192</v>
      </c>
      <c r="B1599" s="1" t="s">
        <v>418</v>
      </c>
      <c r="C1599" s="1" t="s">
        <v>1193</v>
      </c>
      <c r="D1599" s="1" t="s">
        <v>872</v>
      </c>
      <c r="E1599" s="1" t="s">
        <v>39</v>
      </c>
      <c r="F1599" s="2" t="s">
        <v>6647</v>
      </c>
      <c r="G1599" s="1" t="s">
        <v>406</v>
      </c>
      <c r="H1599" s="1" t="s">
        <v>56</v>
      </c>
    </row>
    <row r="1600" spans="1:8" x14ac:dyDescent="0.25">
      <c r="A1600" s="1" t="s">
        <v>1192</v>
      </c>
      <c r="B1600" s="1" t="s">
        <v>418</v>
      </c>
      <c r="C1600" s="1" t="s">
        <v>1193</v>
      </c>
      <c r="D1600" s="1" t="s">
        <v>872</v>
      </c>
      <c r="E1600" s="1" t="s">
        <v>1197</v>
      </c>
      <c r="F1600" s="2" t="s">
        <v>6648</v>
      </c>
      <c r="G1600" s="1" t="s">
        <v>406</v>
      </c>
      <c r="H1600" s="1" t="s">
        <v>56</v>
      </c>
    </row>
    <row r="1601" spans="1:8" x14ac:dyDescent="0.25">
      <c r="A1601" s="1" t="s">
        <v>1192</v>
      </c>
      <c r="B1601" s="1" t="s">
        <v>418</v>
      </c>
      <c r="C1601" s="1" t="s">
        <v>1193</v>
      </c>
      <c r="D1601" s="1" t="s">
        <v>872</v>
      </c>
      <c r="E1601" s="1" t="s">
        <v>1200</v>
      </c>
      <c r="F1601" s="2" t="s">
        <v>6649</v>
      </c>
      <c r="G1601" s="1"/>
      <c r="H1601" s="1" t="s">
        <v>63</v>
      </c>
    </row>
    <row r="1602" spans="1:8" x14ac:dyDescent="0.25">
      <c r="A1602" s="1" t="s">
        <v>1192</v>
      </c>
      <c r="B1602" s="1" t="s">
        <v>418</v>
      </c>
      <c r="C1602" s="1" t="s">
        <v>1193</v>
      </c>
      <c r="D1602" s="1" t="s">
        <v>872</v>
      </c>
      <c r="E1602" s="1" t="s">
        <v>1202</v>
      </c>
      <c r="F1602" s="2" t="s">
        <v>6650</v>
      </c>
      <c r="G1602" s="1"/>
      <c r="H1602" s="1" t="s">
        <v>1204</v>
      </c>
    </row>
    <row r="1603" spans="1:8" x14ac:dyDescent="0.25">
      <c r="A1603" s="1" t="s">
        <v>3825</v>
      </c>
      <c r="B1603" s="1" t="s">
        <v>603</v>
      </c>
      <c r="C1603" s="1" t="s">
        <v>776</v>
      </c>
      <c r="D1603" s="1" t="s">
        <v>872</v>
      </c>
      <c r="E1603" s="1" t="s">
        <v>3829</v>
      </c>
      <c r="F1603" s="2" t="s">
        <v>6651</v>
      </c>
      <c r="G1603" s="1"/>
      <c r="H1603" s="1" t="s">
        <v>3828</v>
      </c>
    </row>
    <row r="1604" spans="1:8" x14ac:dyDescent="0.25">
      <c r="A1604" s="1" t="s">
        <v>3825</v>
      </c>
      <c r="B1604" s="1" t="s">
        <v>603</v>
      </c>
      <c r="C1604" s="1" t="s">
        <v>776</v>
      </c>
      <c r="D1604" s="1" t="s">
        <v>872</v>
      </c>
      <c r="E1604" s="1" t="s">
        <v>3831</v>
      </c>
      <c r="F1604" s="2" t="s">
        <v>6652</v>
      </c>
      <c r="G1604" s="1"/>
      <c r="H1604" s="1" t="s">
        <v>3828</v>
      </c>
    </row>
    <row r="1605" spans="1:8" x14ac:dyDescent="0.25">
      <c r="A1605" s="1" t="s">
        <v>3825</v>
      </c>
      <c r="B1605" s="1" t="s">
        <v>603</v>
      </c>
      <c r="C1605" s="1" t="s">
        <v>776</v>
      </c>
      <c r="D1605" s="1" t="s">
        <v>872</v>
      </c>
      <c r="E1605" s="1" t="s">
        <v>3826</v>
      </c>
      <c r="F1605" s="2" t="s">
        <v>6653</v>
      </c>
      <c r="G1605" s="1"/>
      <c r="H1605" s="1" t="s">
        <v>3828</v>
      </c>
    </row>
    <row r="1606" spans="1:8" x14ac:dyDescent="0.25">
      <c r="A1606" s="1" t="s">
        <v>3825</v>
      </c>
      <c r="B1606" s="1" t="s">
        <v>603</v>
      </c>
      <c r="C1606" s="1" t="s">
        <v>776</v>
      </c>
      <c r="D1606" s="1" t="s">
        <v>872</v>
      </c>
      <c r="E1606" s="1" t="s">
        <v>3833</v>
      </c>
      <c r="F1606" s="2" t="s">
        <v>6654</v>
      </c>
      <c r="G1606" s="1"/>
      <c r="H1606" s="1" t="s">
        <v>1679</v>
      </c>
    </row>
    <row r="1607" spans="1:8" x14ac:dyDescent="0.25">
      <c r="A1607" s="1" t="s">
        <v>3825</v>
      </c>
      <c r="B1607" s="1" t="s">
        <v>603</v>
      </c>
      <c r="C1607" s="1" t="s">
        <v>776</v>
      </c>
      <c r="D1607" s="1" t="s">
        <v>872</v>
      </c>
      <c r="E1607" s="1" t="s">
        <v>3835</v>
      </c>
      <c r="F1607" s="2" t="s">
        <v>6655</v>
      </c>
      <c r="G1607" s="1"/>
      <c r="H1607" s="1" t="s">
        <v>2912</v>
      </c>
    </row>
    <row r="1608" spans="1:8" x14ac:dyDescent="0.25">
      <c r="A1608" s="1" t="s">
        <v>3825</v>
      </c>
      <c r="B1608" s="1" t="s">
        <v>603</v>
      </c>
      <c r="C1608" s="1" t="s">
        <v>776</v>
      </c>
      <c r="D1608" s="1" t="s">
        <v>872</v>
      </c>
      <c r="E1608" s="1" t="s">
        <v>3837</v>
      </c>
      <c r="F1608" s="2" t="s">
        <v>6656</v>
      </c>
      <c r="G1608" s="1"/>
      <c r="H1608" s="1" t="s">
        <v>2912</v>
      </c>
    </row>
    <row r="1609" spans="1:8" x14ac:dyDescent="0.25">
      <c r="A1609" s="1" t="s">
        <v>3825</v>
      </c>
      <c r="B1609" s="1" t="s">
        <v>603</v>
      </c>
      <c r="C1609" s="1" t="s">
        <v>776</v>
      </c>
      <c r="D1609" s="1" t="s">
        <v>872</v>
      </c>
      <c r="E1609" s="1" t="s">
        <v>3839</v>
      </c>
      <c r="F1609" s="2" t="s">
        <v>6657</v>
      </c>
      <c r="G1609" s="1"/>
      <c r="H1609" s="1" t="s">
        <v>2912</v>
      </c>
    </row>
    <row r="1610" spans="1:8" x14ac:dyDescent="0.25">
      <c r="A1610" s="1" t="s">
        <v>2901</v>
      </c>
      <c r="B1610" s="1" t="s">
        <v>603</v>
      </c>
      <c r="C1610" s="1" t="s">
        <v>811</v>
      </c>
      <c r="D1610" s="1" t="s">
        <v>2902</v>
      </c>
      <c r="E1610" s="1" t="s">
        <v>377</v>
      </c>
      <c r="F1610" s="2"/>
      <c r="G1610" s="1"/>
      <c r="H1610" s="1" t="s">
        <v>2904</v>
      </c>
    </row>
    <row r="1611" spans="1:8" x14ac:dyDescent="0.25">
      <c r="A1611" s="1" t="s">
        <v>2901</v>
      </c>
      <c r="B1611" s="1" t="s">
        <v>603</v>
      </c>
      <c r="C1611" s="1" t="s">
        <v>811</v>
      </c>
      <c r="D1611" s="1" t="s">
        <v>2902</v>
      </c>
      <c r="E1611" s="1" t="s">
        <v>2908</v>
      </c>
      <c r="F1611" s="2" t="s">
        <v>6658</v>
      </c>
      <c r="G1611" s="1"/>
      <c r="H1611" s="1" t="s">
        <v>2907</v>
      </c>
    </row>
    <row r="1612" spans="1:8" x14ac:dyDescent="0.25">
      <c r="A1612" s="1" t="s">
        <v>2901</v>
      </c>
      <c r="B1612" s="1" t="s">
        <v>603</v>
      </c>
      <c r="C1612" s="1" t="s">
        <v>811</v>
      </c>
      <c r="D1612" s="1" t="s">
        <v>2902</v>
      </c>
      <c r="E1612" s="1" t="s">
        <v>2905</v>
      </c>
      <c r="F1612" s="2" t="s">
        <v>6659</v>
      </c>
      <c r="G1612" s="1"/>
      <c r="H1612" s="1" t="s">
        <v>2907</v>
      </c>
    </row>
    <row r="1613" spans="1:8" x14ac:dyDescent="0.25">
      <c r="A1613" s="1" t="s">
        <v>2901</v>
      </c>
      <c r="B1613" s="1" t="s">
        <v>603</v>
      </c>
      <c r="C1613" s="1" t="s">
        <v>811</v>
      </c>
      <c r="D1613" s="1" t="s">
        <v>2902</v>
      </c>
      <c r="E1613" s="1" t="s">
        <v>2910</v>
      </c>
      <c r="F1613" s="2" t="s">
        <v>6660</v>
      </c>
      <c r="G1613" s="1"/>
      <c r="H1613" s="1" t="s">
        <v>2912</v>
      </c>
    </row>
    <row r="1614" spans="1:8" x14ac:dyDescent="0.25">
      <c r="A1614" s="1" t="s">
        <v>2901</v>
      </c>
      <c r="B1614" s="1" t="s">
        <v>603</v>
      </c>
      <c r="C1614" s="1" t="s">
        <v>811</v>
      </c>
      <c r="D1614" s="1" t="s">
        <v>2902</v>
      </c>
      <c r="E1614" s="1" t="s">
        <v>2915</v>
      </c>
      <c r="F1614" s="2" t="s">
        <v>6661</v>
      </c>
      <c r="G1614" s="1"/>
      <c r="H1614" s="1" t="s">
        <v>2912</v>
      </c>
    </row>
    <row r="1615" spans="1:8" x14ac:dyDescent="0.25">
      <c r="A1615" s="1" t="s">
        <v>2901</v>
      </c>
      <c r="B1615" s="1" t="s">
        <v>603</v>
      </c>
      <c r="C1615" s="1" t="s">
        <v>811</v>
      </c>
      <c r="D1615" s="1" t="s">
        <v>2902</v>
      </c>
      <c r="E1615" s="1" t="s">
        <v>2913</v>
      </c>
      <c r="F1615" s="2" t="s">
        <v>6662</v>
      </c>
      <c r="G1615" s="1"/>
      <c r="H1615" s="1" t="s">
        <v>2912</v>
      </c>
    </row>
    <row r="1616" spans="1:8" x14ac:dyDescent="0.25">
      <c r="A1616" s="1" t="s">
        <v>1371</v>
      </c>
      <c r="B1616" s="1" t="s">
        <v>418</v>
      </c>
      <c r="C1616" s="1" t="s">
        <v>1241</v>
      </c>
      <c r="D1616" s="1" t="s">
        <v>1372</v>
      </c>
      <c r="E1616" s="1" t="s">
        <v>1376</v>
      </c>
      <c r="F1616" s="2" t="s">
        <v>6663</v>
      </c>
      <c r="G1616" s="1"/>
      <c r="H1616" s="1" t="s">
        <v>1375</v>
      </c>
    </row>
    <row r="1617" spans="1:8" x14ac:dyDescent="0.25">
      <c r="A1617" s="1" t="s">
        <v>1371</v>
      </c>
      <c r="B1617" s="1" t="s">
        <v>418</v>
      </c>
      <c r="C1617" s="1" t="s">
        <v>1241</v>
      </c>
      <c r="D1617" s="1" t="s">
        <v>1372</v>
      </c>
      <c r="E1617" s="1" t="s">
        <v>1373</v>
      </c>
      <c r="F1617" s="2" t="s">
        <v>6664</v>
      </c>
      <c r="G1617" s="1"/>
      <c r="H1617" s="1" t="s">
        <v>1375</v>
      </c>
    </row>
    <row r="1618" spans="1:8" x14ac:dyDescent="0.25">
      <c r="A1618" s="1" t="s">
        <v>1371</v>
      </c>
      <c r="B1618" s="1" t="s">
        <v>418</v>
      </c>
      <c r="C1618" s="1" t="s">
        <v>1241</v>
      </c>
      <c r="D1618" s="1" t="s">
        <v>1372</v>
      </c>
      <c r="E1618" s="1" t="s">
        <v>1373</v>
      </c>
      <c r="F1618" s="2" t="s">
        <v>6665</v>
      </c>
      <c r="G1618" s="1"/>
      <c r="H1618" s="1" t="s">
        <v>675</v>
      </c>
    </row>
    <row r="1619" spans="1:8" x14ac:dyDescent="0.25">
      <c r="A1619" s="1" t="s">
        <v>4269</v>
      </c>
      <c r="B1619" s="1" t="s">
        <v>437</v>
      </c>
      <c r="C1619" s="1" t="s">
        <v>3811</v>
      </c>
      <c r="D1619" s="1" t="s">
        <v>1372</v>
      </c>
      <c r="E1619" s="1"/>
      <c r="F1619" s="2"/>
      <c r="G1619" s="1"/>
      <c r="H1619" s="1"/>
    </row>
    <row r="1620" spans="1:8" x14ac:dyDescent="0.25">
      <c r="A1620" s="1" t="s">
        <v>1123</v>
      </c>
      <c r="B1620" s="1" t="s">
        <v>1008</v>
      </c>
      <c r="C1620" s="1" t="s">
        <v>1124</v>
      </c>
      <c r="D1620" s="1" t="s">
        <v>1125</v>
      </c>
      <c r="E1620" s="1" t="s">
        <v>1126</v>
      </c>
      <c r="F1620" s="2"/>
      <c r="G1620" s="1"/>
      <c r="H1620" s="1" t="s">
        <v>56</v>
      </c>
    </row>
    <row r="1621" spans="1:8" x14ac:dyDescent="0.25">
      <c r="A1621" s="1" t="s">
        <v>1123</v>
      </c>
      <c r="B1621" s="1" t="s">
        <v>1008</v>
      </c>
      <c r="C1621" s="1" t="s">
        <v>1124</v>
      </c>
      <c r="D1621" s="1" t="s">
        <v>1125</v>
      </c>
      <c r="E1621" s="1" t="s">
        <v>1128</v>
      </c>
      <c r="F1621" s="2" t="s">
        <v>6666</v>
      </c>
      <c r="G1621" s="1"/>
      <c r="H1621" s="1" t="s">
        <v>63</v>
      </c>
    </row>
    <row r="1622" spans="1:8" x14ac:dyDescent="0.25">
      <c r="A1622" s="1" t="s">
        <v>1123</v>
      </c>
      <c r="B1622" s="1" t="s">
        <v>1008</v>
      </c>
      <c r="C1622" s="1" t="s">
        <v>1124</v>
      </c>
      <c r="D1622" s="1" t="s">
        <v>1125</v>
      </c>
      <c r="E1622" s="1" t="s">
        <v>1132</v>
      </c>
      <c r="F1622" s="2" t="s">
        <v>6667</v>
      </c>
      <c r="G1622" s="1"/>
      <c r="H1622" s="1" t="s">
        <v>63</v>
      </c>
    </row>
    <row r="1623" spans="1:8" x14ac:dyDescent="0.25">
      <c r="A1623" s="1" t="s">
        <v>1123</v>
      </c>
      <c r="B1623" s="1" t="s">
        <v>1008</v>
      </c>
      <c r="C1623" s="1" t="s">
        <v>1124</v>
      </c>
      <c r="D1623" s="1" t="s">
        <v>1125</v>
      </c>
      <c r="E1623" s="1" t="s">
        <v>1138</v>
      </c>
      <c r="F1623" s="2" t="s">
        <v>6668</v>
      </c>
      <c r="G1623" s="1"/>
      <c r="H1623" s="1" t="s">
        <v>63</v>
      </c>
    </row>
    <row r="1624" spans="1:8" x14ac:dyDescent="0.25">
      <c r="A1624" s="1" t="s">
        <v>1123</v>
      </c>
      <c r="B1624" s="1" t="s">
        <v>1008</v>
      </c>
      <c r="C1624" s="1" t="s">
        <v>1124</v>
      </c>
      <c r="D1624" s="1" t="s">
        <v>1125</v>
      </c>
      <c r="E1624" s="1" t="s">
        <v>1140</v>
      </c>
      <c r="F1624" s="2" t="s">
        <v>6669</v>
      </c>
      <c r="G1624" s="1"/>
      <c r="H1624" s="1" t="s">
        <v>63</v>
      </c>
    </row>
    <row r="1625" spans="1:8" x14ac:dyDescent="0.25">
      <c r="A1625" s="1" t="s">
        <v>1123</v>
      </c>
      <c r="B1625" s="1" t="s">
        <v>1008</v>
      </c>
      <c r="C1625" s="1" t="s">
        <v>1124</v>
      </c>
      <c r="D1625" s="1" t="s">
        <v>1125</v>
      </c>
      <c r="E1625" s="1" t="s">
        <v>1134</v>
      </c>
      <c r="F1625" s="2" t="s">
        <v>6670</v>
      </c>
      <c r="G1625" s="1"/>
      <c r="H1625" s="1" t="s">
        <v>63</v>
      </c>
    </row>
    <row r="1626" spans="1:8" x14ac:dyDescent="0.25">
      <c r="A1626" s="1" t="s">
        <v>1123</v>
      </c>
      <c r="B1626" s="1" t="s">
        <v>1008</v>
      </c>
      <c r="C1626" s="1" t="s">
        <v>1124</v>
      </c>
      <c r="D1626" s="1" t="s">
        <v>1125</v>
      </c>
      <c r="E1626" s="1" t="s">
        <v>1130</v>
      </c>
      <c r="F1626" s="2" t="s">
        <v>6671</v>
      </c>
      <c r="G1626" s="1"/>
      <c r="H1626" s="1" t="s">
        <v>63</v>
      </c>
    </row>
    <row r="1627" spans="1:8" x14ac:dyDescent="0.25">
      <c r="A1627" s="1" t="s">
        <v>1123</v>
      </c>
      <c r="B1627" s="1" t="s">
        <v>1008</v>
      </c>
      <c r="C1627" s="1" t="s">
        <v>1124</v>
      </c>
      <c r="D1627" s="1" t="s">
        <v>1125</v>
      </c>
      <c r="E1627" s="1" t="s">
        <v>1136</v>
      </c>
      <c r="F1627" s="2" t="s">
        <v>6672</v>
      </c>
      <c r="G1627" s="1"/>
      <c r="H1627" s="1" t="s">
        <v>63</v>
      </c>
    </row>
    <row r="1628" spans="1:8" x14ac:dyDescent="0.25">
      <c r="A1628" s="1" t="s">
        <v>1123</v>
      </c>
      <c r="B1628" s="1" t="s">
        <v>1008</v>
      </c>
      <c r="C1628" s="1" t="s">
        <v>1124</v>
      </c>
      <c r="D1628" s="1" t="s">
        <v>1125</v>
      </c>
      <c r="E1628" s="1" t="s">
        <v>1145</v>
      </c>
      <c r="F1628" s="2" t="s">
        <v>6673</v>
      </c>
      <c r="G1628" s="1"/>
      <c r="H1628" s="1" t="s">
        <v>1144</v>
      </c>
    </row>
    <row r="1629" spans="1:8" x14ac:dyDescent="0.25">
      <c r="A1629" s="1" t="s">
        <v>1123</v>
      </c>
      <c r="B1629" s="1" t="s">
        <v>1008</v>
      </c>
      <c r="C1629" s="1" t="s">
        <v>1124</v>
      </c>
      <c r="D1629" s="1" t="s">
        <v>1125</v>
      </c>
      <c r="E1629" s="1" t="s">
        <v>1153</v>
      </c>
      <c r="F1629" s="2" t="s">
        <v>6674</v>
      </c>
      <c r="G1629" s="1"/>
      <c r="H1629" s="1" t="s">
        <v>1144</v>
      </c>
    </row>
    <row r="1630" spans="1:8" x14ac:dyDescent="0.25">
      <c r="A1630" s="1" t="s">
        <v>1123</v>
      </c>
      <c r="B1630" s="1" t="s">
        <v>1008</v>
      </c>
      <c r="C1630" s="1" t="s">
        <v>1124</v>
      </c>
      <c r="D1630" s="1" t="s">
        <v>1125</v>
      </c>
      <c r="E1630" s="1" t="s">
        <v>1149</v>
      </c>
      <c r="F1630" s="2" t="s">
        <v>6675</v>
      </c>
      <c r="G1630" s="1"/>
      <c r="H1630" s="1" t="s">
        <v>1144</v>
      </c>
    </row>
    <row r="1631" spans="1:8" x14ac:dyDescent="0.25">
      <c r="A1631" s="1" t="s">
        <v>1123</v>
      </c>
      <c r="B1631" s="1" t="s">
        <v>1008</v>
      </c>
      <c r="C1631" s="1" t="s">
        <v>1124</v>
      </c>
      <c r="D1631" s="1" t="s">
        <v>1125</v>
      </c>
      <c r="E1631" s="1" t="s">
        <v>1142</v>
      </c>
      <c r="F1631" s="2" t="s">
        <v>6676</v>
      </c>
      <c r="G1631" s="1"/>
      <c r="H1631" s="1" t="s">
        <v>1144</v>
      </c>
    </row>
    <row r="1632" spans="1:8" x14ac:dyDescent="0.25">
      <c r="A1632" s="1" t="s">
        <v>1123</v>
      </c>
      <c r="B1632" s="1" t="s">
        <v>1008</v>
      </c>
      <c r="C1632" s="1" t="s">
        <v>1124</v>
      </c>
      <c r="D1632" s="1" t="s">
        <v>1125</v>
      </c>
      <c r="E1632" s="1" t="s">
        <v>1147</v>
      </c>
      <c r="F1632" s="2" t="s">
        <v>6677</v>
      </c>
      <c r="G1632" s="1"/>
      <c r="H1632" s="1" t="s">
        <v>1144</v>
      </c>
    </row>
    <row r="1633" spans="1:8" x14ac:dyDescent="0.25">
      <c r="A1633" s="1" t="s">
        <v>1123</v>
      </c>
      <c r="B1633" s="1" t="s">
        <v>1008</v>
      </c>
      <c r="C1633" s="1" t="s">
        <v>1124</v>
      </c>
      <c r="D1633" s="1" t="s">
        <v>1125</v>
      </c>
      <c r="E1633" s="1" t="s">
        <v>1151</v>
      </c>
      <c r="F1633" s="2" t="s">
        <v>6678</v>
      </c>
      <c r="G1633" s="1"/>
      <c r="H1633" s="1" t="s">
        <v>1144</v>
      </c>
    </row>
    <row r="1634" spans="1:8" x14ac:dyDescent="0.25">
      <c r="A1634" s="1" t="s">
        <v>1123</v>
      </c>
      <c r="B1634" s="1" t="s">
        <v>1008</v>
      </c>
      <c r="C1634" s="1" t="s">
        <v>1124</v>
      </c>
      <c r="D1634" s="1" t="s">
        <v>1125</v>
      </c>
      <c r="E1634" s="1" t="s">
        <v>1163</v>
      </c>
      <c r="F1634" s="2" t="s">
        <v>6679</v>
      </c>
      <c r="G1634" s="1"/>
      <c r="H1634" s="1" t="s">
        <v>782</v>
      </c>
    </row>
    <row r="1635" spans="1:8" x14ac:dyDescent="0.25">
      <c r="A1635" s="1" t="s">
        <v>1123</v>
      </c>
      <c r="B1635" s="1" t="s">
        <v>1008</v>
      </c>
      <c r="C1635" s="1" t="s">
        <v>1124</v>
      </c>
      <c r="D1635" s="1" t="s">
        <v>1125</v>
      </c>
      <c r="E1635" s="1" t="s">
        <v>1155</v>
      </c>
      <c r="F1635" s="2" t="s">
        <v>6680</v>
      </c>
      <c r="G1635" s="1"/>
      <c r="H1635" s="1" t="s">
        <v>782</v>
      </c>
    </row>
    <row r="1636" spans="1:8" x14ac:dyDescent="0.25">
      <c r="A1636" s="1" t="s">
        <v>1123</v>
      </c>
      <c r="B1636" s="1" t="s">
        <v>1008</v>
      </c>
      <c r="C1636" s="1" t="s">
        <v>1124</v>
      </c>
      <c r="D1636" s="1" t="s">
        <v>1125</v>
      </c>
      <c r="E1636" s="1" t="s">
        <v>1157</v>
      </c>
      <c r="F1636" s="2" t="s">
        <v>6681</v>
      </c>
      <c r="G1636" s="1"/>
      <c r="H1636" s="1" t="s">
        <v>782</v>
      </c>
    </row>
    <row r="1637" spans="1:8" x14ac:dyDescent="0.25">
      <c r="A1637" s="1" t="s">
        <v>1123</v>
      </c>
      <c r="B1637" s="1" t="s">
        <v>1008</v>
      </c>
      <c r="C1637" s="1" t="s">
        <v>1124</v>
      </c>
      <c r="D1637" s="1" t="s">
        <v>1125</v>
      </c>
      <c r="E1637" s="1" t="s">
        <v>1159</v>
      </c>
      <c r="F1637" s="2" t="s">
        <v>6682</v>
      </c>
      <c r="G1637" s="1"/>
      <c r="H1637" s="1" t="s">
        <v>782</v>
      </c>
    </row>
    <row r="1638" spans="1:8" x14ac:dyDescent="0.25">
      <c r="A1638" s="1" t="s">
        <v>1123</v>
      </c>
      <c r="B1638" s="1" t="s">
        <v>1008</v>
      </c>
      <c r="C1638" s="1" t="s">
        <v>1124</v>
      </c>
      <c r="D1638" s="1" t="s">
        <v>1125</v>
      </c>
      <c r="E1638" s="1" t="s">
        <v>1161</v>
      </c>
      <c r="F1638" s="2" t="s">
        <v>6683</v>
      </c>
      <c r="G1638" s="1"/>
      <c r="H1638" s="1" t="s">
        <v>782</v>
      </c>
    </row>
    <row r="1639" spans="1:8" x14ac:dyDescent="0.25">
      <c r="A1639" s="1" t="s">
        <v>2610</v>
      </c>
      <c r="B1639" s="1" t="s">
        <v>437</v>
      </c>
      <c r="C1639" s="1" t="s">
        <v>2611</v>
      </c>
      <c r="D1639" s="1" t="s">
        <v>1125</v>
      </c>
      <c r="E1639" s="1" t="s">
        <v>2612</v>
      </c>
      <c r="F1639" s="2" t="s">
        <v>6684</v>
      </c>
      <c r="G1639" s="1" t="s">
        <v>2613</v>
      </c>
      <c r="H1639" s="1" t="s">
        <v>2615</v>
      </c>
    </row>
    <row r="1640" spans="1:8" x14ac:dyDescent="0.25">
      <c r="A1640" s="1" t="s">
        <v>4270</v>
      </c>
      <c r="B1640" s="1" t="s">
        <v>1008</v>
      </c>
      <c r="C1640" s="1" t="s">
        <v>2004</v>
      </c>
      <c r="D1640" s="1" t="s">
        <v>2298</v>
      </c>
      <c r="E1640" s="1"/>
      <c r="F1640" s="2"/>
      <c r="G1640" s="1"/>
      <c r="H1640" s="1"/>
    </row>
    <row r="1641" spans="1:8" x14ac:dyDescent="0.25">
      <c r="A1641" s="1" t="s">
        <v>2297</v>
      </c>
      <c r="B1641" s="1" t="s">
        <v>446</v>
      </c>
      <c r="C1641" s="1" t="s">
        <v>471</v>
      </c>
      <c r="D1641" s="1" t="s">
        <v>2298</v>
      </c>
      <c r="E1641" s="1" t="s">
        <v>2299</v>
      </c>
      <c r="F1641" s="2" t="s">
        <v>6685</v>
      </c>
      <c r="G1641" s="1"/>
      <c r="H1641" s="1" t="s">
        <v>2301</v>
      </c>
    </row>
    <row r="1642" spans="1:8" x14ac:dyDescent="0.25">
      <c r="A1642" s="1" t="s">
        <v>2297</v>
      </c>
      <c r="B1642" s="1" t="s">
        <v>446</v>
      </c>
      <c r="C1642" s="1" t="s">
        <v>471</v>
      </c>
      <c r="D1642" s="1" t="s">
        <v>2298</v>
      </c>
      <c r="E1642" s="1" t="s">
        <v>2302</v>
      </c>
      <c r="F1642" s="2" t="s">
        <v>6686</v>
      </c>
      <c r="G1642" s="1" t="s">
        <v>406</v>
      </c>
      <c r="H1642" s="1" t="s">
        <v>63</v>
      </c>
    </row>
    <row r="1643" spans="1:8" x14ac:dyDescent="0.25">
      <c r="A1643" s="1" t="s">
        <v>2297</v>
      </c>
      <c r="B1643" s="1" t="s">
        <v>446</v>
      </c>
      <c r="C1643" s="1" t="s">
        <v>471</v>
      </c>
      <c r="D1643" s="1" t="s">
        <v>2298</v>
      </c>
      <c r="E1643" s="1" t="s">
        <v>2304</v>
      </c>
      <c r="F1643" s="2" t="s">
        <v>6687</v>
      </c>
      <c r="G1643" s="1"/>
      <c r="H1643" s="1" t="s">
        <v>682</v>
      </c>
    </row>
    <row r="1644" spans="1:8" x14ac:dyDescent="0.25">
      <c r="A1644" s="1" t="s">
        <v>4271</v>
      </c>
      <c r="B1644" s="1" t="s">
        <v>542</v>
      </c>
      <c r="C1644" s="1" t="s">
        <v>3975</v>
      </c>
      <c r="D1644" s="1" t="s">
        <v>2298</v>
      </c>
      <c r="E1644" s="1"/>
      <c r="F1644" s="2"/>
      <c r="G1644" s="1"/>
      <c r="H1644" s="1"/>
    </row>
    <row r="1645" spans="1:8" x14ac:dyDescent="0.25">
      <c r="A1645" s="1" t="s">
        <v>3637</v>
      </c>
      <c r="B1645" s="1" t="s">
        <v>424</v>
      </c>
      <c r="C1645" s="1" t="s">
        <v>471</v>
      </c>
      <c r="D1645" s="1" t="s">
        <v>2298</v>
      </c>
      <c r="E1645" s="1" t="s">
        <v>3638</v>
      </c>
      <c r="F1645" s="2" t="s">
        <v>6688</v>
      </c>
      <c r="G1645" s="1" t="s">
        <v>406</v>
      </c>
      <c r="H1645" s="1" t="s">
        <v>407</v>
      </c>
    </row>
    <row r="1646" spans="1:8" x14ac:dyDescent="0.25">
      <c r="A1646" s="1" t="s">
        <v>3637</v>
      </c>
      <c r="B1646" s="1" t="s">
        <v>424</v>
      </c>
      <c r="C1646" s="1" t="s">
        <v>471</v>
      </c>
      <c r="D1646" s="1" t="s">
        <v>2298</v>
      </c>
      <c r="E1646" s="1" t="s">
        <v>172</v>
      </c>
      <c r="F1646" s="2" t="s">
        <v>6689</v>
      </c>
      <c r="G1646" s="1" t="s">
        <v>442</v>
      </c>
      <c r="H1646" s="1" t="s">
        <v>3641</v>
      </c>
    </row>
    <row r="1647" spans="1:8" x14ac:dyDescent="0.25">
      <c r="A1647" s="1" t="s">
        <v>3637</v>
      </c>
      <c r="B1647" s="1" t="s">
        <v>424</v>
      </c>
      <c r="C1647" s="1" t="s">
        <v>471</v>
      </c>
      <c r="D1647" s="1" t="s">
        <v>2298</v>
      </c>
      <c r="E1647" s="1" t="s">
        <v>3642</v>
      </c>
      <c r="F1647" s="2" t="s">
        <v>6690</v>
      </c>
      <c r="G1647" s="1"/>
      <c r="H1647" s="1" t="s">
        <v>63</v>
      </c>
    </row>
    <row r="1648" spans="1:8" x14ac:dyDescent="0.25">
      <c r="A1648" s="1" t="s">
        <v>3637</v>
      </c>
      <c r="B1648" s="1" t="s">
        <v>424</v>
      </c>
      <c r="C1648" s="1" t="s">
        <v>471</v>
      </c>
      <c r="D1648" s="1" t="s">
        <v>2298</v>
      </c>
      <c r="E1648" s="1" t="s">
        <v>3644</v>
      </c>
      <c r="F1648" s="2" t="s">
        <v>6691</v>
      </c>
      <c r="G1648" s="1"/>
      <c r="H1648" s="1" t="s">
        <v>3645</v>
      </c>
    </row>
    <row r="1649" spans="1:8" x14ac:dyDescent="0.25">
      <c r="A1649" s="1" t="s">
        <v>3637</v>
      </c>
      <c r="B1649" s="1" t="s">
        <v>424</v>
      </c>
      <c r="C1649" s="1" t="s">
        <v>471</v>
      </c>
      <c r="D1649" s="1" t="s">
        <v>2298</v>
      </c>
      <c r="E1649" s="1" t="s">
        <v>3650</v>
      </c>
      <c r="F1649" s="2" t="s">
        <v>6692</v>
      </c>
      <c r="G1649" s="1"/>
      <c r="H1649" s="1" t="s">
        <v>3645</v>
      </c>
    </row>
    <row r="1650" spans="1:8" x14ac:dyDescent="0.25">
      <c r="A1650" s="1" t="s">
        <v>3637</v>
      </c>
      <c r="B1650" s="1" t="s">
        <v>424</v>
      </c>
      <c r="C1650" s="1" t="s">
        <v>471</v>
      </c>
      <c r="D1650" s="1" t="s">
        <v>2298</v>
      </c>
      <c r="E1650" s="1" t="s">
        <v>3648</v>
      </c>
      <c r="F1650" s="2" t="s">
        <v>6693</v>
      </c>
      <c r="G1650" s="1"/>
      <c r="H1650" s="1" t="s">
        <v>3645</v>
      </c>
    </row>
    <row r="1651" spans="1:8" x14ac:dyDescent="0.25">
      <c r="A1651" s="1" t="s">
        <v>3637</v>
      </c>
      <c r="B1651" s="1" t="s">
        <v>424</v>
      </c>
      <c r="C1651" s="1" t="s">
        <v>471</v>
      </c>
      <c r="D1651" s="1" t="s">
        <v>2298</v>
      </c>
      <c r="E1651" s="1" t="s">
        <v>3646</v>
      </c>
      <c r="F1651" s="2" t="s">
        <v>6694</v>
      </c>
      <c r="G1651" s="1"/>
      <c r="H1651" s="1" t="s">
        <v>3645</v>
      </c>
    </row>
    <row r="1652" spans="1:8" x14ac:dyDescent="0.25">
      <c r="A1652" s="1" t="s">
        <v>3637</v>
      </c>
      <c r="B1652" s="1" t="s">
        <v>424</v>
      </c>
      <c r="C1652" s="1" t="s">
        <v>471</v>
      </c>
      <c r="D1652" s="1" t="s">
        <v>2298</v>
      </c>
      <c r="E1652" s="1" t="s">
        <v>3652</v>
      </c>
      <c r="F1652" s="2" t="s">
        <v>6695</v>
      </c>
      <c r="G1652" s="1"/>
      <c r="H1652" s="1" t="s">
        <v>3645</v>
      </c>
    </row>
    <row r="1653" spans="1:8" x14ac:dyDescent="0.25">
      <c r="A1653" s="1" t="s">
        <v>3637</v>
      </c>
      <c r="B1653" s="1" t="s">
        <v>424</v>
      </c>
      <c r="C1653" s="1" t="s">
        <v>471</v>
      </c>
      <c r="D1653" s="1" t="s">
        <v>2298</v>
      </c>
      <c r="E1653" s="1" t="s">
        <v>103</v>
      </c>
      <c r="F1653" s="2" t="s">
        <v>6696</v>
      </c>
      <c r="G1653" s="1" t="s">
        <v>406</v>
      </c>
      <c r="H1653" s="1" t="s">
        <v>3655</v>
      </c>
    </row>
    <row r="1654" spans="1:8" x14ac:dyDescent="0.25">
      <c r="A1654" s="1" t="s">
        <v>3637</v>
      </c>
      <c r="B1654" s="1" t="s">
        <v>424</v>
      </c>
      <c r="C1654" s="1" t="s">
        <v>471</v>
      </c>
      <c r="D1654" s="1" t="s">
        <v>2298</v>
      </c>
      <c r="E1654" s="1" t="s">
        <v>111</v>
      </c>
      <c r="F1654" s="2" t="s">
        <v>6697</v>
      </c>
      <c r="G1654" s="1" t="s">
        <v>406</v>
      </c>
      <c r="H1654" s="1" t="s">
        <v>3655</v>
      </c>
    </row>
  </sheetData>
  <sortState xmlns:xlrd2="http://schemas.microsoft.com/office/spreadsheetml/2017/richdata2" ref="A2:H1505">
    <sortCondition ref="D2:D1505"/>
    <sortCondition ref="A2:A1505"/>
  </sortState>
  <pageMargins left="0.75" right="0.75" top="1" bottom="1" header="0.5" footer="0.5"/>
  <pageSetup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201"/>
  <sheetViews>
    <sheetView topLeftCell="A196" workbookViewId="0"/>
  </sheetViews>
  <sheetFormatPr defaultRowHeight="15" x14ac:dyDescent="0.25"/>
  <cols>
    <col min="1" max="1" width="41" bestFit="1" customWidth="1"/>
    <col min="2" max="2" width="34.7109375" bestFit="1" customWidth="1"/>
    <col min="3" max="3" width="10.7109375" bestFit="1" customWidth="1"/>
    <col min="4" max="4" width="21.5703125" bestFit="1" customWidth="1"/>
    <col min="5" max="6" width="18.28515625" customWidth="1"/>
    <col min="7" max="7" width="14.140625" bestFit="1" customWidth="1"/>
    <col min="8" max="8" width="13.5703125" bestFit="1" customWidth="1"/>
    <col min="9" max="9" width="14.140625" bestFit="1" customWidth="1"/>
    <col min="10" max="10" width="18.28515625" customWidth="1"/>
  </cols>
  <sheetData>
    <row r="1" spans="1:10" ht="30" x14ac:dyDescent="0.25">
      <c r="A1" s="5" t="s">
        <v>389</v>
      </c>
      <c r="B1" s="5" t="s">
        <v>390</v>
      </c>
      <c r="C1" s="5" t="s">
        <v>391</v>
      </c>
      <c r="D1" s="5" t="s">
        <v>392</v>
      </c>
      <c r="E1" s="6" t="s">
        <v>393</v>
      </c>
      <c r="F1" s="6" t="s">
        <v>394</v>
      </c>
      <c r="G1" s="6" t="s">
        <v>395</v>
      </c>
      <c r="H1" s="5" t="s">
        <v>396</v>
      </c>
      <c r="I1" s="5" t="s">
        <v>397</v>
      </c>
      <c r="J1" s="6" t="s">
        <v>398</v>
      </c>
    </row>
    <row r="2" spans="1:10" ht="30" x14ac:dyDescent="0.25">
      <c r="A2" s="1" t="s">
        <v>126</v>
      </c>
      <c r="B2" s="1" t="s">
        <v>399</v>
      </c>
      <c r="C2" s="1" t="s">
        <v>400</v>
      </c>
      <c r="D2" s="1" t="s">
        <v>401</v>
      </c>
      <c r="E2" s="3" t="s">
        <v>402</v>
      </c>
      <c r="F2" s="3" t="s">
        <v>403</v>
      </c>
      <c r="G2" s="3" t="s">
        <v>404</v>
      </c>
      <c r="H2" s="2" t="s">
        <v>405</v>
      </c>
      <c r="I2" s="1" t="s">
        <v>406</v>
      </c>
      <c r="J2" s="3" t="s">
        <v>407</v>
      </c>
    </row>
    <row r="3" spans="1:10" x14ac:dyDescent="0.25">
      <c r="A3" s="1" t="s">
        <v>408</v>
      </c>
      <c r="B3" s="1" t="s">
        <v>409</v>
      </c>
      <c r="C3" s="1" t="s">
        <v>410</v>
      </c>
      <c r="D3" s="1" t="s">
        <v>411</v>
      </c>
      <c r="E3" s="3" t="s">
        <v>402</v>
      </c>
      <c r="F3" s="3" t="s">
        <v>403</v>
      </c>
      <c r="G3" s="3" t="s">
        <v>404</v>
      </c>
      <c r="H3" s="2" t="s">
        <v>412</v>
      </c>
      <c r="I3" s="1" t="s">
        <v>413</v>
      </c>
      <c r="J3" s="3" t="s">
        <v>157</v>
      </c>
    </row>
    <row r="4" spans="1:10" ht="60" x14ac:dyDescent="0.25">
      <c r="A4" s="1" t="s">
        <v>2</v>
      </c>
      <c r="B4" s="1" t="s">
        <v>414</v>
      </c>
      <c r="C4" s="1" t="s">
        <v>415</v>
      </c>
      <c r="D4" s="1" t="s">
        <v>416</v>
      </c>
      <c r="E4" s="3" t="s">
        <v>0</v>
      </c>
      <c r="F4" s="3" t="s">
        <v>417</v>
      </c>
      <c r="G4" s="3" t="s">
        <v>404</v>
      </c>
      <c r="H4" s="2" t="s">
        <v>3</v>
      </c>
      <c r="I4" s="1"/>
      <c r="J4" s="3" t="s">
        <v>1</v>
      </c>
    </row>
    <row r="5" spans="1:10" ht="60" x14ac:dyDescent="0.25">
      <c r="A5" s="1" t="s">
        <v>4</v>
      </c>
      <c r="B5" s="1" t="s">
        <v>418</v>
      </c>
      <c r="C5" s="1" t="s">
        <v>419</v>
      </c>
      <c r="D5" s="1" t="s">
        <v>420</v>
      </c>
      <c r="E5" s="3" t="s">
        <v>0</v>
      </c>
      <c r="F5" s="3" t="s">
        <v>417</v>
      </c>
      <c r="G5" s="3" t="s">
        <v>404</v>
      </c>
      <c r="H5" s="2" t="s">
        <v>5</v>
      </c>
      <c r="I5" s="1"/>
      <c r="J5" s="3" t="s">
        <v>1</v>
      </c>
    </row>
    <row r="6" spans="1:10" ht="45" x14ac:dyDescent="0.25">
      <c r="A6" s="1" t="s">
        <v>8</v>
      </c>
      <c r="B6" s="1" t="s">
        <v>421</v>
      </c>
      <c r="C6" s="1" t="s">
        <v>422</v>
      </c>
      <c r="D6" s="1" t="s">
        <v>423</v>
      </c>
      <c r="E6" s="3" t="s">
        <v>6</v>
      </c>
      <c r="F6" s="3" t="s">
        <v>417</v>
      </c>
      <c r="G6" s="3" t="s">
        <v>404</v>
      </c>
      <c r="H6" s="2" t="s">
        <v>9</v>
      </c>
      <c r="I6" s="1"/>
      <c r="J6" s="3" t="s">
        <v>7</v>
      </c>
    </row>
    <row r="7" spans="1:10" ht="45" x14ac:dyDescent="0.25">
      <c r="A7" s="1" t="s">
        <v>10</v>
      </c>
      <c r="B7" s="1" t="s">
        <v>424</v>
      </c>
      <c r="C7" s="1" t="s">
        <v>425</v>
      </c>
      <c r="D7" s="1" t="s">
        <v>426</v>
      </c>
      <c r="E7" s="3" t="s">
        <v>6</v>
      </c>
      <c r="F7" s="3" t="s">
        <v>417</v>
      </c>
      <c r="G7" s="3" t="s">
        <v>404</v>
      </c>
      <c r="H7" s="2" t="s">
        <v>11</v>
      </c>
      <c r="I7" s="1"/>
      <c r="J7" s="3" t="s">
        <v>7</v>
      </c>
    </row>
    <row r="8" spans="1:10" ht="75" x14ac:dyDescent="0.25">
      <c r="A8" s="1" t="s">
        <v>22</v>
      </c>
      <c r="B8" s="1" t="s">
        <v>424</v>
      </c>
      <c r="C8" s="1" t="s">
        <v>427</v>
      </c>
      <c r="D8" s="1" t="s">
        <v>428</v>
      </c>
      <c r="E8" s="3" t="s">
        <v>12</v>
      </c>
      <c r="F8" s="3" t="s">
        <v>417</v>
      </c>
      <c r="G8" s="3" t="s">
        <v>404</v>
      </c>
      <c r="H8" s="2" t="s">
        <v>23</v>
      </c>
      <c r="I8" s="1" t="s">
        <v>413</v>
      </c>
      <c r="J8" s="3" t="s">
        <v>21</v>
      </c>
    </row>
    <row r="9" spans="1:10" ht="75" x14ac:dyDescent="0.25">
      <c r="A9" s="1" t="s">
        <v>16</v>
      </c>
      <c r="B9" s="1" t="s">
        <v>424</v>
      </c>
      <c r="C9" s="1" t="s">
        <v>429</v>
      </c>
      <c r="D9" s="1" t="s">
        <v>430</v>
      </c>
      <c r="E9" s="3" t="s">
        <v>12</v>
      </c>
      <c r="F9" s="3" t="s">
        <v>417</v>
      </c>
      <c r="G9" s="3" t="s">
        <v>404</v>
      </c>
      <c r="H9" s="2" t="s">
        <v>17</v>
      </c>
      <c r="I9" s="1" t="s">
        <v>413</v>
      </c>
      <c r="J9" s="3" t="s">
        <v>15</v>
      </c>
    </row>
    <row r="10" spans="1:10" ht="75" x14ac:dyDescent="0.25">
      <c r="A10" s="1" t="s">
        <v>24</v>
      </c>
      <c r="B10" s="1" t="s">
        <v>431</v>
      </c>
      <c r="C10" s="1" t="s">
        <v>432</v>
      </c>
      <c r="D10" s="1" t="s">
        <v>433</v>
      </c>
      <c r="E10" s="3" t="s">
        <v>12</v>
      </c>
      <c r="F10" s="3" t="s">
        <v>417</v>
      </c>
      <c r="G10" s="3" t="s">
        <v>404</v>
      </c>
      <c r="H10" s="2" t="s">
        <v>25</v>
      </c>
      <c r="I10" s="1"/>
      <c r="J10" s="3" t="s">
        <v>7</v>
      </c>
    </row>
    <row r="11" spans="1:10" ht="75" x14ac:dyDescent="0.25">
      <c r="A11" s="1" t="s">
        <v>19</v>
      </c>
      <c r="B11" s="1" t="s">
        <v>434</v>
      </c>
      <c r="C11" s="1" t="s">
        <v>435</v>
      </c>
      <c r="D11" s="1" t="s">
        <v>436</v>
      </c>
      <c r="E11" s="3" t="s">
        <v>12</v>
      </c>
      <c r="F11" s="3" t="s">
        <v>417</v>
      </c>
      <c r="G11" s="3" t="s">
        <v>404</v>
      </c>
      <c r="H11" s="2" t="s">
        <v>20</v>
      </c>
      <c r="I11" s="1" t="s">
        <v>413</v>
      </c>
      <c r="J11" s="3" t="s">
        <v>18</v>
      </c>
    </row>
    <row r="12" spans="1:10" ht="75" x14ac:dyDescent="0.25">
      <c r="A12" s="1" t="s">
        <v>13</v>
      </c>
      <c r="B12" s="1" t="s">
        <v>437</v>
      </c>
      <c r="C12" s="1" t="s">
        <v>438</v>
      </c>
      <c r="D12" s="1" t="s">
        <v>439</v>
      </c>
      <c r="E12" s="3" t="s">
        <v>12</v>
      </c>
      <c r="F12" s="3" t="s">
        <v>417</v>
      </c>
      <c r="G12" s="3" t="s">
        <v>404</v>
      </c>
      <c r="H12" s="2" t="s">
        <v>14</v>
      </c>
      <c r="I12" s="1" t="s">
        <v>406</v>
      </c>
      <c r="J12" s="3" t="s">
        <v>1</v>
      </c>
    </row>
    <row r="13" spans="1:10" ht="45" x14ac:dyDescent="0.25">
      <c r="A13" s="1" t="s">
        <v>28</v>
      </c>
      <c r="B13" s="1" t="s">
        <v>431</v>
      </c>
      <c r="C13" s="1" t="s">
        <v>440</v>
      </c>
      <c r="D13" s="1" t="s">
        <v>441</v>
      </c>
      <c r="E13" s="3" t="s">
        <v>26</v>
      </c>
      <c r="F13" s="3" t="s">
        <v>417</v>
      </c>
      <c r="G13" s="3" t="s">
        <v>404</v>
      </c>
      <c r="H13" s="2" t="s">
        <v>29</v>
      </c>
      <c r="I13" s="1" t="s">
        <v>442</v>
      </c>
      <c r="J13" s="3" t="s">
        <v>27</v>
      </c>
    </row>
    <row r="14" spans="1:10" ht="45" x14ac:dyDescent="0.25">
      <c r="A14" s="1" t="s">
        <v>30</v>
      </c>
      <c r="B14" s="1" t="s">
        <v>443</v>
      </c>
      <c r="C14" s="1" t="s">
        <v>444</v>
      </c>
      <c r="D14" s="1" t="s">
        <v>445</v>
      </c>
      <c r="E14" s="3" t="s">
        <v>26</v>
      </c>
      <c r="F14" s="3" t="s">
        <v>417</v>
      </c>
      <c r="G14" s="3" t="s">
        <v>404</v>
      </c>
      <c r="H14" s="2" t="s">
        <v>31</v>
      </c>
      <c r="I14" s="1" t="s">
        <v>406</v>
      </c>
      <c r="J14" s="3" t="s">
        <v>27</v>
      </c>
    </row>
    <row r="15" spans="1:10" ht="45" x14ac:dyDescent="0.25">
      <c r="A15" s="1" t="s">
        <v>13</v>
      </c>
      <c r="B15" s="1" t="s">
        <v>437</v>
      </c>
      <c r="C15" s="1" t="s">
        <v>438</v>
      </c>
      <c r="D15" s="1" t="s">
        <v>439</v>
      </c>
      <c r="E15" s="3" t="s">
        <v>32</v>
      </c>
      <c r="F15" s="3" t="s">
        <v>417</v>
      </c>
      <c r="G15" s="3" t="s">
        <v>404</v>
      </c>
      <c r="H15" s="2" t="s">
        <v>33</v>
      </c>
      <c r="I15" s="1" t="s">
        <v>406</v>
      </c>
      <c r="J15" s="3" t="s">
        <v>1</v>
      </c>
    </row>
    <row r="16" spans="1:10" ht="45" x14ac:dyDescent="0.25">
      <c r="A16" s="1" t="s">
        <v>35</v>
      </c>
      <c r="B16" s="1" t="s">
        <v>446</v>
      </c>
      <c r="C16" s="1" t="s">
        <v>447</v>
      </c>
      <c r="D16" s="1" t="s">
        <v>416</v>
      </c>
      <c r="E16" s="3" t="s">
        <v>32</v>
      </c>
      <c r="F16" s="3" t="s">
        <v>417</v>
      </c>
      <c r="G16" s="3" t="s">
        <v>404</v>
      </c>
      <c r="H16" s="2" t="s">
        <v>36</v>
      </c>
      <c r="I16" s="1" t="s">
        <v>406</v>
      </c>
      <c r="J16" s="3" t="s">
        <v>34</v>
      </c>
    </row>
    <row r="17" spans="1:10" ht="45" x14ac:dyDescent="0.25">
      <c r="A17" s="1" t="s">
        <v>37</v>
      </c>
      <c r="B17" s="1" t="s">
        <v>418</v>
      </c>
      <c r="C17" s="1" t="s">
        <v>448</v>
      </c>
      <c r="D17" s="1" t="s">
        <v>449</v>
      </c>
      <c r="E17" s="3" t="s">
        <v>32</v>
      </c>
      <c r="F17" s="3" t="s">
        <v>417</v>
      </c>
      <c r="G17" s="3" t="s">
        <v>404</v>
      </c>
      <c r="H17" s="2" t="s">
        <v>38</v>
      </c>
      <c r="I17" s="1" t="s">
        <v>413</v>
      </c>
      <c r="J17" s="3" t="s">
        <v>27</v>
      </c>
    </row>
    <row r="18" spans="1:10" ht="90" x14ac:dyDescent="0.25">
      <c r="A18" s="1" t="s">
        <v>2</v>
      </c>
      <c r="B18" s="1" t="s">
        <v>414</v>
      </c>
      <c r="C18" s="1" t="s">
        <v>415</v>
      </c>
      <c r="D18" s="8">
        <v>42731</v>
      </c>
      <c r="E18" s="3" t="s">
        <v>39</v>
      </c>
      <c r="F18" s="3" t="s">
        <v>417</v>
      </c>
      <c r="G18" s="3" t="s">
        <v>404</v>
      </c>
      <c r="H18" s="2" t="s">
        <v>47</v>
      </c>
      <c r="I18" s="1"/>
      <c r="J18" s="3" t="s">
        <v>46</v>
      </c>
    </row>
    <row r="19" spans="1:10" ht="30" x14ac:dyDescent="0.25">
      <c r="A19" s="1" t="s">
        <v>49</v>
      </c>
      <c r="B19" s="1" t="s">
        <v>450</v>
      </c>
      <c r="C19" s="1" t="s">
        <v>451</v>
      </c>
      <c r="D19" s="1" t="s">
        <v>452</v>
      </c>
      <c r="E19" s="3" t="s">
        <v>39</v>
      </c>
      <c r="F19" s="3" t="s">
        <v>417</v>
      </c>
      <c r="G19" s="3" t="s">
        <v>404</v>
      </c>
      <c r="H19" s="2" t="s">
        <v>50</v>
      </c>
      <c r="I19" s="1" t="s">
        <v>406</v>
      </c>
      <c r="J19" s="3" t="s">
        <v>48</v>
      </c>
    </row>
    <row r="20" spans="1:10" ht="45" x14ac:dyDescent="0.25">
      <c r="A20" s="1" t="s">
        <v>40</v>
      </c>
      <c r="B20" s="1" t="s">
        <v>418</v>
      </c>
      <c r="C20" s="1" t="s">
        <v>453</v>
      </c>
      <c r="D20" s="1" t="s">
        <v>454</v>
      </c>
      <c r="E20" s="3" t="s">
        <v>39</v>
      </c>
      <c r="F20" s="3" t="s">
        <v>417</v>
      </c>
      <c r="G20" s="3" t="s">
        <v>404</v>
      </c>
      <c r="H20" s="2" t="s">
        <v>41</v>
      </c>
      <c r="I20" s="1" t="s">
        <v>406</v>
      </c>
      <c r="J20" s="3" t="s">
        <v>1</v>
      </c>
    </row>
    <row r="21" spans="1:10" ht="45" x14ac:dyDescent="0.25">
      <c r="A21" s="1" t="s">
        <v>51</v>
      </c>
      <c r="B21" s="1" t="s">
        <v>418</v>
      </c>
      <c r="C21" s="1" t="s">
        <v>455</v>
      </c>
      <c r="D21" s="1" t="s">
        <v>456</v>
      </c>
      <c r="E21" s="3" t="s">
        <v>39</v>
      </c>
      <c r="F21" s="3" t="s">
        <v>417</v>
      </c>
      <c r="G21" s="3" t="s">
        <v>404</v>
      </c>
      <c r="H21" s="2" t="s">
        <v>52</v>
      </c>
      <c r="I21" s="1" t="s">
        <v>442</v>
      </c>
      <c r="J21" s="3" t="s">
        <v>27</v>
      </c>
    </row>
    <row r="22" spans="1:10" ht="30" x14ac:dyDescent="0.25">
      <c r="A22" s="1" t="s">
        <v>57</v>
      </c>
      <c r="B22" s="1" t="s">
        <v>457</v>
      </c>
      <c r="C22" s="1" t="s">
        <v>458</v>
      </c>
      <c r="D22" s="1" t="s">
        <v>459</v>
      </c>
      <c r="E22" s="3" t="s">
        <v>39</v>
      </c>
      <c r="F22" s="3" t="s">
        <v>417</v>
      </c>
      <c r="G22" s="3" t="s">
        <v>404</v>
      </c>
      <c r="H22" s="2" t="s">
        <v>58</v>
      </c>
      <c r="I22" s="1" t="s">
        <v>406</v>
      </c>
      <c r="J22" s="3" t="s">
        <v>56</v>
      </c>
    </row>
    <row r="23" spans="1:10" ht="60" x14ac:dyDescent="0.25">
      <c r="A23" s="1" t="s">
        <v>54</v>
      </c>
      <c r="B23" s="1" t="s">
        <v>460</v>
      </c>
      <c r="C23" s="1" t="s">
        <v>461</v>
      </c>
      <c r="D23" s="1" t="s">
        <v>462</v>
      </c>
      <c r="E23" s="3" t="s">
        <v>39</v>
      </c>
      <c r="F23" s="3" t="s">
        <v>417</v>
      </c>
      <c r="G23" s="3" t="s">
        <v>404</v>
      </c>
      <c r="H23" s="2" t="s">
        <v>55</v>
      </c>
      <c r="I23" s="1" t="s">
        <v>406</v>
      </c>
      <c r="J23" s="3" t="s">
        <v>53</v>
      </c>
    </row>
    <row r="24" spans="1:10" ht="45" x14ac:dyDescent="0.25">
      <c r="A24" s="1" t="s">
        <v>42</v>
      </c>
      <c r="B24" s="1" t="s">
        <v>457</v>
      </c>
      <c r="C24" s="1" t="s">
        <v>463</v>
      </c>
      <c r="D24" s="1" t="s">
        <v>464</v>
      </c>
      <c r="E24" s="3" t="s">
        <v>39</v>
      </c>
      <c r="F24" s="3" t="s">
        <v>417</v>
      </c>
      <c r="G24" s="3" t="s">
        <v>404</v>
      </c>
      <c r="H24" s="2" t="s">
        <v>43</v>
      </c>
      <c r="I24" s="1"/>
      <c r="J24" s="3" t="s">
        <v>1</v>
      </c>
    </row>
    <row r="25" spans="1:10" ht="45" x14ac:dyDescent="0.25">
      <c r="A25" s="1" t="s">
        <v>44</v>
      </c>
      <c r="B25" s="1" t="s">
        <v>465</v>
      </c>
      <c r="C25" s="1" t="s">
        <v>466</v>
      </c>
      <c r="D25" s="1" t="s">
        <v>467</v>
      </c>
      <c r="E25" s="3" t="s">
        <v>39</v>
      </c>
      <c r="F25" s="3" t="s">
        <v>417</v>
      </c>
      <c r="G25" s="3" t="s">
        <v>404</v>
      </c>
      <c r="H25" s="2" t="s">
        <v>45</v>
      </c>
      <c r="I25" s="1" t="s">
        <v>442</v>
      </c>
      <c r="J25" s="3" t="s">
        <v>1</v>
      </c>
    </row>
    <row r="26" spans="1:10" ht="30" x14ac:dyDescent="0.25">
      <c r="A26" s="1" t="s">
        <v>61</v>
      </c>
      <c r="B26" s="1" t="s">
        <v>457</v>
      </c>
      <c r="C26" s="1" t="s">
        <v>468</v>
      </c>
      <c r="D26" s="1" t="s">
        <v>469</v>
      </c>
      <c r="E26" s="3" t="s">
        <v>59</v>
      </c>
      <c r="F26" s="3" t="s">
        <v>417</v>
      </c>
      <c r="G26" s="3" t="s">
        <v>404</v>
      </c>
      <c r="H26" s="2" t="s">
        <v>62</v>
      </c>
      <c r="I26" s="1" t="s">
        <v>442</v>
      </c>
      <c r="J26" s="3" t="s">
        <v>60</v>
      </c>
    </row>
    <row r="27" spans="1:10" ht="30" x14ac:dyDescent="0.25">
      <c r="A27" s="1" t="s">
        <v>61</v>
      </c>
      <c r="B27" s="1" t="s">
        <v>457</v>
      </c>
      <c r="C27" s="1" t="s">
        <v>468</v>
      </c>
      <c r="D27" s="1" t="s">
        <v>469</v>
      </c>
      <c r="E27" s="3" t="s">
        <v>59</v>
      </c>
      <c r="F27" s="3" t="s">
        <v>417</v>
      </c>
      <c r="G27" s="3" t="s">
        <v>404</v>
      </c>
      <c r="H27" s="2" t="s">
        <v>64</v>
      </c>
      <c r="I27" s="1"/>
      <c r="J27" s="3" t="s">
        <v>63</v>
      </c>
    </row>
    <row r="28" spans="1:10" ht="60" x14ac:dyDescent="0.25">
      <c r="A28" s="1" t="s">
        <v>66</v>
      </c>
      <c r="B28" s="1" t="s">
        <v>446</v>
      </c>
      <c r="C28" s="1" t="s">
        <v>470</v>
      </c>
      <c r="D28" s="1" t="s">
        <v>471</v>
      </c>
      <c r="E28" s="3" t="s">
        <v>65</v>
      </c>
      <c r="F28" s="3" t="s">
        <v>417</v>
      </c>
      <c r="G28" s="3" t="s">
        <v>404</v>
      </c>
      <c r="H28" s="2" t="s">
        <v>67</v>
      </c>
      <c r="I28" s="1" t="s">
        <v>406</v>
      </c>
      <c r="J28" s="3" t="s">
        <v>34</v>
      </c>
    </row>
    <row r="29" spans="1:10" ht="60" x14ac:dyDescent="0.25">
      <c r="A29" s="1" t="s">
        <v>13</v>
      </c>
      <c r="B29" s="1" t="s">
        <v>437</v>
      </c>
      <c r="C29" s="1" t="s">
        <v>438</v>
      </c>
      <c r="D29" s="1" t="s">
        <v>439</v>
      </c>
      <c r="E29" s="3" t="s">
        <v>65</v>
      </c>
      <c r="F29" s="3" t="s">
        <v>417</v>
      </c>
      <c r="G29" s="3" t="s">
        <v>404</v>
      </c>
      <c r="H29" s="2" t="s">
        <v>68</v>
      </c>
      <c r="I29" s="1" t="s">
        <v>406</v>
      </c>
      <c r="J29" s="3" t="s">
        <v>56</v>
      </c>
    </row>
    <row r="30" spans="1:10" ht="30" x14ac:dyDescent="0.25">
      <c r="A30" s="1" t="s">
        <v>40</v>
      </c>
      <c r="B30" s="1" t="s">
        <v>418</v>
      </c>
      <c r="C30" s="1" t="s">
        <v>453</v>
      </c>
      <c r="D30" s="1" t="s">
        <v>454</v>
      </c>
      <c r="E30" s="3" t="s">
        <v>69</v>
      </c>
      <c r="F30" s="3" t="s">
        <v>417</v>
      </c>
      <c r="G30" s="3" t="s">
        <v>404</v>
      </c>
      <c r="H30" s="2" t="s">
        <v>80</v>
      </c>
      <c r="I30" s="1"/>
      <c r="J30" s="3" t="s">
        <v>79</v>
      </c>
    </row>
    <row r="31" spans="1:10" ht="30" x14ac:dyDescent="0.25">
      <c r="A31" s="1" t="s">
        <v>74</v>
      </c>
      <c r="B31" s="1" t="s">
        <v>457</v>
      </c>
      <c r="C31" s="1" t="s">
        <v>472</v>
      </c>
      <c r="D31" s="1" t="s">
        <v>473</v>
      </c>
      <c r="E31" s="3" t="s">
        <v>69</v>
      </c>
      <c r="F31" s="3" t="s">
        <v>417</v>
      </c>
      <c r="G31" s="3" t="s">
        <v>404</v>
      </c>
      <c r="H31" s="2" t="s">
        <v>75</v>
      </c>
      <c r="I31" s="1"/>
      <c r="J31" s="3" t="s">
        <v>73</v>
      </c>
    </row>
    <row r="32" spans="1:10" ht="60" x14ac:dyDescent="0.25">
      <c r="A32" s="1" t="s">
        <v>71</v>
      </c>
      <c r="B32" s="1" t="s">
        <v>424</v>
      </c>
      <c r="C32" s="1" t="s">
        <v>474</v>
      </c>
      <c r="D32" s="1" t="s">
        <v>475</v>
      </c>
      <c r="E32" s="3" t="s">
        <v>69</v>
      </c>
      <c r="F32" s="3" t="s">
        <v>417</v>
      </c>
      <c r="G32" s="3" t="s">
        <v>404</v>
      </c>
      <c r="H32" s="2" t="s">
        <v>72</v>
      </c>
      <c r="I32" s="1" t="s">
        <v>442</v>
      </c>
      <c r="J32" s="3" t="s">
        <v>70</v>
      </c>
    </row>
    <row r="33" spans="1:10" ht="30" x14ac:dyDescent="0.25">
      <c r="A33" s="1" t="s">
        <v>35</v>
      </c>
      <c r="B33" s="1" t="s">
        <v>446</v>
      </c>
      <c r="C33" s="1" t="s">
        <v>447</v>
      </c>
      <c r="D33" s="1" t="s">
        <v>416</v>
      </c>
      <c r="E33" s="3" t="s">
        <v>69</v>
      </c>
      <c r="F33" s="3" t="s">
        <v>417</v>
      </c>
      <c r="G33" s="3" t="s">
        <v>404</v>
      </c>
      <c r="H33" s="2" t="s">
        <v>76</v>
      </c>
      <c r="I33" s="1" t="s">
        <v>476</v>
      </c>
      <c r="J33" s="3" t="s">
        <v>73</v>
      </c>
    </row>
    <row r="34" spans="1:10" ht="30" x14ac:dyDescent="0.25">
      <c r="A34" s="1" t="s">
        <v>77</v>
      </c>
      <c r="B34" s="1" t="s">
        <v>424</v>
      </c>
      <c r="C34" s="1" t="s">
        <v>477</v>
      </c>
      <c r="D34" s="1" t="s">
        <v>478</v>
      </c>
      <c r="E34" s="3" t="s">
        <v>69</v>
      </c>
      <c r="F34" s="3" t="s">
        <v>417</v>
      </c>
      <c r="G34" s="3" t="s">
        <v>404</v>
      </c>
      <c r="H34" s="2" t="s">
        <v>78</v>
      </c>
      <c r="I34" s="1" t="s">
        <v>406</v>
      </c>
      <c r="J34" s="3" t="s">
        <v>56</v>
      </c>
    </row>
    <row r="35" spans="1:10" ht="45" x14ac:dyDescent="0.25">
      <c r="A35" s="1" t="s">
        <v>51</v>
      </c>
      <c r="B35" s="1" t="s">
        <v>418</v>
      </c>
      <c r="C35" s="1" t="s">
        <v>455</v>
      </c>
      <c r="D35" s="1" t="s">
        <v>456</v>
      </c>
      <c r="E35" s="3" t="s">
        <v>81</v>
      </c>
      <c r="F35" s="3" t="s">
        <v>417</v>
      </c>
      <c r="G35" s="3" t="s">
        <v>404</v>
      </c>
      <c r="H35" s="2" t="s">
        <v>82</v>
      </c>
      <c r="I35" s="1" t="s">
        <v>476</v>
      </c>
      <c r="J35" s="3" t="s">
        <v>73</v>
      </c>
    </row>
    <row r="36" spans="1:10" ht="45" x14ac:dyDescent="0.25">
      <c r="A36" s="1" t="s">
        <v>83</v>
      </c>
      <c r="B36" s="1" t="s">
        <v>424</v>
      </c>
      <c r="C36" s="1" t="s">
        <v>473</v>
      </c>
      <c r="D36" s="1" t="s">
        <v>479</v>
      </c>
      <c r="E36" s="3" t="s">
        <v>81</v>
      </c>
      <c r="F36" s="3" t="s">
        <v>417</v>
      </c>
      <c r="G36" s="3" t="s">
        <v>404</v>
      </c>
      <c r="H36" s="2" t="s">
        <v>84</v>
      </c>
      <c r="I36" s="1"/>
      <c r="J36" s="3" t="s">
        <v>7</v>
      </c>
    </row>
    <row r="37" spans="1:10" ht="30" x14ac:dyDescent="0.25">
      <c r="A37" s="1" t="s">
        <v>86</v>
      </c>
      <c r="B37" s="1" t="s">
        <v>480</v>
      </c>
      <c r="C37" s="1" t="s">
        <v>481</v>
      </c>
      <c r="D37" s="1" t="s">
        <v>439</v>
      </c>
      <c r="E37" s="3" t="s">
        <v>85</v>
      </c>
      <c r="F37" s="3" t="s">
        <v>417</v>
      </c>
      <c r="G37" s="3" t="s">
        <v>404</v>
      </c>
      <c r="H37" s="2" t="s">
        <v>87</v>
      </c>
      <c r="I37" s="1"/>
      <c r="J37" s="3" t="s">
        <v>79</v>
      </c>
    </row>
    <row r="38" spans="1:10" ht="45" x14ac:dyDescent="0.25">
      <c r="A38" s="1" t="s">
        <v>61</v>
      </c>
      <c r="B38" s="1" t="s">
        <v>457</v>
      </c>
      <c r="C38" s="1" t="s">
        <v>468</v>
      </c>
      <c r="D38" s="1" t="s">
        <v>469</v>
      </c>
      <c r="E38" s="3" t="s">
        <v>85</v>
      </c>
      <c r="F38" s="3" t="s">
        <v>417</v>
      </c>
      <c r="G38" s="3" t="s">
        <v>404</v>
      </c>
      <c r="H38" s="2" t="s">
        <v>88</v>
      </c>
      <c r="I38" s="1"/>
      <c r="J38" s="3" t="s">
        <v>7</v>
      </c>
    </row>
    <row r="39" spans="1:10" ht="60" x14ac:dyDescent="0.25">
      <c r="A39" s="1" t="s">
        <v>90</v>
      </c>
      <c r="B39" s="1" t="s">
        <v>418</v>
      </c>
      <c r="C39" s="1" t="s">
        <v>454</v>
      </c>
      <c r="D39" s="1" t="s">
        <v>482</v>
      </c>
      <c r="E39" s="3" t="s">
        <v>89</v>
      </c>
      <c r="F39" s="3" t="s">
        <v>417</v>
      </c>
      <c r="G39" s="3" t="s">
        <v>404</v>
      </c>
      <c r="H39" s="2" t="s">
        <v>91</v>
      </c>
      <c r="I39" s="1" t="s">
        <v>406</v>
      </c>
      <c r="J39" s="3" t="s">
        <v>56</v>
      </c>
    </row>
    <row r="40" spans="1:10" ht="60" x14ac:dyDescent="0.25">
      <c r="A40" s="1" t="s">
        <v>92</v>
      </c>
      <c r="B40" s="1" t="s">
        <v>465</v>
      </c>
      <c r="C40" s="1" t="s">
        <v>483</v>
      </c>
      <c r="D40" s="1" t="s">
        <v>484</v>
      </c>
      <c r="E40" s="3" t="s">
        <v>89</v>
      </c>
      <c r="F40" s="3" t="s">
        <v>417</v>
      </c>
      <c r="G40" s="3" t="s">
        <v>404</v>
      </c>
      <c r="H40" s="2" t="s">
        <v>93</v>
      </c>
      <c r="I40" s="1" t="s">
        <v>406</v>
      </c>
      <c r="J40" s="3" t="s">
        <v>56</v>
      </c>
    </row>
    <row r="41" spans="1:10" ht="75" x14ac:dyDescent="0.25">
      <c r="A41" s="1" t="s">
        <v>96</v>
      </c>
      <c r="B41" s="1" t="s">
        <v>418</v>
      </c>
      <c r="C41" s="1" t="s">
        <v>485</v>
      </c>
      <c r="D41" s="1" t="s">
        <v>486</v>
      </c>
      <c r="E41" s="3" t="s">
        <v>94</v>
      </c>
      <c r="F41" s="3" t="s">
        <v>417</v>
      </c>
      <c r="G41" s="3" t="s">
        <v>404</v>
      </c>
      <c r="H41" s="2" t="s">
        <v>97</v>
      </c>
      <c r="I41" s="1" t="s">
        <v>406</v>
      </c>
      <c r="J41" s="3" t="s">
        <v>95</v>
      </c>
    </row>
    <row r="42" spans="1:10" ht="45" x14ac:dyDescent="0.25">
      <c r="A42" s="1" t="s">
        <v>98</v>
      </c>
      <c r="B42" s="1" t="s">
        <v>418</v>
      </c>
      <c r="C42" s="1" t="s">
        <v>487</v>
      </c>
      <c r="D42" s="1" t="s">
        <v>466</v>
      </c>
      <c r="E42" s="3" t="s">
        <v>94</v>
      </c>
      <c r="F42" s="3" t="s">
        <v>417</v>
      </c>
      <c r="G42" s="3" t="s">
        <v>404</v>
      </c>
      <c r="H42" s="2" t="s">
        <v>99</v>
      </c>
      <c r="I42" s="1"/>
      <c r="J42" s="3" t="s">
        <v>7</v>
      </c>
    </row>
    <row r="43" spans="1:10" ht="60" x14ac:dyDescent="0.25">
      <c r="A43" s="1" t="s">
        <v>101</v>
      </c>
      <c r="B43" s="1" t="s">
        <v>457</v>
      </c>
      <c r="C43" s="1" t="s">
        <v>423</v>
      </c>
      <c r="D43" s="1" t="s">
        <v>488</v>
      </c>
      <c r="E43" s="3" t="s">
        <v>94</v>
      </c>
      <c r="F43" s="3" t="s">
        <v>417</v>
      </c>
      <c r="G43" s="3" t="s">
        <v>404</v>
      </c>
      <c r="H43" s="2" t="s">
        <v>102</v>
      </c>
      <c r="I43" s="1"/>
      <c r="J43" s="3" t="s">
        <v>100</v>
      </c>
    </row>
    <row r="44" spans="1:10" ht="45" x14ac:dyDescent="0.25">
      <c r="A44" s="1" t="s">
        <v>107</v>
      </c>
      <c r="B44" s="1" t="s">
        <v>418</v>
      </c>
      <c r="C44" s="1" t="s">
        <v>489</v>
      </c>
      <c r="D44" s="1" t="s">
        <v>471</v>
      </c>
      <c r="E44" s="3" t="s">
        <v>103</v>
      </c>
      <c r="F44" s="3" t="s">
        <v>417</v>
      </c>
      <c r="G44" s="3" t="s">
        <v>404</v>
      </c>
      <c r="H44" s="2" t="s">
        <v>108</v>
      </c>
      <c r="I44" s="1"/>
      <c r="J44" s="3" t="s">
        <v>7</v>
      </c>
    </row>
    <row r="45" spans="1:10" ht="45" x14ac:dyDescent="0.25">
      <c r="A45" s="1" t="s">
        <v>90</v>
      </c>
      <c r="B45" s="1" t="s">
        <v>418</v>
      </c>
      <c r="C45" s="1" t="s">
        <v>454</v>
      </c>
      <c r="D45" s="1" t="s">
        <v>482</v>
      </c>
      <c r="E45" s="3" t="s">
        <v>103</v>
      </c>
      <c r="F45" s="3" t="s">
        <v>417</v>
      </c>
      <c r="G45" s="3" t="s">
        <v>404</v>
      </c>
      <c r="H45" s="2" t="s">
        <v>110</v>
      </c>
      <c r="I45" s="1" t="s">
        <v>442</v>
      </c>
      <c r="J45" s="3" t="s">
        <v>109</v>
      </c>
    </row>
    <row r="46" spans="1:10" ht="45" x14ac:dyDescent="0.25">
      <c r="A46" s="1" t="s">
        <v>105</v>
      </c>
      <c r="B46" s="1" t="s">
        <v>418</v>
      </c>
      <c r="C46" s="1" t="s">
        <v>490</v>
      </c>
      <c r="D46" s="1" t="s">
        <v>416</v>
      </c>
      <c r="E46" s="3" t="s">
        <v>103</v>
      </c>
      <c r="F46" s="3" t="s">
        <v>417</v>
      </c>
      <c r="G46" s="3" t="s">
        <v>404</v>
      </c>
      <c r="H46" s="2" t="s">
        <v>106</v>
      </c>
      <c r="I46" s="1"/>
      <c r="J46" s="3" t="s">
        <v>104</v>
      </c>
    </row>
    <row r="47" spans="1:10" ht="45" x14ac:dyDescent="0.25">
      <c r="A47" s="1" t="s">
        <v>107</v>
      </c>
      <c r="B47" s="1" t="s">
        <v>418</v>
      </c>
      <c r="C47" s="1" t="s">
        <v>489</v>
      </c>
      <c r="D47" s="1" t="s">
        <v>471</v>
      </c>
      <c r="E47" s="3" t="s">
        <v>111</v>
      </c>
      <c r="F47" s="3" t="s">
        <v>417</v>
      </c>
      <c r="G47" s="3" t="s">
        <v>404</v>
      </c>
      <c r="H47" s="2" t="s">
        <v>112</v>
      </c>
      <c r="I47" s="1"/>
      <c r="J47" s="3" t="s">
        <v>7</v>
      </c>
    </row>
    <row r="48" spans="1:10" ht="45" x14ac:dyDescent="0.25">
      <c r="A48" s="1" t="s">
        <v>113</v>
      </c>
      <c r="B48" s="1" t="s">
        <v>491</v>
      </c>
      <c r="C48" s="1" t="s">
        <v>492</v>
      </c>
      <c r="D48" s="1" t="s">
        <v>493</v>
      </c>
      <c r="E48" s="3" t="s">
        <v>111</v>
      </c>
      <c r="F48" s="3" t="s">
        <v>417</v>
      </c>
      <c r="G48" s="3" t="s">
        <v>404</v>
      </c>
      <c r="H48" s="2" t="s">
        <v>114</v>
      </c>
      <c r="I48" s="1"/>
      <c r="J48" s="3" t="s">
        <v>7</v>
      </c>
    </row>
    <row r="49" spans="1:10" ht="75" x14ac:dyDescent="0.25">
      <c r="A49" s="1" t="s">
        <v>116</v>
      </c>
      <c r="B49" s="1" t="s">
        <v>418</v>
      </c>
      <c r="C49" s="1" t="s">
        <v>494</v>
      </c>
      <c r="D49" s="1" t="s">
        <v>495</v>
      </c>
      <c r="E49" s="3" t="s">
        <v>115</v>
      </c>
      <c r="F49" s="3" t="s">
        <v>417</v>
      </c>
      <c r="G49" s="3" t="s">
        <v>404</v>
      </c>
      <c r="H49" s="2" t="s">
        <v>117</v>
      </c>
      <c r="I49" s="1"/>
      <c r="J49" s="3" t="s">
        <v>7</v>
      </c>
    </row>
    <row r="50" spans="1:10" ht="45" x14ac:dyDescent="0.25">
      <c r="A50" s="1" t="s">
        <v>49</v>
      </c>
      <c r="B50" s="1" t="s">
        <v>450</v>
      </c>
      <c r="C50" s="1" t="s">
        <v>451</v>
      </c>
      <c r="D50" s="1" t="s">
        <v>452</v>
      </c>
      <c r="E50" s="3" t="s">
        <v>118</v>
      </c>
      <c r="F50" s="3" t="s">
        <v>417</v>
      </c>
      <c r="G50" s="3" t="s">
        <v>404</v>
      </c>
      <c r="H50" s="2" t="s">
        <v>122</v>
      </c>
      <c r="I50" s="1"/>
      <c r="J50" s="3" t="s">
        <v>7</v>
      </c>
    </row>
    <row r="51" spans="1:10" ht="45" x14ac:dyDescent="0.25">
      <c r="A51" s="1" t="s">
        <v>116</v>
      </c>
      <c r="B51" s="1" t="s">
        <v>418</v>
      </c>
      <c r="C51" s="1" t="s">
        <v>494</v>
      </c>
      <c r="D51" s="1" t="s">
        <v>495</v>
      </c>
      <c r="E51" s="3" t="s">
        <v>118</v>
      </c>
      <c r="F51" s="3" t="s">
        <v>417</v>
      </c>
      <c r="G51" s="3" t="s">
        <v>404</v>
      </c>
      <c r="H51" s="2" t="s">
        <v>123</v>
      </c>
      <c r="I51" s="1"/>
      <c r="J51" s="3" t="s">
        <v>7</v>
      </c>
    </row>
    <row r="52" spans="1:10" ht="45" x14ac:dyDescent="0.25">
      <c r="A52" s="1" t="s">
        <v>96</v>
      </c>
      <c r="B52" s="1" t="s">
        <v>418</v>
      </c>
      <c r="C52" s="1" t="s">
        <v>485</v>
      </c>
      <c r="D52" s="1" t="s">
        <v>486</v>
      </c>
      <c r="E52" s="3" t="s">
        <v>118</v>
      </c>
      <c r="F52" s="3" t="s">
        <v>417</v>
      </c>
      <c r="G52" s="3" t="s">
        <v>404</v>
      </c>
      <c r="H52" s="2" t="s">
        <v>124</v>
      </c>
      <c r="I52" s="1" t="s">
        <v>406</v>
      </c>
      <c r="J52" s="3" t="s">
        <v>109</v>
      </c>
    </row>
    <row r="53" spans="1:10" ht="45" x14ac:dyDescent="0.25">
      <c r="A53" s="1" t="s">
        <v>126</v>
      </c>
      <c r="B53" s="1" t="s">
        <v>399</v>
      </c>
      <c r="C53" s="1" t="s">
        <v>400</v>
      </c>
      <c r="D53" s="1" t="s">
        <v>401</v>
      </c>
      <c r="E53" s="3" t="s">
        <v>118</v>
      </c>
      <c r="F53" s="3" t="s">
        <v>417</v>
      </c>
      <c r="G53" s="3" t="s">
        <v>404</v>
      </c>
      <c r="H53" s="2" t="s">
        <v>127</v>
      </c>
      <c r="I53" s="1" t="s">
        <v>406</v>
      </c>
      <c r="J53" s="3" t="s">
        <v>125</v>
      </c>
    </row>
    <row r="54" spans="1:10" ht="60" x14ac:dyDescent="0.25">
      <c r="A54" s="1" t="s">
        <v>120</v>
      </c>
      <c r="B54" s="1" t="s">
        <v>496</v>
      </c>
      <c r="C54" s="1" t="s">
        <v>482</v>
      </c>
      <c r="D54" s="1" t="s">
        <v>466</v>
      </c>
      <c r="E54" s="3" t="s">
        <v>118</v>
      </c>
      <c r="F54" s="3" t="s">
        <v>417</v>
      </c>
      <c r="G54" s="3" t="s">
        <v>404</v>
      </c>
      <c r="H54" s="2" t="s">
        <v>121</v>
      </c>
      <c r="I54" s="1"/>
      <c r="J54" s="3" t="s">
        <v>119</v>
      </c>
    </row>
    <row r="55" spans="1:10" ht="30" x14ac:dyDescent="0.25">
      <c r="A55" s="1" t="s">
        <v>129</v>
      </c>
      <c r="B55" s="1" t="s">
        <v>446</v>
      </c>
      <c r="C55" s="1" t="s">
        <v>497</v>
      </c>
      <c r="D55" s="1" t="s">
        <v>433</v>
      </c>
      <c r="E55" s="3" t="s">
        <v>128</v>
      </c>
      <c r="F55" s="3" t="s">
        <v>417</v>
      </c>
      <c r="G55" s="3" t="s">
        <v>404</v>
      </c>
      <c r="H55" s="2" t="s">
        <v>130</v>
      </c>
      <c r="I55" s="1" t="s">
        <v>406</v>
      </c>
      <c r="J55" s="3" t="s">
        <v>125</v>
      </c>
    </row>
    <row r="56" spans="1:10" ht="45" x14ac:dyDescent="0.25">
      <c r="A56" s="1" t="s">
        <v>132</v>
      </c>
      <c r="B56" s="1" t="s">
        <v>418</v>
      </c>
      <c r="C56" s="1" t="s">
        <v>498</v>
      </c>
      <c r="D56" s="1" t="s">
        <v>499</v>
      </c>
      <c r="E56" s="3" t="s">
        <v>131</v>
      </c>
      <c r="F56" s="3" t="s">
        <v>417</v>
      </c>
      <c r="G56" s="3" t="s">
        <v>404</v>
      </c>
      <c r="H56" s="2" t="s">
        <v>133</v>
      </c>
      <c r="I56" s="1"/>
      <c r="J56" s="3" t="s">
        <v>7</v>
      </c>
    </row>
    <row r="57" spans="1:10" ht="45" x14ac:dyDescent="0.25">
      <c r="A57" s="1" t="s">
        <v>35</v>
      </c>
      <c r="B57" s="1" t="s">
        <v>446</v>
      </c>
      <c r="C57" s="1" t="s">
        <v>447</v>
      </c>
      <c r="D57" s="1" t="s">
        <v>416</v>
      </c>
      <c r="E57" s="3" t="s">
        <v>131</v>
      </c>
      <c r="F57" s="3" t="s">
        <v>417</v>
      </c>
      <c r="G57" s="3" t="s">
        <v>404</v>
      </c>
      <c r="H57" s="2" t="s">
        <v>134</v>
      </c>
      <c r="I57" s="1"/>
      <c r="J57" s="3" t="s">
        <v>7</v>
      </c>
    </row>
    <row r="58" spans="1:10" ht="60" x14ac:dyDescent="0.25">
      <c r="A58" s="1" t="s">
        <v>138</v>
      </c>
      <c r="B58" s="1" t="s">
        <v>409</v>
      </c>
      <c r="C58" s="1" t="s">
        <v>500</v>
      </c>
      <c r="D58" s="1" t="s">
        <v>449</v>
      </c>
      <c r="E58" s="3" t="s">
        <v>135</v>
      </c>
      <c r="F58" s="3" t="s">
        <v>417</v>
      </c>
      <c r="G58" s="3" t="s">
        <v>404</v>
      </c>
      <c r="H58" s="2" t="s">
        <v>139</v>
      </c>
      <c r="I58" s="1"/>
      <c r="J58" s="3" t="s">
        <v>7</v>
      </c>
    </row>
    <row r="59" spans="1:10" ht="60" x14ac:dyDescent="0.25">
      <c r="A59" s="1" t="s">
        <v>136</v>
      </c>
      <c r="B59" s="1" t="s">
        <v>491</v>
      </c>
      <c r="C59" s="1" t="s">
        <v>501</v>
      </c>
      <c r="D59" s="1" t="s">
        <v>502</v>
      </c>
      <c r="E59" s="3" t="s">
        <v>135</v>
      </c>
      <c r="F59" s="3" t="s">
        <v>417</v>
      </c>
      <c r="G59" s="3" t="s">
        <v>404</v>
      </c>
      <c r="H59" s="2" t="s">
        <v>137</v>
      </c>
      <c r="I59" s="1"/>
      <c r="J59" s="3" t="s">
        <v>1</v>
      </c>
    </row>
    <row r="60" spans="1:10" ht="60" x14ac:dyDescent="0.25">
      <c r="A60" s="1" t="s">
        <v>13</v>
      </c>
      <c r="B60" s="1" t="s">
        <v>437</v>
      </c>
      <c r="C60" s="1" t="s">
        <v>438</v>
      </c>
      <c r="D60" s="1" t="s">
        <v>439</v>
      </c>
      <c r="E60" s="3" t="s">
        <v>135</v>
      </c>
      <c r="F60" s="3" t="s">
        <v>417</v>
      </c>
      <c r="G60" s="3" t="s">
        <v>404</v>
      </c>
      <c r="H60" s="2" t="s">
        <v>140</v>
      </c>
      <c r="I60" s="1"/>
      <c r="J60" s="3" t="s">
        <v>7</v>
      </c>
    </row>
    <row r="61" spans="1:10" ht="45" x14ac:dyDescent="0.25">
      <c r="A61" s="1" t="s">
        <v>142</v>
      </c>
      <c r="B61" s="1" t="s">
        <v>503</v>
      </c>
      <c r="C61" s="1" t="s">
        <v>504</v>
      </c>
      <c r="D61" s="1" t="s">
        <v>428</v>
      </c>
      <c r="E61" s="3" t="s">
        <v>141</v>
      </c>
      <c r="F61" s="3" t="s">
        <v>417</v>
      </c>
      <c r="G61" s="3" t="s">
        <v>404</v>
      </c>
      <c r="H61" s="2" t="s">
        <v>143</v>
      </c>
      <c r="I61" s="1" t="s">
        <v>406</v>
      </c>
      <c r="J61" s="3" t="s">
        <v>125</v>
      </c>
    </row>
    <row r="62" spans="1:10" ht="45" x14ac:dyDescent="0.25">
      <c r="A62" s="1" t="s">
        <v>101</v>
      </c>
      <c r="B62" s="1" t="s">
        <v>457</v>
      </c>
      <c r="C62" s="1" t="s">
        <v>423</v>
      </c>
      <c r="D62" s="1" t="s">
        <v>488</v>
      </c>
      <c r="E62" s="3" t="s">
        <v>141</v>
      </c>
      <c r="F62" s="3" t="s">
        <v>417</v>
      </c>
      <c r="G62" s="3" t="s">
        <v>404</v>
      </c>
      <c r="H62" s="2" t="s">
        <v>144</v>
      </c>
      <c r="I62" s="1"/>
      <c r="J62" s="3" t="s">
        <v>125</v>
      </c>
    </row>
    <row r="63" spans="1:10" ht="60" x14ac:dyDescent="0.25">
      <c r="A63" s="1" t="s">
        <v>40</v>
      </c>
      <c r="B63" s="1" t="s">
        <v>418</v>
      </c>
      <c r="C63" s="1" t="s">
        <v>453</v>
      </c>
      <c r="D63" s="1" t="s">
        <v>454</v>
      </c>
      <c r="E63" s="3" t="s">
        <v>145</v>
      </c>
      <c r="F63" s="3" t="s">
        <v>417</v>
      </c>
      <c r="G63" s="3" t="s">
        <v>404</v>
      </c>
      <c r="H63" s="2" t="s">
        <v>146</v>
      </c>
      <c r="I63" s="1"/>
      <c r="J63" s="3" t="s">
        <v>7</v>
      </c>
    </row>
    <row r="64" spans="1:10" ht="60" x14ac:dyDescent="0.25">
      <c r="A64" s="1" t="s">
        <v>54</v>
      </c>
      <c r="B64" s="1" t="s">
        <v>460</v>
      </c>
      <c r="C64" s="1" t="s">
        <v>461</v>
      </c>
      <c r="D64" s="1" t="s">
        <v>462</v>
      </c>
      <c r="E64" s="3" t="s">
        <v>145</v>
      </c>
      <c r="F64" s="3" t="s">
        <v>417</v>
      </c>
      <c r="G64" s="3" t="s">
        <v>404</v>
      </c>
      <c r="H64" s="2" t="s">
        <v>147</v>
      </c>
      <c r="I64" s="1"/>
      <c r="J64" s="3" t="s">
        <v>7</v>
      </c>
    </row>
    <row r="65" spans="1:10" ht="30" x14ac:dyDescent="0.25">
      <c r="A65" s="1" t="s">
        <v>241</v>
      </c>
      <c r="B65" s="1" t="s">
        <v>418</v>
      </c>
      <c r="C65" s="1" t="s">
        <v>462</v>
      </c>
      <c r="D65" s="1" t="s">
        <v>505</v>
      </c>
      <c r="E65" s="3" t="s">
        <v>506</v>
      </c>
      <c r="F65" s="3" t="s">
        <v>403</v>
      </c>
      <c r="G65" s="3" t="s">
        <v>404</v>
      </c>
      <c r="H65" s="2" t="s">
        <v>507</v>
      </c>
      <c r="I65" s="1"/>
      <c r="J65" s="3" t="s">
        <v>34</v>
      </c>
    </row>
    <row r="66" spans="1:10" ht="30" x14ac:dyDescent="0.25">
      <c r="A66" s="1" t="s">
        <v>239</v>
      </c>
      <c r="B66" s="1" t="s">
        <v>424</v>
      </c>
      <c r="C66" s="1" t="s">
        <v>508</v>
      </c>
      <c r="D66" s="1" t="s">
        <v>509</v>
      </c>
      <c r="E66" s="3" t="s">
        <v>506</v>
      </c>
      <c r="F66" s="3" t="s">
        <v>403</v>
      </c>
      <c r="G66" s="3" t="s">
        <v>404</v>
      </c>
      <c r="H66" s="2" t="s">
        <v>510</v>
      </c>
      <c r="I66" s="1" t="s">
        <v>406</v>
      </c>
      <c r="J66" s="3" t="s">
        <v>34</v>
      </c>
    </row>
    <row r="67" spans="1:10" ht="30" x14ac:dyDescent="0.25">
      <c r="A67" s="1" t="s">
        <v>287</v>
      </c>
      <c r="B67" s="1" t="s">
        <v>511</v>
      </c>
      <c r="C67" s="1" t="s">
        <v>512</v>
      </c>
      <c r="D67" s="1" t="s">
        <v>513</v>
      </c>
      <c r="E67" s="3" t="s">
        <v>506</v>
      </c>
      <c r="F67" s="3" t="s">
        <v>403</v>
      </c>
      <c r="G67" s="3" t="s">
        <v>404</v>
      </c>
      <c r="H67" s="2" t="s">
        <v>514</v>
      </c>
      <c r="I67" s="1" t="s">
        <v>406</v>
      </c>
      <c r="J67" s="3" t="s">
        <v>34</v>
      </c>
    </row>
    <row r="68" spans="1:10" ht="60" x14ac:dyDescent="0.25">
      <c r="A68" s="1" t="s">
        <v>154</v>
      </c>
      <c r="B68" s="1" t="s">
        <v>515</v>
      </c>
      <c r="C68" s="1" t="s">
        <v>445</v>
      </c>
      <c r="D68" s="1" t="s">
        <v>516</v>
      </c>
      <c r="E68" s="3" t="s">
        <v>152</v>
      </c>
      <c r="F68" s="3" t="s">
        <v>417</v>
      </c>
      <c r="G68" s="3" t="s">
        <v>404</v>
      </c>
      <c r="H68" s="2" t="s">
        <v>155</v>
      </c>
      <c r="I68" s="1" t="s">
        <v>413</v>
      </c>
      <c r="J68" s="3" t="s">
        <v>53</v>
      </c>
    </row>
    <row r="69" spans="1:10" ht="60" x14ac:dyDescent="0.25">
      <c r="A69" s="1" t="s">
        <v>71</v>
      </c>
      <c r="B69" s="1" t="s">
        <v>424</v>
      </c>
      <c r="C69" s="1" t="s">
        <v>474</v>
      </c>
      <c r="D69" s="1" t="s">
        <v>475</v>
      </c>
      <c r="E69" s="3" t="s">
        <v>152</v>
      </c>
      <c r="F69" s="3" t="s">
        <v>417</v>
      </c>
      <c r="G69" s="3" t="s">
        <v>404</v>
      </c>
      <c r="H69" s="2" t="s">
        <v>153</v>
      </c>
      <c r="I69" s="1" t="s">
        <v>442</v>
      </c>
      <c r="J69" s="3" t="s">
        <v>70</v>
      </c>
    </row>
    <row r="70" spans="1:10" ht="60" x14ac:dyDescent="0.25">
      <c r="A70" s="1" t="s">
        <v>154</v>
      </c>
      <c r="B70" s="1" t="s">
        <v>515</v>
      </c>
      <c r="C70" s="1" t="s">
        <v>445</v>
      </c>
      <c r="D70" s="1" t="s">
        <v>516</v>
      </c>
      <c r="E70" s="3" t="s">
        <v>156</v>
      </c>
      <c r="F70" s="3" t="s">
        <v>417</v>
      </c>
      <c r="G70" s="3" t="s">
        <v>404</v>
      </c>
      <c r="H70" s="2"/>
      <c r="I70" s="1"/>
      <c r="J70" s="3" t="s">
        <v>157</v>
      </c>
    </row>
    <row r="71" spans="1:10" ht="60" x14ac:dyDescent="0.25">
      <c r="A71" s="1" t="s">
        <v>162</v>
      </c>
      <c r="B71" s="1" t="s">
        <v>437</v>
      </c>
      <c r="C71" s="1" t="s">
        <v>517</v>
      </c>
      <c r="D71" s="1" t="s">
        <v>518</v>
      </c>
      <c r="E71" s="3" t="s">
        <v>156</v>
      </c>
      <c r="F71" s="3" t="s">
        <v>417</v>
      </c>
      <c r="G71" s="3" t="s">
        <v>404</v>
      </c>
      <c r="H71" s="2"/>
      <c r="I71" s="1"/>
      <c r="J71" s="3" t="s">
        <v>161</v>
      </c>
    </row>
    <row r="72" spans="1:10" ht="60" x14ac:dyDescent="0.25">
      <c r="A72" s="1" t="s">
        <v>163</v>
      </c>
      <c r="B72" s="1" t="s">
        <v>418</v>
      </c>
      <c r="C72" s="1" t="s">
        <v>519</v>
      </c>
      <c r="D72" s="1" t="s">
        <v>520</v>
      </c>
      <c r="E72" s="3" t="s">
        <v>156</v>
      </c>
      <c r="F72" s="3" t="s">
        <v>417</v>
      </c>
      <c r="G72" s="3" t="s">
        <v>404</v>
      </c>
      <c r="H72" s="2" t="s">
        <v>164</v>
      </c>
      <c r="I72" s="1"/>
      <c r="J72" s="3" t="s">
        <v>79</v>
      </c>
    </row>
    <row r="73" spans="1:10" ht="60" x14ac:dyDescent="0.25">
      <c r="A73" s="1" t="s">
        <v>159</v>
      </c>
      <c r="B73" s="1" t="s">
        <v>446</v>
      </c>
      <c r="C73" s="1" t="s">
        <v>449</v>
      </c>
      <c r="D73" s="1" t="s">
        <v>521</v>
      </c>
      <c r="E73" s="3" t="s">
        <v>156</v>
      </c>
      <c r="F73" s="3" t="s">
        <v>417</v>
      </c>
      <c r="G73" s="3" t="s">
        <v>404</v>
      </c>
      <c r="H73" s="2" t="s">
        <v>160</v>
      </c>
      <c r="I73" s="1" t="s">
        <v>406</v>
      </c>
      <c r="J73" s="3" t="s">
        <v>56</v>
      </c>
    </row>
    <row r="74" spans="1:10" ht="75" x14ac:dyDescent="0.25">
      <c r="A74" s="1" t="s">
        <v>167</v>
      </c>
      <c r="B74" s="1" t="s">
        <v>522</v>
      </c>
      <c r="C74" s="1" t="s">
        <v>513</v>
      </c>
      <c r="D74" s="1" t="s">
        <v>523</v>
      </c>
      <c r="E74" s="3" t="s">
        <v>165</v>
      </c>
      <c r="F74" s="3" t="s">
        <v>417</v>
      </c>
      <c r="G74" s="3" t="s">
        <v>404</v>
      </c>
      <c r="H74" s="2"/>
      <c r="I74" s="1"/>
      <c r="J74" s="3" t="s">
        <v>166</v>
      </c>
    </row>
    <row r="75" spans="1:10" ht="75" x14ac:dyDescent="0.25">
      <c r="A75" s="1" t="s">
        <v>90</v>
      </c>
      <c r="B75" s="1" t="s">
        <v>418</v>
      </c>
      <c r="C75" s="1" t="s">
        <v>454</v>
      </c>
      <c r="D75" s="1" t="s">
        <v>482</v>
      </c>
      <c r="E75" s="3" t="s">
        <v>165</v>
      </c>
      <c r="F75" s="3" t="s">
        <v>417</v>
      </c>
      <c r="G75" s="3" t="s">
        <v>404</v>
      </c>
      <c r="H75" s="2" t="s">
        <v>169</v>
      </c>
      <c r="I75" s="1"/>
      <c r="J75" s="3" t="s">
        <v>168</v>
      </c>
    </row>
    <row r="76" spans="1:10" ht="75" x14ac:dyDescent="0.25">
      <c r="A76" s="1" t="s">
        <v>170</v>
      </c>
      <c r="B76" s="1" t="s">
        <v>421</v>
      </c>
      <c r="C76" s="1" t="s">
        <v>524</v>
      </c>
      <c r="D76" s="1" t="s">
        <v>486</v>
      </c>
      <c r="E76" s="3" t="s">
        <v>165</v>
      </c>
      <c r="F76" s="3" t="s">
        <v>417</v>
      </c>
      <c r="G76" s="3" t="s">
        <v>404</v>
      </c>
      <c r="H76" s="2" t="s">
        <v>171</v>
      </c>
      <c r="I76" s="1"/>
      <c r="J76" s="3" t="s">
        <v>168</v>
      </c>
    </row>
    <row r="77" spans="1:10" ht="60" x14ac:dyDescent="0.25">
      <c r="A77" s="1" t="s">
        <v>132</v>
      </c>
      <c r="B77" s="1" t="s">
        <v>418</v>
      </c>
      <c r="C77" s="1" t="s">
        <v>498</v>
      </c>
      <c r="D77" s="1" t="s">
        <v>499</v>
      </c>
      <c r="E77" s="3" t="s">
        <v>172</v>
      </c>
      <c r="F77" s="3" t="s">
        <v>417</v>
      </c>
      <c r="G77" s="3" t="s">
        <v>404</v>
      </c>
      <c r="H77" s="2" t="s">
        <v>174</v>
      </c>
      <c r="I77" s="1" t="s">
        <v>525</v>
      </c>
      <c r="J77" s="3" t="s">
        <v>56</v>
      </c>
    </row>
    <row r="78" spans="1:10" ht="60" x14ac:dyDescent="0.25">
      <c r="A78" s="1" t="s">
        <v>74</v>
      </c>
      <c r="B78" s="1" t="s">
        <v>457</v>
      </c>
      <c r="C78" s="1" t="s">
        <v>472</v>
      </c>
      <c r="D78" s="1" t="s">
        <v>473</v>
      </c>
      <c r="E78" s="3" t="s">
        <v>172</v>
      </c>
      <c r="F78" s="3" t="s">
        <v>417</v>
      </c>
      <c r="G78" s="3" t="s">
        <v>404</v>
      </c>
      <c r="H78" s="2" t="s">
        <v>173</v>
      </c>
      <c r="I78" s="1"/>
      <c r="J78" s="3" t="s">
        <v>1</v>
      </c>
    </row>
    <row r="79" spans="1:10" ht="45" x14ac:dyDescent="0.25">
      <c r="A79" s="1" t="s">
        <v>176</v>
      </c>
      <c r="B79" s="1" t="s">
        <v>511</v>
      </c>
      <c r="C79" s="1" t="s">
        <v>526</v>
      </c>
      <c r="D79" s="1" t="s">
        <v>527</v>
      </c>
      <c r="E79" s="3" t="s">
        <v>175</v>
      </c>
      <c r="F79" s="3" t="s">
        <v>417</v>
      </c>
      <c r="G79" s="3" t="s">
        <v>404</v>
      </c>
      <c r="H79" s="2" t="s">
        <v>177</v>
      </c>
      <c r="I79" s="1" t="s">
        <v>406</v>
      </c>
      <c r="J79" s="3" t="s">
        <v>161</v>
      </c>
    </row>
    <row r="80" spans="1:10" ht="45" x14ac:dyDescent="0.25">
      <c r="A80" s="1" t="s">
        <v>138</v>
      </c>
      <c r="B80" s="1" t="s">
        <v>409</v>
      </c>
      <c r="C80" s="1" t="s">
        <v>500</v>
      </c>
      <c r="D80" s="1" t="s">
        <v>449</v>
      </c>
      <c r="E80" s="3" t="s">
        <v>175</v>
      </c>
      <c r="F80" s="3" t="s">
        <v>417</v>
      </c>
      <c r="G80" s="3" t="s">
        <v>404</v>
      </c>
      <c r="H80" s="2" t="s">
        <v>178</v>
      </c>
      <c r="I80" s="1" t="s">
        <v>528</v>
      </c>
      <c r="J80" s="3" t="s">
        <v>161</v>
      </c>
    </row>
    <row r="81" spans="1:10" ht="45" x14ac:dyDescent="0.25">
      <c r="A81" s="1" t="s">
        <v>77</v>
      </c>
      <c r="B81" s="1" t="s">
        <v>424</v>
      </c>
      <c r="C81" s="1" t="s">
        <v>477</v>
      </c>
      <c r="D81" s="1" t="s">
        <v>478</v>
      </c>
      <c r="E81" s="3" t="s">
        <v>175</v>
      </c>
      <c r="F81" s="3" t="s">
        <v>417</v>
      </c>
      <c r="G81" s="3" t="s">
        <v>404</v>
      </c>
      <c r="H81" s="2" t="s">
        <v>179</v>
      </c>
      <c r="I81" s="1" t="s">
        <v>413</v>
      </c>
      <c r="J81" s="3" t="s">
        <v>161</v>
      </c>
    </row>
    <row r="82" spans="1:10" ht="45" x14ac:dyDescent="0.25">
      <c r="A82" s="1" t="s">
        <v>180</v>
      </c>
      <c r="B82" s="1" t="s">
        <v>409</v>
      </c>
      <c r="C82" s="1" t="s">
        <v>529</v>
      </c>
      <c r="D82" s="1" t="s">
        <v>530</v>
      </c>
      <c r="E82" s="3" t="s">
        <v>175</v>
      </c>
      <c r="F82" s="3" t="s">
        <v>417</v>
      </c>
      <c r="G82" s="3" t="s">
        <v>404</v>
      </c>
      <c r="H82" s="2" t="s">
        <v>181</v>
      </c>
      <c r="I82" s="1" t="s">
        <v>413</v>
      </c>
      <c r="J82" s="3" t="s">
        <v>161</v>
      </c>
    </row>
    <row r="83" spans="1:10" ht="45" x14ac:dyDescent="0.25">
      <c r="A83" s="1" t="s">
        <v>182</v>
      </c>
      <c r="B83" s="1" t="s">
        <v>531</v>
      </c>
      <c r="C83" s="1" t="s">
        <v>532</v>
      </c>
      <c r="D83" s="1" t="s">
        <v>533</v>
      </c>
      <c r="E83" s="3" t="s">
        <v>175</v>
      </c>
      <c r="F83" s="3" t="s">
        <v>417</v>
      </c>
      <c r="G83" s="3" t="s">
        <v>404</v>
      </c>
      <c r="H83" s="2" t="s">
        <v>183</v>
      </c>
      <c r="I83" s="1"/>
      <c r="J83" s="3" t="s">
        <v>161</v>
      </c>
    </row>
    <row r="84" spans="1:10" ht="60" x14ac:dyDescent="0.25">
      <c r="A84" s="1" t="s">
        <v>22</v>
      </c>
      <c r="B84" s="1" t="s">
        <v>424</v>
      </c>
      <c r="C84" s="1" t="s">
        <v>427</v>
      </c>
      <c r="D84" s="1" t="s">
        <v>428</v>
      </c>
      <c r="E84" s="3" t="s">
        <v>184</v>
      </c>
      <c r="F84" s="3" t="s">
        <v>417</v>
      </c>
      <c r="G84" s="3" t="s">
        <v>404</v>
      </c>
      <c r="H84" s="2" t="s">
        <v>186</v>
      </c>
      <c r="I84" s="1" t="s">
        <v>413</v>
      </c>
      <c r="J84" s="3" t="s">
        <v>185</v>
      </c>
    </row>
    <row r="85" spans="1:10" ht="60" x14ac:dyDescent="0.25">
      <c r="A85" s="1" t="s">
        <v>187</v>
      </c>
      <c r="B85" s="1" t="s">
        <v>418</v>
      </c>
      <c r="C85" s="1" t="s">
        <v>534</v>
      </c>
      <c r="D85" s="1" t="s">
        <v>482</v>
      </c>
      <c r="E85" s="3" t="s">
        <v>184</v>
      </c>
      <c r="F85" s="3" t="s">
        <v>417</v>
      </c>
      <c r="G85" s="3" t="s">
        <v>404</v>
      </c>
      <c r="H85" s="2" t="s">
        <v>188</v>
      </c>
      <c r="I85" s="1" t="s">
        <v>442</v>
      </c>
      <c r="J85" s="3" t="s">
        <v>1</v>
      </c>
    </row>
    <row r="86" spans="1:10" ht="75" x14ac:dyDescent="0.25">
      <c r="A86" s="1" t="s">
        <v>190</v>
      </c>
      <c r="B86" s="1" t="s">
        <v>457</v>
      </c>
      <c r="C86" s="1" t="s">
        <v>535</v>
      </c>
      <c r="D86" s="1" t="s">
        <v>484</v>
      </c>
      <c r="E86" s="3" t="s">
        <v>189</v>
      </c>
      <c r="F86" s="3" t="s">
        <v>417</v>
      </c>
      <c r="G86" s="3" t="s">
        <v>404</v>
      </c>
      <c r="H86" s="2" t="s">
        <v>191</v>
      </c>
      <c r="I86" s="1"/>
      <c r="J86" s="3" t="s">
        <v>7</v>
      </c>
    </row>
    <row r="87" spans="1:10" ht="75" x14ac:dyDescent="0.25">
      <c r="A87" s="1" t="s">
        <v>193</v>
      </c>
      <c r="B87" s="1" t="s">
        <v>536</v>
      </c>
      <c r="C87" s="1" t="s">
        <v>537</v>
      </c>
      <c r="D87" s="1" t="s">
        <v>436</v>
      </c>
      <c r="E87" s="3" t="s">
        <v>189</v>
      </c>
      <c r="F87" s="3" t="s">
        <v>417</v>
      </c>
      <c r="G87" s="3" t="s">
        <v>404</v>
      </c>
      <c r="H87" s="2" t="s">
        <v>194</v>
      </c>
      <c r="I87" s="1" t="s">
        <v>538</v>
      </c>
      <c r="J87" s="3" t="s">
        <v>192</v>
      </c>
    </row>
    <row r="88" spans="1:10" ht="90" x14ac:dyDescent="0.25">
      <c r="A88" s="1" t="s">
        <v>66</v>
      </c>
      <c r="B88" s="1" t="s">
        <v>446</v>
      </c>
      <c r="C88" s="1" t="s">
        <v>470</v>
      </c>
      <c r="D88" s="1" t="s">
        <v>471</v>
      </c>
      <c r="E88" s="3" t="s">
        <v>195</v>
      </c>
      <c r="F88" s="3" t="s">
        <v>417</v>
      </c>
      <c r="G88" s="3" t="s">
        <v>404</v>
      </c>
      <c r="H88" s="2" t="s">
        <v>200</v>
      </c>
      <c r="I88" s="1"/>
      <c r="J88" s="3" t="s">
        <v>199</v>
      </c>
    </row>
    <row r="89" spans="1:10" ht="90" x14ac:dyDescent="0.25">
      <c r="A89" s="1" t="s">
        <v>197</v>
      </c>
      <c r="B89" s="1" t="s">
        <v>418</v>
      </c>
      <c r="C89" s="1" t="s">
        <v>539</v>
      </c>
      <c r="D89" s="1" t="s">
        <v>540</v>
      </c>
      <c r="E89" s="3" t="s">
        <v>195</v>
      </c>
      <c r="F89" s="3" t="s">
        <v>417</v>
      </c>
      <c r="G89" s="3" t="s">
        <v>404</v>
      </c>
      <c r="H89" s="2" t="s">
        <v>198</v>
      </c>
      <c r="I89" s="1" t="s">
        <v>476</v>
      </c>
      <c r="J89" s="3" t="s">
        <v>196</v>
      </c>
    </row>
    <row r="90" spans="1:10" ht="90" x14ac:dyDescent="0.25">
      <c r="A90" s="1" t="s">
        <v>202</v>
      </c>
      <c r="B90" s="1" t="s">
        <v>399</v>
      </c>
      <c r="C90" s="1" t="s">
        <v>469</v>
      </c>
      <c r="D90" s="1" t="s">
        <v>541</v>
      </c>
      <c r="E90" s="3" t="s">
        <v>201</v>
      </c>
      <c r="F90" s="3" t="s">
        <v>417</v>
      </c>
      <c r="G90" s="3" t="s">
        <v>404</v>
      </c>
      <c r="H90" s="2" t="s">
        <v>203</v>
      </c>
      <c r="I90" s="1" t="s">
        <v>442</v>
      </c>
      <c r="J90" s="3" t="s">
        <v>27</v>
      </c>
    </row>
    <row r="91" spans="1:10" ht="90" x14ac:dyDescent="0.25">
      <c r="A91" s="1" t="s">
        <v>204</v>
      </c>
      <c r="B91" s="1" t="s">
        <v>542</v>
      </c>
      <c r="C91" s="1" t="s">
        <v>543</v>
      </c>
      <c r="D91" s="1" t="s">
        <v>527</v>
      </c>
      <c r="E91" s="3" t="s">
        <v>201</v>
      </c>
      <c r="F91" s="3" t="s">
        <v>417</v>
      </c>
      <c r="G91" s="3" t="s">
        <v>404</v>
      </c>
      <c r="H91" s="2" t="s">
        <v>205</v>
      </c>
      <c r="I91" s="1" t="s">
        <v>442</v>
      </c>
      <c r="J91" s="3" t="s">
        <v>27</v>
      </c>
    </row>
    <row r="92" spans="1:10" ht="45" x14ac:dyDescent="0.25">
      <c r="A92" s="1" t="s">
        <v>107</v>
      </c>
      <c r="B92" s="1" t="s">
        <v>418</v>
      </c>
      <c r="C92" s="1" t="s">
        <v>489</v>
      </c>
      <c r="D92" s="1" t="s">
        <v>471</v>
      </c>
      <c r="E92" s="3" t="s">
        <v>206</v>
      </c>
      <c r="F92" s="3" t="s">
        <v>417</v>
      </c>
      <c r="G92" s="3" t="s">
        <v>404</v>
      </c>
      <c r="H92" s="2" t="s">
        <v>209</v>
      </c>
      <c r="I92" s="1" t="s">
        <v>413</v>
      </c>
      <c r="J92" s="3" t="s">
        <v>79</v>
      </c>
    </row>
    <row r="93" spans="1:10" ht="45" x14ac:dyDescent="0.25">
      <c r="A93" s="1" t="s">
        <v>204</v>
      </c>
      <c r="B93" s="1" t="s">
        <v>542</v>
      </c>
      <c r="C93" s="1" t="s">
        <v>543</v>
      </c>
      <c r="D93" s="1" t="s">
        <v>527</v>
      </c>
      <c r="E93" s="3" t="s">
        <v>206</v>
      </c>
      <c r="F93" s="3" t="s">
        <v>417</v>
      </c>
      <c r="G93" s="3" t="s">
        <v>404</v>
      </c>
      <c r="H93" s="2" t="s">
        <v>208</v>
      </c>
      <c r="I93" s="1" t="s">
        <v>406</v>
      </c>
      <c r="J93" s="3" t="s">
        <v>207</v>
      </c>
    </row>
    <row r="94" spans="1:10" ht="45" x14ac:dyDescent="0.25">
      <c r="A94" s="1" t="s">
        <v>211</v>
      </c>
      <c r="B94" s="1" t="s">
        <v>446</v>
      </c>
      <c r="C94" s="1" t="s">
        <v>435</v>
      </c>
      <c r="D94" s="1" t="s">
        <v>544</v>
      </c>
      <c r="E94" s="3" t="s">
        <v>210</v>
      </c>
      <c r="F94" s="3" t="s">
        <v>417</v>
      </c>
      <c r="G94" s="3" t="s">
        <v>404</v>
      </c>
      <c r="H94" s="2" t="s">
        <v>212</v>
      </c>
      <c r="I94" s="1"/>
      <c r="J94" s="3" t="s">
        <v>7</v>
      </c>
    </row>
    <row r="95" spans="1:10" ht="45" x14ac:dyDescent="0.25">
      <c r="A95" s="1" t="s">
        <v>187</v>
      </c>
      <c r="B95" s="1" t="s">
        <v>418</v>
      </c>
      <c r="C95" s="1" t="s">
        <v>534</v>
      </c>
      <c r="D95" s="1" t="s">
        <v>482</v>
      </c>
      <c r="E95" s="3" t="s">
        <v>210</v>
      </c>
      <c r="F95" s="3" t="s">
        <v>417</v>
      </c>
      <c r="G95" s="3" t="s">
        <v>404</v>
      </c>
      <c r="H95" s="2" t="s">
        <v>213</v>
      </c>
      <c r="I95" s="1"/>
      <c r="J95" s="3" t="s">
        <v>7</v>
      </c>
    </row>
    <row r="96" spans="1:10" ht="45" x14ac:dyDescent="0.25">
      <c r="A96" s="1" t="s">
        <v>216</v>
      </c>
      <c r="B96" s="1" t="s">
        <v>545</v>
      </c>
      <c r="C96" s="1" t="s">
        <v>546</v>
      </c>
      <c r="D96" s="1" t="s">
        <v>464</v>
      </c>
      <c r="E96" s="3" t="s">
        <v>214</v>
      </c>
      <c r="F96" s="3" t="s">
        <v>417</v>
      </c>
      <c r="G96" s="3" t="s">
        <v>404</v>
      </c>
      <c r="H96" s="2" t="s">
        <v>217</v>
      </c>
      <c r="I96" s="1" t="s">
        <v>413</v>
      </c>
      <c r="J96" s="3" t="s">
        <v>109</v>
      </c>
    </row>
    <row r="97" spans="1:10" ht="45" x14ac:dyDescent="0.25">
      <c r="A97" s="1" t="s">
        <v>170</v>
      </c>
      <c r="B97" s="1" t="s">
        <v>421</v>
      </c>
      <c r="C97" s="1" t="s">
        <v>524</v>
      </c>
      <c r="D97" s="1" t="s">
        <v>486</v>
      </c>
      <c r="E97" s="3" t="s">
        <v>214</v>
      </c>
      <c r="F97" s="3" t="s">
        <v>417</v>
      </c>
      <c r="G97" s="3" t="s">
        <v>404</v>
      </c>
      <c r="H97" s="2" t="s">
        <v>215</v>
      </c>
      <c r="I97" s="1" t="s">
        <v>442</v>
      </c>
      <c r="J97" s="3" t="s">
        <v>104</v>
      </c>
    </row>
    <row r="98" spans="1:10" ht="30" x14ac:dyDescent="0.25">
      <c r="A98" s="1" t="s">
        <v>547</v>
      </c>
      <c r="B98" s="1" t="s">
        <v>418</v>
      </c>
      <c r="C98" s="1" t="s">
        <v>548</v>
      </c>
      <c r="D98" s="1" t="s">
        <v>549</v>
      </c>
      <c r="E98" s="3" t="s">
        <v>550</v>
      </c>
      <c r="F98" s="3" t="s">
        <v>403</v>
      </c>
      <c r="G98" s="3" t="s">
        <v>404</v>
      </c>
      <c r="H98" s="2" t="s">
        <v>551</v>
      </c>
      <c r="I98" s="1"/>
      <c r="J98" s="3" t="s">
        <v>63</v>
      </c>
    </row>
    <row r="99" spans="1:10" ht="45" x14ac:dyDescent="0.25">
      <c r="A99" s="1" t="s">
        <v>552</v>
      </c>
      <c r="B99" s="1" t="s">
        <v>446</v>
      </c>
      <c r="C99" s="1" t="s">
        <v>456</v>
      </c>
      <c r="D99" s="1" t="s">
        <v>540</v>
      </c>
      <c r="E99" s="3" t="s">
        <v>550</v>
      </c>
      <c r="F99" s="3" t="s">
        <v>403</v>
      </c>
      <c r="G99" s="3" t="s">
        <v>404</v>
      </c>
      <c r="H99" s="2" t="s">
        <v>553</v>
      </c>
      <c r="I99" s="1" t="s">
        <v>413</v>
      </c>
      <c r="J99" s="3" t="s">
        <v>554</v>
      </c>
    </row>
    <row r="100" spans="1:10" ht="30" x14ac:dyDescent="0.25">
      <c r="A100" s="1" t="s">
        <v>30</v>
      </c>
      <c r="B100" s="1" t="s">
        <v>443</v>
      </c>
      <c r="C100" s="1" t="s">
        <v>444</v>
      </c>
      <c r="D100" s="1" t="s">
        <v>445</v>
      </c>
      <c r="E100" s="3" t="s">
        <v>218</v>
      </c>
      <c r="F100" s="3" t="s">
        <v>417</v>
      </c>
      <c r="G100" s="3" t="s">
        <v>404</v>
      </c>
      <c r="H100" s="2" t="s">
        <v>219</v>
      </c>
      <c r="I100" s="1" t="s">
        <v>406</v>
      </c>
      <c r="J100" s="3" t="s">
        <v>161</v>
      </c>
    </row>
    <row r="101" spans="1:10" ht="30" x14ac:dyDescent="0.25">
      <c r="A101" s="1" t="s">
        <v>182</v>
      </c>
      <c r="B101" s="1" t="s">
        <v>531</v>
      </c>
      <c r="C101" s="1" t="s">
        <v>532</v>
      </c>
      <c r="D101" s="1" t="s">
        <v>533</v>
      </c>
      <c r="E101" s="3" t="s">
        <v>218</v>
      </c>
      <c r="F101" s="3" t="s">
        <v>417</v>
      </c>
      <c r="G101" s="3" t="s">
        <v>404</v>
      </c>
      <c r="H101" s="2" t="s">
        <v>220</v>
      </c>
      <c r="I101" s="1"/>
      <c r="J101" s="3" t="s">
        <v>161</v>
      </c>
    </row>
    <row r="102" spans="1:10" ht="30" x14ac:dyDescent="0.25">
      <c r="A102" s="1" t="s">
        <v>221</v>
      </c>
      <c r="B102" s="1" t="s">
        <v>457</v>
      </c>
      <c r="C102" s="1" t="s">
        <v>492</v>
      </c>
      <c r="D102" s="1" t="s">
        <v>493</v>
      </c>
      <c r="E102" s="3" t="s">
        <v>218</v>
      </c>
      <c r="F102" s="3" t="s">
        <v>417</v>
      </c>
      <c r="G102" s="3" t="s">
        <v>404</v>
      </c>
      <c r="H102" s="2" t="s">
        <v>222</v>
      </c>
      <c r="I102" s="1" t="s">
        <v>413</v>
      </c>
      <c r="J102" s="3" t="s">
        <v>161</v>
      </c>
    </row>
    <row r="103" spans="1:10" ht="60" x14ac:dyDescent="0.25">
      <c r="A103" s="1" t="s">
        <v>40</v>
      </c>
      <c r="B103" s="1" t="s">
        <v>418</v>
      </c>
      <c r="C103" s="1" t="s">
        <v>453</v>
      </c>
      <c r="D103" s="1" t="s">
        <v>454</v>
      </c>
      <c r="E103" s="3" t="s">
        <v>223</v>
      </c>
      <c r="F103" s="3" t="s">
        <v>417</v>
      </c>
      <c r="G103" s="3" t="s">
        <v>404</v>
      </c>
      <c r="H103" s="2" t="s">
        <v>225</v>
      </c>
      <c r="I103" s="1" t="s">
        <v>476</v>
      </c>
      <c r="J103" s="3" t="s">
        <v>224</v>
      </c>
    </row>
    <row r="104" spans="1:10" ht="60" x14ac:dyDescent="0.25">
      <c r="A104" s="1" t="s">
        <v>159</v>
      </c>
      <c r="B104" s="1" t="s">
        <v>446</v>
      </c>
      <c r="C104" s="1" t="s">
        <v>449</v>
      </c>
      <c r="D104" s="1" t="s">
        <v>521</v>
      </c>
      <c r="E104" s="3" t="s">
        <v>223</v>
      </c>
      <c r="F104" s="3" t="s">
        <v>417</v>
      </c>
      <c r="G104" s="3" t="s">
        <v>404</v>
      </c>
      <c r="H104" s="2" t="s">
        <v>226</v>
      </c>
      <c r="I104" s="1"/>
      <c r="J104" s="3" t="s">
        <v>7</v>
      </c>
    </row>
    <row r="105" spans="1:10" ht="135" x14ac:dyDescent="0.25">
      <c r="A105" s="1" t="s">
        <v>90</v>
      </c>
      <c r="B105" s="1" t="s">
        <v>418</v>
      </c>
      <c r="C105" s="1" t="s">
        <v>454</v>
      </c>
      <c r="D105" s="1" t="s">
        <v>482</v>
      </c>
      <c r="E105" s="3" t="s">
        <v>227</v>
      </c>
      <c r="F105" s="3" t="s">
        <v>417</v>
      </c>
      <c r="G105" s="3" t="s">
        <v>404</v>
      </c>
      <c r="H105" s="2" t="s">
        <v>228</v>
      </c>
      <c r="I105" s="1" t="s">
        <v>406</v>
      </c>
      <c r="J105" s="3" t="s">
        <v>56</v>
      </c>
    </row>
    <row r="106" spans="1:10" ht="135" x14ac:dyDescent="0.25">
      <c r="A106" s="1" t="s">
        <v>42</v>
      </c>
      <c r="B106" s="1" t="s">
        <v>457</v>
      </c>
      <c r="C106" s="1" t="s">
        <v>463</v>
      </c>
      <c r="D106" s="1" t="s">
        <v>464</v>
      </c>
      <c r="E106" s="3" t="s">
        <v>227</v>
      </c>
      <c r="F106" s="3" t="s">
        <v>417</v>
      </c>
      <c r="G106" s="3" t="s">
        <v>404</v>
      </c>
      <c r="H106" s="2" t="s">
        <v>229</v>
      </c>
      <c r="I106" s="1"/>
      <c r="J106" s="3" t="s">
        <v>7</v>
      </c>
    </row>
    <row r="107" spans="1:10" ht="45" x14ac:dyDescent="0.25">
      <c r="A107" s="1" t="s">
        <v>163</v>
      </c>
      <c r="B107" s="1" t="s">
        <v>418</v>
      </c>
      <c r="C107" s="1" t="s">
        <v>519</v>
      </c>
      <c r="D107" s="1" t="s">
        <v>520</v>
      </c>
      <c r="E107" s="3" t="s">
        <v>230</v>
      </c>
      <c r="F107" s="3" t="s">
        <v>417</v>
      </c>
      <c r="G107" s="3" t="s">
        <v>404</v>
      </c>
      <c r="H107" s="2" t="s">
        <v>231</v>
      </c>
      <c r="I107" s="1"/>
      <c r="J107" s="3" t="s">
        <v>79</v>
      </c>
    </row>
    <row r="108" spans="1:10" ht="45" x14ac:dyDescent="0.25">
      <c r="A108" s="1" t="s">
        <v>71</v>
      </c>
      <c r="B108" s="1" t="s">
        <v>424</v>
      </c>
      <c r="C108" s="1" t="s">
        <v>474</v>
      </c>
      <c r="D108" s="1" t="s">
        <v>475</v>
      </c>
      <c r="E108" s="3" t="s">
        <v>230</v>
      </c>
      <c r="F108" s="3" t="s">
        <v>417</v>
      </c>
      <c r="G108" s="3" t="s">
        <v>404</v>
      </c>
      <c r="H108" s="2" t="s">
        <v>232</v>
      </c>
      <c r="I108" s="1"/>
      <c r="J108" s="3" t="s">
        <v>79</v>
      </c>
    </row>
    <row r="109" spans="1:10" ht="45" x14ac:dyDescent="0.25">
      <c r="A109" s="1" t="s">
        <v>234</v>
      </c>
      <c r="B109" s="1" t="s">
        <v>531</v>
      </c>
      <c r="C109" s="1" t="s">
        <v>555</v>
      </c>
      <c r="D109" s="1" t="s">
        <v>556</v>
      </c>
      <c r="E109" s="3" t="s">
        <v>233</v>
      </c>
      <c r="F109" s="3" t="s">
        <v>417</v>
      </c>
      <c r="G109" s="3" t="s">
        <v>404</v>
      </c>
      <c r="H109" s="2" t="s">
        <v>235</v>
      </c>
      <c r="I109" s="1" t="s">
        <v>406</v>
      </c>
      <c r="J109" s="3" t="s">
        <v>1</v>
      </c>
    </row>
    <row r="110" spans="1:10" ht="45" x14ac:dyDescent="0.25">
      <c r="A110" s="1" t="s">
        <v>197</v>
      </c>
      <c r="B110" s="1" t="s">
        <v>418</v>
      </c>
      <c r="C110" s="1" t="s">
        <v>539</v>
      </c>
      <c r="D110" s="1" t="s">
        <v>540</v>
      </c>
      <c r="E110" s="3" t="s">
        <v>233</v>
      </c>
      <c r="F110" s="3" t="s">
        <v>417</v>
      </c>
      <c r="G110" s="3" t="s">
        <v>404</v>
      </c>
      <c r="H110" s="2" t="s">
        <v>236</v>
      </c>
      <c r="I110" s="1" t="s">
        <v>413</v>
      </c>
      <c r="J110" s="3" t="s">
        <v>1</v>
      </c>
    </row>
    <row r="111" spans="1:10" ht="45" x14ac:dyDescent="0.25">
      <c r="A111" s="1" t="s">
        <v>241</v>
      </c>
      <c r="B111" s="1" t="s">
        <v>418</v>
      </c>
      <c r="C111" s="1" t="s">
        <v>462</v>
      </c>
      <c r="D111" s="1" t="s">
        <v>505</v>
      </c>
      <c r="E111" s="3" t="s">
        <v>237</v>
      </c>
      <c r="F111" s="3" t="s">
        <v>417</v>
      </c>
      <c r="G111" s="3" t="s">
        <v>404</v>
      </c>
      <c r="H111" s="2" t="s">
        <v>242</v>
      </c>
      <c r="I111" s="1"/>
      <c r="J111" s="3" t="s">
        <v>79</v>
      </c>
    </row>
    <row r="112" spans="1:10" ht="105" x14ac:dyDescent="0.25">
      <c r="A112" s="1" t="s">
        <v>239</v>
      </c>
      <c r="B112" s="1" t="s">
        <v>424</v>
      </c>
      <c r="C112" s="1" t="s">
        <v>508</v>
      </c>
      <c r="D112" s="1" t="s">
        <v>509</v>
      </c>
      <c r="E112" s="3" t="s">
        <v>237</v>
      </c>
      <c r="F112" s="3" t="s">
        <v>417</v>
      </c>
      <c r="G112" s="3" t="s">
        <v>404</v>
      </c>
      <c r="H112" s="2" t="s">
        <v>240</v>
      </c>
      <c r="I112" s="1" t="s">
        <v>413</v>
      </c>
      <c r="J112" s="3" t="s">
        <v>238</v>
      </c>
    </row>
    <row r="113" spans="1:10" ht="30" x14ac:dyDescent="0.25">
      <c r="A113" s="1" t="s">
        <v>138</v>
      </c>
      <c r="B113" s="1" t="s">
        <v>409</v>
      </c>
      <c r="C113" s="1" t="s">
        <v>500</v>
      </c>
      <c r="D113" s="1" t="s">
        <v>449</v>
      </c>
      <c r="E113" s="3" t="s">
        <v>243</v>
      </c>
      <c r="F113" s="3" t="s">
        <v>417</v>
      </c>
      <c r="G113" s="3" t="s">
        <v>404</v>
      </c>
      <c r="H113" s="2" t="s">
        <v>244</v>
      </c>
      <c r="I113" s="1" t="s">
        <v>413</v>
      </c>
      <c r="J113" s="3" t="s">
        <v>161</v>
      </c>
    </row>
    <row r="114" spans="1:10" ht="30" x14ac:dyDescent="0.25">
      <c r="A114" s="1" t="s">
        <v>40</v>
      </c>
      <c r="B114" s="1" t="s">
        <v>418</v>
      </c>
      <c r="C114" s="1" t="s">
        <v>453</v>
      </c>
      <c r="D114" s="1" t="s">
        <v>454</v>
      </c>
      <c r="E114" s="3" t="s">
        <v>243</v>
      </c>
      <c r="F114" s="3" t="s">
        <v>417</v>
      </c>
      <c r="G114" s="3" t="s">
        <v>404</v>
      </c>
      <c r="H114" s="2" t="s">
        <v>245</v>
      </c>
      <c r="I114" s="1"/>
      <c r="J114" s="3" t="s">
        <v>161</v>
      </c>
    </row>
    <row r="115" spans="1:10" ht="30" x14ac:dyDescent="0.25">
      <c r="A115" s="1" t="s">
        <v>246</v>
      </c>
      <c r="B115" s="1" t="s">
        <v>557</v>
      </c>
      <c r="C115" s="1" t="s">
        <v>435</v>
      </c>
      <c r="D115" s="1" t="s">
        <v>544</v>
      </c>
      <c r="E115" s="3" t="s">
        <v>243</v>
      </c>
      <c r="F115" s="3" t="s">
        <v>417</v>
      </c>
      <c r="G115" s="3" t="s">
        <v>404</v>
      </c>
      <c r="H115" s="2" t="s">
        <v>248</v>
      </c>
      <c r="I115" s="1"/>
      <c r="J115" s="3" t="s">
        <v>161</v>
      </c>
    </row>
    <row r="116" spans="1:10" ht="30" x14ac:dyDescent="0.25">
      <c r="A116" s="1" t="s">
        <v>246</v>
      </c>
      <c r="B116" s="1" t="s">
        <v>557</v>
      </c>
      <c r="C116" s="1" t="s">
        <v>532</v>
      </c>
      <c r="D116" s="1" t="s">
        <v>558</v>
      </c>
      <c r="E116" s="3" t="s">
        <v>243</v>
      </c>
      <c r="F116" s="3" t="s">
        <v>417</v>
      </c>
      <c r="G116" s="3" t="s">
        <v>404</v>
      </c>
      <c r="H116" s="2" t="s">
        <v>247</v>
      </c>
      <c r="I116" s="1"/>
      <c r="J116" s="3" t="s">
        <v>161</v>
      </c>
    </row>
    <row r="117" spans="1:10" ht="30" x14ac:dyDescent="0.25">
      <c r="A117" s="1" t="s">
        <v>559</v>
      </c>
      <c r="B117" s="1" t="s">
        <v>437</v>
      </c>
      <c r="C117" s="1" t="s">
        <v>556</v>
      </c>
      <c r="D117" s="1" t="s">
        <v>436</v>
      </c>
      <c r="E117" s="3" t="s">
        <v>560</v>
      </c>
      <c r="F117" s="3" t="s">
        <v>403</v>
      </c>
      <c r="G117" s="3" t="s">
        <v>404</v>
      </c>
      <c r="H117" s="2"/>
      <c r="I117" s="1"/>
      <c r="J117" s="3" t="s">
        <v>561</v>
      </c>
    </row>
    <row r="118" spans="1:10" ht="30" x14ac:dyDescent="0.25">
      <c r="A118" s="1" t="s">
        <v>562</v>
      </c>
      <c r="B118" s="1" t="s">
        <v>418</v>
      </c>
      <c r="C118" s="1" t="s">
        <v>563</v>
      </c>
      <c r="D118" s="1" t="s">
        <v>484</v>
      </c>
      <c r="E118" s="3" t="s">
        <v>560</v>
      </c>
      <c r="F118" s="3" t="s">
        <v>403</v>
      </c>
      <c r="G118" s="3" t="s">
        <v>404</v>
      </c>
      <c r="H118" s="2" t="s">
        <v>564</v>
      </c>
      <c r="I118" s="1"/>
      <c r="J118" s="3" t="s">
        <v>63</v>
      </c>
    </row>
    <row r="119" spans="1:10" ht="30" x14ac:dyDescent="0.25">
      <c r="A119" s="1" t="s">
        <v>22</v>
      </c>
      <c r="B119" s="1" t="s">
        <v>424</v>
      </c>
      <c r="C119" s="1" t="s">
        <v>427</v>
      </c>
      <c r="D119" s="1" t="s">
        <v>428</v>
      </c>
      <c r="E119" s="3" t="s">
        <v>565</v>
      </c>
      <c r="F119" s="3" t="s">
        <v>403</v>
      </c>
      <c r="G119" s="3" t="s">
        <v>404</v>
      </c>
      <c r="H119" s="2" t="s">
        <v>566</v>
      </c>
      <c r="I119" s="1"/>
      <c r="J119" s="3" t="s">
        <v>567</v>
      </c>
    </row>
    <row r="120" spans="1:10" ht="30" x14ac:dyDescent="0.25">
      <c r="A120" s="1" t="s">
        <v>239</v>
      </c>
      <c r="B120" s="1" t="s">
        <v>424</v>
      </c>
      <c r="C120" s="1" t="s">
        <v>508</v>
      </c>
      <c r="D120" s="1" t="s">
        <v>509</v>
      </c>
      <c r="E120" s="3" t="s">
        <v>565</v>
      </c>
      <c r="F120" s="3" t="s">
        <v>403</v>
      </c>
      <c r="G120" s="3" t="s">
        <v>404</v>
      </c>
      <c r="H120" s="2" t="s">
        <v>568</v>
      </c>
      <c r="I120" s="1"/>
      <c r="J120" s="3" t="s">
        <v>567</v>
      </c>
    </row>
    <row r="121" spans="1:10" ht="75" x14ac:dyDescent="0.25">
      <c r="A121" s="1" t="s">
        <v>257</v>
      </c>
      <c r="B121" s="1" t="s">
        <v>418</v>
      </c>
      <c r="C121" s="1" t="s">
        <v>569</v>
      </c>
      <c r="D121" s="1" t="s">
        <v>410</v>
      </c>
      <c r="E121" s="3" t="s">
        <v>249</v>
      </c>
      <c r="F121" s="3" t="s">
        <v>417</v>
      </c>
      <c r="G121" s="3" t="s">
        <v>404</v>
      </c>
      <c r="H121" s="2" t="s">
        <v>258</v>
      </c>
      <c r="I121" s="1" t="s">
        <v>442</v>
      </c>
      <c r="J121" s="3" t="s">
        <v>256</v>
      </c>
    </row>
    <row r="122" spans="1:10" ht="45" x14ac:dyDescent="0.25">
      <c r="A122" s="1" t="s">
        <v>120</v>
      </c>
      <c r="B122" s="1" t="s">
        <v>496</v>
      </c>
      <c r="C122" s="1" t="s">
        <v>482</v>
      </c>
      <c r="D122" s="1" t="s">
        <v>466</v>
      </c>
      <c r="E122" s="3" t="s">
        <v>249</v>
      </c>
      <c r="F122" s="3" t="s">
        <v>417</v>
      </c>
      <c r="G122" s="3" t="s">
        <v>404</v>
      </c>
      <c r="H122" s="2" t="s">
        <v>251</v>
      </c>
      <c r="I122" s="1" t="s">
        <v>413</v>
      </c>
      <c r="J122" s="3" t="s">
        <v>250</v>
      </c>
    </row>
    <row r="123" spans="1:10" ht="60" x14ac:dyDescent="0.25">
      <c r="A123" s="1" t="s">
        <v>246</v>
      </c>
      <c r="B123" s="1" t="s">
        <v>557</v>
      </c>
      <c r="C123" s="1" t="s">
        <v>532</v>
      </c>
      <c r="D123" s="1" t="s">
        <v>558</v>
      </c>
      <c r="E123" s="3" t="s">
        <v>249</v>
      </c>
      <c r="F123" s="3" t="s">
        <v>417</v>
      </c>
      <c r="G123" s="3" t="s">
        <v>404</v>
      </c>
      <c r="H123" s="2" t="s">
        <v>255</v>
      </c>
      <c r="I123" s="1" t="s">
        <v>413</v>
      </c>
      <c r="J123" s="3" t="s">
        <v>53</v>
      </c>
    </row>
    <row r="124" spans="1:10" ht="45" x14ac:dyDescent="0.25">
      <c r="A124" s="1" t="s">
        <v>252</v>
      </c>
      <c r="B124" s="1" t="s">
        <v>570</v>
      </c>
      <c r="C124" s="1" t="s">
        <v>571</v>
      </c>
      <c r="D124" s="1" t="s">
        <v>464</v>
      </c>
      <c r="E124" s="3" t="s">
        <v>249</v>
      </c>
      <c r="F124" s="3" t="s">
        <v>417</v>
      </c>
      <c r="G124" s="3" t="s">
        <v>404</v>
      </c>
      <c r="H124" s="2" t="s">
        <v>253</v>
      </c>
      <c r="I124" s="1" t="s">
        <v>442</v>
      </c>
      <c r="J124" s="3" t="s">
        <v>250</v>
      </c>
    </row>
    <row r="125" spans="1:10" ht="45" x14ac:dyDescent="0.25">
      <c r="A125" s="1" t="s">
        <v>44</v>
      </c>
      <c r="B125" s="1" t="s">
        <v>465</v>
      </c>
      <c r="C125" s="1" t="s">
        <v>466</v>
      </c>
      <c r="D125" s="1" t="s">
        <v>467</v>
      </c>
      <c r="E125" s="3" t="s">
        <v>249</v>
      </c>
      <c r="F125" s="3" t="s">
        <v>417</v>
      </c>
      <c r="G125" s="3" t="s">
        <v>404</v>
      </c>
      <c r="H125" s="2" t="s">
        <v>254</v>
      </c>
      <c r="I125" s="1" t="s">
        <v>413</v>
      </c>
      <c r="J125" s="3" t="s">
        <v>1</v>
      </c>
    </row>
    <row r="126" spans="1:10" ht="45" x14ac:dyDescent="0.25">
      <c r="A126" s="1" t="s">
        <v>259</v>
      </c>
      <c r="B126" s="1" t="s">
        <v>465</v>
      </c>
      <c r="C126" s="1" t="s">
        <v>543</v>
      </c>
      <c r="D126" s="1" t="s">
        <v>527</v>
      </c>
      <c r="E126" s="3" t="s">
        <v>249</v>
      </c>
      <c r="F126" s="3" t="s">
        <v>417</v>
      </c>
      <c r="G126" s="3" t="s">
        <v>404</v>
      </c>
      <c r="H126" s="2" t="s">
        <v>260</v>
      </c>
      <c r="I126" s="1"/>
      <c r="J126" s="3" t="s">
        <v>168</v>
      </c>
    </row>
    <row r="127" spans="1:10" ht="45" x14ac:dyDescent="0.25">
      <c r="A127" s="1" t="s">
        <v>262</v>
      </c>
      <c r="B127" s="1" t="s">
        <v>409</v>
      </c>
      <c r="C127" s="1" t="s">
        <v>425</v>
      </c>
      <c r="D127" s="1" t="s">
        <v>426</v>
      </c>
      <c r="E127" s="3" t="s">
        <v>261</v>
      </c>
      <c r="F127" s="3" t="s">
        <v>417</v>
      </c>
      <c r="G127" s="3" t="s">
        <v>404</v>
      </c>
      <c r="H127" s="2" t="s">
        <v>263</v>
      </c>
      <c r="I127" s="1"/>
      <c r="J127" s="3" t="s">
        <v>7</v>
      </c>
    </row>
    <row r="128" spans="1:10" ht="45" x14ac:dyDescent="0.25">
      <c r="A128" s="1" t="s">
        <v>30</v>
      </c>
      <c r="B128" s="1" t="s">
        <v>443</v>
      </c>
      <c r="C128" s="1" t="s">
        <v>572</v>
      </c>
      <c r="D128" s="1" t="s">
        <v>573</v>
      </c>
      <c r="E128" s="3" t="s">
        <v>261</v>
      </c>
      <c r="F128" s="3" t="s">
        <v>417</v>
      </c>
      <c r="G128" s="3" t="s">
        <v>404</v>
      </c>
      <c r="H128" s="2"/>
      <c r="I128" s="1"/>
      <c r="J128" s="3" t="s">
        <v>7</v>
      </c>
    </row>
    <row r="129" spans="1:10" ht="90" x14ac:dyDescent="0.25">
      <c r="A129" s="1" t="s">
        <v>22</v>
      </c>
      <c r="B129" s="1" t="s">
        <v>424</v>
      </c>
      <c r="C129" s="1" t="s">
        <v>427</v>
      </c>
      <c r="D129" s="1" t="s">
        <v>428</v>
      </c>
      <c r="E129" s="3" t="s">
        <v>264</v>
      </c>
      <c r="F129" s="3" t="s">
        <v>417</v>
      </c>
      <c r="G129" s="3" t="s">
        <v>404</v>
      </c>
      <c r="H129" s="2" t="s">
        <v>266</v>
      </c>
      <c r="I129" s="1" t="s">
        <v>476</v>
      </c>
      <c r="J129" s="3" t="s">
        <v>265</v>
      </c>
    </row>
    <row r="130" spans="1:10" ht="90" x14ac:dyDescent="0.25">
      <c r="A130" s="1" t="s">
        <v>74</v>
      </c>
      <c r="B130" s="1" t="s">
        <v>457</v>
      </c>
      <c r="C130" s="1" t="s">
        <v>472</v>
      </c>
      <c r="D130" s="1" t="s">
        <v>473</v>
      </c>
      <c r="E130" s="3" t="s">
        <v>264</v>
      </c>
      <c r="F130" s="3" t="s">
        <v>417</v>
      </c>
      <c r="G130" s="3" t="s">
        <v>404</v>
      </c>
      <c r="H130" s="2" t="s">
        <v>267</v>
      </c>
      <c r="I130" s="1" t="s">
        <v>442</v>
      </c>
      <c r="J130" s="3" t="s">
        <v>265</v>
      </c>
    </row>
    <row r="131" spans="1:10" ht="90" x14ac:dyDescent="0.25">
      <c r="A131" s="1" t="s">
        <v>270</v>
      </c>
      <c r="B131" s="1" t="s">
        <v>574</v>
      </c>
      <c r="C131" s="1" t="s">
        <v>575</v>
      </c>
      <c r="D131" s="1" t="s">
        <v>499</v>
      </c>
      <c r="E131" s="3" t="s">
        <v>268</v>
      </c>
      <c r="F131" s="3" t="s">
        <v>417</v>
      </c>
      <c r="G131" s="3" t="s">
        <v>404</v>
      </c>
      <c r="H131" s="2" t="s">
        <v>271</v>
      </c>
      <c r="I131" s="1" t="s">
        <v>576</v>
      </c>
      <c r="J131" s="3" t="s">
        <v>269</v>
      </c>
    </row>
    <row r="132" spans="1:10" ht="90" x14ac:dyDescent="0.25">
      <c r="A132" s="1" t="s">
        <v>170</v>
      </c>
      <c r="B132" s="1" t="s">
        <v>421</v>
      </c>
      <c r="C132" s="1" t="s">
        <v>524</v>
      </c>
      <c r="D132" s="1" t="s">
        <v>486</v>
      </c>
      <c r="E132" s="3" t="s">
        <v>268</v>
      </c>
      <c r="F132" s="3" t="s">
        <v>417</v>
      </c>
      <c r="G132" s="3" t="s">
        <v>404</v>
      </c>
      <c r="H132" s="2" t="s">
        <v>273</v>
      </c>
      <c r="I132" s="1"/>
      <c r="J132" s="3" t="s">
        <v>272</v>
      </c>
    </row>
    <row r="133" spans="1:10" ht="60" x14ac:dyDescent="0.25">
      <c r="A133" s="1" t="s">
        <v>8</v>
      </c>
      <c r="B133" s="1" t="s">
        <v>421</v>
      </c>
      <c r="C133" s="1" t="s">
        <v>422</v>
      </c>
      <c r="D133" s="1" t="s">
        <v>423</v>
      </c>
      <c r="E133" s="3" t="s">
        <v>274</v>
      </c>
      <c r="F133" s="3" t="s">
        <v>417</v>
      </c>
      <c r="G133" s="3" t="s">
        <v>404</v>
      </c>
      <c r="H133" s="2" t="s">
        <v>276</v>
      </c>
      <c r="I133" s="1" t="s">
        <v>413</v>
      </c>
      <c r="J133" s="3" t="s">
        <v>196</v>
      </c>
    </row>
    <row r="134" spans="1:10" ht="60" x14ac:dyDescent="0.25">
      <c r="A134" s="1" t="s">
        <v>71</v>
      </c>
      <c r="B134" s="1" t="s">
        <v>424</v>
      </c>
      <c r="C134" s="1" t="s">
        <v>474</v>
      </c>
      <c r="D134" s="1" t="s">
        <v>475</v>
      </c>
      <c r="E134" s="3" t="s">
        <v>274</v>
      </c>
      <c r="F134" s="3" t="s">
        <v>417</v>
      </c>
      <c r="G134" s="3" t="s">
        <v>404</v>
      </c>
      <c r="H134" s="2" t="s">
        <v>275</v>
      </c>
      <c r="I134" s="1" t="s">
        <v>413</v>
      </c>
      <c r="J134" s="3" t="s">
        <v>70</v>
      </c>
    </row>
    <row r="135" spans="1:10" ht="60" x14ac:dyDescent="0.25">
      <c r="A135" s="1" t="s">
        <v>30</v>
      </c>
      <c r="B135" s="1" t="s">
        <v>443</v>
      </c>
      <c r="C135" s="1" t="s">
        <v>444</v>
      </c>
      <c r="D135" s="1" t="s">
        <v>445</v>
      </c>
      <c r="E135" s="3" t="s">
        <v>274</v>
      </c>
      <c r="F135" s="3" t="s">
        <v>417</v>
      </c>
      <c r="G135" s="3" t="s">
        <v>404</v>
      </c>
      <c r="H135" s="2" t="s">
        <v>277</v>
      </c>
      <c r="I135" s="1" t="s">
        <v>406</v>
      </c>
      <c r="J135" s="3" t="s">
        <v>56</v>
      </c>
    </row>
    <row r="136" spans="1:10" ht="60" x14ac:dyDescent="0.25">
      <c r="A136" s="1" t="s">
        <v>278</v>
      </c>
      <c r="B136" s="1" t="s">
        <v>414</v>
      </c>
      <c r="C136" s="1" t="s">
        <v>449</v>
      </c>
      <c r="D136" s="1" t="s">
        <v>521</v>
      </c>
      <c r="E136" s="3" t="s">
        <v>274</v>
      </c>
      <c r="F136" s="3" t="s">
        <v>417</v>
      </c>
      <c r="G136" s="3" t="s">
        <v>404</v>
      </c>
      <c r="H136" s="2" t="s">
        <v>279</v>
      </c>
      <c r="I136" s="1" t="s">
        <v>406</v>
      </c>
      <c r="J136" s="3" t="s">
        <v>56</v>
      </c>
    </row>
    <row r="137" spans="1:10" ht="60" x14ac:dyDescent="0.25">
      <c r="A137" s="1" t="s">
        <v>8</v>
      </c>
      <c r="B137" s="1" t="s">
        <v>421</v>
      </c>
      <c r="C137" s="1" t="s">
        <v>422</v>
      </c>
      <c r="D137" s="1" t="s">
        <v>423</v>
      </c>
      <c r="E137" s="3" t="s">
        <v>280</v>
      </c>
      <c r="F137" s="3" t="s">
        <v>417</v>
      </c>
      <c r="G137" s="3" t="s">
        <v>404</v>
      </c>
      <c r="H137" s="2" t="s">
        <v>284</v>
      </c>
      <c r="I137" s="1" t="s">
        <v>442</v>
      </c>
      <c r="J137" s="3" t="s">
        <v>283</v>
      </c>
    </row>
    <row r="138" spans="1:10" ht="60" x14ac:dyDescent="0.25">
      <c r="A138" s="1" t="s">
        <v>170</v>
      </c>
      <c r="B138" s="1" t="s">
        <v>421</v>
      </c>
      <c r="C138" s="1" t="s">
        <v>524</v>
      </c>
      <c r="D138" s="1" t="s">
        <v>486</v>
      </c>
      <c r="E138" s="3" t="s">
        <v>280</v>
      </c>
      <c r="F138" s="3" t="s">
        <v>417</v>
      </c>
      <c r="G138" s="3" t="s">
        <v>404</v>
      </c>
      <c r="H138" s="2" t="s">
        <v>282</v>
      </c>
      <c r="I138" s="1" t="s">
        <v>413</v>
      </c>
      <c r="J138" s="3" t="s">
        <v>281</v>
      </c>
    </row>
    <row r="139" spans="1:10" ht="45" x14ac:dyDescent="0.25">
      <c r="A139" s="1" t="s">
        <v>287</v>
      </c>
      <c r="B139" s="1" t="s">
        <v>511</v>
      </c>
      <c r="C139" s="1" t="s">
        <v>512</v>
      </c>
      <c r="D139" s="1" t="s">
        <v>513</v>
      </c>
      <c r="E139" s="3" t="s">
        <v>285</v>
      </c>
      <c r="F139" s="3" t="s">
        <v>417</v>
      </c>
      <c r="G139" s="3" t="s">
        <v>404</v>
      </c>
      <c r="H139" s="2" t="s">
        <v>288</v>
      </c>
      <c r="I139" s="1" t="s">
        <v>406</v>
      </c>
      <c r="J139" s="3" t="s">
        <v>286</v>
      </c>
    </row>
    <row r="140" spans="1:10" ht="45" x14ac:dyDescent="0.25">
      <c r="A140" s="1" t="s">
        <v>289</v>
      </c>
      <c r="B140" s="1" t="s">
        <v>457</v>
      </c>
      <c r="C140" s="1" t="s">
        <v>577</v>
      </c>
      <c r="D140" s="1" t="s">
        <v>578</v>
      </c>
      <c r="E140" s="3" t="s">
        <v>285</v>
      </c>
      <c r="F140" s="3" t="s">
        <v>417</v>
      </c>
      <c r="G140" s="3" t="s">
        <v>404</v>
      </c>
      <c r="H140" s="2" t="s">
        <v>290</v>
      </c>
      <c r="I140" s="1" t="s">
        <v>413</v>
      </c>
      <c r="J140" s="3" t="s">
        <v>265</v>
      </c>
    </row>
    <row r="141" spans="1:10" ht="30" x14ac:dyDescent="0.25">
      <c r="A141" s="1" t="s">
        <v>579</v>
      </c>
      <c r="B141" s="1" t="s">
        <v>457</v>
      </c>
      <c r="C141" s="1" t="s">
        <v>580</v>
      </c>
      <c r="D141" s="1" t="s">
        <v>581</v>
      </c>
      <c r="E141" s="3" t="s">
        <v>582</v>
      </c>
      <c r="F141" s="3" t="s">
        <v>403</v>
      </c>
      <c r="G141" s="3" t="s">
        <v>404</v>
      </c>
      <c r="H141" s="2" t="s">
        <v>583</v>
      </c>
      <c r="I141" s="1"/>
      <c r="J141" s="3" t="s">
        <v>584</v>
      </c>
    </row>
    <row r="142" spans="1:10" ht="75" x14ac:dyDescent="0.25">
      <c r="A142" s="1" t="s">
        <v>170</v>
      </c>
      <c r="B142" s="1" t="s">
        <v>421</v>
      </c>
      <c r="C142" s="1" t="s">
        <v>524</v>
      </c>
      <c r="D142" s="1" t="s">
        <v>486</v>
      </c>
      <c r="E142" s="3" t="s">
        <v>582</v>
      </c>
      <c r="F142" s="3" t="s">
        <v>403</v>
      </c>
      <c r="G142" s="3" t="s">
        <v>404</v>
      </c>
      <c r="H142" s="2" t="s">
        <v>585</v>
      </c>
      <c r="I142" s="1"/>
      <c r="J142" s="3" t="s">
        <v>272</v>
      </c>
    </row>
    <row r="143" spans="1:10" ht="60" x14ac:dyDescent="0.25">
      <c r="A143" s="1" t="s">
        <v>154</v>
      </c>
      <c r="B143" s="1" t="s">
        <v>515</v>
      </c>
      <c r="C143" s="1" t="s">
        <v>445</v>
      </c>
      <c r="D143" s="1" t="s">
        <v>516</v>
      </c>
      <c r="E143" s="3" t="s">
        <v>291</v>
      </c>
      <c r="F143" s="3" t="s">
        <v>417</v>
      </c>
      <c r="G143" s="3" t="s">
        <v>404</v>
      </c>
      <c r="H143" s="2" t="s">
        <v>294</v>
      </c>
      <c r="I143" s="1" t="s">
        <v>413</v>
      </c>
      <c r="J143" s="3" t="s">
        <v>7</v>
      </c>
    </row>
    <row r="144" spans="1:10" ht="60" x14ac:dyDescent="0.25">
      <c r="A144" s="1" t="s">
        <v>292</v>
      </c>
      <c r="B144" s="1" t="s">
        <v>418</v>
      </c>
      <c r="C144" s="1" t="s">
        <v>541</v>
      </c>
      <c r="D144" s="1" t="s">
        <v>586</v>
      </c>
      <c r="E144" s="3" t="s">
        <v>291</v>
      </c>
      <c r="F144" s="3" t="s">
        <v>417</v>
      </c>
      <c r="G144" s="3" t="s">
        <v>404</v>
      </c>
      <c r="H144" s="2" t="s">
        <v>293</v>
      </c>
      <c r="I144" s="1"/>
      <c r="J144" s="3" t="s">
        <v>34</v>
      </c>
    </row>
    <row r="145" spans="1:10" ht="30" x14ac:dyDescent="0.25">
      <c r="A145" s="1" t="s">
        <v>296</v>
      </c>
      <c r="B145" s="1" t="s">
        <v>409</v>
      </c>
      <c r="C145" s="1" t="s">
        <v>587</v>
      </c>
      <c r="D145" s="1" t="s">
        <v>401</v>
      </c>
      <c r="E145" s="3" t="s">
        <v>295</v>
      </c>
      <c r="F145" s="3" t="s">
        <v>417</v>
      </c>
      <c r="G145" s="3" t="s">
        <v>404</v>
      </c>
      <c r="H145" s="2" t="s">
        <v>297</v>
      </c>
      <c r="I145" s="1" t="s">
        <v>406</v>
      </c>
      <c r="J145" s="3" t="s">
        <v>125</v>
      </c>
    </row>
    <row r="146" spans="1:10" ht="60" x14ac:dyDescent="0.25">
      <c r="A146" s="1" t="s">
        <v>257</v>
      </c>
      <c r="B146" s="1" t="s">
        <v>418</v>
      </c>
      <c r="C146" s="1" t="s">
        <v>569</v>
      </c>
      <c r="D146" s="1" t="s">
        <v>410</v>
      </c>
      <c r="E146" s="3" t="s">
        <v>298</v>
      </c>
      <c r="F146" s="3" t="s">
        <v>417</v>
      </c>
      <c r="G146" s="3" t="s">
        <v>404</v>
      </c>
      <c r="H146" s="2" t="s">
        <v>302</v>
      </c>
      <c r="I146" s="1" t="s">
        <v>413</v>
      </c>
      <c r="J146" s="3" t="s">
        <v>265</v>
      </c>
    </row>
    <row r="147" spans="1:10" ht="60" x14ac:dyDescent="0.25">
      <c r="A147" s="1" t="s">
        <v>300</v>
      </c>
      <c r="B147" s="1" t="s">
        <v>418</v>
      </c>
      <c r="C147" s="1" t="s">
        <v>588</v>
      </c>
      <c r="D147" s="1" t="s">
        <v>456</v>
      </c>
      <c r="E147" s="3" t="s">
        <v>298</v>
      </c>
      <c r="F147" s="3" t="s">
        <v>417</v>
      </c>
      <c r="G147" s="3" t="s">
        <v>404</v>
      </c>
      <c r="H147" s="2" t="s">
        <v>301</v>
      </c>
      <c r="I147" s="1"/>
      <c r="J147" s="3" t="s">
        <v>7</v>
      </c>
    </row>
    <row r="148" spans="1:10" ht="60" x14ac:dyDescent="0.25">
      <c r="A148" s="1" t="s">
        <v>13</v>
      </c>
      <c r="B148" s="1" t="s">
        <v>437</v>
      </c>
      <c r="C148" s="1" t="s">
        <v>438</v>
      </c>
      <c r="D148" s="1" t="s">
        <v>439</v>
      </c>
      <c r="E148" s="3" t="s">
        <v>298</v>
      </c>
      <c r="F148" s="3" t="s">
        <v>417</v>
      </c>
      <c r="G148" s="3" t="s">
        <v>404</v>
      </c>
      <c r="H148" s="2" t="s">
        <v>299</v>
      </c>
      <c r="I148" s="1" t="s">
        <v>406</v>
      </c>
      <c r="J148" s="3" t="s">
        <v>1</v>
      </c>
    </row>
    <row r="149" spans="1:10" ht="60" x14ac:dyDescent="0.25">
      <c r="A149" s="1" t="s">
        <v>257</v>
      </c>
      <c r="B149" s="1" t="s">
        <v>418</v>
      </c>
      <c r="C149" s="1" t="s">
        <v>569</v>
      </c>
      <c r="D149" s="1" t="s">
        <v>410</v>
      </c>
      <c r="E149" s="3" t="s">
        <v>303</v>
      </c>
      <c r="F149" s="3" t="s">
        <v>417</v>
      </c>
      <c r="G149" s="3" t="s">
        <v>404</v>
      </c>
      <c r="H149" s="2" t="s">
        <v>306</v>
      </c>
      <c r="I149" s="1" t="s">
        <v>413</v>
      </c>
      <c r="J149" s="3" t="s">
        <v>265</v>
      </c>
    </row>
    <row r="150" spans="1:10" ht="60" x14ac:dyDescent="0.25">
      <c r="A150" s="1" t="s">
        <v>40</v>
      </c>
      <c r="B150" s="1" t="s">
        <v>418</v>
      </c>
      <c r="C150" s="1" t="s">
        <v>453</v>
      </c>
      <c r="D150" s="1" t="s">
        <v>454</v>
      </c>
      <c r="E150" s="3" t="s">
        <v>303</v>
      </c>
      <c r="F150" s="3" t="s">
        <v>417</v>
      </c>
      <c r="G150" s="3" t="s">
        <v>404</v>
      </c>
      <c r="H150" s="2" t="s">
        <v>307</v>
      </c>
      <c r="I150" s="1" t="s">
        <v>413</v>
      </c>
      <c r="J150" s="3" t="s">
        <v>265</v>
      </c>
    </row>
    <row r="151" spans="1:10" ht="60" x14ac:dyDescent="0.25">
      <c r="A151" s="1" t="s">
        <v>42</v>
      </c>
      <c r="B151" s="1" t="s">
        <v>457</v>
      </c>
      <c r="C151" s="1" t="s">
        <v>463</v>
      </c>
      <c r="D151" s="1" t="s">
        <v>464</v>
      </c>
      <c r="E151" s="3" t="s">
        <v>303</v>
      </c>
      <c r="F151" s="3" t="s">
        <v>417</v>
      </c>
      <c r="G151" s="3" t="s">
        <v>404</v>
      </c>
      <c r="H151" s="2" t="s">
        <v>304</v>
      </c>
      <c r="I151" s="1" t="s">
        <v>413</v>
      </c>
      <c r="J151" s="3" t="s">
        <v>1</v>
      </c>
    </row>
    <row r="152" spans="1:10" ht="60" x14ac:dyDescent="0.25">
      <c r="A152" s="1" t="s">
        <v>287</v>
      </c>
      <c r="B152" s="1" t="s">
        <v>511</v>
      </c>
      <c r="C152" s="1" t="s">
        <v>512</v>
      </c>
      <c r="D152" s="1" t="s">
        <v>513</v>
      </c>
      <c r="E152" s="3" t="s">
        <v>303</v>
      </c>
      <c r="F152" s="3" t="s">
        <v>417</v>
      </c>
      <c r="G152" s="3" t="s">
        <v>404</v>
      </c>
      <c r="H152" s="2" t="s">
        <v>305</v>
      </c>
      <c r="I152" s="1" t="s">
        <v>406</v>
      </c>
      <c r="J152" s="3" t="s">
        <v>34</v>
      </c>
    </row>
    <row r="153" spans="1:10" ht="60" x14ac:dyDescent="0.25">
      <c r="A153" s="1" t="s">
        <v>77</v>
      </c>
      <c r="B153" s="1" t="s">
        <v>424</v>
      </c>
      <c r="C153" s="1" t="s">
        <v>477</v>
      </c>
      <c r="D153" s="1" t="s">
        <v>478</v>
      </c>
      <c r="E153" s="3" t="s">
        <v>308</v>
      </c>
      <c r="F153" s="3" t="s">
        <v>417</v>
      </c>
      <c r="G153" s="3" t="s">
        <v>404</v>
      </c>
      <c r="H153" s="2" t="s">
        <v>310</v>
      </c>
      <c r="I153" s="1" t="s">
        <v>406</v>
      </c>
      <c r="J153" s="3" t="s">
        <v>309</v>
      </c>
    </row>
    <row r="154" spans="1:10" ht="60" x14ac:dyDescent="0.25">
      <c r="A154" s="1" t="s">
        <v>311</v>
      </c>
      <c r="B154" s="1" t="s">
        <v>457</v>
      </c>
      <c r="C154" s="1" t="s">
        <v>589</v>
      </c>
      <c r="D154" s="1" t="s">
        <v>590</v>
      </c>
      <c r="E154" s="3" t="s">
        <v>308</v>
      </c>
      <c r="F154" s="3" t="s">
        <v>417</v>
      </c>
      <c r="G154" s="3" t="s">
        <v>404</v>
      </c>
      <c r="H154" s="2" t="s">
        <v>312</v>
      </c>
      <c r="I154" s="1" t="s">
        <v>406</v>
      </c>
      <c r="J154" s="3" t="s">
        <v>309</v>
      </c>
    </row>
    <row r="155" spans="1:10" ht="45" x14ac:dyDescent="0.25">
      <c r="A155" s="1" t="s">
        <v>314</v>
      </c>
      <c r="B155" s="1" t="s">
        <v>418</v>
      </c>
      <c r="C155" s="1" t="s">
        <v>591</v>
      </c>
      <c r="D155" s="1" t="s">
        <v>432</v>
      </c>
      <c r="E155" s="3" t="s">
        <v>313</v>
      </c>
      <c r="F155" s="3" t="s">
        <v>417</v>
      </c>
      <c r="G155" s="3" t="s">
        <v>404</v>
      </c>
      <c r="H155" s="2" t="s">
        <v>315</v>
      </c>
      <c r="I155" s="1"/>
      <c r="J155" s="3" t="s">
        <v>7</v>
      </c>
    </row>
    <row r="156" spans="1:10" ht="45" x14ac:dyDescent="0.25">
      <c r="A156" s="1" t="s">
        <v>316</v>
      </c>
      <c r="B156" s="1" t="s">
        <v>592</v>
      </c>
      <c r="C156" s="1" t="s">
        <v>593</v>
      </c>
      <c r="D156" s="1" t="s">
        <v>544</v>
      </c>
      <c r="E156" s="3" t="s">
        <v>313</v>
      </c>
      <c r="F156" s="3" t="s">
        <v>417</v>
      </c>
      <c r="G156" s="3" t="s">
        <v>404</v>
      </c>
      <c r="H156" s="2" t="s">
        <v>317</v>
      </c>
      <c r="I156" s="1"/>
      <c r="J156" s="3" t="s">
        <v>7</v>
      </c>
    </row>
    <row r="157" spans="1:10" ht="90" x14ac:dyDescent="0.25">
      <c r="A157" s="1" t="s">
        <v>262</v>
      </c>
      <c r="B157" s="1" t="s">
        <v>409</v>
      </c>
      <c r="C157" s="1" t="s">
        <v>425</v>
      </c>
      <c r="D157" s="1" t="s">
        <v>426</v>
      </c>
      <c r="E157" s="3" t="s">
        <v>318</v>
      </c>
      <c r="F157" s="3" t="s">
        <v>417</v>
      </c>
      <c r="G157" s="3" t="s">
        <v>404</v>
      </c>
      <c r="H157" s="2" t="s">
        <v>320</v>
      </c>
      <c r="I157" s="1"/>
      <c r="J157" s="3" t="s">
        <v>319</v>
      </c>
    </row>
    <row r="158" spans="1:10" ht="90" x14ac:dyDescent="0.25">
      <c r="A158" s="1" t="s">
        <v>321</v>
      </c>
      <c r="B158" s="1" t="s">
        <v>511</v>
      </c>
      <c r="C158" s="1" t="s">
        <v>594</v>
      </c>
      <c r="D158" s="1" t="s">
        <v>456</v>
      </c>
      <c r="E158" s="3" t="s">
        <v>318</v>
      </c>
      <c r="F158" s="3" t="s">
        <v>417</v>
      </c>
      <c r="G158" s="3" t="s">
        <v>404</v>
      </c>
      <c r="H158" s="2" t="s">
        <v>322</v>
      </c>
      <c r="I158" s="1"/>
      <c r="J158" s="3" t="s">
        <v>319</v>
      </c>
    </row>
    <row r="159" spans="1:10" ht="30" x14ac:dyDescent="0.25">
      <c r="A159" s="1" t="s">
        <v>126</v>
      </c>
      <c r="B159" s="1" t="s">
        <v>399</v>
      </c>
      <c r="C159" s="1" t="s">
        <v>400</v>
      </c>
      <c r="D159" s="1" t="s">
        <v>401</v>
      </c>
      <c r="E159" s="3" t="s">
        <v>595</v>
      </c>
      <c r="F159" s="3" t="s">
        <v>403</v>
      </c>
      <c r="G159" s="3" t="s">
        <v>404</v>
      </c>
      <c r="H159" s="2" t="s">
        <v>596</v>
      </c>
      <c r="I159" s="1" t="s">
        <v>413</v>
      </c>
      <c r="J159" s="3" t="s">
        <v>597</v>
      </c>
    </row>
    <row r="160" spans="1:10" ht="30" x14ac:dyDescent="0.25">
      <c r="A160" s="1" t="s">
        <v>4</v>
      </c>
      <c r="B160" s="1" t="s">
        <v>418</v>
      </c>
      <c r="C160" s="1" t="s">
        <v>419</v>
      </c>
      <c r="D160" s="1" t="s">
        <v>420</v>
      </c>
      <c r="E160" s="3" t="s">
        <v>595</v>
      </c>
      <c r="F160" s="3" t="s">
        <v>403</v>
      </c>
      <c r="G160" s="3" t="s">
        <v>404</v>
      </c>
      <c r="H160" s="2" t="s">
        <v>598</v>
      </c>
      <c r="I160" s="1" t="s">
        <v>406</v>
      </c>
      <c r="J160" s="3" t="s">
        <v>597</v>
      </c>
    </row>
    <row r="161" spans="1:10" ht="45" x14ac:dyDescent="0.25">
      <c r="A161" s="1" t="s">
        <v>22</v>
      </c>
      <c r="B161" s="1" t="s">
        <v>424</v>
      </c>
      <c r="C161" s="1" t="s">
        <v>427</v>
      </c>
      <c r="D161" s="1" t="s">
        <v>428</v>
      </c>
      <c r="E161" s="3" t="s">
        <v>323</v>
      </c>
      <c r="F161" s="3" t="s">
        <v>417</v>
      </c>
      <c r="G161" s="3" t="s">
        <v>404</v>
      </c>
      <c r="H161" s="2" t="s">
        <v>324</v>
      </c>
      <c r="I161" s="1" t="s">
        <v>413</v>
      </c>
      <c r="J161" s="3" t="s">
        <v>27</v>
      </c>
    </row>
    <row r="162" spans="1:10" x14ac:dyDescent="0.25">
      <c r="A162" s="1" t="s">
        <v>246</v>
      </c>
      <c r="B162" s="1" t="s">
        <v>557</v>
      </c>
      <c r="C162" s="1" t="s">
        <v>435</v>
      </c>
      <c r="D162" s="1" t="s">
        <v>544</v>
      </c>
      <c r="E162" s="3" t="s">
        <v>323</v>
      </c>
      <c r="F162" s="3" t="s">
        <v>417</v>
      </c>
      <c r="G162" s="3" t="s">
        <v>404</v>
      </c>
      <c r="H162" s="2" t="s">
        <v>326</v>
      </c>
      <c r="I162" s="1" t="s">
        <v>413</v>
      </c>
      <c r="J162" s="3" t="s">
        <v>161</v>
      </c>
    </row>
    <row r="163" spans="1:10" ht="45" x14ac:dyDescent="0.25">
      <c r="A163" s="1" t="s">
        <v>289</v>
      </c>
      <c r="B163" s="1" t="s">
        <v>457</v>
      </c>
      <c r="C163" s="1" t="s">
        <v>577</v>
      </c>
      <c r="D163" s="1" t="s">
        <v>578</v>
      </c>
      <c r="E163" s="3" t="s">
        <v>323</v>
      </c>
      <c r="F163" s="3" t="s">
        <v>417</v>
      </c>
      <c r="G163" s="3" t="s">
        <v>404</v>
      </c>
      <c r="H163" s="2" t="s">
        <v>325</v>
      </c>
      <c r="I163" s="1" t="s">
        <v>406</v>
      </c>
      <c r="J163" s="3" t="s">
        <v>27</v>
      </c>
    </row>
    <row r="164" spans="1:10" ht="45" x14ac:dyDescent="0.25">
      <c r="A164" s="1" t="s">
        <v>328</v>
      </c>
      <c r="B164" s="1" t="s">
        <v>465</v>
      </c>
      <c r="C164" s="1" t="s">
        <v>451</v>
      </c>
      <c r="D164" s="1" t="s">
        <v>452</v>
      </c>
      <c r="E164" s="3" t="s">
        <v>327</v>
      </c>
      <c r="F164" s="3" t="s">
        <v>417</v>
      </c>
      <c r="G164" s="3" t="s">
        <v>404</v>
      </c>
      <c r="H164" s="2" t="s">
        <v>329</v>
      </c>
      <c r="I164" s="1" t="s">
        <v>406</v>
      </c>
      <c r="J164" s="3" t="s">
        <v>161</v>
      </c>
    </row>
    <row r="165" spans="1:10" ht="45" x14ac:dyDescent="0.25">
      <c r="A165" s="1" t="s">
        <v>154</v>
      </c>
      <c r="B165" s="1" t="s">
        <v>515</v>
      </c>
      <c r="C165" s="1" t="s">
        <v>445</v>
      </c>
      <c r="D165" s="1" t="s">
        <v>516</v>
      </c>
      <c r="E165" s="3" t="s">
        <v>327</v>
      </c>
      <c r="F165" s="3" t="s">
        <v>417</v>
      </c>
      <c r="G165" s="3" t="s">
        <v>404</v>
      </c>
      <c r="H165" s="2" t="s">
        <v>330</v>
      </c>
      <c r="I165" s="1" t="s">
        <v>442</v>
      </c>
      <c r="J165" s="3" t="s">
        <v>161</v>
      </c>
    </row>
    <row r="166" spans="1:10" ht="60" x14ac:dyDescent="0.25">
      <c r="A166" s="1" t="s">
        <v>120</v>
      </c>
      <c r="B166" s="1" t="s">
        <v>496</v>
      </c>
      <c r="C166" s="1" t="s">
        <v>482</v>
      </c>
      <c r="D166" s="1" t="s">
        <v>466</v>
      </c>
      <c r="E166" s="3" t="s">
        <v>327</v>
      </c>
      <c r="F166" s="3" t="s">
        <v>417</v>
      </c>
      <c r="G166" s="3" t="s">
        <v>404</v>
      </c>
      <c r="H166" s="2" t="s">
        <v>331</v>
      </c>
      <c r="I166" s="1"/>
      <c r="J166" s="3" t="s">
        <v>119</v>
      </c>
    </row>
    <row r="167" spans="1:10" ht="90" x14ac:dyDescent="0.25">
      <c r="A167" s="1" t="s">
        <v>107</v>
      </c>
      <c r="B167" s="1" t="s">
        <v>418</v>
      </c>
      <c r="C167" s="1" t="s">
        <v>489</v>
      </c>
      <c r="D167" s="1" t="s">
        <v>471</v>
      </c>
      <c r="E167" s="3" t="s">
        <v>332</v>
      </c>
      <c r="F167" s="3" t="s">
        <v>417</v>
      </c>
      <c r="G167" s="3" t="s">
        <v>404</v>
      </c>
      <c r="H167" s="2" t="s">
        <v>334</v>
      </c>
      <c r="I167" s="1" t="s">
        <v>406</v>
      </c>
      <c r="J167" s="3" t="s">
        <v>333</v>
      </c>
    </row>
    <row r="168" spans="1:10" ht="90" x14ac:dyDescent="0.25">
      <c r="A168" s="1" t="s">
        <v>339</v>
      </c>
      <c r="B168" s="1" t="s">
        <v>446</v>
      </c>
      <c r="C168" s="1" t="s">
        <v>599</v>
      </c>
      <c r="D168" s="1" t="s">
        <v>600</v>
      </c>
      <c r="E168" s="3" t="s">
        <v>332</v>
      </c>
      <c r="F168" s="3" t="s">
        <v>417</v>
      </c>
      <c r="G168" s="3" t="s">
        <v>404</v>
      </c>
      <c r="H168" s="2" t="s">
        <v>340</v>
      </c>
      <c r="I168" s="1" t="s">
        <v>442</v>
      </c>
      <c r="J168" s="3" t="s">
        <v>338</v>
      </c>
    </row>
    <row r="169" spans="1:10" ht="90" x14ac:dyDescent="0.25">
      <c r="A169" s="1" t="s">
        <v>35</v>
      </c>
      <c r="B169" s="1" t="s">
        <v>446</v>
      </c>
      <c r="C169" s="1" t="s">
        <v>447</v>
      </c>
      <c r="D169" s="1" t="s">
        <v>416</v>
      </c>
      <c r="E169" s="3" t="s">
        <v>332</v>
      </c>
      <c r="F169" s="3" t="s">
        <v>417</v>
      </c>
      <c r="G169" s="3" t="s">
        <v>404</v>
      </c>
      <c r="H169" s="2" t="s">
        <v>337</v>
      </c>
      <c r="I169" s="1" t="s">
        <v>476</v>
      </c>
      <c r="J169" s="3" t="s">
        <v>73</v>
      </c>
    </row>
    <row r="170" spans="1:10" ht="120" x14ac:dyDescent="0.25">
      <c r="A170" s="1" t="s">
        <v>113</v>
      </c>
      <c r="B170" s="1" t="s">
        <v>491</v>
      </c>
      <c r="C170" s="1" t="s">
        <v>492</v>
      </c>
      <c r="D170" s="1" t="s">
        <v>493</v>
      </c>
      <c r="E170" s="3" t="s">
        <v>332</v>
      </c>
      <c r="F170" s="3" t="s">
        <v>417</v>
      </c>
      <c r="G170" s="3" t="s">
        <v>404</v>
      </c>
      <c r="H170" s="2" t="s">
        <v>336</v>
      </c>
      <c r="I170" s="1" t="s">
        <v>442</v>
      </c>
      <c r="J170" s="3" t="s">
        <v>335</v>
      </c>
    </row>
    <row r="171" spans="1:10" ht="45" x14ac:dyDescent="0.25">
      <c r="A171" s="1" t="s">
        <v>96</v>
      </c>
      <c r="B171" s="1" t="s">
        <v>418</v>
      </c>
      <c r="C171" s="1" t="s">
        <v>485</v>
      </c>
      <c r="D171" s="1" t="s">
        <v>486</v>
      </c>
      <c r="E171" s="3" t="s">
        <v>341</v>
      </c>
      <c r="F171" s="3" t="s">
        <v>417</v>
      </c>
      <c r="G171" s="3" t="s">
        <v>404</v>
      </c>
      <c r="H171" s="2" t="s">
        <v>343</v>
      </c>
      <c r="I171" s="1" t="s">
        <v>406</v>
      </c>
      <c r="J171" s="3" t="s">
        <v>1</v>
      </c>
    </row>
    <row r="172" spans="1:10" ht="45" x14ac:dyDescent="0.25">
      <c r="A172" s="1" t="s">
        <v>344</v>
      </c>
      <c r="B172" s="1" t="s">
        <v>418</v>
      </c>
      <c r="C172" s="1" t="s">
        <v>601</v>
      </c>
      <c r="D172" s="1" t="s">
        <v>602</v>
      </c>
      <c r="E172" s="3" t="s">
        <v>341</v>
      </c>
      <c r="F172" s="3" t="s">
        <v>417</v>
      </c>
      <c r="G172" s="3" t="s">
        <v>404</v>
      </c>
      <c r="H172" s="2" t="s">
        <v>345</v>
      </c>
      <c r="I172" s="1" t="s">
        <v>442</v>
      </c>
      <c r="J172" s="3" t="s">
        <v>1</v>
      </c>
    </row>
    <row r="173" spans="1:10" ht="45" x14ac:dyDescent="0.25">
      <c r="A173" s="1" t="s">
        <v>44</v>
      </c>
      <c r="B173" s="1" t="s">
        <v>465</v>
      </c>
      <c r="C173" s="1" t="s">
        <v>466</v>
      </c>
      <c r="D173" s="1" t="s">
        <v>467</v>
      </c>
      <c r="E173" s="3" t="s">
        <v>341</v>
      </c>
      <c r="F173" s="3" t="s">
        <v>417</v>
      </c>
      <c r="G173" s="3" t="s">
        <v>404</v>
      </c>
      <c r="H173" s="2" t="s">
        <v>342</v>
      </c>
      <c r="I173" s="1" t="s">
        <v>442</v>
      </c>
      <c r="J173" s="3" t="s">
        <v>185</v>
      </c>
    </row>
    <row r="174" spans="1:10" ht="45" x14ac:dyDescent="0.25">
      <c r="A174" s="1" t="s">
        <v>51</v>
      </c>
      <c r="B174" s="1" t="s">
        <v>418</v>
      </c>
      <c r="C174" s="1" t="s">
        <v>455</v>
      </c>
      <c r="D174" s="1" t="s">
        <v>456</v>
      </c>
      <c r="E174" s="3" t="s">
        <v>346</v>
      </c>
      <c r="F174" s="3" t="s">
        <v>417</v>
      </c>
      <c r="G174" s="3" t="s">
        <v>404</v>
      </c>
      <c r="H174" s="2" t="s">
        <v>347</v>
      </c>
      <c r="I174" s="1"/>
      <c r="J174" s="3" t="s">
        <v>7</v>
      </c>
    </row>
    <row r="175" spans="1:10" ht="45" x14ac:dyDescent="0.25">
      <c r="A175" s="1" t="s">
        <v>51</v>
      </c>
      <c r="B175" s="1" t="s">
        <v>418</v>
      </c>
      <c r="C175" s="1" t="s">
        <v>455</v>
      </c>
      <c r="D175" s="1" t="s">
        <v>456</v>
      </c>
      <c r="E175" s="3" t="s">
        <v>348</v>
      </c>
      <c r="F175" s="3" t="s">
        <v>417</v>
      </c>
      <c r="G175" s="3" t="s">
        <v>404</v>
      </c>
      <c r="H175" s="2" t="s">
        <v>349</v>
      </c>
      <c r="I175" s="1"/>
      <c r="J175" s="3" t="s">
        <v>7</v>
      </c>
    </row>
    <row r="176" spans="1:10" ht="60" x14ac:dyDescent="0.25">
      <c r="A176" s="1" t="s">
        <v>193</v>
      </c>
      <c r="B176" s="1" t="s">
        <v>536</v>
      </c>
      <c r="C176" s="1" t="s">
        <v>537</v>
      </c>
      <c r="D176" s="1" t="s">
        <v>436</v>
      </c>
      <c r="E176" s="3" t="s">
        <v>350</v>
      </c>
      <c r="F176" s="3" t="s">
        <v>417</v>
      </c>
      <c r="G176" s="3" t="s">
        <v>404</v>
      </c>
      <c r="H176" s="2" t="s">
        <v>351</v>
      </c>
      <c r="I176" s="1"/>
      <c r="J176" s="3" t="s">
        <v>7</v>
      </c>
    </row>
    <row r="177" spans="1:10" ht="45" x14ac:dyDescent="0.25">
      <c r="A177" s="1" t="s">
        <v>353</v>
      </c>
      <c r="B177" s="1" t="s">
        <v>603</v>
      </c>
      <c r="C177" s="1" t="s">
        <v>604</v>
      </c>
      <c r="D177" s="1" t="s">
        <v>605</v>
      </c>
      <c r="E177" s="3" t="s">
        <v>352</v>
      </c>
      <c r="F177" s="3" t="s">
        <v>417</v>
      </c>
      <c r="G177" s="3" t="s">
        <v>404</v>
      </c>
      <c r="H177" s="2" t="s">
        <v>354</v>
      </c>
      <c r="I177" s="1"/>
      <c r="J177" s="3" t="s">
        <v>7</v>
      </c>
    </row>
    <row r="178" spans="1:10" ht="45" x14ac:dyDescent="0.25">
      <c r="A178" s="1" t="s">
        <v>22</v>
      </c>
      <c r="B178" s="1" t="s">
        <v>424</v>
      </c>
      <c r="C178" s="1" t="s">
        <v>427</v>
      </c>
      <c r="D178" s="1" t="s">
        <v>428</v>
      </c>
      <c r="E178" s="3" t="s">
        <v>355</v>
      </c>
      <c r="F178" s="3" t="s">
        <v>417</v>
      </c>
      <c r="G178" s="3" t="s">
        <v>404</v>
      </c>
      <c r="H178" s="2" t="s">
        <v>357</v>
      </c>
      <c r="I178" s="1"/>
      <c r="J178" s="3" t="s">
        <v>7</v>
      </c>
    </row>
    <row r="179" spans="1:10" ht="30" x14ac:dyDescent="0.25">
      <c r="A179" s="1" t="s">
        <v>132</v>
      </c>
      <c r="B179" s="1" t="s">
        <v>418</v>
      </c>
      <c r="C179" s="1" t="s">
        <v>498</v>
      </c>
      <c r="D179" s="1" t="s">
        <v>499</v>
      </c>
      <c r="E179" s="3" t="s">
        <v>355</v>
      </c>
      <c r="F179" s="3" t="s">
        <v>417</v>
      </c>
      <c r="G179" s="3" t="s">
        <v>404</v>
      </c>
      <c r="H179" s="2" t="s">
        <v>356</v>
      </c>
      <c r="I179" s="1" t="s">
        <v>576</v>
      </c>
      <c r="J179" s="3" t="s">
        <v>250</v>
      </c>
    </row>
    <row r="180" spans="1:10" ht="45" x14ac:dyDescent="0.25">
      <c r="A180" s="1" t="s">
        <v>170</v>
      </c>
      <c r="B180" s="1" t="s">
        <v>421</v>
      </c>
      <c r="C180" s="1" t="s">
        <v>524</v>
      </c>
      <c r="D180" s="1" t="s">
        <v>486</v>
      </c>
      <c r="E180" s="3" t="s">
        <v>355</v>
      </c>
      <c r="F180" s="3" t="s">
        <v>417</v>
      </c>
      <c r="G180" s="3" t="s">
        <v>404</v>
      </c>
      <c r="H180" s="2" t="s">
        <v>358</v>
      </c>
      <c r="I180" s="1"/>
      <c r="J180" s="3" t="s">
        <v>7</v>
      </c>
    </row>
    <row r="181" spans="1:10" ht="30" x14ac:dyDescent="0.25">
      <c r="A181" s="1" t="s">
        <v>96</v>
      </c>
      <c r="B181" s="1" t="s">
        <v>418</v>
      </c>
      <c r="C181" s="1" t="s">
        <v>485</v>
      </c>
      <c r="D181" s="1" t="s">
        <v>486</v>
      </c>
      <c r="E181" s="3" t="s">
        <v>359</v>
      </c>
      <c r="F181" s="3" t="s">
        <v>417</v>
      </c>
      <c r="G181" s="3" t="s">
        <v>404</v>
      </c>
      <c r="H181" s="2" t="s">
        <v>360</v>
      </c>
      <c r="I181" s="1" t="s">
        <v>413</v>
      </c>
      <c r="J181" s="3" t="s">
        <v>109</v>
      </c>
    </row>
    <row r="182" spans="1:10" ht="30" x14ac:dyDescent="0.25">
      <c r="A182" s="1" t="s">
        <v>159</v>
      </c>
      <c r="B182" s="1" t="s">
        <v>446</v>
      </c>
      <c r="C182" s="1" t="s">
        <v>449</v>
      </c>
      <c r="D182" s="1" t="s">
        <v>521</v>
      </c>
      <c r="E182" s="3" t="s">
        <v>359</v>
      </c>
      <c r="F182" s="3" t="s">
        <v>417</v>
      </c>
      <c r="G182" s="3" t="s">
        <v>404</v>
      </c>
      <c r="H182" s="2" t="s">
        <v>361</v>
      </c>
      <c r="I182" s="1" t="s">
        <v>413</v>
      </c>
      <c r="J182" s="3" t="s">
        <v>109</v>
      </c>
    </row>
    <row r="183" spans="1:10" ht="45" x14ac:dyDescent="0.25">
      <c r="A183" s="1" t="s">
        <v>132</v>
      </c>
      <c r="B183" s="1" t="s">
        <v>418</v>
      </c>
      <c r="C183" s="1" t="s">
        <v>498</v>
      </c>
      <c r="D183" s="1" t="s">
        <v>499</v>
      </c>
      <c r="E183" s="3" t="s">
        <v>362</v>
      </c>
      <c r="F183" s="3" t="s">
        <v>417</v>
      </c>
      <c r="G183" s="3" t="s">
        <v>404</v>
      </c>
      <c r="H183" s="2" t="s">
        <v>363</v>
      </c>
      <c r="I183" s="1" t="s">
        <v>413</v>
      </c>
      <c r="J183" s="3" t="s">
        <v>1</v>
      </c>
    </row>
    <row r="184" spans="1:10" ht="45" x14ac:dyDescent="0.25">
      <c r="A184" s="1" t="s">
        <v>287</v>
      </c>
      <c r="B184" s="1" t="s">
        <v>511</v>
      </c>
      <c r="C184" s="1" t="s">
        <v>512</v>
      </c>
      <c r="D184" s="1" t="s">
        <v>513</v>
      </c>
      <c r="E184" s="3" t="s">
        <v>362</v>
      </c>
      <c r="F184" s="3" t="s">
        <v>417</v>
      </c>
      <c r="G184" s="3" t="s">
        <v>404</v>
      </c>
      <c r="H184" s="2" t="s">
        <v>364</v>
      </c>
      <c r="I184" s="1"/>
      <c r="J184" s="3" t="s">
        <v>7</v>
      </c>
    </row>
    <row r="185" spans="1:10" ht="45" x14ac:dyDescent="0.25">
      <c r="A185" s="1" t="s">
        <v>366</v>
      </c>
      <c r="B185" s="1" t="s">
        <v>418</v>
      </c>
      <c r="C185" s="1" t="s">
        <v>606</v>
      </c>
      <c r="D185" s="1" t="s">
        <v>607</v>
      </c>
      <c r="E185" s="3" t="s">
        <v>365</v>
      </c>
      <c r="F185" s="3" t="s">
        <v>417</v>
      </c>
      <c r="G185" s="3" t="s">
        <v>404</v>
      </c>
      <c r="H185" s="2" t="s">
        <v>367</v>
      </c>
      <c r="I185" s="1"/>
      <c r="J185" s="3" t="s">
        <v>1</v>
      </c>
    </row>
    <row r="186" spans="1:10" ht="45" x14ac:dyDescent="0.25">
      <c r="A186" s="1" t="s">
        <v>8</v>
      </c>
      <c r="B186" s="1" t="s">
        <v>421</v>
      </c>
      <c r="C186" s="1" t="s">
        <v>422</v>
      </c>
      <c r="D186" s="1" t="s">
        <v>423</v>
      </c>
      <c r="E186" s="3" t="s">
        <v>365</v>
      </c>
      <c r="F186" s="3" t="s">
        <v>417</v>
      </c>
      <c r="G186" s="3" t="s">
        <v>404</v>
      </c>
      <c r="H186" s="2" t="s">
        <v>368</v>
      </c>
      <c r="I186" s="1"/>
      <c r="J186" s="3" t="s">
        <v>1</v>
      </c>
    </row>
    <row r="187" spans="1:10" ht="45" x14ac:dyDescent="0.25">
      <c r="A187" s="1" t="s">
        <v>234</v>
      </c>
      <c r="B187" s="1" t="s">
        <v>531</v>
      </c>
      <c r="C187" s="1" t="s">
        <v>555</v>
      </c>
      <c r="D187" s="1" t="s">
        <v>556</v>
      </c>
      <c r="E187" s="3" t="s">
        <v>369</v>
      </c>
      <c r="F187" s="3" t="s">
        <v>417</v>
      </c>
      <c r="G187" s="3" t="s">
        <v>404</v>
      </c>
      <c r="H187" s="2" t="s">
        <v>370</v>
      </c>
      <c r="I187" s="1"/>
      <c r="J187" s="3" t="s">
        <v>7</v>
      </c>
    </row>
    <row r="188" spans="1:10" ht="45" x14ac:dyDescent="0.25">
      <c r="A188" s="1" t="s">
        <v>371</v>
      </c>
      <c r="B188" s="1" t="s">
        <v>545</v>
      </c>
      <c r="C188" s="1" t="s">
        <v>608</v>
      </c>
      <c r="D188" s="1" t="s">
        <v>436</v>
      </c>
      <c r="E188" s="3" t="s">
        <v>369</v>
      </c>
      <c r="F188" s="3" t="s">
        <v>417</v>
      </c>
      <c r="G188" s="3" t="s">
        <v>404</v>
      </c>
      <c r="H188" s="2" t="s">
        <v>372</v>
      </c>
      <c r="I188" s="1"/>
      <c r="J188" s="3" t="s">
        <v>7</v>
      </c>
    </row>
    <row r="189" spans="1:10" ht="45" x14ac:dyDescent="0.25">
      <c r="A189" s="1" t="s">
        <v>22</v>
      </c>
      <c r="B189" s="1" t="s">
        <v>424</v>
      </c>
      <c r="C189" s="1" t="s">
        <v>427</v>
      </c>
      <c r="D189" s="1" t="s">
        <v>428</v>
      </c>
      <c r="E189" s="3" t="s">
        <v>373</v>
      </c>
      <c r="F189" s="3" t="s">
        <v>417</v>
      </c>
      <c r="G189" s="3" t="s">
        <v>404</v>
      </c>
      <c r="H189" s="2" t="s">
        <v>374</v>
      </c>
      <c r="I189" s="1" t="s">
        <v>442</v>
      </c>
      <c r="J189" s="3" t="s">
        <v>161</v>
      </c>
    </row>
    <row r="190" spans="1:10" ht="45" x14ac:dyDescent="0.25">
      <c r="A190" s="1" t="s">
        <v>16</v>
      </c>
      <c r="B190" s="1" t="s">
        <v>424</v>
      </c>
      <c r="C190" s="1" t="s">
        <v>429</v>
      </c>
      <c r="D190" s="1" t="s">
        <v>430</v>
      </c>
      <c r="E190" s="3" t="s">
        <v>373</v>
      </c>
      <c r="F190" s="3" t="s">
        <v>417</v>
      </c>
      <c r="G190" s="3" t="s">
        <v>404</v>
      </c>
      <c r="H190" s="2" t="s">
        <v>375</v>
      </c>
      <c r="I190" s="1" t="s">
        <v>413</v>
      </c>
      <c r="J190" s="3" t="s">
        <v>161</v>
      </c>
    </row>
    <row r="191" spans="1:10" ht="45" x14ac:dyDescent="0.25">
      <c r="A191" s="1" t="s">
        <v>289</v>
      </c>
      <c r="B191" s="1" t="s">
        <v>457</v>
      </c>
      <c r="C191" s="1" t="s">
        <v>577</v>
      </c>
      <c r="D191" s="1" t="s">
        <v>578</v>
      </c>
      <c r="E191" s="3" t="s">
        <v>373</v>
      </c>
      <c r="F191" s="3" t="s">
        <v>417</v>
      </c>
      <c r="G191" s="3" t="s">
        <v>404</v>
      </c>
      <c r="H191" s="2" t="s">
        <v>376</v>
      </c>
      <c r="I191" s="1" t="s">
        <v>413</v>
      </c>
      <c r="J191" s="3" t="s">
        <v>161</v>
      </c>
    </row>
    <row r="192" spans="1:10" ht="45" x14ac:dyDescent="0.25">
      <c r="A192" s="1" t="s">
        <v>204</v>
      </c>
      <c r="B192" s="1" t="s">
        <v>542</v>
      </c>
      <c r="C192" s="1" t="s">
        <v>543</v>
      </c>
      <c r="D192" s="1" t="s">
        <v>527</v>
      </c>
      <c r="E192" s="3" t="s">
        <v>377</v>
      </c>
      <c r="F192" s="3" t="s">
        <v>417</v>
      </c>
      <c r="G192" s="3" t="s">
        <v>404</v>
      </c>
      <c r="H192" s="2"/>
      <c r="I192" s="1"/>
      <c r="J192" s="3" t="s">
        <v>166</v>
      </c>
    </row>
    <row r="193" spans="1:10" ht="45" x14ac:dyDescent="0.25">
      <c r="A193" s="1" t="s">
        <v>278</v>
      </c>
      <c r="B193" s="1" t="s">
        <v>414</v>
      </c>
      <c r="C193" s="1" t="s">
        <v>449</v>
      </c>
      <c r="D193" s="1" t="s">
        <v>521</v>
      </c>
      <c r="E193" s="3" t="s">
        <v>377</v>
      </c>
      <c r="F193" s="3" t="s">
        <v>417</v>
      </c>
      <c r="G193" s="3" t="s">
        <v>404</v>
      </c>
      <c r="H193" s="2"/>
      <c r="I193" s="1"/>
      <c r="J193" s="3" t="s">
        <v>166</v>
      </c>
    </row>
    <row r="194" spans="1:10" ht="30" x14ac:dyDescent="0.25">
      <c r="A194" s="1" t="s">
        <v>22</v>
      </c>
      <c r="B194" s="1" t="s">
        <v>424</v>
      </c>
      <c r="C194" s="1" t="s">
        <v>427</v>
      </c>
      <c r="D194" s="1" t="s">
        <v>428</v>
      </c>
      <c r="E194" s="3" t="s">
        <v>378</v>
      </c>
      <c r="F194" s="3" t="s">
        <v>417</v>
      </c>
      <c r="G194" s="3" t="s">
        <v>404</v>
      </c>
      <c r="H194" s="2" t="s">
        <v>379</v>
      </c>
      <c r="I194" s="1" t="s">
        <v>413</v>
      </c>
      <c r="J194" s="3" t="s">
        <v>185</v>
      </c>
    </row>
    <row r="195" spans="1:10" ht="45" x14ac:dyDescent="0.25">
      <c r="A195" s="1" t="s">
        <v>380</v>
      </c>
      <c r="B195" s="1" t="s">
        <v>609</v>
      </c>
      <c r="C195" s="1" t="s">
        <v>610</v>
      </c>
      <c r="D195" s="1" t="s">
        <v>430</v>
      </c>
      <c r="E195" s="3" t="s">
        <v>378</v>
      </c>
      <c r="F195" s="3" t="s">
        <v>417</v>
      </c>
      <c r="G195" s="3" t="s">
        <v>404</v>
      </c>
      <c r="H195" s="2" t="s">
        <v>381</v>
      </c>
      <c r="I195" s="1" t="s">
        <v>406</v>
      </c>
      <c r="J195" s="3" t="s">
        <v>265</v>
      </c>
    </row>
    <row r="196" spans="1:10" ht="45" x14ac:dyDescent="0.25">
      <c r="A196" s="1" t="s">
        <v>382</v>
      </c>
      <c r="B196" s="1" t="s">
        <v>465</v>
      </c>
      <c r="C196" s="1" t="s">
        <v>541</v>
      </c>
      <c r="D196" s="1" t="s">
        <v>611</v>
      </c>
      <c r="E196" s="3" t="s">
        <v>378</v>
      </c>
      <c r="F196" s="3" t="s">
        <v>417</v>
      </c>
      <c r="G196" s="3" t="s">
        <v>404</v>
      </c>
      <c r="H196" s="2" t="s">
        <v>383</v>
      </c>
      <c r="I196" s="1" t="s">
        <v>413</v>
      </c>
      <c r="J196" s="3" t="s">
        <v>265</v>
      </c>
    </row>
    <row r="197" spans="1:10" ht="45" x14ac:dyDescent="0.25">
      <c r="A197" s="1" t="s">
        <v>66</v>
      </c>
      <c r="B197" s="1" t="s">
        <v>446</v>
      </c>
      <c r="C197" s="1" t="s">
        <v>470</v>
      </c>
      <c r="D197" s="1" t="s">
        <v>471</v>
      </c>
      <c r="E197" s="3" t="s">
        <v>384</v>
      </c>
      <c r="F197" s="3" t="s">
        <v>417</v>
      </c>
      <c r="G197" s="3" t="s">
        <v>404</v>
      </c>
      <c r="H197" s="2" t="s">
        <v>387</v>
      </c>
      <c r="I197" s="1" t="s">
        <v>476</v>
      </c>
      <c r="J197" s="3" t="s">
        <v>386</v>
      </c>
    </row>
    <row r="198" spans="1:10" ht="45" x14ac:dyDescent="0.25">
      <c r="A198" s="1" t="s">
        <v>136</v>
      </c>
      <c r="B198" s="1" t="s">
        <v>491</v>
      </c>
      <c r="C198" s="1" t="s">
        <v>501</v>
      </c>
      <c r="D198" s="1" t="s">
        <v>502</v>
      </c>
      <c r="E198" s="3" t="s">
        <v>384</v>
      </c>
      <c r="F198" s="3" t="s">
        <v>417</v>
      </c>
      <c r="G198" s="3" t="s">
        <v>404</v>
      </c>
      <c r="H198" s="2" t="s">
        <v>385</v>
      </c>
      <c r="I198" s="1" t="s">
        <v>406</v>
      </c>
      <c r="J198" s="3" t="s">
        <v>56</v>
      </c>
    </row>
    <row r="199" spans="1:10" ht="45" x14ac:dyDescent="0.25">
      <c r="A199" s="1" t="s">
        <v>287</v>
      </c>
      <c r="B199" s="1" t="s">
        <v>511</v>
      </c>
      <c r="C199" s="1" t="s">
        <v>512</v>
      </c>
      <c r="D199" s="1" t="s">
        <v>513</v>
      </c>
      <c r="E199" s="3" t="s">
        <v>384</v>
      </c>
      <c r="F199" s="3" t="s">
        <v>417</v>
      </c>
      <c r="G199" s="3" t="s">
        <v>404</v>
      </c>
      <c r="H199" s="2" t="s">
        <v>388</v>
      </c>
      <c r="I199" s="1" t="s">
        <v>476</v>
      </c>
      <c r="J199" s="3" t="s">
        <v>386</v>
      </c>
    </row>
    <row r="200" spans="1:10" x14ac:dyDescent="0.25">
      <c r="A200" s="1" t="s">
        <v>612</v>
      </c>
      <c r="B200" s="1" t="s">
        <v>409</v>
      </c>
      <c r="C200" s="1" t="s">
        <v>613</v>
      </c>
      <c r="D200" s="1" t="s">
        <v>519</v>
      </c>
      <c r="E200" s="3" t="s">
        <v>614</v>
      </c>
      <c r="F200" s="3" t="s">
        <v>403</v>
      </c>
      <c r="G200" s="3" t="s">
        <v>404</v>
      </c>
      <c r="H200" s="2" t="s">
        <v>615</v>
      </c>
      <c r="I200" s="1"/>
      <c r="J200" s="3" t="s">
        <v>79</v>
      </c>
    </row>
    <row r="201" spans="1:10" x14ac:dyDescent="0.25">
      <c r="A201" s="1" t="s">
        <v>616</v>
      </c>
      <c r="B201" s="1" t="s">
        <v>457</v>
      </c>
      <c r="C201" s="1" t="s">
        <v>617</v>
      </c>
      <c r="D201" s="1" t="s">
        <v>459</v>
      </c>
      <c r="E201" s="3" t="s">
        <v>614</v>
      </c>
      <c r="F201" s="3" t="s">
        <v>403</v>
      </c>
      <c r="G201" s="3" t="s">
        <v>404</v>
      </c>
      <c r="H201" s="2" t="s">
        <v>618</v>
      </c>
      <c r="I201" s="1"/>
      <c r="J201" s="3" t="s">
        <v>79</v>
      </c>
    </row>
  </sheetData>
  <autoFilter ref="A1:J201" xr:uid="{00000000-0009-0000-0000-00000E000000}">
    <sortState xmlns:xlrd2="http://schemas.microsoft.com/office/spreadsheetml/2017/richdata2" ref="A2:J201">
      <sortCondition ref="E1:E20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Sheet4</vt:lpstr>
      <vt:lpstr>KM Data Edits</vt:lpstr>
      <vt:lpstr>Removed Cases-Movants</vt:lpstr>
      <vt:lpstr>Data Pull Sheet</vt:lpstr>
      <vt:lpstr>FF Institution AUMs</vt:lpstr>
      <vt:lpstr>All Institution AUMs</vt:lpstr>
      <vt:lpstr>Largest and Second Movants</vt:lpstr>
      <vt:lpstr>Removed cases</vt:lpstr>
      <vt:lpstr>Sheet2</vt:lpstr>
      <vt:lpstr>Institution AUM</vt:lpstr>
      <vt:lpstr>Abbrev Key</vt:lpstr>
      <vt:lpstr>revisit</vt:lpstr>
      <vt:lpstr>Frequent Flyer as of 123118</vt:lpstr>
      <vt:lpstr>Raw Verteris</vt:lpstr>
      <vt:lpstr>Sheet7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Jesse Claflin</cp:lastModifiedBy>
  <cp:revision/>
  <dcterms:created xsi:type="dcterms:W3CDTF">2017-05-09T14:10:59Z</dcterms:created>
  <dcterms:modified xsi:type="dcterms:W3CDTF">2019-02-08T19:09:27Z</dcterms:modified>
  <cp:category/>
  <cp:contentStatus/>
</cp:coreProperties>
</file>